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3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4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5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6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7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8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9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0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1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2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3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4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5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6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7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8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9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0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1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2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3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4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5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drawings/drawing71.xml" ContentType="application/vnd.openxmlformats-officedocument.drawing+xml"/>
  <Override PartName="/xl/tables/table36.xml" ContentType="application/vnd.openxmlformats-officedocument.spreadsheetml.table+xml"/>
  <Override PartName="/xl/charts/chart39.xml" ContentType="application/vnd.openxmlformats-officedocument.drawingml.chart+xml"/>
  <Override PartName="/xl/drawings/drawing72.xml" ContentType="application/vnd.openxmlformats-officedocument.drawingml.chartshapes+xml"/>
  <Override PartName="/xl/drawings/drawing73.xml" ContentType="application/vnd.openxmlformats-officedocument.drawing+xml"/>
  <Override PartName="/xl/tables/table37.xml" ContentType="application/vnd.openxmlformats-officedocument.spreadsheetml.table+xml"/>
  <Override PartName="/xl/charts/chart40.xml" ContentType="application/vnd.openxmlformats-officedocument.drawingml.chart+xml"/>
  <Override PartName="/xl/drawings/drawing74.xml" ContentType="application/vnd.openxmlformats-officedocument.drawingml.chartshapes+xml"/>
  <Override PartName="/xl/drawings/drawing75.xml" ContentType="application/vnd.openxmlformats-officedocument.drawing+xml"/>
  <Override PartName="/xl/tables/table38.xml" ContentType="application/vnd.openxmlformats-officedocument.spreadsheetml.table+xml"/>
  <Override PartName="/xl/charts/chart41.xml" ContentType="application/vnd.openxmlformats-officedocument.drawingml.chart+xml"/>
  <Override PartName="/xl/drawings/drawing7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T:\ABM\release_test\ABM\version_14_2_2\common\input\template\validation\2016\"/>
    </mc:Choice>
  </mc:AlternateContent>
  <bookViews>
    <workbookView xWindow="0" yWindow="0" windowWidth="21570" windowHeight="8055" tabRatio="853"/>
  </bookViews>
  <sheets>
    <sheet name="readme" sheetId="84" r:id="rId1"/>
    <sheet name="worksheet" sheetId="68" state="hidden" r:id="rId2"/>
    <sheet name="keylocation" sheetId="57" state="hidden" r:id="rId3"/>
    <sheet name="check" sheetId="88" state="hidden" r:id="rId4"/>
    <sheet name="count" sheetId="87" state="hidden" r:id="rId5"/>
    <sheet name="sum_all" sheetId="82" r:id="rId6"/>
    <sheet name="chart_all" sheetId="102" r:id="rId7"/>
    <sheet name="sum_nb" sheetId="46" r:id="rId8"/>
    <sheet name="chart_nb" sheetId="77" r:id="rId9"/>
    <sheet name="sum_sb" sheetId="74" r:id="rId10"/>
    <sheet name="chart_sb" sheetId="79" r:id="rId11"/>
    <sheet name="sum_wb" sheetId="75" r:id="rId12"/>
    <sheet name="chart_wb" sheetId="80" r:id="rId13"/>
    <sheet name="sum_eb" sheetId="76" r:id="rId14"/>
    <sheet name="chart_eb" sheetId="81" r:id="rId15"/>
    <sheet name="I_5_NB" sheetId="6" r:id="rId16"/>
    <sheet name="I_15_NB" sheetId="1" r:id="rId17"/>
    <sheet name="I_805_NB" sheetId="9" r:id="rId18"/>
    <sheet name="SR_163_NB" sheetId="12" r:id="rId19"/>
    <sheet name="SR_125_NB" sheetId="14" r:id="rId20"/>
    <sheet name="SR_67_NB" sheetId="31" r:id="rId21"/>
    <sheet name="SR_75_NB" sheetId="66" r:id="rId22"/>
    <sheet name="I_15HOV_NB" sheetId="71" r:id="rId23"/>
    <sheet name="I_5HOV_NB" sheetId="70" r:id="rId24"/>
    <sheet name="I-5_NB_AUX_LOCAL_ACC" sheetId="92" r:id="rId25"/>
    <sheet name="I_805HOV_NB" sheetId="90" r:id="rId26"/>
    <sheet name="I_5_SB" sheetId="4" r:id="rId27"/>
    <sheet name="I_15_SB" sheetId="7" r:id="rId28"/>
    <sheet name="I_805_SB" sheetId="11" r:id="rId29"/>
    <sheet name="SR_163_SB" sheetId="13" r:id="rId30"/>
    <sheet name="SR_125_SB" sheetId="15" r:id="rId31"/>
    <sheet name="SR_67_SB" sheetId="32" r:id="rId32"/>
    <sheet name="SR_75_SB" sheetId="67" r:id="rId33"/>
    <sheet name="I_15HOV_SB" sheetId="72" r:id="rId34"/>
    <sheet name="I_5HOV_SB" sheetId="73" r:id="rId35"/>
    <sheet name="I_805HOV_SB" sheetId="91" r:id="rId36"/>
    <sheet name="I_8_WB" sheetId="22" r:id="rId37"/>
    <sheet name="SR_78_WB" sheetId="17" r:id="rId38"/>
    <sheet name="SR_52_WB" sheetId="24" r:id="rId39"/>
    <sheet name="SR_54_WB" sheetId="28" r:id="rId40"/>
    <sheet name="SR_56_WB" sheetId="20" r:id="rId41"/>
    <sheet name="SR_905_WB" sheetId="30" r:id="rId42"/>
    <sheet name="SR_94_WB" sheetId="26" r:id="rId43"/>
    <sheet name="I_8_EB" sheetId="21" r:id="rId44"/>
    <sheet name="SR_78_EB" sheetId="16" r:id="rId45"/>
    <sheet name="SR_52_EB" sheetId="23" r:id="rId46"/>
    <sheet name="SR_54_EB" sheetId="27" r:id="rId47"/>
    <sheet name="SR_56_EB" sheetId="19" r:id="rId48"/>
    <sheet name="SR_905_EB" sheetId="29" r:id="rId49"/>
    <sheet name="SR_94_EB" sheetId="25" r:id="rId50"/>
    <sheet name="plaza" sheetId="89" state="hidden" r:id="rId51"/>
    <sheet name="ref" sheetId="78" state="hidden" r:id="rId52"/>
    <sheet name="ref2" sheetId="85" state="hidden" r:id="rId53"/>
  </sheets>
  <externalReferences>
    <externalReference r:id="rId54"/>
    <externalReference r:id="rId55"/>
  </externalReferences>
  <definedNames>
    <definedName name="_xlnm._FilterDatabase" localSheetId="13" hidden="1">sum_eb!#REF!</definedName>
    <definedName name="_xlnm._FilterDatabase" localSheetId="7" hidden="1">sum_nb!#REF!</definedName>
    <definedName name="_xlnm._FilterDatabase" localSheetId="9" hidden="1">sum_sb!#REF!</definedName>
    <definedName name="_xlnm._FilterDatabase" localSheetId="11" hidden="1">sum_wb!#REF!</definedName>
    <definedName name="_xlnm._FilterDatabase" localSheetId="1" hidden="1">worksheet!$L$1:$L$758</definedName>
    <definedName name="eb_c">worksheet!$K$523:$K$625</definedName>
    <definedName name="eb_f">worksheet!$L$523:$L$625</definedName>
    <definedName name="eb_x2">worksheet!$N$523:$N$625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worksheet!$K$201:$K$397</definedName>
    <definedName name="sb_f">worksheet!$L$201:$L$397</definedName>
    <definedName name="sb_x2">worksheet!$N$201:$N$397</definedName>
    <definedName name="socioeca8.sandag.org_abm2_f2" localSheetId="0" hidden="1">readme!$D$1:$G$1647</definedName>
    <definedName name="sql2014a8.sandag.org_ws_flow2015day" localSheetId="0" hidden="1">readme!#REF!</definedName>
    <definedName name="wb_c">worksheet!$K$398:$K$522</definedName>
    <definedName name="wb_f">worksheet!$L$398:$L$522</definedName>
    <definedName name="wb_x2">worksheet!$N$398:$N$522</definedName>
  </definedNames>
  <calcPr calcId="162913"/>
  <pivotCaches>
    <pivotCache cacheId="4" r:id="rId5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68" l="1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92" i="68"/>
  <c r="K93" i="68"/>
  <c r="K94" i="68"/>
  <c r="K95" i="68"/>
  <c r="K96" i="68"/>
  <c r="K97" i="68"/>
  <c r="K98" i="68"/>
  <c r="K99" i="68"/>
  <c r="K100" i="68"/>
  <c r="K101" i="68"/>
  <c r="K102" i="68"/>
  <c r="K103" i="68"/>
  <c r="K104" i="68"/>
  <c r="K105" i="68"/>
  <c r="K106" i="68"/>
  <c r="K107" i="68"/>
  <c r="K108" i="68"/>
  <c r="K109" i="68"/>
  <c r="K110" i="68"/>
  <c r="K111" i="68"/>
  <c r="K112" i="68"/>
  <c r="K113" i="68"/>
  <c r="K114" i="68"/>
  <c r="K115" i="68"/>
  <c r="K116" i="68"/>
  <c r="K117" i="68"/>
  <c r="K118" i="68"/>
  <c r="K119" i="68"/>
  <c r="K120" i="68"/>
  <c r="K121" i="68"/>
  <c r="K122" i="68"/>
  <c r="K123" i="68"/>
  <c r="K124" i="68"/>
  <c r="K125" i="68"/>
  <c r="K126" i="68"/>
  <c r="K127" i="68"/>
  <c r="K128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250" i="68"/>
  <c r="K251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264" i="68"/>
  <c r="K265" i="68"/>
  <c r="K266" i="68"/>
  <c r="K267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16" i="68"/>
  <c r="K617" i="68"/>
  <c r="K618" i="68"/>
  <c r="K619" i="68"/>
  <c r="K620" i="68"/>
  <c r="K621" i="68"/>
  <c r="K622" i="68"/>
  <c r="K623" i="68"/>
  <c r="K624" i="68"/>
  <c r="K625" i="68"/>
  <c r="K626" i="68"/>
  <c r="K627" i="68"/>
  <c r="K628" i="68"/>
  <c r="K629" i="68"/>
  <c r="K630" i="68"/>
  <c r="K631" i="68"/>
  <c r="K632" i="68"/>
  <c r="K633" i="68"/>
  <c r="K634" i="68"/>
  <c r="K635" i="68"/>
  <c r="K636" i="68"/>
  <c r="K637" i="68"/>
  <c r="K638" i="68"/>
  <c r="K639" i="68"/>
  <c r="K640" i="68"/>
  <c r="K641" i="68"/>
  <c r="K642" i="68"/>
  <c r="K643" i="68"/>
  <c r="K644" i="68"/>
  <c r="K645" i="68"/>
  <c r="K646" i="68"/>
  <c r="K647" i="68"/>
  <c r="K648" i="68"/>
  <c r="K649" i="68"/>
  <c r="K650" i="68"/>
  <c r="K651" i="68"/>
  <c r="K652" i="68"/>
  <c r="K653" i="68"/>
  <c r="K654" i="68"/>
  <c r="K655" i="68"/>
  <c r="K656" i="68"/>
  <c r="K657" i="68"/>
  <c r="K658" i="68"/>
  <c r="K659" i="68"/>
  <c r="K660" i="68"/>
  <c r="K661" i="68"/>
  <c r="K662" i="68"/>
  <c r="K663" i="68"/>
  <c r="K664" i="68"/>
  <c r="K665" i="68"/>
  <c r="K666" i="68"/>
  <c r="K667" i="68"/>
  <c r="K668" i="68"/>
  <c r="K669" i="68"/>
  <c r="K670" i="68"/>
  <c r="K671" i="68"/>
  <c r="K672" i="68"/>
  <c r="K673" i="68"/>
  <c r="K674" i="68"/>
  <c r="K675" i="68"/>
  <c r="K676" i="68"/>
  <c r="K677" i="68"/>
  <c r="K678" i="68"/>
  <c r="K679" i="68"/>
  <c r="K680" i="68"/>
  <c r="K681" i="68"/>
  <c r="K682" i="68"/>
  <c r="K683" i="68"/>
  <c r="K684" i="68"/>
  <c r="K685" i="68"/>
  <c r="K686" i="68"/>
  <c r="K687" i="68"/>
  <c r="K688" i="68"/>
  <c r="K689" i="68"/>
  <c r="K690" i="68"/>
  <c r="K691" i="68"/>
  <c r="K692" i="68"/>
  <c r="K693" i="68"/>
  <c r="K694" i="68"/>
  <c r="K695" i="68"/>
  <c r="K696" i="68"/>
  <c r="K697" i="68"/>
  <c r="K698" i="68"/>
  <c r="K699" i="68"/>
  <c r="K700" i="68"/>
  <c r="K701" i="68"/>
  <c r="K702" i="68"/>
  <c r="K703" i="68"/>
  <c r="K704" i="68"/>
  <c r="K705" i="68"/>
  <c r="K706" i="68"/>
  <c r="K707" i="68"/>
  <c r="K708" i="68"/>
  <c r="K709" i="68"/>
  <c r="K710" i="68"/>
  <c r="K711" i="68"/>
  <c r="K712" i="68"/>
  <c r="K713" i="68"/>
  <c r="K714" i="68"/>
  <c r="K715" i="68"/>
  <c r="K716" i="68"/>
  <c r="K717" i="68"/>
  <c r="K718" i="68"/>
  <c r="K719" i="68"/>
  <c r="K720" i="68"/>
  <c r="K721" i="68"/>
  <c r="K722" i="68"/>
  <c r="K723" i="68"/>
  <c r="K724" i="68"/>
  <c r="K725" i="68"/>
  <c r="K726" i="68"/>
  <c r="K727" i="68"/>
  <c r="K728" i="68"/>
  <c r="K729" i="68"/>
  <c r="K730" i="68"/>
  <c r="K731" i="68"/>
  <c r="K732" i="68"/>
  <c r="K733" i="68"/>
  <c r="K734" i="68"/>
  <c r="K735" i="68"/>
  <c r="K736" i="68"/>
  <c r="K737" i="68"/>
  <c r="K738" i="68"/>
  <c r="K739" i="68"/>
  <c r="K740" i="68"/>
  <c r="K741" i="68"/>
  <c r="K742" i="68"/>
  <c r="K743" i="68"/>
  <c r="K744" i="68"/>
  <c r="K745" i="68"/>
  <c r="K746" i="68"/>
  <c r="K747" i="68"/>
  <c r="K748" i="68"/>
  <c r="K749" i="68"/>
  <c r="K750" i="68"/>
  <c r="K751" i="68"/>
  <c r="K752" i="68"/>
  <c r="K753" i="68"/>
  <c r="K754" i="68"/>
  <c r="K755" i="68"/>
  <c r="K756" i="68"/>
  <c r="K757" i="68"/>
  <c r="K758" i="68"/>
  <c r="A2" i="78" l="1"/>
  <c r="H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2" i="29"/>
  <c r="H3" i="29"/>
  <c r="H4" i="29"/>
  <c r="H5" i="29"/>
  <c r="H6" i="29"/>
  <c r="H7" i="29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2" i="27"/>
  <c r="H3" i="27"/>
  <c r="H4" i="27"/>
  <c r="H5" i="27"/>
  <c r="H6" i="27"/>
  <c r="H7" i="27"/>
  <c r="H8" i="27"/>
  <c r="H9" i="27"/>
  <c r="H2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2" i="26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" i="30"/>
  <c r="H3" i="30"/>
  <c r="H4" i="30"/>
  <c r="H5" i="30"/>
  <c r="H6" i="30"/>
  <c r="H7" i="30"/>
  <c r="H8" i="30"/>
  <c r="H9" i="30"/>
  <c r="H10" i="30"/>
  <c r="H11" i="30"/>
  <c r="H12" i="30"/>
  <c r="H13" i="30"/>
  <c r="H14" i="3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8"/>
  <c r="H3" i="28"/>
  <c r="H4" i="28"/>
  <c r="H5" i="28"/>
  <c r="H6" i="28"/>
  <c r="H7" i="28"/>
  <c r="H8" i="28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2" i="91"/>
  <c r="H2" i="73"/>
  <c r="H3" i="73"/>
  <c r="H4" i="73"/>
  <c r="H5" i="73"/>
  <c r="H2" i="72"/>
  <c r="H3" i="72"/>
  <c r="H4" i="72"/>
  <c r="H5" i="72"/>
  <c r="H6" i="72"/>
  <c r="H7" i="72"/>
  <c r="H8" i="72"/>
  <c r="H9" i="72"/>
  <c r="H2" i="67"/>
  <c r="H2" i="32"/>
  <c r="H3" i="32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2" i="90"/>
  <c r="H3" i="90"/>
  <c r="H4" i="90"/>
  <c r="H5" i="90"/>
  <c r="H2" i="92"/>
  <c r="H2" i="70"/>
  <c r="H3" i="70"/>
  <c r="H4" i="70"/>
  <c r="H5" i="70"/>
  <c r="H6" i="70"/>
  <c r="H2" i="71"/>
  <c r="H3" i="71"/>
  <c r="H4" i="71"/>
  <c r="H5" i="71"/>
  <c r="H6" i="71"/>
  <c r="H7" i="71"/>
  <c r="H8" i="71"/>
  <c r="H9" i="71"/>
  <c r="H10" i="71"/>
  <c r="H11" i="71"/>
  <c r="H12" i="71"/>
  <c r="H13" i="71"/>
  <c r="H14" i="71"/>
  <c r="H15" i="71"/>
  <c r="H16" i="71"/>
  <c r="H2" i="66"/>
  <c r="H2" i="31"/>
  <c r="H3" i="31"/>
  <c r="H4" i="31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2"/>
  <c r="H3" i="12"/>
  <c r="H4" i="12"/>
  <c r="H5" i="12"/>
  <c r="H6" i="12"/>
  <c r="H7" i="12"/>
  <c r="H8" i="12"/>
  <c r="H9" i="12"/>
  <c r="H10" i="12"/>
  <c r="H11" i="12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Q3" i="68" l="1"/>
  <c r="Q4" i="68"/>
  <c r="Q5" i="68"/>
  <c r="Q6" i="68"/>
  <c r="Q7" i="68"/>
  <c r="Q8" i="68"/>
  <c r="Q9" i="68"/>
  <c r="Q10" i="68"/>
  <c r="Q11" i="68"/>
  <c r="Q12" i="68"/>
  <c r="Q13" i="68"/>
  <c r="Q14" i="68"/>
  <c r="Q15" i="68"/>
  <c r="Q16" i="68"/>
  <c r="Q17" i="68"/>
  <c r="Q18" i="68"/>
  <c r="Q19" i="68"/>
  <c r="Q20" i="68"/>
  <c r="Q21" i="68"/>
  <c r="Q22" i="68"/>
  <c r="Q23" i="68"/>
  <c r="Q24" i="68"/>
  <c r="Q25" i="68"/>
  <c r="Q26" i="68"/>
  <c r="Q27" i="68"/>
  <c r="Q28" i="68"/>
  <c r="Q29" i="68"/>
  <c r="Q30" i="68"/>
  <c r="Q31" i="68"/>
  <c r="Q32" i="68"/>
  <c r="Q33" i="68"/>
  <c r="Q34" i="68"/>
  <c r="Q35" i="68"/>
  <c r="Q36" i="68"/>
  <c r="Q37" i="68"/>
  <c r="Q38" i="68"/>
  <c r="Q39" i="68"/>
  <c r="Q40" i="68"/>
  <c r="Q41" i="68"/>
  <c r="Q42" i="68"/>
  <c r="Q43" i="68"/>
  <c r="Q44" i="68"/>
  <c r="Q45" i="68"/>
  <c r="Q46" i="68"/>
  <c r="Q47" i="68"/>
  <c r="Q48" i="68"/>
  <c r="Q49" i="68"/>
  <c r="Q50" i="68"/>
  <c r="Q51" i="68"/>
  <c r="Q52" i="68"/>
  <c r="Q53" i="68"/>
  <c r="Q54" i="68"/>
  <c r="Q55" i="68"/>
  <c r="Q56" i="68"/>
  <c r="Q57" i="68"/>
  <c r="Q58" i="68"/>
  <c r="Q59" i="68"/>
  <c r="Q60" i="68"/>
  <c r="Q61" i="68"/>
  <c r="Q62" i="68"/>
  <c r="Q63" i="68"/>
  <c r="Q64" i="68"/>
  <c r="Q65" i="68"/>
  <c r="Q66" i="68"/>
  <c r="Q67" i="68"/>
  <c r="Q68" i="68"/>
  <c r="Q69" i="68"/>
  <c r="Q70" i="68"/>
  <c r="Q71" i="68"/>
  <c r="Q72" i="68"/>
  <c r="Q73" i="68"/>
  <c r="Q74" i="68"/>
  <c r="Q75" i="68"/>
  <c r="Q76" i="68"/>
  <c r="Q77" i="68"/>
  <c r="Q78" i="68"/>
  <c r="Q79" i="68"/>
  <c r="Q80" i="68"/>
  <c r="Q81" i="68"/>
  <c r="Q82" i="68"/>
  <c r="Q83" i="68"/>
  <c r="Q84" i="68"/>
  <c r="Q85" i="68"/>
  <c r="Q86" i="68"/>
  <c r="Q87" i="68"/>
  <c r="Q88" i="68"/>
  <c r="Q89" i="68"/>
  <c r="Q90" i="68"/>
  <c r="Q91" i="68"/>
  <c r="Q92" i="68"/>
  <c r="Q93" i="68"/>
  <c r="Q94" i="68"/>
  <c r="Q95" i="68"/>
  <c r="Q96" i="68"/>
  <c r="Q97" i="68"/>
  <c r="Q98" i="68"/>
  <c r="Q99" i="68"/>
  <c r="Q100" i="68"/>
  <c r="Q101" i="68"/>
  <c r="Q102" i="68"/>
  <c r="Q103" i="68"/>
  <c r="Q104" i="68"/>
  <c r="Q105" i="68"/>
  <c r="Q106" i="68"/>
  <c r="Q107" i="68"/>
  <c r="Q108" i="68"/>
  <c r="Q109" i="68"/>
  <c r="Q110" i="68"/>
  <c r="Q111" i="68"/>
  <c r="Q112" i="68"/>
  <c r="Q113" i="68"/>
  <c r="Q114" i="68"/>
  <c r="Q115" i="68"/>
  <c r="Q116" i="68"/>
  <c r="Q117" i="68"/>
  <c r="Q118" i="68"/>
  <c r="Q119" i="68"/>
  <c r="Q120" i="68"/>
  <c r="Q121" i="68"/>
  <c r="Q122" i="68"/>
  <c r="Q123" i="68"/>
  <c r="Q124" i="68"/>
  <c r="Q125" i="68"/>
  <c r="Q126" i="68"/>
  <c r="Q127" i="68"/>
  <c r="Q128" i="68"/>
  <c r="Q129" i="68"/>
  <c r="Q130" i="68"/>
  <c r="Q131" i="68"/>
  <c r="Q132" i="68"/>
  <c r="Q133" i="68"/>
  <c r="Q134" i="68"/>
  <c r="Q135" i="68"/>
  <c r="Q136" i="68"/>
  <c r="Q137" i="68"/>
  <c r="Q138" i="68"/>
  <c r="Q139" i="68"/>
  <c r="Q140" i="68"/>
  <c r="Q141" i="68"/>
  <c r="Q142" i="68"/>
  <c r="Q143" i="68"/>
  <c r="Q144" i="68"/>
  <c r="Q145" i="68"/>
  <c r="Q146" i="68"/>
  <c r="Q147" i="68"/>
  <c r="Q148" i="68"/>
  <c r="Q149" i="68"/>
  <c r="Q150" i="68"/>
  <c r="Q151" i="68"/>
  <c r="Q152" i="68"/>
  <c r="Q153" i="68"/>
  <c r="Q154" i="68"/>
  <c r="Q155" i="68"/>
  <c r="Q156" i="68"/>
  <c r="Q157" i="68"/>
  <c r="Q158" i="68"/>
  <c r="Q159" i="68"/>
  <c r="Q160" i="68"/>
  <c r="Q161" i="68"/>
  <c r="Q162" i="68"/>
  <c r="Q163" i="68"/>
  <c r="Q164" i="68"/>
  <c r="Q165" i="68"/>
  <c r="Q166" i="68"/>
  <c r="Q167" i="68"/>
  <c r="Q168" i="68"/>
  <c r="Q169" i="68"/>
  <c r="Q170" i="68"/>
  <c r="Q171" i="68"/>
  <c r="Q172" i="68"/>
  <c r="Q173" i="68"/>
  <c r="Q174" i="68"/>
  <c r="Q175" i="68"/>
  <c r="Q176" i="68"/>
  <c r="Q177" i="68"/>
  <c r="Q178" i="68"/>
  <c r="Q179" i="68"/>
  <c r="Q180" i="68"/>
  <c r="Q181" i="68"/>
  <c r="Q182" i="68"/>
  <c r="Q183" i="68"/>
  <c r="Q184" i="68"/>
  <c r="Q185" i="68"/>
  <c r="Q186" i="68"/>
  <c r="Q187" i="68"/>
  <c r="Q188" i="68"/>
  <c r="Q189" i="68"/>
  <c r="Q190" i="68"/>
  <c r="Q191" i="68"/>
  <c r="Q192" i="68"/>
  <c r="Q193" i="68"/>
  <c r="Q194" i="68"/>
  <c r="Q195" i="68"/>
  <c r="Q196" i="68"/>
  <c r="Q197" i="68"/>
  <c r="Q198" i="68"/>
  <c r="Q199" i="68"/>
  <c r="Q200" i="68"/>
  <c r="Q201" i="68"/>
  <c r="Q202" i="68"/>
  <c r="Q203" i="68"/>
  <c r="Q204" i="68"/>
  <c r="Q205" i="68"/>
  <c r="Q206" i="68"/>
  <c r="Q207" i="68"/>
  <c r="Q208" i="68"/>
  <c r="Q209" i="68"/>
  <c r="Q210" i="68"/>
  <c r="Q211" i="68"/>
  <c r="Q212" i="68"/>
  <c r="Q213" i="68"/>
  <c r="Q214" i="68"/>
  <c r="Q215" i="68"/>
  <c r="Q216" i="68"/>
  <c r="Q217" i="68"/>
  <c r="Q218" i="68"/>
  <c r="Q219" i="68"/>
  <c r="Q220" i="68"/>
  <c r="Q221" i="68"/>
  <c r="Q222" i="68"/>
  <c r="Q223" i="68"/>
  <c r="Q224" i="68"/>
  <c r="Q225" i="68"/>
  <c r="Q226" i="68"/>
  <c r="Q227" i="68"/>
  <c r="Q228" i="68"/>
  <c r="Q229" i="68"/>
  <c r="Q230" i="68"/>
  <c r="Q231" i="68"/>
  <c r="Q232" i="68"/>
  <c r="Q233" i="68"/>
  <c r="Q234" i="68"/>
  <c r="Q235" i="68"/>
  <c r="Q236" i="68"/>
  <c r="Q237" i="68"/>
  <c r="Q238" i="68"/>
  <c r="Q239" i="68"/>
  <c r="Q240" i="68"/>
  <c r="Q241" i="68"/>
  <c r="Q242" i="68"/>
  <c r="Q243" i="68"/>
  <c r="Q244" i="68"/>
  <c r="Q245" i="68"/>
  <c r="Q246" i="68"/>
  <c r="Q247" i="68"/>
  <c r="Q248" i="68"/>
  <c r="Q249" i="68"/>
  <c r="Q250" i="68"/>
  <c r="Q251" i="68"/>
  <c r="Q252" i="68"/>
  <c r="Q253" i="68"/>
  <c r="Q254" i="68"/>
  <c r="Q255" i="68"/>
  <c r="Q256" i="68"/>
  <c r="Q257" i="68"/>
  <c r="Q258" i="68"/>
  <c r="Q259" i="68"/>
  <c r="Q260" i="68"/>
  <c r="Q261" i="68"/>
  <c r="Q262" i="68"/>
  <c r="Q263" i="68"/>
  <c r="Q264" i="68"/>
  <c r="Q265" i="68"/>
  <c r="Q266" i="68"/>
  <c r="Q267" i="68"/>
  <c r="Q268" i="68"/>
  <c r="Q269" i="68"/>
  <c r="Q270" i="68"/>
  <c r="Q271" i="68"/>
  <c r="Q272" i="68"/>
  <c r="Q273" i="68"/>
  <c r="Q274" i="68"/>
  <c r="Q275" i="68"/>
  <c r="Q276" i="68"/>
  <c r="Q277" i="68"/>
  <c r="Q278" i="68"/>
  <c r="Q279" i="68"/>
  <c r="Q280" i="68"/>
  <c r="Q281" i="68"/>
  <c r="Q282" i="68"/>
  <c r="Q283" i="68"/>
  <c r="Q284" i="68"/>
  <c r="Q285" i="68"/>
  <c r="Q286" i="68"/>
  <c r="Q287" i="68"/>
  <c r="Q288" i="68"/>
  <c r="Q289" i="68"/>
  <c r="Q290" i="68"/>
  <c r="Q291" i="68"/>
  <c r="Q292" i="68"/>
  <c r="Q293" i="68"/>
  <c r="Q294" i="68"/>
  <c r="Q295" i="68"/>
  <c r="Q296" i="68"/>
  <c r="Q297" i="68"/>
  <c r="Q298" i="68"/>
  <c r="Q299" i="68"/>
  <c r="Q300" i="68"/>
  <c r="Q301" i="68"/>
  <c r="Q302" i="68"/>
  <c r="Q303" i="68"/>
  <c r="Q304" i="68"/>
  <c r="Q305" i="68"/>
  <c r="Q306" i="68"/>
  <c r="Q307" i="68"/>
  <c r="Q308" i="68"/>
  <c r="Q309" i="68"/>
  <c r="Q310" i="68"/>
  <c r="Q311" i="68"/>
  <c r="Q312" i="68"/>
  <c r="Q313" i="68"/>
  <c r="Q314" i="68"/>
  <c r="Q315" i="68"/>
  <c r="Q316" i="68"/>
  <c r="Q317" i="68"/>
  <c r="Q318" i="68"/>
  <c r="Q319" i="68"/>
  <c r="Q320" i="68"/>
  <c r="Q321" i="68"/>
  <c r="Q322" i="68"/>
  <c r="Q323" i="68"/>
  <c r="Q324" i="68"/>
  <c r="Q325" i="68"/>
  <c r="Q326" i="68"/>
  <c r="Q327" i="68"/>
  <c r="Q328" i="68"/>
  <c r="Q329" i="68"/>
  <c r="Q330" i="68"/>
  <c r="Q331" i="68"/>
  <c r="Q332" i="68"/>
  <c r="Q333" i="68"/>
  <c r="Q334" i="68"/>
  <c r="Q335" i="68"/>
  <c r="Q336" i="68"/>
  <c r="Q337" i="68"/>
  <c r="Q338" i="68"/>
  <c r="Q339" i="68"/>
  <c r="Q340" i="68"/>
  <c r="Q341" i="68"/>
  <c r="Q342" i="68"/>
  <c r="Q343" i="68"/>
  <c r="Q344" i="68"/>
  <c r="Q345" i="68"/>
  <c r="Q346" i="68"/>
  <c r="Q347" i="68"/>
  <c r="Q348" i="68"/>
  <c r="Q349" i="68"/>
  <c r="Q350" i="68"/>
  <c r="Q351" i="68"/>
  <c r="Q352" i="68"/>
  <c r="Q353" i="68"/>
  <c r="Q354" i="68"/>
  <c r="Q355" i="68"/>
  <c r="Q356" i="68"/>
  <c r="Q357" i="68"/>
  <c r="Q358" i="68"/>
  <c r="Q359" i="68"/>
  <c r="Q360" i="68"/>
  <c r="Q361" i="68"/>
  <c r="Q362" i="68"/>
  <c r="Q363" i="68"/>
  <c r="Q364" i="68"/>
  <c r="Q365" i="68"/>
  <c r="Q366" i="68"/>
  <c r="Q367" i="68"/>
  <c r="Q368" i="68"/>
  <c r="Q369" i="68"/>
  <c r="Q370" i="68"/>
  <c r="Q371" i="68"/>
  <c r="Q372" i="68"/>
  <c r="Q373" i="68"/>
  <c r="Q374" i="68"/>
  <c r="Q375" i="68"/>
  <c r="Q376" i="68"/>
  <c r="Q377" i="68"/>
  <c r="Q378" i="68"/>
  <c r="Q379" i="68"/>
  <c r="Q380" i="68"/>
  <c r="Q381" i="68"/>
  <c r="Q382" i="68"/>
  <c r="Q383" i="68"/>
  <c r="Q384" i="68"/>
  <c r="Q385" i="68"/>
  <c r="Q386" i="68"/>
  <c r="Q387" i="68"/>
  <c r="Q388" i="68"/>
  <c r="Q389" i="68"/>
  <c r="Q390" i="68"/>
  <c r="Q391" i="68"/>
  <c r="Q392" i="68"/>
  <c r="Q393" i="68"/>
  <c r="Q394" i="68"/>
  <c r="Q395" i="68"/>
  <c r="Q396" i="68"/>
  <c r="Q397" i="68"/>
  <c r="Q398" i="68"/>
  <c r="Q399" i="68"/>
  <c r="Q400" i="68"/>
  <c r="Q401" i="68"/>
  <c r="Q402" i="68"/>
  <c r="Q403" i="68"/>
  <c r="Q404" i="68"/>
  <c r="Q405" i="68"/>
  <c r="Q406" i="68"/>
  <c r="Q407" i="68"/>
  <c r="Q408" i="68"/>
  <c r="Q409" i="68"/>
  <c r="Q410" i="68"/>
  <c r="Q411" i="68"/>
  <c r="Q412" i="68"/>
  <c r="Q413" i="68"/>
  <c r="Q414" i="68"/>
  <c r="Q415" i="68"/>
  <c r="Q416" i="68"/>
  <c r="Q417" i="68"/>
  <c r="Q418" i="68"/>
  <c r="Q419" i="68"/>
  <c r="Q420" i="68"/>
  <c r="Q421" i="68"/>
  <c r="Q422" i="68"/>
  <c r="Q423" i="68"/>
  <c r="Q424" i="68"/>
  <c r="Q425" i="68"/>
  <c r="Q426" i="68"/>
  <c r="Q427" i="68"/>
  <c r="Q428" i="68"/>
  <c r="Q429" i="68"/>
  <c r="Q430" i="68"/>
  <c r="Q431" i="68"/>
  <c r="Q432" i="68"/>
  <c r="Q433" i="68"/>
  <c r="Q434" i="68"/>
  <c r="Q435" i="68"/>
  <c r="Q436" i="68"/>
  <c r="Q437" i="68"/>
  <c r="Q438" i="68"/>
  <c r="Q439" i="68"/>
  <c r="Q440" i="68"/>
  <c r="Q441" i="68"/>
  <c r="Q442" i="68"/>
  <c r="Q443" i="68"/>
  <c r="Q444" i="68"/>
  <c r="Q445" i="68"/>
  <c r="Q446" i="68"/>
  <c r="Q447" i="68"/>
  <c r="Q448" i="68"/>
  <c r="Q449" i="68"/>
  <c r="Q450" i="68"/>
  <c r="Q451" i="68"/>
  <c r="Q452" i="68"/>
  <c r="Q453" i="68"/>
  <c r="Q454" i="68"/>
  <c r="Q455" i="68"/>
  <c r="Q456" i="68"/>
  <c r="Q457" i="68"/>
  <c r="Q458" i="68"/>
  <c r="Q459" i="68"/>
  <c r="Q460" i="68"/>
  <c r="Q461" i="68"/>
  <c r="Q462" i="68"/>
  <c r="Q463" i="68"/>
  <c r="Q464" i="68"/>
  <c r="Q465" i="68"/>
  <c r="Q466" i="68"/>
  <c r="Q467" i="68"/>
  <c r="Q468" i="68"/>
  <c r="Q469" i="68"/>
  <c r="Q470" i="68"/>
  <c r="Q471" i="68"/>
  <c r="Q472" i="68"/>
  <c r="Q473" i="68"/>
  <c r="Q474" i="68"/>
  <c r="Q475" i="68"/>
  <c r="Q476" i="68"/>
  <c r="Q477" i="68"/>
  <c r="Q478" i="68"/>
  <c r="Q479" i="68"/>
  <c r="Q480" i="68"/>
  <c r="Q481" i="68"/>
  <c r="Q482" i="68"/>
  <c r="Q483" i="68"/>
  <c r="Q484" i="68"/>
  <c r="Q485" i="68"/>
  <c r="Q486" i="68"/>
  <c r="Q487" i="68"/>
  <c r="Q488" i="68"/>
  <c r="Q489" i="68"/>
  <c r="Q490" i="68"/>
  <c r="Q491" i="68"/>
  <c r="Q492" i="68"/>
  <c r="Q493" i="68"/>
  <c r="Q494" i="68"/>
  <c r="Q495" i="68"/>
  <c r="Q496" i="68"/>
  <c r="Q497" i="68"/>
  <c r="Q498" i="68"/>
  <c r="Q499" i="68"/>
  <c r="Q500" i="68"/>
  <c r="Q501" i="68"/>
  <c r="Q502" i="68"/>
  <c r="Q503" i="68"/>
  <c r="Q504" i="68"/>
  <c r="Q505" i="68"/>
  <c r="Q506" i="68"/>
  <c r="Q507" i="68"/>
  <c r="Q508" i="68"/>
  <c r="Q509" i="68"/>
  <c r="Q510" i="68"/>
  <c r="Q511" i="68"/>
  <c r="Q512" i="68"/>
  <c r="Q513" i="68"/>
  <c r="Q514" i="68"/>
  <c r="Q515" i="68"/>
  <c r="Q516" i="68"/>
  <c r="Q517" i="68"/>
  <c r="Q518" i="68"/>
  <c r="Q519" i="68"/>
  <c r="Q520" i="68"/>
  <c r="Q521" i="68"/>
  <c r="Q522" i="68"/>
  <c r="Q523" i="68"/>
  <c r="Q524" i="68"/>
  <c r="Q525" i="68"/>
  <c r="Q526" i="68"/>
  <c r="Q527" i="68"/>
  <c r="Q528" i="68"/>
  <c r="Q529" i="68"/>
  <c r="Q530" i="68"/>
  <c r="Q531" i="68"/>
  <c r="Q532" i="68"/>
  <c r="Q533" i="68"/>
  <c r="Q534" i="68"/>
  <c r="Q535" i="68"/>
  <c r="Q536" i="68"/>
  <c r="Q537" i="68"/>
  <c r="Q538" i="68"/>
  <c r="Q539" i="68"/>
  <c r="Q540" i="68"/>
  <c r="Q541" i="68"/>
  <c r="Q542" i="68"/>
  <c r="Q543" i="68"/>
  <c r="Q544" i="68"/>
  <c r="Q545" i="68"/>
  <c r="Q546" i="68"/>
  <c r="Q547" i="68"/>
  <c r="Q548" i="68"/>
  <c r="Q549" i="68"/>
  <c r="Q550" i="68"/>
  <c r="Q551" i="68"/>
  <c r="Q552" i="68"/>
  <c r="Q553" i="68"/>
  <c r="Q554" i="68"/>
  <c r="Q555" i="68"/>
  <c r="Q556" i="68"/>
  <c r="Q557" i="68"/>
  <c r="Q558" i="68"/>
  <c r="Q559" i="68"/>
  <c r="Q560" i="68"/>
  <c r="Q561" i="68"/>
  <c r="Q562" i="68"/>
  <c r="Q563" i="68"/>
  <c r="Q564" i="68"/>
  <c r="Q565" i="68"/>
  <c r="Q566" i="68"/>
  <c r="Q567" i="68"/>
  <c r="Q568" i="68"/>
  <c r="Q569" i="68"/>
  <c r="Q570" i="68"/>
  <c r="Q571" i="68"/>
  <c r="Q572" i="68"/>
  <c r="Q573" i="68"/>
  <c r="Q574" i="68"/>
  <c r="Q575" i="68"/>
  <c r="Q576" i="68"/>
  <c r="Q577" i="68"/>
  <c r="Q578" i="68"/>
  <c r="Q579" i="68"/>
  <c r="Q580" i="68"/>
  <c r="Q581" i="68"/>
  <c r="Q582" i="68"/>
  <c r="Q583" i="68"/>
  <c r="Q584" i="68"/>
  <c r="Q585" i="68"/>
  <c r="Q586" i="68"/>
  <c r="Q587" i="68"/>
  <c r="Q588" i="68"/>
  <c r="Q589" i="68"/>
  <c r="Q590" i="68"/>
  <c r="Q591" i="68"/>
  <c r="Q592" i="68"/>
  <c r="Q593" i="68"/>
  <c r="Q594" i="68"/>
  <c r="Q595" i="68"/>
  <c r="Q596" i="68"/>
  <c r="Q597" i="68"/>
  <c r="Q598" i="68"/>
  <c r="Q599" i="68"/>
  <c r="Q600" i="68"/>
  <c r="Q601" i="68"/>
  <c r="Q602" i="68"/>
  <c r="Q603" i="68"/>
  <c r="Q604" i="68"/>
  <c r="Q605" i="68"/>
  <c r="Q606" i="68"/>
  <c r="Q607" i="68"/>
  <c r="Q608" i="68"/>
  <c r="Q609" i="68"/>
  <c r="Q610" i="68"/>
  <c r="Q611" i="68"/>
  <c r="Q612" i="68"/>
  <c r="Q613" i="68"/>
  <c r="Q614" i="68"/>
  <c r="Q615" i="68"/>
  <c r="Q616" i="68"/>
  <c r="Q617" i="68"/>
  <c r="Q618" i="68"/>
  <c r="Q619" i="68"/>
  <c r="Q620" i="68"/>
  <c r="Q621" i="68"/>
  <c r="Q622" i="68"/>
  <c r="Q623" i="68"/>
  <c r="Q624" i="68"/>
  <c r="Q625" i="68"/>
  <c r="Q626" i="68"/>
  <c r="Q627" i="68"/>
  <c r="Q628" i="68"/>
  <c r="Q629" i="68"/>
  <c r="Q630" i="68"/>
  <c r="Q631" i="68"/>
  <c r="Q632" i="68"/>
  <c r="Q633" i="68"/>
  <c r="Q634" i="68"/>
  <c r="Q635" i="68"/>
  <c r="Q636" i="68"/>
  <c r="Q637" i="68"/>
  <c r="Q638" i="68"/>
  <c r="Q639" i="68"/>
  <c r="Q640" i="68"/>
  <c r="Q641" i="68"/>
  <c r="Q642" i="68"/>
  <c r="Q643" i="68"/>
  <c r="Q644" i="68"/>
  <c r="Q645" i="68"/>
  <c r="Q646" i="68"/>
  <c r="Q647" i="68"/>
  <c r="Q648" i="68"/>
  <c r="Q649" i="68"/>
  <c r="Q650" i="68"/>
  <c r="Q651" i="68"/>
  <c r="Q652" i="68"/>
  <c r="Q653" i="68"/>
  <c r="Q654" i="68"/>
  <c r="Q655" i="68"/>
  <c r="Q656" i="68"/>
  <c r="Q657" i="68"/>
  <c r="Q658" i="68"/>
  <c r="Q659" i="68"/>
  <c r="Q660" i="68"/>
  <c r="Q661" i="68"/>
  <c r="Q662" i="68"/>
  <c r="Q663" i="68"/>
  <c r="Q664" i="68"/>
  <c r="Q665" i="68"/>
  <c r="Q666" i="68"/>
  <c r="Q667" i="68"/>
  <c r="Q668" i="68"/>
  <c r="Q669" i="68"/>
  <c r="Q670" i="68"/>
  <c r="Q671" i="68"/>
  <c r="Q672" i="68"/>
  <c r="Q673" i="68"/>
  <c r="Q674" i="68"/>
  <c r="Q675" i="68"/>
  <c r="Q676" i="68"/>
  <c r="Q677" i="68"/>
  <c r="Q678" i="68"/>
  <c r="Q679" i="68"/>
  <c r="Q680" i="68"/>
  <c r="Q681" i="68"/>
  <c r="Q682" i="68"/>
  <c r="Q683" i="68"/>
  <c r="Q684" i="68"/>
  <c r="Q685" i="68"/>
  <c r="Q686" i="68"/>
  <c r="Q687" i="68"/>
  <c r="Q688" i="68"/>
  <c r="Q689" i="68"/>
  <c r="Q690" i="68"/>
  <c r="Q691" i="68"/>
  <c r="Q692" i="68"/>
  <c r="Q693" i="68"/>
  <c r="Q694" i="68"/>
  <c r="Q695" i="68"/>
  <c r="Q696" i="68"/>
  <c r="Q697" i="68"/>
  <c r="Q698" i="68"/>
  <c r="Q699" i="68"/>
  <c r="Q700" i="68"/>
  <c r="Q701" i="68"/>
  <c r="Q702" i="68"/>
  <c r="Q703" i="68"/>
  <c r="Q704" i="68"/>
  <c r="Q705" i="68"/>
  <c r="Q706" i="68"/>
  <c r="Q707" i="68"/>
  <c r="Q708" i="68"/>
  <c r="Q709" i="68"/>
  <c r="Q710" i="68"/>
  <c r="Q711" i="68"/>
  <c r="Q712" i="68"/>
  <c r="Q713" i="68"/>
  <c r="Q714" i="68"/>
  <c r="Q715" i="68"/>
  <c r="Q716" i="68"/>
  <c r="Q717" i="68"/>
  <c r="Q718" i="68"/>
  <c r="Q719" i="68"/>
  <c r="Q720" i="68"/>
  <c r="Q721" i="68"/>
  <c r="Q722" i="68"/>
  <c r="Q723" i="68"/>
  <c r="Q724" i="68"/>
  <c r="Q725" i="68"/>
  <c r="Q726" i="68"/>
  <c r="Q727" i="68"/>
  <c r="Q728" i="68"/>
  <c r="Q729" i="68"/>
  <c r="Q730" i="68"/>
  <c r="Q731" i="68"/>
  <c r="Q732" i="68"/>
  <c r="Q733" i="68"/>
  <c r="Q734" i="68"/>
  <c r="Q735" i="68"/>
  <c r="Q736" i="68"/>
  <c r="Q737" i="68"/>
  <c r="Q738" i="68"/>
  <c r="Q739" i="68"/>
  <c r="Q740" i="68"/>
  <c r="Q741" i="68"/>
  <c r="Q742" i="68"/>
  <c r="Q743" i="68"/>
  <c r="Q744" i="68"/>
  <c r="Q745" i="68"/>
  <c r="Q746" i="68"/>
  <c r="Q747" i="68"/>
  <c r="Q748" i="68"/>
  <c r="Q749" i="68"/>
  <c r="Q750" i="68"/>
  <c r="Q751" i="68"/>
  <c r="Q752" i="68"/>
  <c r="Q753" i="68"/>
  <c r="Q754" i="68"/>
  <c r="Q755" i="68"/>
  <c r="Q756" i="68"/>
  <c r="Q757" i="68"/>
  <c r="Q758" i="68"/>
  <c r="Q2" i="68"/>
  <c r="A3" i="68"/>
  <c r="B3" i="68"/>
  <c r="C3" i="68"/>
  <c r="D3" i="68"/>
  <c r="E3" i="68"/>
  <c r="F3" i="68"/>
  <c r="G3" i="68"/>
  <c r="H3" i="68"/>
  <c r="I3" i="68"/>
  <c r="J3" i="68"/>
  <c r="A4" i="68"/>
  <c r="B4" i="68"/>
  <c r="C4" i="68"/>
  <c r="D4" i="68"/>
  <c r="E4" i="68"/>
  <c r="F4" i="68"/>
  <c r="G4" i="68"/>
  <c r="H4" i="68"/>
  <c r="I4" i="68"/>
  <c r="J4" i="68"/>
  <c r="A5" i="68"/>
  <c r="B5" i="68"/>
  <c r="C5" i="68"/>
  <c r="D5" i="68"/>
  <c r="E5" i="68"/>
  <c r="F5" i="68"/>
  <c r="G5" i="68"/>
  <c r="H5" i="68"/>
  <c r="I5" i="68"/>
  <c r="J5" i="68"/>
  <c r="A6" i="68"/>
  <c r="B6" i="68"/>
  <c r="C6" i="68"/>
  <c r="D6" i="68"/>
  <c r="E6" i="68"/>
  <c r="F6" i="68"/>
  <c r="G6" i="68"/>
  <c r="H6" i="68"/>
  <c r="I6" i="68"/>
  <c r="J6" i="68"/>
  <c r="A7" i="68"/>
  <c r="B7" i="68"/>
  <c r="C7" i="68"/>
  <c r="D7" i="68"/>
  <c r="E7" i="68"/>
  <c r="F7" i="68"/>
  <c r="G7" i="68"/>
  <c r="H7" i="68"/>
  <c r="I7" i="68"/>
  <c r="J7" i="68"/>
  <c r="A8" i="68"/>
  <c r="B8" i="68"/>
  <c r="C8" i="68"/>
  <c r="D8" i="68"/>
  <c r="E8" i="68"/>
  <c r="F8" i="68"/>
  <c r="G8" i="68"/>
  <c r="H8" i="68"/>
  <c r="I8" i="68"/>
  <c r="J8" i="68"/>
  <c r="A9" i="68"/>
  <c r="B9" i="68"/>
  <c r="C9" i="68"/>
  <c r="D9" i="68"/>
  <c r="E9" i="68"/>
  <c r="F9" i="68"/>
  <c r="G9" i="68"/>
  <c r="H9" i="68"/>
  <c r="I9" i="68"/>
  <c r="J9" i="68"/>
  <c r="A10" i="68"/>
  <c r="B10" i="68"/>
  <c r="C10" i="68"/>
  <c r="D10" i="68"/>
  <c r="E10" i="68"/>
  <c r="F10" i="68"/>
  <c r="G10" i="68"/>
  <c r="H10" i="68"/>
  <c r="I10" i="68"/>
  <c r="J10" i="68"/>
  <c r="A11" i="68"/>
  <c r="B11" i="68"/>
  <c r="C11" i="68"/>
  <c r="D11" i="68"/>
  <c r="E11" i="68"/>
  <c r="F11" i="68"/>
  <c r="G11" i="68"/>
  <c r="H11" i="68"/>
  <c r="I11" i="68"/>
  <c r="J11" i="68"/>
  <c r="A12" i="68"/>
  <c r="B12" i="68"/>
  <c r="C12" i="68"/>
  <c r="D12" i="68"/>
  <c r="E12" i="68"/>
  <c r="F12" i="68"/>
  <c r="G12" i="68"/>
  <c r="H12" i="68"/>
  <c r="I12" i="68"/>
  <c r="J12" i="68"/>
  <c r="A13" i="68"/>
  <c r="B13" i="68"/>
  <c r="C13" i="68"/>
  <c r="D13" i="68"/>
  <c r="E13" i="68"/>
  <c r="F13" i="68"/>
  <c r="G13" i="68"/>
  <c r="H13" i="68"/>
  <c r="I13" i="68"/>
  <c r="J13" i="68"/>
  <c r="A14" i="68"/>
  <c r="B14" i="68"/>
  <c r="C14" i="68"/>
  <c r="D14" i="68"/>
  <c r="E14" i="68"/>
  <c r="F14" i="68"/>
  <c r="G14" i="68"/>
  <c r="H14" i="68"/>
  <c r="I14" i="68"/>
  <c r="J14" i="68"/>
  <c r="A15" i="68"/>
  <c r="B15" i="68"/>
  <c r="C15" i="68"/>
  <c r="D15" i="68"/>
  <c r="E15" i="68"/>
  <c r="F15" i="68"/>
  <c r="G15" i="68"/>
  <c r="H15" i="68"/>
  <c r="I15" i="68"/>
  <c r="J15" i="68"/>
  <c r="A16" i="68"/>
  <c r="B16" i="68"/>
  <c r="C16" i="68"/>
  <c r="D16" i="68"/>
  <c r="E16" i="68"/>
  <c r="F16" i="68"/>
  <c r="G16" i="68"/>
  <c r="H16" i="68"/>
  <c r="I16" i="68"/>
  <c r="J16" i="68"/>
  <c r="A17" i="68"/>
  <c r="B17" i="68"/>
  <c r="C17" i="68"/>
  <c r="D17" i="68"/>
  <c r="E17" i="68"/>
  <c r="F17" i="68"/>
  <c r="G17" i="68"/>
  <c r="H17" i="68"/>
  <c r="I17" i="68"/>
  <c r="J17" i="68"/>
  <c r="A18" i="68"/>
  <c r="B18" i="68"/>
  <c r="C18" i="68"/>
  <c r="D18" i="68"/>
  <c r="E18" i="68"/>
  <c r="F18" i="68"/>
  <c r="G18" i="68"/>
  <c r="H18" i="68"/>
  <c r="I18" i="68"/>
  <c r="J18" i="68"/>
  <c r="A19" i="68"/>
  <c r="B19" i="68"/>
  <c r="C19" i="68"/>
  <c r="D19" i="68"/>
  <c r="E19" i="68"/>
  <c r="F19" i="68"/>
  <c r="G19" i="68"/>
  <c r="H19" i="68"/>
  <c r="I19" i="68"/>
  <c r="J19" i="68"/>
  <c r="A20" i="68"/>
  <c r="B20" i="68"/>
  <c r="C20" i="68"/>
  <c r="D20" i="68"/>
  <c r="E20" i="68"/>
  <c r="F20" i="68"/>
  <c r="G20" i="68"/>
  <c r="H20" i="68"/>
  <c r="I20" i="68"/>
  <c r="J20" i="68"/>
  <c r="A21" i="68"/>
  <c r="B21" i="68"/>
  <c r="C21" i="68"/>
  <c r="D21" i="68"/>
  <c r="E21" i="68"/>
  <c r="F21" i="68"/>
  <c r="G21" i="68"/>
  <c r="H21" i="68"/>
  <c r="I21" i="68"/>
  <c r="J21" i="68"/>
  <c r="A22" i="68"/>
  <c r="B22" i="68"/>
  <c r="C22" i="68"/>
  <c r="D22" i="68"/>
  <c r="E22" i="68"/>
  <c r="F22" i="68"/>
  <c r="G22" i="68"/>
  <c r="H22" i="68"/>
  <c r="I22" i="68"/>
  <c r="J22" i="68"/>
  <c r="A23" i="68"/>
  <c r="B23" i="68"/>
  <c r="C23" i="68"/>
  <c r="D23" i="68"/>
  <c r="E23" i="68"/>
  <c r="F23" i="68"/>
  <c r="G23" i="68"/>
  <c r="H23" i="68"/>
  <c r="I23" i="68"/>
  <c r="J23" i="68"/>
  <c r="A24" i="68"/>
  <c r="B24" i="68"/>
  <c r="C24" i="68"/>
  <c r="D24" i="68"/>
  <c r="E24" i="68"/>
  <c r="F24" i="68"/>
  <c r="G24" i="68"/>
  <c r="H24" i="68"/>
  <c r="I24" i="68"/>
  <c r="J24" i="68"/>
  <c r="A25" i="68"/>
  <c r="B25" i="68"/>
  <c r="C25" i="68"/>
  <c r="D25" i="68"/>
  <c r="E25" i="68"/>
  <c r="F25" i="68"/>
  <c r="G25" i="68"/>
  <c r="H25" i="68"/>
  <c r="I25" i="68"/>
  <c r="J25" i="68"/>
  <c r="A26" i="68"/>
  <c r="B26" i="68"/>
  <c r="C26" i="68"/>
  <c r="D26" i="68"/>
  <c r="E26" i="68"/>
  <c r="F26" i="68"/>
  <c r="G26" i="68"/>
  <c r="H26" i="68"/>
  <c r="I26" i="68"/>
  <c r="J26" i="68"/>
  <c r="A27" i="68"/>
  <c r="B27" i="68"/>
  <c r="C27" i="68"/>
  <c r="D27" i="68"/>
  <c r="E27" i="68"/>
  <c r="F27" i="68"/>
  <c r="G27" i="68"/>
  <c r="H27" i="68"/>
  <c r="I27" i="68"/>
  <c r="J27" i="68"/>
  <c r="A28" i="68"/>
  <c r="B28" i="68"/>
  <c r="C28" i="68"/>
  <c r="D28" i="68"/>
  <c r="E28" i="68"/>
  <c r="F28" i="68"/>
  <c r="G28" i="68"/>
  <c r="H28" i="68"/>
  <c r="I28" i="68"/>
  <c r="J28" i="68"/>
  <c r="A29" i="68"/>
  <c r="B29" i="68"/>
  <c r="C29" i="68"/>
  <c r="D29" i="68"/>
  <c r="E29" i="68"/>
  <c r="F29" i="68"/>
  <c r="G29" i="68"/>
  <c r="H29" i="68"/>
  <c r="I29" i="68"/>
  <c r="J29" i="68"/>
  <c r="A30" i="68"/>
  <c r="B30" i="68"/>
  <c r="C30" i="68"/>
  <c r="D30" i="68"/>
  <c r="E30" i="68"/>
  <c r="F30" i="68"/>
  <c r="G30" i="68"/>
  <c r="H30" i="68"/>
  <c r="I30" i="68"/>
  <c r="J30" i="68"/>
  <c r="A31" i="68"/>
  <c r="B31" i="68"/>
  <c r="C31" i="68"/>
  <c r="D31" i="68"/>
  <c r="E31" i="68"/>
  <c r="F31" i="68"/>
  <c r="G31" i="68"/>
  <c r="H31" i="68"/>
  <c r="I31" i="68"/>
  <c r="J31" i="68"/>
  <c r="A32" i="68"/>
  <c r="B32" i="68"/>
  <c r="C32" i="68"/>
  <c r="D32" i="68"/>
  <c r="E32" i="68"/>
  <c r="F32" i="68"/>
  <c r="G32" i="68"/>
  <c r="H32" i="68"/>
  <c r="I32" i="68"/>
  <c r="J32" i="68"/>
  <c r="A33" i="68"/>
  <c r="B33" i="68"/>
  <c r="C33" i="68"/>
  <c r="D33" i="68"/>
  <c r="E33" i="68"/>
  <c r="F33" i="68"/>
  <c r="G33" i="68"/>
  <c r="H33" i="68"/>
  <c r="I33" i="68"/>
  <c r="J33" i="68"/>
  <c r="A34" i="68"/>
  <c r="B34" i="68"/>
  <c r="C34" i="68"/>
  <c r="D34" i="68"/>
  <c r="E34" i="68"/>
  <c r="F34" i="68"/>
  <c r="G34" i="68"/>
  <c r="H34" i="68"/>
  <c r="I34" i="68"/>
  <c r="J34" i="68"/>
  <c r="A35" i="68"/>
  <c r="B35" i="68"/>
  <c r="C35" i="68"/>
  <c r="D35" i="68"/>
  <c r="E35" i="68"/>
  <c r="F35" i="68"/>
  <c r="G35" i="68"/>
  <c r="H35" i="68"/>
  <c r="I35" i="68"/>
  <c r="J35" i="68"/>
  <c r="A36" i="68"/>
  <c r="B36" i="68"/>
  <c r="C36" i="68"/>
  <c r="D36" i="68"/>
  <c r="E36" i="68"/>
  <c r="F36" i="68"/>
  <c r="G36" i="68"/>
  <c r="H36" i="68"/>
  <c r="I36" i="68"/>
  <c r="J36" i="68"/>
  <c r="A37" i="68"/>
  <c r="B37" i="68"/>
  <c r="C37" i="68"/>
  <c r="D37" i="68"/>
  <c r="E37" i="68"/>
  <c r="F37" i="68"/>
  <c r="G37" i="68"/>
  <c r="H37" i="68"/>
  <c r="I37" i="68"/>
  <c r="J37" i="68"/>
  <c r="A38" i="68"/>
  <c r="B38" i="68"/>
  <c r="C38" i="68"/>
  <c r="D38" i="68"/>
  <c r="E38" i="68"/>
  <c r="F38" i="68"/>
  <c r="G38" i="68"/>
  <c r="H38" i="68"/>
  <c r="I38" i="68"/>
  <c r="J38" i="68"/>
  <c r="A39" i="68"/>
  <c r="B39" i="68"/>
  <c r="C39" i="68"/>
  <c r="D39" i="68"/>
  <c r="E39" i="68"/>
  <c r="F39" i="68"/>
  <c r="G39" i="68"/>
  <c r="H39" i="68"/>
  <c r="I39" i="68"/>
  <c r="J39" i="68"/>
  <c r="A40" i="68"/>
  <c r="B40" i="68"/>
  <c r="C40" i="68"/>
  <c r="D40" i="68"/>
  <c r="E40" i="68"/>
  <c r="F40" i="68"/>
  <c r="G40" i="68"/>
  <c r="H40" i="68"/>
  <c r="I40" i="68"/>
  <c r="J40" i="68"/>
  <c r="A41" i="68"/>
  <c r="B41" i="68"/>
  <c r="C41" i="68"/>
  <c r="D41" i="68"/>
  <c r="E41" i="68"/>
  <c r="F41" i="68"/>
  <c r="G41" i="68"/>
  <c r="H41" i="68"/>
  <c r="I41" i="68"/>
  <c r="J41" i="68"/>
  <c r="A42" i="68"/>
  <c r="B42" i="68"/>
  <c r="C42" i="68"/>
  <c r="D42" i="68"/>
  <c r="E42" i="68"/>
  <c r="F42" i="68"/>
  <c r="G42" i="68"/>
  <c r="H42" i="68"/>
  <c r="I42" i="68"/>
  <c r="J42" i="68"/>
  <c r="A43" i="68"/>
  <c r="B43" i="68"/>
  <c r="C43" i="68"/>
  <c r="D43" i="68"/>
  <c r="E43" i="68"/>
  <c r="F43" i="68"/>
  <c r="G43" i="68"/>
  <c r="H43" i="68"/>
  <c r="I43" i="68"/>
  <c r="J43" i="68"/>
  <c r="A44" i="68"/>
  <c r="B44" i="68"/>
  <c r="C44" i="68"/>
  <c r="D44" i="68"/>
  <c r="E44" i="68"/>
  <c r="F44" i="68"/>
  <c r="G44" i="68"/>
  <c r="H44" i="68"/>
  <c r="I44" i="68"/>
  <c r="J44" i="68"/>
  <c r="A45" i="68"/>
  <c r="B45" i="68"/>
  <c r="C45" i="68"/>
  <c r="D45" i="68"/>
  <c r="E45" i="68"/>
  <c r="F45" i="68"/>
  <c r="G45" i="68"/>
  <c r="H45" i="68"/>
  <c r="I45" i="68"/>
  <c r="J45" i="68"/>
  <c r="A46" i="68"/>
  <c r="B46" i="68"/>
  <c r="C46" i="68"/>
  <c r="D46" i="68"/>
  <c r="E46" i="68"/>
  <c r="F46" i="68"/>
  <c r="G46" i="68"/>
  <c r="H46" i="68"/>
  <c r="I46" i="68"/>
  <c r="J46" i="68"/>
  <c r="A47" i="68"/>
  <c r="B47" i="68"/>
  <c r="C47" i="68"/>
  <c r="D47" i="68"/>
  <c r="E47" i="68"/>
  <c r="F47" i="68"/>
  <c r="G47" i="68"/>
  <c r="H47" i="68"/>
  <c r="I47" i="68"/>
  <c r="J47" i="68"/>
  <c r="A48" i="68"/>
  <c r="B48" i="68"/>
  <c r="C48" i="68"/>
  <c r="D48" i="68"/>
  <c r="E48" i="68"/>
  <c r="F48" i="68"/>
  <c r="G48" i="68"/>
  <c r="H48" i="68"/>
  <c r="I48" i="68"/>
  <c r="J48" i="68"/>
  <c r="A49" i="68"/>
  <c r="B49" i="68"/>
  <c r="C49" i="68"/>
  <c r="D49" i="68"/>
  <c r="E49" i="68"/>
  <c r="F49" i="68"/>
  <c r="G49" i="68"/>
  <c r="H49" i="68"/>
  <c r="I49" i="68"/>
  <c r="J49" i="68"/>
  <c r="A50" i="68"/>
  <c r="B50" i="68"/>
  <c r="C50" i="68"/>
  <c r="D50" i="68"/>
  <c r="E50" i="68"/>
  <c r="F50" i="68"/>
  <c r="G50" i="68"/>
  <c r="H50" i="68"/>
  <c r="I50" i="68"/>
  <c r="J50" i="68"/>
  <c r="A51" i="68"/>
  <c r="B51" i="68"/>
  <c r="C51" i="68"/>
  <c r="D51" i="68"/>
  <c r="E51" i="68"/>
  <c r="F51" i="68"/>
  <c r="G51" i="68"/>
  <c r="H51" i="68"/>
  <c r="I51" i="68"/>
  <c r="J51" i="68"/>
  <c r="A52" i="68"/>
  <c r="B52" i="68"/>
  <c r="C52" i="68"/>
  <c r="D52" i="68"/>
  <c r="E52" i="68"/>
  <c r="F52" i="68"/>
  <c r="G52" i="68"/>
  <c r="H52" i="68"/>
  <c r="I52" i="68"/>
  <c r="J52" i="68"/>
  <c r="A53" i="68"/>
  <c r="B53" i="68"/>
  <c r="C53" i="68"/>
  <c r="D53" i="68"/>
  <c r="E53" i="68"/>
  <c r="F53" i="68"/>
  <c r="G53" i="68"/>
  <c r="H53" i="68"/>
  <c r="I53" i="68"/>
  <c r="J53" i="68"/>
  <c r="A54" i="68"/>
  <c r="B54" i="68"/>
  <c r="C54" i="68"/>
  <c r="D54" i="68"/>
  <c r="E54" i="68"/>
  <c r="F54" i="68"/>
  <c r="G54" i="68"/>
  <c r="H54" i="68"/>
  <c r="I54" i="68"/>
  <c r="J54" i="68"/>
  <c r="A55" i="68"/>
  <c r="B55" i="68"/>
  <c r="C55" i="68"/>
  <c r="D55" i="68"/>
  <c r="E55" i="68"/>
  <c r="F55" i="68"/>
  <c r="G55" i="68"/>
  <c r="H55" i="68"/>
  <c r="I55" i="68"/>
  <c r="J55" i="68"/>
  <c r="A56" i="68"/>
  <c r="B56" i="68"/>
  <c r="C56" i="68"/>
  <c r="D56" i="68"/>
  <c r="E56" i="68"/>
  <c r="F56" i="68"/>
  <c r="G56" i="68"/>
  <c r="H56" i="68"/>
  <c r="I56" i="68"/>
  <c r="J56" i="68"/>
  <c r="A57" i="68"/>
  <c r="B57" i="68"/>
  <c r="C57" i="68"/>
  <c r="D57" i="68"/>
  <c r="E57" i="68"/>
  <c r="F57" i="68"/>
  <c r="G57" i="68"/>
  <c r="H57" i="68"/>
  <c r="I57" i="68"/>
  <c r="J57" i="68"/>
  <c r="A58" i="68"/>
  <c r="B58" i="68"/>
  <c r="C58" i="68"/>
  <c r="D58" i="68"/>
  <c r="E58" i="68"/>
  <c r="F58" i="68"/>
  <c r="G58" i="68"/>
  <c r="H58" i="68"/>
  <c r="I58" i="68"/>
  <c r="J58" i="68"/>
  <c r="A59" i="68"/>
  <c r="B59" i="68"/>
  <c r="C59" i="68"/>
  <c r="D59" i="68"/>
  <c r="E59" i="68"/>
  <c r="F59" i="68"/>
  <c r="G59" i="68"/>
  <c r="H59" i="68"/>
  <c r="I59" i="68"/>
  <c r="J59" i="68"/>
  <c r="A60" i="68"/>
  <c r="B60" i="68"/>
  <c r="C60" i="68"/>
  <c r="D60" i="68"/>
  <c r="E60" i="68"/>
  <c r="F60" i="68"/>
  <c r="G60" i="68"/>
  <c r="H60" i="68"/>
  <c r="I60" i="68"/>
  <c r="J60" i="68"/>
  <c r="A61" i="68"/>
  <c r="B61" i="68"/>
  <c r="C61" i="68"/>
  <c r="D61" i="68"/>
  <c r="E61" i="68"/>
  <c r="F61" i="68"/>
  <c r="G61" i="68"/>
  <c r="H61" i="68"/>
  <c r="I61" i="68"/>
  <c r="J61" i="68"/>
  <c r="A62" i="68"/>
  <c r="B62" i="68"/>
  <c r="C62" i="68"/>
  <c r="D62" i="68"/>
  <c r="E62" i="68"/>
  <c r="F62" i="68"/>
  <c r="G62" i="68"/>
  <c r="H62" i="68"/>
  <c r="I62" i="68"/>
  <c r="J62" i="68"/>
  <c r="A63" i="68"/>
  <c r="B63" i="68"/>
  <c r="C63" i="68"/>
  <c r="D63" i="68"/>
  <c r="E63" i="68"/>
  <c r="F63" i="68"/>
  <c r="G63" i="68"/>
  <c r="H63" i="68"/>
  <c r="I63" i="68"/>
  <c r="J63" i="68"/>
  <c r="A64" i="68"/>
  <c r="B64" i="68"/>
  <c r="C64" i="68"/>
  <c r="D64" i="68"/>
  <c r="E64" i="68"/>
  <c r="F64" i="68"/>
  <c r="G64" i="68"/>
  <c r="H64" i="68"/>
  <c r="I64" i="68"/>
  <c r="J64" i="68"/>
  <c r="A65" i="68"/>
  <c r="B65" i="68"/>
  <c r="C65" i="68"/>
  <c r="D65" i="68"/>
  <c r="E65" i="68"/>
  <c r="F65" i="68"/>
  <c r="G65" i="68"/>
  <c r="H65" i="68"/>
  <c r="I65" i="68"/>
  <c r="J65" i="68"/>
  <c r="A66" i="68"/>
  <c r="B66" i="68"/>
  <c r="C66" i="68"/>
  <c r="D66" i="68"/>
  <c r="E66" i="68"/>
  <c r="F66" i="68"/>
  <c r="G66" i="68"/>
  <c r="H66" i="68"/>
  <c r="I66" i="68"/>
  <c r="J66" i="68"/>
  <c r="A67" i="68"/>
  <c r="B67" i="68"/>
  <c r="C67" i="68"/>
  <c r="D67" i="68"/>
  <c r="E67" i="68"/>
  <c r="F67" i="68"/>
  <c r="G67" i="68"/>
  <c r="H67" i="68"/>
  <c r="I67" i="68"/>
  <c r="J67" i="68"/>
  <c r="A68" i="68"/>
  <c r="B68" i="68"/>
  <c r="C68" i="68"/>
  <c r="D68" i="68"/>
  <c r="E68" i="68"/>
  <c r="F68" i="68"/>
  <c r="G68" i="68"/>
  <c r="H68" i="68"/>
  <c r="I68" i="68"/>
  <c r="J68" i="68"/>
  <c r="A69" i="68"/>
  <c r="B69" i="68"/>
  <c r="C69" i="68"/>
  <c r="D69" i="68"/>
  <c r="E69" i="68"/>
  <c r="F69" i="68"/>
  <c r="G69" i="68"/>
  <c r="H69" i="68"/>
  <c r="I69" i="68"/>
  <c r="J69" i="68"/>
  <c r="A70" i="68"/>
  <c r="B70" i="68"/>
  <c r="C70" i="68"/>
  <c r="D70" i="68"/>
  <c r="E70" i="68"/>
  <c r="F70" i="68"/>
  <c r="G70" i="68"/>
  <c r="H70" i="68"/>
  <c r="I70" i="68"/>
  <c r="J70" i="68"/>
  <c r="A71" i="68"/>
  <c r="B71" i="68"/>
  <c r="C71" i="68"/>
  <c r="D71" i="68"/>
  <c r="E71" i="68"/>
  <c r="F71" i="68"/>
  <c r="G71" i="68"/>
  <c r="H71" i="68"/>
  <c r="I71" i="68"/>
  <c r="J71" i="68"/>
  <c r="A72" i="68"/>
  <c r="B72" i="68"/>
  <c r="C72" i="68"/>
  <c r="D72" i="68"/>
  <c r="E72" i="68"/>
  <c r="F72" i="68"/>
  <c r="G72" i="68"/>
  <c r="H72" i="68"/>
  <c r="I72" i="68"/>
  <c r="J72" i="68"/>
  <c r="A73" i="68"/>
  <c r="B73" i="68"/>
  <c r="C73" i="68"/>
  <c r="D73" i="68"/>
  <c r="E73" i="68"/>
  <c r="F73" i="68"/>
  <c r="G73" i="68"/>
  <c r="H73" i="68"/>
  <c r="I73" i="68"/>
  <c r="J73" i="68"/>
  <c r="A74" i="68"/>
  <c r="B74" i="68"/>
  <c r="C74" i="68"/>
  <c r="D74" i="68"/>
  <c r="E74" i="68"/>
  <c r="F74" i="68"/>
  <c r="G74" i="68"/>
  <c r="H74" i="68"/>
  <c r="I74" i="68"/>
  <c r="J74" i="68"/>
  <c r="A75" i="68"/>
  <c r="B75" i="68"/>
  <c r="C75" i="68"/>
  <c r="D75" i="68"/>
  <c r="E75" i="68"/>
  <c r="F75" i="68"/>
  <c r="G75" i="68"/>
  <c r="H75" i="68"/>
  <c r="I75" i="68"/>
  <c r="J75" i="68"/>
  <c r="A76" i="68"/>
  <c r="B76" i="68"/>
  <c r="C76" i="68"/>
  <c r="D76" i="68"/>
  <c r="E76" i="68"/>
  <c r="F76" i="68"/>
  <c r="G76" i="68"/>
  <c r="H76" i="68"/>
  <c r="I76" i="68"/>
  <c r="J76" i="68"/>
  <c r="A77" i="68"/>
  <c r="B77" i="68"/>
  <c r="C77" i="68"/>
  <c r="D77" i="68"/>
  <c r="E77" i="68"/>
  <c r="F77" i="68"/>
  <c r="G77" i="68"/>
  <c r="H77" i="68"/>
  <c r="I77" i="68"/>
  <c r="J77" i="68"/>
  <c r="A78" i="68"/>
  <c r="B78" i="68"/>
  <c r="C78" i="68"/>
  <c r="D78" i="68"/>
  <c r="E78" i="68"/>
  <c r="F78" i="68"/>
  <c r="G78" i="68"/>
  <c r="H78" i="68"/>
  <c r="I78" i="68"/>
  <c r="J78" i="68"/>
  <c r="A79" i="68"/>
  <c r="B79" i="68"/>
  <c r="C79" i="68"/>
  <c r="D79" i="68"/>
  <c r="E79" i="68"/>
  <c r="F79" i="68"/>
  <c r="G79" i="68"/>
  <c r="H79" i="68"/>
  <c r="I79" i="68"/>
  <c r="J79" i="68"/>
  <c r="A80" i="68"/>
  <c r="B80" i="68"/>
  <c r="C80" i="68"/>
  <c r="D80" i="68"/>
  <c r="E80" i="68"/>
  <c r="F80" i="68"/>
  <c r="G80" i="68"/>
  <c r="H80" i="68"/>
  <c r="I80" i="68"/>
  <c r="J80" i="68"/>
  <c r="A81" i="68"/>
  <c r="B81" i="68"/>
  <c r="C81" i="68"/>
  <c r="D81" i="68"/>
  <c r="E81" i="68"/>
  <c r="F81" i="68"/>
  <c r="G81" i="68"/>
  <c r="H81" i="68"/>
  <c r="I81" i="68"/>
  <c r="J81" i="68"/>
  <c r="A82" i="68"/>
  <c r="B82" i="68"/>
  <c r="C82" i="68"/>
  <c r="D82" i="68"/>
  <c r="E82" i="68"/>
  <c r="F82" i="68"/>
  <c r="G82" i="68"/>
  <c r="H82" i="68"/>
  <c r="I82" i="68"/>
  <c r="J82" i="68"/>
  <c r="A83" i="68"/>
  <c r="B83" i="68"/>
  <c r="C83" i="68"/>
  <c r="D83" i="68"/>
  <c r="E83" i="68"/>
  <c r="F83" i="68"/>
  <c r="G83" i="68"/>
  <c r="H83" i="68"/>
  <c r="I83" i="68"/>
  <c r="J83" i="68"/>
  <c r="A84" i="68"/>
  <c r="B84" i="68"/>
  <c r="C84" i="68"/>
  <c r="D84" i="68"/>
  <c r="E84" i="68"/>
  <c r="F84" i="68"/>
  <c r="G84" i="68"/>
  <c r="H84" i="68"/>
  <c r="I84" i="68"/>
  <c r="J84" i="68"/>
  <c r="A85" i="68"/>
  <c r="B85" i="68"/>
  <c r="C85" i="68"/>
  <c r="D85" i="68"/>
  <c r="E85" i="68"/>
  <c r="F85" i="68"/>
  <c r="G85" i="68"/>
  <c r="H85" i="68"/>
  <c r="I85" i="68"/>
  <c r="J85" i="68"/>
  <c r="A86" i="68"/>
  <c r="B86" i="68"/>
  <c r="C86" i="68"/>
  <c r="D86" i="68"/>
  <c r="E86" i="68"/>
  <c r="F86" i="68"/>
  <c r="G86" i="68"/>
  <c r="H86" i="68"/>
  <c r="I86" i="68"/>
  <c r="J86" i="68"/>
  <c r="A87" i="68"/>
  <c r="B87" i="68"/>
  <c r="C87" i="68"/>
  <c r="D87" i="68"/>
  <c r="E87" i="68"/>
  <c r="F87" i="68"/>
  <c r="G87" i="68"/>
  <c r="H87" i="68"/>
  <c r="I87" i="68"/>
  <c r="J87" i="68"/>
  <c r="A88" i="68"/>
  <c r="B88" i="68"/>
  <c r="C88" i="68"/>
  <c r="D88" i="68"/>
  <c r="E88" i="68"/>
  <c r="F88" i="68"/>
  <c r="G88" i="68"/>
  <c r="H88" i="68"/>
  <c r="I88" i="68"/>
  <c r="J88" i="68"/>
  <c r="A89" i="68"/>
  <c r="B89" i="68"/>
  <c r="C89" i="68"/>
  <c r="D89" i="68"/>
  <c r="E89" i="68"/>
  <c r="F89" i="68"/>
  <c r="G89" i="68"/>
  <c r="H89" i="68"/>
  <c r="I89" i="68"/>
  <c r="J89" i="68"/>
  <c r="A90" i="68"/>
  <c r="B90" i="68"/>
  <c r="C90" i="68"/>
  <c r="D90" i="68"/>
  <c r="E90" i="68"/>
  <c r="F90" i="68"/>
  <c r="G90" i="68"/>
  <c r="H90" i="68"/>
  <c r="I90" i="68"/>
  <c r="J90" i="68"/>
  <c r="A91" i="68"/>
  <c r="B91" i="68"/>
  <c r="C91" i="68"/>
  <c r="D91" i="68"/>
  <c r="E91" i="68"/>
  <c r="F91" i="68"/>
  <c r="G91" i="68"/>
  <c r="H91" i="68"/>
  <c r="I91" i="68"/>
  <c r="J91" i="68"/>
  <c r="A92" i="68"/>
  <c r="B92" i="68"/>
  <c r="C92" i="68"/>
  <c r="D92" i="68"/>
  <c r="E92" i="68"/>
  <c r="F92" i="68"/>
  <c r="G92" i="68"/>
  <c r="H92" i="68"/>
  <c r="I92" i="68"/>
  <c r="J92" i="68"/>
  <c r="A93" i="68"/>
  <c r="B93" i="68"/>
  <c r="C93" i="68"/>
  <c r="D93" i="68"/>
  <c r="E93" i="68"/>
  <c r="F93" i="68"/>
  <c r="G93" i="68"/>
  <c r="H93" i="68"/>
  <c r="I93" i="68"/>
  <c r="J93" i="68"/>
  <c r="A94" i="68"/>
  <c r="B94" i="68"/>
  <c r="C94" i="68"/>
  <c r="D94" i="68"/>
  <c r="E94" i="68"/>
  <c r="F94" i="68"/>
  <c r="G94" i="68"/>
  <c r="H94" i="68"/>
  <c r="I94" i="68"/>
  <c r="J94" i="68"/>
  <c r="A95" i="68"/>
  <c r="B95" i="68"/>
  <c r="C95" i="68"/>
  <c r="D95" i="68"/>
  <c r="E95" i="68"/>
  <c r="F95" i="68"/>
  <c r="G95" i="68"/>
  <c r="H95" i="68"/>
  <c r="I95" i="68"/>
  <c r="J95" i="68"/>
  <c r="A96" i="68"/>
  <c r="B96" i="68"/>
  <c r="C96" i="68"/>
  <c r="D96" i="68"/>
  <c r="E96" i="68"/>
  <c r="F96" i="68"/>
  <c r="G96" i="68"/>
  <c r="H96" i="68"/>
  <c r="I96" i="68"/>
  <c r="J96" i="68"/>
  <c r="A97" i="68"/>
  <c r="B97" i="68"/>
  <c r="C97" i="68"/>
  <c r="D97" i="68"/>
  <c r="E97" i="68"/>
  <c r="F97" i="68"/>
  <c r="G97" i="68"/>
  <c r="H97" i="68"/>
  <c r="I97" i="68"/>
  <c r="J97" i="68"/>
  <c r="A98" i="68"/>
  <c r="B98" i="68"/>
  <c r="C98" i="68"/>
  <c r="D98" i="68"/>
  <c r="E98" i="68"/>
  <c r="F98" i="68"/>
  <c r="G98" i="68"/>
  <c r="H98" i="68"/>
  <c r="I98" i="68"/>
  <c r="J98" i="68"/>
  <c r="A99" i="68"/>
  <c r="B99" i="68"/>
  <c r="C99" i="68"/>
  <c r="D99" i="68"/>
  <c r="E99" i="68"/>
  <c r="F99" i="68"/>
  <c r="G99" i="68"/>
  <c r="H99" i="68"/>
  <c r="I99" i="68"/>
  <c r="J99" i="68"/>
  <c r="A100" i="68"/>
  <c r="B100" i="68"/>
  <c r="C100" i="68"/>
  <c r="D100" i="68"/>
  <c r="E100" i="68"/>
  <c r="F100" i="68"/>
  <c r="G100" i="68"/>
  <c r="H100" i="68"/>
  <c r="I100" i="68"/>
  <c r="J100" i="68"/>
  <c r="A101" i="68"/>
  <c r="B101" i="68"/>
  <c r="C101" i="68"/>
  <c r="D101" i="68"/>
  <c r="E101" i="68"/>
  <c r="F101" i="68"/>
  <c r="G101" i="68"/>
  <c r="H101" i="68"/>
  <c r="I101" i="68"/>
  <c r="J101" i="68"/>
  <c r="A102" i="68"/>
  <c r="B102" i="68"/>
  <c r="C102" i="68"/>
  <c r="D102" i="68"/>
  <c r="E102" i="68"/>
  <c r="F102" i="68"/>
  <c r="G102" i="68"/>
  <c r="H102" i="68"/>
  <c r="I102" i="68"/>
  <c r="J102" i="68"/>
  <c r="A103" i="68"/>
  <c r="B103" i="68"/>
  <c r="C103" i="68"/>
  <c r="D103" i="68"/>
  <c r="E103" i="68"/>
  <c r="F103" i="68"/>
  <c r="G103" i="68"/>
  <c r="H103" i="68"/>
  <c r="I103" i="68"/>
  <c r="J103" i="68"/>
  <c r="A104" i="68"/>
  <c r="B104" i="68"/>
  <c r="C104" i="68"/>
  <c r="D104" i="68"/>
  <c r="E104" i="68"/>
  <c r="F104" i="68"/>
  <c r="G104" i="68"/>
  <c r="H104" i="68"/>
  <c r="I104" i="68"/>
  <c r="J104" i="68"/>
  <c r="A105" i="68"/>
  <c r="B105" i="68"/>
  <c r="C105" i="68"/>
  <c r="D105" i="68"/>
  <c r="E105" i="68"/>
  <c r="F105" i="68"/>
  <c r="G105" i="68"/>
  <c r="H105" i="68"/>
  <c r="I105" i="68"/>
  <c r="J105" i="68"/>
  <c r="A106" i="68"/>
  <c r="B106" i="68"/>
  <c r="C106" i="68"/>
  <c r="D106" i="68"/>
  <c r="E106" i="68"/>
  <c r="F106" i="68"/>
  <c r="G106" i="68"/>
  <c r="H106" i="68"/>
  <c r="I106" i="68"/>
  <c r="J106" i="68"/>
  <c r="A107" i="68"/>
  <c r="B107" i="68"/>
  <c r="C107" i="68"/>
  <c r="D107" i="68"/>
  <c r="E107" i="68"/>
  <c r="F107" i="68"/>
  <c r="G107" i="68"/>
  <c r="H107" i="68"/>
  <c r="I107" i="68"/>
  <c r="J107" i="68"/>
  <c r="A108" i="68"/>
  <c r="B108" i="68"/>
  <c r="C108" i="68"/>
  <c r="D108" i="68"/>
  <c r="E108" i="68"/>
  <c r="F108" i="68"/>
  <c r="G108" i="68"/>
  <c r="H108" i="68"/>
  <c r="I108" i="68"/>
  <c r="J108" i="68"/>
  <c r="A109" i="68"/>
  <c r="B109" i="68"/>
  <c r="C109" i="68"/>
  <c r="D109" i="68"/>
  <c r="E109" i="68"/>
  <c r="F109" i="68"/>
  <c r="G109" i="68"/>
  <c r="H109" i="68"/>
  <c r="I109" i="68"/>
  <c r="J109" i="68"/>
  <c r="A110" i="68"/>
  <c r="B110" i="68"/>
  <c r="C110" i="68"/>
  <c r="D110" i="68"/>
  <c r="E110" i="68"/>
  <c r="F110" i="68"/>
  <c r="G110" i="68"/>
  <c r="H110" i="68"/>
  <c r="I110" i="68"/>
  <c r="J110" i="68"/>
  <c r="A111" i="68"/>
  <c r="B111" i="68"/>
  <c r="C111" i="68"/>
  <c r="D111" i="68"/>
  <c r="E111" i="68"/>
  <c r="F111" i="68"/>
  <c r="G111" i="68"/>
  <c r="H111" i="68"/>
  <c r="I111" i="68"/>
  <c r="J111" i="68"/>
  <c r="A112" i="68"/>
  <c r="B112" i="68"/>
  <c r="C112" i="68"/>
  <c r="D112" i="68"/>
  <c r="E112" i="68"/>
  <c r="F112" i="68"/>
  <c r="G112" i="68"/>
  <c r="H112" i="68"/>
  <c r="I112" i="68"/>
  <c r="J112" i="68"/>
  <c r="A113" i="68"/>
  <c r="B113" i="68"/>
  <c r="C113" i="68"/>
  <c r="D113" i="68"/>
  <c r="E113" i="68"/>
  <c r="F113" i="68"/>
  <c r="G113" i="68"/>
  <c r="H113" i="68"/>
  <c r="I113" i="68"/>
  <c r="J113" i="68"/>
  <c r="A114" i="68"/>
  <c r="B114" i="68"/>
  <c r="C114" i="68"/>
  <c r="D114" i="68"/>
  <c r="E114" i="68"/>
  <c r="F114" i="68"/>
  <c r="G114" i="68"/>
  <c r="H114" i="68"/>
  <c r="I114" i="68"/>
  <c r="J114" i="68"/>
  <c r="A115" i="68"/>
  <c r="B115" i="68"/>
  <c r="C115" i="68"/>
  <c r="D115" i="68"/>
  <c r="E115" i="68"/>
  <c r="F115" i="68"/>
  <c r="G115" i="68"/>
  <c r="H115" i="68"/>
  <c r="I115" i="68"/>
  <c r="J115" i="68"/>
  <c r="A116" i="68"/>
  <c r="B116" i="68"/>
  <c r="C116" i="68"/>
  <c r="D116" i="68"/>
  <c r="E116" i="68"/>
  <c r="F116" i="68"/>
  <c r="G116" i="68"/>
  <c r="H116" i="68"/>
  <c r="I116" i="68"/>
  <c r="J116" i="68"/>
  <c r="A117" i="68"/>
  <c r="B117" i="68"/>
  <c r="C117" i="68"/>
  <c r="D117" i="68"/>
  <c r="E117" i="68"/>
  <c r="F117" i="68"/>
  <c r="G117" i="68"/>
  <c r="H117" i="68"/>
  <c r="I117" i="68"/>
  <c r="J117" i="68"/>
  <c r="A118" i="68"/>
  <c r="B118" i="68"/>
  <c r="C118" i="68"/>
  <c r="D118" i="68"/>
  <c r="E118" i="68"/>
  <c r="F118" i="68"/>
  <c r="G118" i="68"/>
  <c r="H118" i="68"/>
  <c r="I118" i="68"/>
  <c r="J118" i="68"/>
  <c r="A119" i="68"/>
  <c r="B119" i="68"/>
  <c r="C119" i="68"/>
  <c r="D119" i="68"/>
  <c r="E119" i="68"/>
  <c r="F119" i="68"/>
  <c r="G119" i="68"/>
  <c r="H119" i="68"/>
  <c r="I119" i="68"/>
  <c r="J119" i="68"/>
  <c r="A120" i="68"/>
  <c r="B120" i="68"/>
  <c r="C120" i="68"/>
  <c r="D120" i="68"/>
  <c r="E120" i="68"/>
  <c r="F120" i="68"/>
  <c r="G120" i="68"/>
  <c r="H120" i="68"/>
  <c r="I120" i="68"/>
  <c r="J120" i="68"/>
  <c r="A121" i="68"/>
  <c r="B121" i="68"/>
  <c r="C121" i="68"/>
  <c r="D121" i="68"/>
  <c r="E121" i="68"/>
  <c r="F121" i="68"/>
  <c r="G121" i="68"/>
  <c r="H121" i="68"/>
  <c r="I121" i="68"/>
  <c r="J121" i="68"/>
  <c r="A122" i="68"/>
  <c r="B122" i="68"/>
  <c r="C122" i="68"/>
  <c r="D122" i="68"/>
  <c r="E122" i="68"/>
  <c r="F122" i="68"/>
  <c r="G122" i="68"/>
  <c r="H122" i="68"/>
  <c r="I122" i="68"/>
  <c r="J122" i="68"/>
  <c r="A123" i="68"/>
  <c r="B123" i="68"/>
  <c r="C123" i="68"/>
  <c r="D123" i="68"/>
  <c r="E123" i="68"/>
  <c r="F123" i="68"/>
  <c r="G123" i="68"/>
  <c r="H123" i="68"/>
  <c r="I123" i="68"/>
  <c r="J123" i="68"/>
  <c r="A124" i="68"/>
  <c r="B124" i="68"/>
  <c r="C124" i="68"/>
  <c r="D124" i="68"/>
  <c r="E124" i="68"/>
  <c r="F124" i="68"/>
  <c r="G124" i="68"/>
  <c r="H124" i="68"/>
  <c r="I124" i="68"/>
  <c r="J124" i="68"/>
  <c r="A125" i="68"/>
  <c r="B125" i="68"/>
  <c r="C125" i="68"/>
  <c r="D125" i="68"/>
  <c r="E125" i="68"/>
  <c r="F125" i="68"/>
  <c r="G125" i="68"/>
  <c r="H125" i="68"/>
  <c r="I125" i="68"/>
  <c r="J125" i="68"/>
  <c r="A126" i="68"/>
  <c r="B126" i="68"/>
  <c r="C126" i="68"/>
  <c r="D126" i="68"/>
  <c r="E126" i="68"/>
  <c r="F126" i="68"/>
  <c r="G126" i="68"/>
  <c r="H126" i="68"/>
  <c r="I126" i="68"/>
  <c r="J126" i="68"/>
  <c r="A127" i="68"/>
  <c r="B127" i="68"/>
  <c r="C127" i="68"/>
  <c r="D127" i="68"/>
  <c r="E127" i="68"/>
  <c r="F127" i="68"/>
  <c r="G127" i="68"/>
  <c r="H127" i="68"/>
  <c r="I127" i="68"/>
  <c r="J127" i="68"/>
  <c r="A128" i="68"/>
  <c r="B128" i="68"/>
  <c r="C128" i="68"/>
  <c r="D128" i="68"/>
  <c r="E128" i="68"/>
  <c r="F128" i="68"/>
  <c r="G128" i="68"/>
  <c r="H128" i="68"/>
  <c r="I128" i="68"/>
  <c r="J128" i="68"/>
  <c r="A129" i="68"/>
  <c r="B129" i="68"/>
  <c r="C129" i="68"/>
  <c r="D129" i="68"/>
  <c r="E129" i="68"/>
  <c r="F129" i="68"/>
  <c r="G129" i="68"/>
  <c r="H129" i="68"/>
  <c r="I129" i="68"/>
  <c r="J129" i="68"/>
  <c r="A130" i="68"/>
  <c r="B130" i="68"/>
  <c r="C130" i="68"/>
  <c r="D130" i="68"/>
  <c r="E130" i="68"/>
  <c r="F130" i="68"/>
  <c r="G130" i="68"/>
  <c r="H130" i="68"/>
  <c r="I130" i="68"/>
  <c r="J130" i="68"/>
  <c r="A131" i="68"/>
  <c r="B131" i="68"/>
  <c r="C131" i="68"/>
  <c r="D131" i="68"/>
  <c r="E131" i="68"/>
  <c r="F131" i="68"/>
  <c r="G131" i="68"/>
  <c r="H131" i="68"/>
  <c r="I131" i="68"/>
  <c r="J131" i="68"/>
  <c r="A132" i="68"/>
  <c r="B132" i="68"/>
  <c r="C132" i="68"/>
  <c r="D132" i="68"/>
  <c r="E132" i="68"/>
  <c r="F132" i="68"/>
  <c r="G132" i="68"/>
  <c r="H132" i="68"/>
  <c r="I132" i="68"/>
  <c r="J132" i="68"/>
  <c r="A133" i="68"/>
  <c r="B133" i="68"/>
  <c r="C133" i="68"/>
  <c r="D133" i="68"/>
  <c r="E133" i="68"/>
  <c r="F133" i="68"/>
  <c r="G133" i="68"/>
  <c r="H133" i="68"/>
  <c r="I133" i="68"/>
  <c r="J133" i="68"/>
  <c r="A134" i="68"/>
  <c r="B134" i="68"/>
  <c r="C134" i="68"/>
  <c r="D134" i="68"/>
  <c r="E134" i="68"/>
  <c r="F134" i="68"/>
  <c r="G134" i="68"/>
  <c r="H134" i="68"/>
  <c r="I134" i="68"/>
  <c r="J134" i="68"/>
  <c r="A135" i="68"/>
  <c r="B135" i="68"/>
  <c r="C135" i="68"/>
  <c r="D135" i="68"/>
  <c r="E135" i="68"/>
  <c r="F135" i="68"/>
  <c r="G135" i="68"/>
  <c r="H135" i="68"/>
  <c r="I135" i="68"/>
  <c r="J135" i="68"/>
  <c r="A136" i="68"/>
  <c r="B136" i="68"/>
  <c r="C136" i="68"/>
  <c r="D136" i="68"/>
  <c r="E136" i="68"/>
  <c r="F136" i="68"/>
  <c r="G136" i="68"/>
  <c r="H136" i="68"/>
  <c r="I136" i="68"/>
  <c r="J136" i="68"/>
  <c r="A137" i="68"/>
  <c r="B137" i="68"/>
  <c r="C137" i="68"/>
  <c r="D137" i="68"/>
  <c r="E137" i="68"/>
  <c r="F137" i="68"/>
  <c r="G137" i="68"/>
  <c r="H137" i="68"/>
  <c r="I137" i="68"/>
  <c r="J137" i="68"/>
  <c r="A138" i="68"/>
  <c r="B138" i="68"/>
  <c r="C138" i="68"/>
  <c r="D138" i="68"/>
  <c r="E138" i="68"/>
  <c r="F138" i="68"/>
  <c r="G138" i="68"/>
  <c r="H138" i="68"/>
  <c r="I138" i="68"/>
  <c r="J138" i="68"/>
  <c r="A139" i="68"/>
  <c r="B139" i="68"/>
  <c r="C139" i="68"/>
  <c r="D139" i="68"/>
  <c r="E139" i="68"/>
  <c r="F139" i="68"/>
  <c r="G139" i="68"/>
  <c r="H139" i="68"/>
  <c r="I139" i="68"/>
  <c r="J139" i="68"/>
  <c r="A140" i="68"/>
  <c r="B140" i="68"/>
  <c r="C140" i="68"/>
  <c r="D140" i="68"/>
  <c r="E140" i="68"/>
  <c r="F140" i="68"/>
  <c r="G140" i="68"/>
  <c r="H140" i="68"/>
  <c r="I140" i="68"/>
  <c r="J140" i="68"/>
  <c r="A141" i="68"/>
  <c r="B141" i="68"/>
  <c r="C141" i="68"/>
  <c r="D141" i="68"/>
  <c r="E141" i="68"/>
  <c r="F141" i="68"/>
  <c r="G141" i="68"/>
  <c r="H141" i="68"/>
  <c r="I141" i="68"/>
  <c r="J141" i="68"/>
  <c r="A142" i="68"/>
  <c r="B142" i="68"/>
  <c r="C142" i="68"/>
  <c r="D142" i="68"/>
  <c r="E142" i="68"/>
  <c r="F142" i="68"/>
  <c r="G142" i="68"/>
  <c r="H142" i="68"/>
  <c r="I142" i="68"/>
  <c r="J142" i="68"/>
  <c r="A143" i="68"/>
  <c r="B143" i="68"/>
  <c r="C143" i="68"/>
  <c r="D143" i="68"/>
  <c r="E143" i="68"/>
  <c r="F143" i="68"/>
  <c r="G143" i="68"/>
  <c r="H143" i="68"/>
  <c r="I143" i="68"/>
  <c r="J143" i="68"/>
  <c r="A144" i="68"/>
  <c r="B144" i="68"/>
  <c r="C144" i="68"/>
  <c r="D144" i="68"/>
  <c r="E144" i="68"/>
  <c r="F144" i="68"/>
  <c r="G144" i="68"/>
  <c r="H144" i="68"/>
  <c r="I144" i="68"/>
  <c r="J144" i="68"/>
  <c r="A145" i="68"/>
  <c r="B145" i="68"/>
  <c r="C145" i="68"/>
  <c r="D145" i="68"/>
  <c r="E145" i="68"/>
  <c r="F145" i="68"/>
  <c r="G145" i="68"/>
  <c r="H145" i="68"/>
  <c r="I145" i="68"/>
  <c r="J145" i="68"/>
  <c r="A146" i="68"/>
  <c r="B146" i="68"/>
  <c r="C146" i="68"/>
  <c r="D146" i="68"/>
  <c r="E146" i="68"/>
  <c r="F146" i="68"/>
  <c r="G146" i="68"/>
  <c r="H146" i="68"/>
  <c r="I146" i="68"/>
  <c r="J146" i="68"/>
  <c r="A147" i="68"/>
  <c r="B147" i="68"/>
  <c r="C147" i="68"/>
  <c r="D147" i="68"/>
  <c r="E147" i="68"/>
  <c r="F147" i="68"/>
  <c r="G147" i="68"/>
  <c r="H147" i="68"/>
  <c r="I147" i="68"/>
  <c r="J147" i="68"/>
  <c r="A148" i="68"/>
  <c r="B148" i="68"/>
  <c r="C148" i="68"/>
  <c r="D148" i="68"/>
  <c r="E148" i="68"/>
  <c r="F148" i="68"/>
  <c r="G148" i="68"/>
  <c r="H148" i="68"/>
  <c r="I148" i="68"/>
  <c r="J148" i="68"/>
  <c r="A149" i="68"/>
  <c r="B149" i="68"/>
  <c r="C149" i="68"/>
  <c r="D149" i="68"/>
  <c r="E149" i="68"/>
  <c r="F149" i="68"/>
  <c r="G149" i="68"/>
  <c r="H149" i="68"/>
  <c r="I149" i="68"/>
  <c r="J149" i="68"/>
  <c r="A150" i="68"/>
  <c r="B150" i="68"/>
  <c r="C150" i="68"/>
  <c r="D150" i="68"/>
  <c r="E150" i="68"/>
  <c r="F150" i="68"/>
  <c r="G150" i="68"/>
  <c r="H150" i="68"/>
  <c r="I150" i="68"/>
  <c r="J150" i="68"/>
  <c r="A151" i="68"/>
  <c r="B151" i="68"/>
  <c r="C151" i="68"/>
  <c r="D151" i="68"/>
  <c r="E151" i="68"/>
  <c r="F151" i="68"/>
  <c r="G151" i="68"/>
  <c r="H151" i="68"/>
  <c r="I151" i="68"/>
  <c r="J151" i="68"/>
  <c r="A152" i="68"/>
  <c r="B152" i="68"/>
  <c r="C152" i="68"/>
  <c r="D152" i="68"/>
  <c r="E152" i="68"/>
  <c r="F152" i="68"/>
  <c r="G152" i="68"/>
  <c r="H152" i="68"/>
  <c r="I152" i="68"/>
  <c r="J152" i="68"/>
  <c r="A153" i="68"/>
  <c r="B153" i="68"/>
  <c r="C153" i="68"/>
  <c r="D153" i="68"/>
  <c r="E153" i="68"/>
  <c r="F153" i="68"/>
  <c r="G153" i="68"/>
  <c r="H153" i="68"/>
  <c r="I153" i="68"/>
  <c r="J153" i="68"/>
  <c r="A154" i="68"/>
  <c r="B154" i="68"/>
  <c r="C154" i="68"/>
  <c r="D154" i="68"/>
  <c r="E154" i="68"/>
  <c r="F154" i="68"/>
  <c r="G154" i="68"/>
  <c r="H154" i="68"/>
  <c r="I154" i="68"/>
  <c r="J154" i="68"/>
  <c r="A155" i="68"/>
  <c r="B155" i="68"/>
  <c r="C155" i="68"/>
  <c r="D155" i="68"/>
  <c r="E155" i="68"/>
  <c r="F155" i="68"/>
  <c r="G155" i="68"/>
  <c r="H155" i="68"/>
  <c r="I155" i="68"/>
  <c r="J155" i="68"/>
  <c r="A156" i="68"/>
  <c r="B156" i="68"/>
  <c r="C156" i="68"/>
  <c r="D156" i="68"/>
  <c r="E156" i="68"/>
  <c r="F156" i="68"/>
  <c r="G156" i="68"/>
  <c r="H156" i="68"/>
  <c r="I156" i="68"/>
  <c r="J156" i="68"/>
  <c r="A157" i="68"/>
  <c r="B157" i="68"/>
  <c r="C157" i="68"/>
  <c r="D157" i="68"/>
  <c r="E157" i="68"/>
  <c r="F157" i="68"/>
  <c r="G157" i="68"/>
  <c r="H157" i="68"/>
  <c r="I157" i="68"/>
  <c r="J157" i="68"/>
  <c r="A158" i="68"/>
  <c r="B158" i="68"/>
  <c r="C158" i="68"/>
  <c r="D158" i="68"/>
  <c r="E158" i="68"/>
  <c r="F158" i="68"/>
  <c r="G158" i="68"/>
  <c r="H158" i="68"/>
  <c r="I158" i="68"/>
  <c r="J158" i="68"/>
  <c r="A159" i="68"/>
  <c r="B159" i="68"/>
  <c r="C159" i="68"/>
  <c r="D159" i="68"/>
  <c r="E159" i="68"/>
  <c r="F159" i="68"/>
  <c r="G159" i="68"/>
  <c r="H159" i="68"/>
  <c r="I159" i="68"/>
  <c r="J159" i="68"/>
  <c r="A160" i="68"/>
  <c r="B160" i="68"/>
  <c r="C160" i="68"/>
  <c r="D160" i="68"/>
  <c r="E160" i="68"/>
  <c r="F160" i="68"/>
  <c r="G160" i="68"/>
  <c r="H160" i="68"/>
  <c r="I160" i="68"/>
  <c r="J160" i="68"/>
  <c r="A161" i="68"/>
  <c r="B161" i="68"/>
  <c r="C161" i="68"/>
  <c r="D161" i="68"/>
  <c r="E161" i="68"/>
  <c r="F161" i="68"/>
  <c r="G161" i="68"/>
  <c r="H161" i="68"/>
  <c r="I161" i="68"/>
  <c r="J161" i="68"/>
  <c r="A162" i="68"/>
  <c r="B162" i="68"/>
  <c r="C162" i="68"/>
  <c r="D162" i="68"/>
  <c r="E162" i="68"/>
  <c r="F162" i="68"/>
  <c r="G162" i="68"/>
  <c r="H162" i="68"/>
  <c r="I162" i="68"/>
  <c r="J162" i="68"/>
  <c r="A163" i="68"/>
  <c r="B163" i="68"/>
  <c r="C163" i="68"/>
  <c r="D163" i="68"/>
  <c r="E163" i="68"/>
  <c r="F163" i="68"/>
  <c r="G163" i="68"/>
  <c r="H163" i="68"/>
  <c r="I163" i="68"/>
  <c r="J163" i="68"/>
  <c r="A164" i="68"/>
  <c r="B164" i="68"/>
  <c r="C164" i="68"/>
  <c r="D164" i="68"/>
  <c r="E164" i="68"/>
  <c r="F164" i="68"/>
  <c r="G164" i="68"/>
  <c r="H164" i="68"/>
  <c r="I164" i="68"/>
  <c r="J164" i="68"/>
  <c r="A165" i="68"/>
  <c r="B165" i="68"/>
  <c r="C165" i="68"/>
  <c r="D165" i="68"/>
  <c r="E165" i="68"/>
  <c r="F165" i="68"/>
  <c r="G165" i="68"/>
  <c r="H165" i="68"/>
  <c r="I165" i="68"/>
  <c r="J165" i="68"/>
  <c r="A166" i="68"/>
  <c r="B166" i="68"/>
  <c r="C166" i="68"/>
  <c r="D166" i="68"/>
  <c r="E166" i="68"/>
  <c r="F166" i="68"/>
  <c r="G166" i="68"/>
  <c r="H166" i="68"/>
  <c r="I166" i="68"/>
  <c r="J166" i="68"/>
  <c r="A167" i="68"/>
  <c r="B167" i="68"/>
  <c r="C167" i="68"/>
  <c r="D167" i="68"/>
  <c r="E167" i="68"/>
  <c r="F167" i="68"/>
  <c r="G167" i="68"/>
  <c r="H167" i="68"/>
  <c r="I167" i="68"/>
  <c r="J167" i="68"/>
  <c r="A168" i="68"/>
  <c r="B168" i="68"/>
  <c r="C168" i="68"/>
  <c r="D168" i="68"/>
  <c r="E168" i="68"/>
  <c r="F168" i="68"/>
  <c r="G168" i="68"/>
  <c r="H168" i="68"/>
  <c r="I168" i="68"/>
  <c r="J168" i="68"/>
  <c r="A169" i="68"/>
  <c r="B169" i="68"/>
  <c r="C169" i="68"/>
  <c r="D169" i="68"/>
  <c r="E169" i="68"/>
  <c r="F169" i="68"/>
  <c r="G169" i="68"/>
  <c r="H169" i="68"/>
  <c r="I169" i="68"/>
  <c r="J169" i="68"/>
  <c r="A170" i="68"/>
  <c r="B170" i="68"/>
  <c r="C170" i="68"/>
  <c r="D170" i="68"/>
  <c r="E170" i="68"/>
  <c r="F170" i="68"/>
  <c r="G170" i="68"/>
  <c r="H170" i="68"/>
  <c r="I170" i="68"/>
  <c r="J170" i="68"/>
  <c r="A171" i="68"/>
  <c r="B171" i="68"/>
  <c r="C171" i="68"/>
  <c r="D171" i="68"/>
  <c r="E171" i="68"/>
  <c r="F171" i="68"/>
  <c r="G171" i="68"/>
  <c r="H171" i="68"/>
  <c r="I171" i="68"/>
  <c r="J171" i="68"/>
  <c r="A172" i="68"/>
  <c r="B172" i="68"/>
  <c r="C172" i="68"/>
  <c r="D172" i="68"/>
  <c r="E172" i="68"/>
  <c r="F172" i="68"/>
  <c r="G172" i="68"/>
  <c r="H172" i="68"/>
  <c r="I172" i="68"/>
  <c r="J172" i="68"/>
  <c r="A173" i="68"/>
  <c r="B173" i="68"/>
  <c r="C173" i="68"/>
  <c r="D173" i="68"/>
  <c r="E173" i="68"/>
  <c r="F173" i="68"/>
  <c r="G173" i="68"/>
  <c r="H173" i="68"/>
  <c r="I173" i="68"/>
  <c r="J173" i="68"/>
  <c r="A174" i="68"/>
  <c r="B174" i="68"/>
  <c r="C174" i="68"/>
  <c r="D174" i="68"/>
  <c r="E174" i="68"/>
  <c r="F174" i="68"/>
  <c r="G174" i="68"/>
  <c r="H174" i="68"/>
  <c r="I174" i="68"/>
  <c r="J174" i="68"/>
  <c r="A175" i="68"/>
  <c r="B175" i="68"/>
  <c r="C175" i="68"/>
  <c r="D175" i="68"/>
  <c r="E175" i="68"/>
  <c r="F175" i="68"/>
  <c r="G175" i="68"/>
  <c r="H175" i="68"/>
  <c r="I175" i="68"/>
  <c r="J175" i="68"/>
  <c r="A176" i="68"/>
  <c r="B176" i="68"/>
  <c r="C176" i="68"/>
  <c r="D176" i="68"/>
  <c r="E176" i="68"/>
  <c r="F176" i="68"/>
  <c r="G176" i="68"/>
  <c r="H176" i="68"/>
  <c r="I176" i="68"/>
  <c r="J176" i="68"/>
  <c r="A177" i="68"/>
  <c r="B177" i="68"/>
  <c r="C177" i="68"/>
  <c r="D177" i="68"/>
  <c r="E177" i="68"/>
  <c r="F177" i="68"/>
  <c r="G177" i="68"/>
  <c r="H177" i="68"/>
  <c r="I177" i="68"/>
  <c r="J177" i="68"/>
  <c r="A178" i="68"/>
  <c r="B178" i="68"/>
  <c r="C178" i="68"/>
  <c r="D178" i="68"/>
  <c r="E178" i="68"/>
  <c r="F178" i="68"/>
  <c r="G178" i="68"/>
  <c r="H178" i="68"/>
  <c r="I178" i="68"/>
  <c r="J178" i="68"/>
  <c r="A179" i="68"/>
  <c r="B179" i="68"/>
  <c r="C179" i="68"/>
  <c r="D179" i="68"/>
  <c r="E179" i="68"/>
  <c r="F179" i="68"/>
  <c r="G179" i="68"/>
  <c r="H179" i="68"/>
  <c r="I179" i="68"/>
  <c r="J179" i="68"/>
  <c r="A180" i="68"/>
  <c r="B180" i="68"/>
  <c r="C180" i="68"/>
  <c r="D180" i="68"/>
  <c r="E180" i="68"/>
  <c r="F180" i="68"/>
  <c r="G180" i="68"/>
  <c r="H180" i="68"/>
  <c r="I180" i="68"/>
  <c r="J180" i="68"/>
  <c r="A181" i="68"/>
  <c r="B181" i="68"/>
  <c r="C181" i="68"/>
  <c r="D181" i="68"/>
  <c r="E181" i="68"/>
  <c r="F181" i="68"/>
  <c r="G181" i="68"/>
  <c r="H181" i="68"/>
  <c r="I181" i="68"/>
  <c r="J181" i="68"/>
  <c r="A182" i="68"/>
  <c r="B182" i="68"/>
  <c r="C182" i="68"/>
  <c r="D182" i="68"/>
  <c r="E182" i="68"/>
  <c r="F182" i="68"/>
  <c r="G182" i="68"/>
  <c r="H182" i="68"/>
  <c r="I182" i="68"/>
  <c r="J182" i="68"/>
  <c r="A183" i="68"/>
  <c r="B183" i="68"/>
  <c r="C183" i="68"/>
  <c r="D183" i="68"/>
  <c r="E183" i="68"/>
  <c r="F183" i="68"/>
  <c r="G183" i="68"/>
  <c r="H183" i="68"/>
  <c r="I183" i="68"/>
  <c r="J183" i="68"/>
  <c r="A184" i="68"/>
  <c r="B184" i="68"/>
  <c r="C184" i="68"/>
  <c r="D184" i="68"/>
  <c r="E184" i="68"/>
  <c r="F184" i="68"/>
  <c r="G184" i="68"/>
  <c r="H184" i="68"/>
  <c r="I184" i="68"/>
  <c r="J184" i="68"/>
  <c r="A185" i="68"/>
  <c r="B185" i="68"/>
  <c r="C185" i="68"/>
  <c r="D185" i="68"/>
  <c r="E185" i="68"/>
  <c r="F185" i="68"/>
  <c r="G185" i="68"/>
  <c r="H185" i="68"/>
  <c r="I185" i="68"/>
  <c r="J185" i="68"/>
  <c r="A186" i="68"/>
  <c r="B186" i="68"/>
  <c r="C186" i="68"/>
  <c r="D186" i="68"/>
  <c r="E186" i="68"/>
  <c r="F186" i="68"/>
  <c r="G186" i="68"/>
  <c r="H186" i="68"/>
  <c r="I186" i="68"/>
  <c r="J186" i="68"/>
  <c r="A187" i="68"/>
  <c r="B187" i="68"/>
  <c r="C187" i="68"/>
  <c r="D187" i="68"/>
  <c r="E187" i="68"/>
  <c r="F187" i="68"/>
  <c r="G187" i="68"/>
  <c r="H187" i="68"/>
  <c r="I187" i="68"/>
  <c r="J187" i="68"/>
  <c r="A188" i="68"/>
  <c r="B188" i="68"/>
  <c r="C188" i="68"/>
  <c r="D188" i="68"/>
  <c r="E188" i="68"/>
  <c r="F188" i="68"/>
  <c r="G188" i="68"/>
  <c r="H188" i="68"/>
  <c r="I188" i="68"/>
  <c r="J188" i="68"/>
  <c r="A189" i="68"/>
  <c r="B189" i="68"/>
  <c r="C189" i="68"/>
  <c r="D189" i="68"/>
  <c r="E189" i="68"/>
  <c r="F189" i="68"/>
  <c r="G189" i="68"/>
  <c r="H189" i="68"/>
  <c r="I189" i="68"/>
  <c r="J189" i="68"/>
  <c r="A190" i="68"/>
  <c r="B190" i="68"/>
  <c r="C190" i="68"/>
  <c r="D190" i="68"/>
  <c r="E190" i="68"/>
  <c r="F190" i="68"/>
  <c r="G190" i="68"/>
  <c r="H190" i="68"/>
  <c r="I190" i="68"/>
  <c r="J190" i="68"/>
  <c r="A191" i="68"/>
  <c r="B191" i="68"/>
  <c r="C191" i="68"/>
  <c r="D191" i="68"/>
  <c r="E191" i="68"/>
  <c r="F191" i="68"/>
  <c r="G191" i="68"/>
  <c r="H191" i="68"/>
  <c r="I191" i="68"/>
  <c r="J191" i="68"/>
  <c r="A192" i="68"/>
  <c r="B192" i="68"/>
  <c r="C192" i="68"/>
  <c r="D192" i="68"/>
  <c r="E192" i="68"/>
  <c r="F192" i="68"/>
  <c r="G192" i="68"/>
  <c r="H192" i="68"/>
  <c r="I192" i="68"/>
  <c r="J192" i="68"/>
  <c r="A193" i="68"/>
  <c r="B193" i="68"/>
  <c r="C193" i="68"/>
  <c r="D193" i="68"/>
  <c r="E193" i="68"/>
  <c r="F193" i="68"/>
  <c r="G193" i="68"/>
  <c r="H193" i="68"/>
  <c r="I193" i="68"/>
  <c r="J193" i="68"/>
  <c r="A194" i="68"/>
  <c r="B194" i="68"/>
  <c r="C194" i="68"/>
  <c r="D194" i="68"/>
  <c r="E194" i="68"/>
  <c r="F194" i="68"/>
  <c r="G194" i="68"/>
  <c r="H194" i="68"/>
  <c r="I194" i="68"/>
  <c r="J194" i="68"/>
  <c r="A195" i="68"/>
  <c r="B195" i="68"/>
  <c r="C195" i="68"/>
  <c r="D195" i="68"/>
  <c r="E195" i="68"/>
  <c r="F195" i="68"/>
  <c r="G195" i="68"/>
  <c r="H195" i="68"/>
  <c r="I195" i="68"/>
  <c r="J195" i="68"/>
  <c r="A196" i="68"/>
  <c r="B196" i="68"/>
  <c r="C196" i="68"/>
  <c r="D196" i="68"/>
  <c r="E196" i="68"/>
  <c r="F196" i="68"/>
  <c r="G196" i="68"/>
  <c r="H196" i="68"/>
  <c r="I196" i="68"/>
  <c r="J196" i="68"/>
  <c r="A197" i="68"/>
  <c r="B197" i="68"/>
  <c r="C197" i="68"/>
  <c r="D197" i="68"/>
  <c r="E197" i="68"/>
  <c r="F197" i="68"/>
  <c r="G197" i="68"/>
  <c r="H197" i="68"/>
  <c r="I197" i="68"/>
  <c r="J197" i="68"/>
  <c r="A198" i="68"/>
  <c r="B198" i="68"/>
  <c r="C198" i="68"/>
  <c r="D198" i="68"/>
  <c r="E198" i="68"/>
  <c r="F198" i="68"/>
  <c r="G198" i="68"/>
  <c r="H198" i="68"/>
  <c r="I198" i="68"/>
  <c r="J198" i="68"/>
  <c r="A199" i="68"/>
  <c r="B199" i="68"/>
  <c r="C199" i="68"/>
  <c r="D199" i="68"/>
  <c r="E199" i="68"/>
  <c r="F199" i="68"/>
  <c r="G199" i="68"/>
  <c r="H199" i="68"/>
  <c r="I199" i="68"/>
  <c r="J199" i="68"/>
  <c r="A200" i="68"/>
  <c r="B200" i="68"/>
  <c r="C200" i="68"/>
  <c r="D200" i="68"/>
  <c r="E200" i="68"/>
  <c r="F200" i="68"/>
  <c r="G200" i="68"/>
  <c r="H200" i="68"/>
  <c r="I200" i="68"/>
  <c r="J200" i="68"/>
  <c r="A201" i="68"/>
  <c r="B201" i="68"/>
  <c r="C201" i="68"/>
  <c r="D201" i="68"/>
  <c r="E201" i="68"/>
  <c r="F201" i="68"/>
  <c r="G201" i="68"/>
  <c r="H201" i="68"/>
  <c r="I201" i="68"/>
  <c r="J201" i="68"/>
  <c r="A202" i="68"/>
  <c r="B202" i="68"/>
  <c r="C202" i="68"/>
  <c r="D202" i="68"/>
  <c r="E202" i="68"/>
  <c r="F202" i="68"/>
  <c r="G202" i="68"/>
  <c r="H202" i="68"/>
  <c r="I202" i="68"/>
  <c r="J202" i="68"/>
  <c r="A203" i="68"/>
  <c r="B203" i="68"/>
  <c r="C203" i="68"/>
  <c r="D203" i="68"/>
  <c r="E203" i="68"/>
  <c r="F203" i="68"/>
  <c r="G203" i="68"/>
  <c r="H203" i="68"/>
  <c r="I203" i="68"/>
  <c r="J203" i="68"/>
  <c r="A204" i="68"/>
  <c r="B204" i="68"/>
  <c r="C204" i="68"/>
  <c r="D204" i="68"/>
  <c r="E204" i="68"/>
  <c r="F204" i="68"/>
  <c r="G204" i="68"/>
  <c r="H204" i="68"/>
  <c r="I204" i="68"/>
  <c r="J204" i="68"/>
  <c r="A205" i="68"/>
  <c r="B205" i="68"/>
  <c r="C205" i="68"/>
  <c r="D205" i="68"/>
  <c r="E205" i="68"/>
  <c r="F205" i="68"/>
  <c r="G205" i="68"/>
  <c r="H205" i="68"/>
  <c r="I205" i="68"/>
  <c r="J205" i="68"/>
  <c r="A206" i="68"/>
  <c r="B206" i="68"/>
  <c r="C206" i="68"/>
  <c r="D206" i="68"/>
  <c r="E206" i="68"/>
  <c r="F206" i="68"/>
  <c r="G206" i="68"/>
  <c r="H206" i="68"/>
  <c r="I206" i="68"/>
  <c r="J206" i="68"/>
  <c r="A207" i="68"/>
  <c r="B207" i="68"/>
  <c r="C207" i="68"/>
  <c r="D207" i="68"/>
  <c r="E207" i="68"/>
  <c r="F207" i="68"/>
  <c r="G207" i="68"/>
  <c r="H207" i="68"/>
  <c r="I207" i="68"/>
  <c r="J207" i="68"/>
  <c r="A208" i="68"/>
  <c r="B208" i="68"/>
  <c r="C208" i="68"/>
  <c r="D208" i="68"/>
  <c r="E208" i="68"/>
  <c r="F208" i="68"/>
  <c r="G208" i="68"/>
  <c r="H208" i="68"/>
  <c r="I208" i="68"/>
  <c r="J208" i="68"/>
  <c r="A209" i="68"/>
  <c r="B209" i="68"/>
  <c r="C209" i="68"/>
  <c r="D209" i="68"/>
  <c r="E209" i="68"/>
  <c r="F209" i="68"/>
  <c r="G209" i="68"/>
  <c r="H209" i="68"/>
  <c r="I209" i="68"/>
  <c r="J209" i="68"/>
  <c r="A210" i="68"/>
  <c r="B210" i="68"/>
  <c r="C210" i="68"/>
  <c r="D210" i="68"/>
  <c r="E210" i="68"/>
  <c r="F210" i="68"/>
  <c r="G210" i="68"/>
  <c r="H210" i="68"/>
  <c r="I210" i="68"/>
  <c r="J210" i="68"/>
  <c r="A211" i="68"/>
  <c r="B211" i="68"/>
  <c r="C211" i="68"/>
  <c r="D211" i="68"/>
  <c r="E211" i="68"/>
  <c r="F211" i="68"/>
  <c r="G211" i="68"/>
  <c r="H211" i="68"/>
  <c r="I211" i="68"/>
  <c r="J211" i="68"/>
  <c r="A212" i="68"/>
  <c r="B212" i="68"/>
  <c r="C212" i="68"/>
  <c r="D212" i="68"/>
  <c r="E212" i="68"/>
  <c r="F212" i="68"/>
  <c r="G212" i="68"/>
  <c r="H212" i="68"/>
  <c r="I212" i="68"/>
  <c r="J212" i="68"/>
  <c r="A213" i="68"/>
  <c r="B213" i="68"/>
  <c r="C213" i="68"/>
  <c r="D213" i="68"/>
  <c r="E213" i="68"/>
  <c r="F213" i="68"/>
  <c r="G213" i="68"/>
  <c r="H213" i="68"/>
  <c r="I213" i="68"/>
  <c r="J213" i="68"/>
  <c r="A214" i="68"/>
  <c r="B214" i="68"/>
  <c r="C214" i="68"/>
  <c r="D214" i="68"/>
  <c r="E214" i="68"/>
  <c r="F214" i="68"/>
  <c r="G214" i="68"/>
  <c r="H214" i="68"/>
  <c r="I214" i="68"/>
  <c r="J214" i="68"/>
  <c r="A215" i="68"/>
  <c r="B215" i="68"/>
  <c r="C215" i="68"/>
  <c r="D215" i="68"/>
  <c r="E215" i="68"/>
  <c r="F215" i="68"/>
  <c r="G215" i="68"/>
  <c r="H215" i="68"/>
  <c r="I215" i="68"/>
  <c r="J215" i="68"/>
  <c r="A216" i="68"/>
  <c r="B216" i="68"/>
  <c r="C216" i="68"/>
  <c r="D216" i="68"/>
  <c r="E216" i="68"/>
  <c r="F216" i="68"/>
  <c r="G216" i="68"/>
  <c r="H216" i="68"/>
  <c r="I216" i="68"/>
  <c r="J216" i="68"/>
  <c r="A217" i="68"/>
  <c r="B217" i="68"/>
  <c r="C217" i="68"/>
  <c r="D217" i="68"/>
  <c r="E217" i="68"/>
  <c r="F217" i="68"/>
  <c r="G217" i="68"/>
  <c r="H217" i="68"/>
  <c r="I217" i="68"/>
  <c r="J217" i="68"/>
  <c r="A218" i="68"/>
  <c r="B218" i="68"/>
  <c r="C218" i="68"/>
  <c r="D218" i="68"/>
  <c r="E218" i="68"/>
  <c r="F218" i="68"/>
  <c r="G218" i="68"/>
  <c r="H218" i="68"/>
  <c r="I218" i="68"/>
  <c r="J218" i="68"/>
  <c r="A219" i="68"/>
  <c r="B219" i="68"/>
  <c r="C219" i="68"/>
  <c r="D219" i="68"/>
  <c r="E219" i="68"/>
  <c r="F219" i="68"/>
  <c r="G219" i="68"/>
  <c r="H219" i="68"/>
  <c r="I219" i="68"/>
  <c r="J219" i="68"/>
  <c r="A220" i="68"/>
  <c r="B220" i="68"/>
  <c r="C220" i="68"/>
  <c r="D220" i="68"/>
  <c r="E220" i="68"/>
  <c r="F220" i="68"/>
  <c r="G220" i="68"/>
  <c r="H220" i="68"/>
  <c r="I220" i="68"/>
  <c r="J220" i="68"/>
  <c r="A221" i="68"/>
  <c r="B221" i="68"/>
  <c r="C221" i="68"/>
  <c r="D221" i="68"/>
  <c r="E221" i="68"/>
  <c r="F221" i="68"/>
  <c r="G221" i="68"/>
  <c r="H221" i="68"/>
  <c r="I221" i="68"/>
  <c r="J221" i="68"/>
  <c r="A222" i="68"/>
  <c r="B222" i="68"/>
  <c r="C222" i="68"/>
  <c r="D222" i="68"/>
  <c r="E222" i="68"/>
  <c r="F222" i="68"/>
  <c r="G222" i="68"/>
  <c r="H222" i="68"/>
  <c r="I222" i="68"/>
  <c r="J222" i="68"/>
  <c r="A223" i="68"/>
  <c r="B223" i="68"/>
  <c r="C223" i="68"/>
  <c r="D223" i="68"/>
  <c r="E223" i="68"/>
  <c r="F223" i="68"/>
  <c r="G223" i="68"/>
  <c r="H223" i="68"/>
  <c r="I223" i="68"/>
  <c r="J223" i="68"/>
  <c r="A224" i="68"/>
  <c r="B224" i="68"/>
  <c r="C224" i="68"/>
  <c r="D224" i="68"/>
  <c r="E224" i="68"/>
  <c r="F224" i="68"/>
  <c r="G224" i="68"/>
  <c r="H224" i="68"/>
  <c r="I224" i="68"/>
  <c r="J224" i="68"/>
  <c r="A225" i="68"/>
  <c r="B225" i="68"/>
  <c r="C225" i="68"/>
  <c r="D225" i="68"/>
  <c r="E225" i="68"/>
  <c r="F225" i="68"/>
  <c r="G225" i="68"/>
  <c r="H225" i="68"/>
  <c r="I225" i="68"/>
  <c r="J225" i="68"/>
  <c r="A226" i="68"/>
  <c r="B226" i="68"/>
  <c r="C226" i="68"/>
  <c r="D226" i="68"/>
  <c r="E226" i="68"/>
  <c r="F226" i="68"/>
  <c r="G226" i="68"/>
  <c r="H226" i="68"/>
  <c r="I226" i="68"/>
  <c r="J226" i="68"/>
  <c r="A227" i="68"/>
  <c r="B227" i="68"/>
  <c r="C227" i="68"/>
  <c r="D227" i="68"/>
  <c r="E227" i="68"/>
  <c r="F227" i="68"/>
  <c r="G227" i="68"/>
  <c r="H227" i="68"/>
  <c r="I227" i="68"/>
  <c r="J227" i="68"/>
  <c r="A228" i="68"/>
  <c r="B228" i="68"/>
  <c r="C228" i="68"/>
  <c r="D228" i="68"/>
  <c r="E228" i="68"/>
  <c r="F228" i="68"/>
  <c r="G228" i="68"/>
  <c r="H228" i="68"/>
  <c r="I228" i="68"/>
  <c r="J228" i="68"/>
  <c r="A229" i="68"/>
  <c r="B229" i="68"/>
  <c r="C229" i="68"/>
  <c r="D229" i="68"/>
  <c r="E229" i="68"/>
  <c r="F229" i="68"/>
  <c r="G229" i="68"/>
  <c r="H229" i="68"/>
  <c r="I229" i="68"/>
  <c r="J229" i="68"/>
  <c r="A230" i="68"/>
  <c r="B230" i="68"/>
  <c r="C230" i="68"/>
  <c r="D230" i="68"/>
  <c r="E230" i="68"/>
  <c r="F230" i="68"/>
  <c r="G230" i="68"/>
  <c r="H230" i="68"/>
  <c r="I230" i="68"/>
  <c r="J230" i="68"/>
  <c r="A231" i="68"/>
  <c r="B231" i="68"/>
  <c r="C231" i="68"/>
  <c r="D231" i="68"/>
  <c r="E231" i="68"/>
  <c r="F231" i="68"/>
  <c r="G231" i="68"/>
  <c r="H231" i="68"/>
  <c r="I231" i="68"/>
  <c r="J231" i="68"/>
  <c r="A232" i="68"/>
  <c r="B232" i="68"/>
  <c r="C232" i="68"/>
  <c r="D232" i="68"/>
  <c r="E232" i="68"/>
  <c r="F232" i="68"/>
  <c r="G232" i="68"/>
  <c r="H232" i="68"/>
  <c r="I232" i="68"/>
  <c r="J232" i="68"/>
  <c r="A233" i="68"/>
  <c r="B233" i="68"/>
  <c r="C233" i="68"/>
  <c r="D233" i="68"/>
  <c r="E233" i="68"/>
  <c r="F233" i="68"/>
  <c r="G233" i="68"/>
  <c r="H233" i="68"/>
  <c r="I233" i="68"/>
  <c r="J233" i="68"/>
  <c r="A234" i="68"/>
  <c r="B234" i="68"/>
  <c r="C234" i="68"/>
  <c r="D234" i="68"/>
  <c r="E234" i="68"/>
  <c r="F234" i="68"/>
  <c r="G234" i="68"/>
  <c r="H234" i="68"/>
  <c r="I234" i="68"/>
  <c r="J234" i="68"/>
  <c r="A235" i="68"/>
  <c r="B235" i="68"/>
  <c r="C235" i="68"/>
  <c r="D235" i="68"/>
  <c r="E235" i="68"/>
  <c r="F235" i="68"/>
  <c r="G235" i="68"/>
  <c r="H235" i="68"/>
  <c r="I235" i="68"/>
  <c r="J235" i="68"/>
  <c r="A236" i="68"/>
  <c r="B236" i="68"/>
  <c r="C236" i="68"/>
  <c r="D236" i="68"/>
  <c r="E236" i="68"/>
  <c r="F236" i="68"/>
  <c r="G236" i="68"/>
  <c r="H236" i="68"/>
  <c r="I236" i="68"/>
  <c r="J236" i="68"/>
  <c r="A237" i="68"/>
  <c r="B237" i="68"/>
  <c r="C237" i="68"/>
  <c r="D237" i="68"/>
  <c r="E237" i="68"/>
  <c r="F237" i="68"/>
  <c r="G237" i="68"/>
  <c r="H237" i="68"/>
  <c r="I237" i="68"/>
  <c r="J237" i="68"/>
  <c r="A238" i="68"/>
  <c r="B238" i="68"/>
  <c r="C238" i="68"/>
  <c r="D238" i="68"/>
  <c r="E238" i="68"/>
  <c r="F238" i="68"/>
  <c r="G238" i="68"/>
  <c r="H238" i="68"/>
  <c r="I238" i="68"/>
  <c r="J238" i="68"/>
  <c r="A239" i="68"/>
  <c r="B239" i="68"/>
  <c r="C239" i="68"/>
  <c r="D239" i="68"/>
  <c r="E239" i="68"/>
  <c r="F239" i="68"/>
  <c r="G239" i="68"/>
  <c r="H239" i="68"/>
  <c r="I239" i="68"/>
  <c r="J239" i="68"/>
  <c r="A240" i="68"/>
  <c r="B240" i="68"/>
  <c r="C240" i="68"/>
  <c r="D240" i="68"/>
  <c r="E240" i="68"/>
  <c r="F240" i="68"/>
  <c r="G240" i="68"/>
  <c r="H240" i="68"/>
  <c r="I240" i="68"/>
  <c r="J240" i="68"/>
  <c r="A241" i="68"/>
  <c r="B241" i="68"/>
  <c r="C241" i="68"/>
  <c r="D241" i="68"/>
  <c r="E241" i="68"/>
  <c r="F241" i="68"/>
  <c r="G241" i="68"/>
  <c r="H241" i="68"/>
  <c r="I241" i="68"/>
  <c r="J241" i="68"/>
  <c r="A242" i="68"/>
  <c r="B242" i="68"/>
  <c r="C242" i="68"/>
  <c r="D242" i="68"/>
  <c r="E242" i="68"/>
  <c r="F242" i="68"/>
  <c r="G242" i="68"/>
  <c r="H242" i="68"/>
  <c r="I242" i="68"/>
  <c r="J242" i="68"/>
  <c r="A243" i="68"/>
  <c r="B243" i="68"/>
  <c r="C243" i="68"/>
  <c r="D243" i="68"/>
  <c r="E243" i="68"/>
  <c r="F243" i="68"/>
  <c r="G243" i="68"/>
  <c r="H243" i="68"/>
  <c r="I243" i="68"/>
  <c r="J243" i="68"/>
  <c r="A244" i="68"/>
  <c r="B244" i="68"/>
  <c r="C244" i="68"/>
  <c r="D244" i="68"/>
  <c r="E244" i="68"/>
  <c r="F244" i="68"/>
  <c r="G244" i="68"/>
  <c r="H244" i="68"/>
  <c r="I244" i="68"/>
  <c r="J244" i="68"/>
  <c r="A245" i="68"/>
  <c r="B245" i="68"/>
  <c r="C245" i="68"/>
  <c r="D245" i="68"/>
  <c r="E245" i="68"/>
  <c r="F245" i="68"/>
  <c r="G245" i="68"/>
  <c r="H245" i="68"/>
  <c r="I245" i="68"/>
  <c r="J245" i="68"/>
  <c r="A246" i="68"/>
  <c r="B246" i="68"/>
  <c r="C246" i="68"/>
  <c r="D246" i="68"/>
  <c r="E246" i="68"/>
  <c r="F246" i="68"/>
  <c r="G246" i="68"/>
  <c r="H246" i="68"/>
  <c r="I246" i="68"/>
  <c r="J246" i="68"/>
  <c r="A247" i="68"/>
  <c r="B247" i="68"/>
  <c r="C247" i="68"/>
  <c r="D247" i="68"/>
  <c r="E247" i="68"/>
  <c r="F247" i="68"/>
  <c r="G247" i="68"/>
  <c r="H247" i="68"/>
  <c r="I247" i="68"/>
  <c r="J247" i="68"/>
  <c r="A248" i="68"/>
  <c r="B248" i="68"/>
  <c r="C248" i="68"/>
  <c r="D248" i="68"/>
  <c r="E248" i="68"/>
  <c r="F248" i="68"/>
  <c r="G248" i="68"/>
  <c r="H248" i="68"/>
  <c r="I248" i="68"/>
  <c r="J248" i="68"/>
  <c r="A249" i="68"/>
  <c r="B249" i="68"/>
  <c r="C249" i="68"/>
  <c r="D249" i="68"/>
  <c r="E249" i="68"/>
  <c r="F249" i="68"/>
  <c r="G249" i="68"/>
  <c r="H249" i="68"/>
  <c r="I249" i="68"/>
  <c r="J249" i="68"/>
  <c r="A250" i="68"/>
  <c r="B250" i="68"/>
  <c r="C250" i="68"/>
  <c r="D250" i="68"/>
  <c r="E250" i="68"/>
  <c r="F250" i="68"/>
  <c r="G250" i="68"/>
  <c r="H250" i="68"/>
  <c r="I250" i="68"/>
  <c r="J250" i="68"/>
  <c r="A251" i="68"/>
  <c r="B251" i="68"/>
  <c r="C251" i="68"/>
  <c r="D251" i="68"/>
  <c r="E251" i="68"/>
  <c r="F251" i="68"/>
  <c r="G251" i="68"/>
  <c r="H251" i="68"/>
  <c r="I251" i="68"/>
  <c r="J251" i="68"/>
  <c r="A252" i="68"/>
  <c r="B252" i="68"/>
  <c r="C252" i="68"/>
  <c r="D252" i="68"/>
  <c r="E252" i="68"/>
  <c r="F252" i="68"/>
  <c r="G252" i="68"/>
  <c r="H252" i="68"/>
  <c r="I252" i="68"/>
  <c r="J252" i="68"/>
  <c r="A253" i="68"/>
  <c r="B253" i="68"/>
  <c r="C253" i="68"/>
  <c r="D253" i="68"/>
  <c r="E253" i="68"/>
  <c r="F253" i="68"/>
  <c r="G253" i="68"/>
  <c r="H253" i="68"/>
  <c r="I253" i="68"/>
  <c r="J253" i="68"/>
  <c r="A254" i="68"/>
  <c r="B254" i="68"/>
  <c r="C254" i="68"/>
  <c r="D254" i="68"/>
  <c r="E254" i="68"/>
  <c r="F254" i="68"/>
  <c r="G254" i="68"/>
  <c r="H254" i="68"/>
  <c r="I254" i="68"/>
  <c r="J254" i="68"/>
  <c r="A255" i="68"/>
  <c r="B255" i="68"/>
  <c r="C255" i="68"/>
  <c r="D255" i="68"/>
  <c r="E255" i="68"/>
  <c r="F255" i="68"/>
  <c r="G255" i="68"/>
  <c r="H255" i="68"/>
  <c r="I255" i="68"/>
  <c r="J255" i="68"/>
  <c r="A256" i="68"/>
  <c r="B256" i="68"/>
  <c r="C256" i="68"/>
  <c r="D256" i="68"/>
  <c r="E256" i="68"/>
  <c r="F256" i="68"/>
  <c r="G256" i="68"/>
  <c r="H256" i="68"/>
  <c r="I256" i="68"/>
  <c r="J256" i="68"/>
  <c r="A257" i="68"/>
  <c r="B257" i="68"/>
  <c r="C257" i="68"/>
  <c r="D257" i="68"/>
  <c r="E257" i="68"/>
  <c r="F257" i="68"/>
  <c r="G257" i="68"/>
  <c r="H257" i="68"/>
  <c r="I257" i="68"/>
  <c r="J257" i="68"/>
  <c r="A258" i="68"/>
  <c r="B258" i="68"/>
  <c r="C258" i="68"/>
  <c r="D258" i="68"/>
  <c r="E258" i="68"/>
  <c r="F258" i="68"/>
  <c r="G258" i="68"/>
  <c r="H258" i="68"/>
  <c r="I258" i="68"/>
  <c r="J258" i="68"/>
  <c r="A259" i="68"/>
  <c r="B259" i="68"/>
  <c r="C259" i="68"/>
  <c r="D259" i="68"/>
  <c r="E259" i="68"/>
  <c r="F259" i="68"/>
  <c r="G259" i="68"/>
  <c r="H259" i="68"/>
  <c r="I259" i="68"/>
  <c r="J259" i="68"/>
  <c r="A260" i="68"/>
  <c r="B260" i="68"/>
  <c r="C260" i="68"/>
  <c r="D260" i="68"/>
  <c r="E260" i="68"/>
  <c r="F260" i="68"/>
  <c r="G260" i="68"/>
  <c r="H260" i="68"/>
  <c r="I260" i="68"/>
  <c r="J260" i="68"/>
  <c r="A261" i="68"/>
  <c r="B261" i="68"/>
  <c r="C261" i="68"/>
  <c r="D261" i="68"/>
  <c r="E261" i="68"/>
  <c r="F261" i="68"/>
  <c r="G261" i="68"/>
  <c r="H261" i="68"/>
  <c r="I261" i="68"/>
  <c r="J261" i="68"/>
  <c r="A262" i="68"/>
  <c r="B262" i="68"/>
  <c r="C262" i="68"/>
  <c r="D262" i="68"/>
  <c r="E262" i="68"/>
  <c r="F262" i="68"/>
  <c r="G262" i="68"/>
  <c r="H262" i="68"/>
  <c r="I262" i="68"/>
  <c r="J262" i="68"/>
  <c r="A263" i="68"/>
  <c r="B263" i="68"/>
  <c r="C263" i="68"/>
  <c r="D263" i="68"/>
  <c r="E263" i="68"/>
  <c r="F263" i="68"/>
  <c r="G263" i="68"/>
  <c r="H263" i="68"/>
  <c r="I263" i="68"/>
  <c r="J263" i="68"/>
  <c r="A264" i="68"/>
  <c r="B264" i="68"/>
  <c r="C264" i="68"/>
  <c r="D264" i="68"/>
  <c r="E264" i="68"/>
  <c r="F264" i="68"/>
  <c r="G264" i="68"/>
  <c r="H264" i="68"/>
  <c r="I264" i="68"/>
  <c r="J264" i="68"/>
  <c r="A265" i="68"/>
  <c r="B265" i="68"/>
  <c r="C265" i="68"/>
  <c r="D265" i="68"/>
  <c r="E265" i="68"/>
  <c r="F265" i="68"/>
  <c r="G265" i="68"/>
  <c r="H265" i="68"/>
  <c r="I265" i="68"/>
  <c r="J265" i="68"/>
  <c r="A266" i="68"/>
  <c r="B266" i="68"/>
  <c r="C266" i="68"/>
  <c r="D266" i="68"/>
  <c r="E266" i="68"/>
  <c r="F266" i="68"/>
  <c r="G266" i="68"/>
  <c r="H266" i="68"/>
  <c r="I266" i="68"/>
  <c r="J266" i="68"/>
  <c r="A267" i="68"/>
  <c r="B267" i="68"/>
  <c r="C267" i="68"/>
  <c r="D267" i="68"/>
  <c r="E267" i="68"/>
  <c r="F267" i="68"/>
  <c r="G267" i="68"/>
  <c r="H267" i="68"/>
  <c r="I267" i="68"/>
  <c r="J267" i="68"/>
  <c r="A268" i="68"/>
  <c r="B268" i="68"/>
  <c r="C268" i="68"/>
  <c r="D268" i="68"/>
  <c r="E268" i="68"/>
  <c r="F268" i="68"/>
  <c r="G268" i="68"/>
  <c r="H268" i="68"/>
  <c r="I268" i="68"/>
  <c r="J268" i="68"/>
  <c r="A269" i="68"/>
  <c r="B269" i="68"/>
  <c r="C269" i="68"/>
  <c r="D269" i="68"/>
  <c r="E269" i="68"/>
  <c r="F269" i="68"/>
  <c r="G269" i="68"/>
  <c r="H269" i="68"/>
  <c r="I269" i="68"/>
  <c r="J269" i="68"/>
  <c r="A270" i="68"/>
  <c r="B270" i="68"/>
  <c r="C270" i="68"/>
  <c r="D270" i="68"/>
  <c r="E270" i="68"/>
  <c r="F270" i="68"/>
  <c r="G270" i="68"/>
  <c r="H270" i="68"/>
  <c r="I270" i="68"/>
  <c r="J270" i="68"/>
  <c r="A271" i="68"/>
  <c r="B271" i="68"/>
  <c r="C271" i="68"/>
  <c r="D271" i="68"/>
  <c r="E271" i="68"/>
  <c r="F271" i="68"/>
  <c r="G271" i="68"/>
  <c r="H271" i="68"/>
  <c r="I271" i="68"/>
  <c r="J271" i="68"/>
  <c r="A272" i="68"/>
  <c r="B272" i="68"/>
  <c r="C272" i="68"/>
  <c r="D272" i="68"/>
  <c r="E272" i="68"/>
  <c r="F272" i="68"/>
  <c r="G272" i="68"/>
  <c r="H272" i="68"/>
  <c r="I272" i="68"/>
  <c r="J272" i="68"/>
  <c r="A273" i="68"/>
  <c r="B273" i="68"/>
  <c r="C273" i="68"/>
  <c r="D273" i="68"/>
  <c r="E273" i="68"/>
  <c r="F273" i="68"/>
  <c r="G273" i="68"/>
  <c r="H273" i="68"/>
  <c r="I273" i="68"/>
  <c r="J273" i="68"/>
  <c r="A274" i="68"/>
  <c r="B274" i="68"/>
  <c r="C274" i="68"/>
  <c r="D274" i="68"/>
  <c r="E274" i="68"/>
  <c r="F274" i="68"/>
  <c r="G274" i="68"/>
  <c r="H274" i="68"/>
  <c r="I274" i="68"/>
  <c r="J274" i="68"/>
  <c r="A275" i="68"/>
  <c r="B275" i="68"/>
  <c r="C275" i="68"/>
  <c r="D275" i="68"/>
  <c r="E275" i="68"/>
  <c r="F275" i="68"/>
  <c r="G275" i="68"/>
  <c r="H275" i="68"/>
  <c r="I275" i="68"/>
  <c r="J275" i="68"/>
  <c r="A276" i="68"/>
  <c r="B276" i="68"/>
  <c r="C276" i="68"/>
  <c r="D276" i="68"/>
  <c r="E276" i="68"/>
  <c r="F276" i="68"/>
  <c r="G276" i="68"/>
  <c r="H276" i="68"/>
  <c r="I276" i="68"/>
  <c r="J276" i="68"/>
  <c r="A277" i="68"/>
  <c r="B277" i="68"/>
  <c r="C277" i="68"/>
  <c r="D277" i="68"/>
  <c r="E277" i="68"/>
  <c r="F277" i="68"/>
  <c r="G277" i="68"/>
  <c r="H277" i="68"/>
  <c r="I277" i="68"/>
  <c r="J277" i="68"/>
  <c r="A278" i="68"/>
  <c r="B278" i="68"/>
  <c r="C278" i="68"/>
  <c r="D278" i="68"/>
  <c r="E278" i="68"/>
  <c r="F278" i="68"/>
  <c r="G278" i="68"/>
  <c r="H278" i="68"/>
  <c r="I278" i="68"/>
  <c r="J278" i="68"/>
  <c r="A279" i="68"/>
  <c r="B279" i="68"/>
  <c r="C279" i="68"/>
  <c r="D279" i="68"/>
  <c r="E279" i="68"/>
  <c r="F279" i="68"/>
  <c r="G279" i="68"/>
  <c r="H279" i="68"/>
  <c r="I279" i="68"/>
  <c r="J279" i="68"/>
  <c r="A280" i="68"/>
  <c r="B280" i="68"/>
  <c r="C280" i="68"/>
  <c r="D280" i="68"/>
  <c r="E280" i="68"/>
  <c r="F280" i="68"/>
  <c r="G280" i="68"/>
  <c r="H280" i="68"/>
  <c r="I280" i="68"/>
  <c r="J280" i="68"/>
  <c r="A281" i="68"/>
  <c r="B281" i="68"/>
  <c r="C281" i="68"/>
  <c r="D281" i="68"/>
  <c r="E281" i="68"/>
  <c r="F281" i="68"/>
  <c r="G281" i="68"/>
  <c r="H281" i="68"/>
  <c r="I281" i="68"/>
  <c r="J281" i="68"/>
  <c r="A282" i="68"/>
  <c r="B282" i="68"/>
  <c r="C282" i="68"/>
  <c r="D282" i="68"/>
  <c r="E282" i="68"/>
  <c r="F282" i="68"/>
  <c r="G282" i="68"/>
  <c r="H282" i="68"/>
  <c r="I282" i="68"/>
  <c r="J282" i="68"/>
  <c r="A283" i="68"/>
  <c r="B283" i="68"/>
  <c r="C283" i="68"/>
  <c r="D283" i="68"/>
  <c r="E283" i="68"/>
  <c r="F283" i="68"/>
  <c r="G283" i="68"/>
  <c r="H283" i="68"/>
  <c r="I283" i="68"/>
  <c r="J283" i="68"/>
  <c r="A284" i="68"/>
  <c r="B284" i="68"/>
  <c r="C284" i="68"/>
  <c r="D284" i="68"/>
  <c r="E284" i="68"/>
  <c r="F284" i="68"/>
  <c r="G284" i="68"/>
  <c r="H284" i="68"/>
  <c r="I284" i="68"/>
  <c r="J284" i="68"/>
  <c r="A285" i="68"/>
  <c r="B285" i="68"/>
  <c r="C285" i="68"/>
  <c r="D285" i="68"/>
  <c r="E285" i="68"/>
  <c r="F285" i="68"/>
  <c r="G285" i="68"/>
  <c r="H285" i="68"/>
  <c r="I285" i="68"/>
  <c r="J285" i="68"/>
  <c r="A286" i="68"/>
  <c r="B286" i="68"/>
  <c r="C286" i="68"/>
  <c r="D286" i="68"/>
  <c r="E286" i="68"/>
  <c r="F286" i="68"/>
  <c r="G286" i="68"/>
  <c r="H286" i="68"/>
  <c r="I286" i="68"/>
  <c r="J286" i="68"/>
  <c r="A287" i="68"/>
  <c r="B287" i="68"/>
  <c r="C287" i="68"/>
  <c r="D287" i="68"/>
  <c r="E287" i="68"/>
  <c r="F287" i="68"/>
  <c r="G287" i="68"/>
  <c r="H287" i="68"/>
  <c r="I287" i="68"/>
  <c r="J287" i="68"/>
  <c r="A288" i="68"/>
  <c r="B288" i="68"/>
  <c r="C288" i="68"/>
  <c r="D288" i="68"/>
  <c r="E288" i="68"/>
  <c r="F288" i="68"/>
  <c r="G288" i="68"/>
  <c r="H288" i="68"/>
  <c r="I288" i="68"/>
  <c r="J288" i="68"/>
  <c r="A289" i="68"/>
  <c r="B289" i="68"/>
  <c r="C289" i="68"/>
  <c r="D289" i="68"/>
  <c r="E289" i="68"/>
  <c r="F289" i="68"/>
  <c r="G289" i="68"/>
  <c r="H289" i="68"/>
  <c r="I289" i="68"/>
  <c r="J289" i="68"/>
  <c r="A290" i="68"/>
  <c r="B290" i="68"/>
  <c r="C290" i="68"/>
  <c r="D290" i="68"/>
  <c r="E290" i="68"/>
  <c r="F290" i="68"/>
  <c r="G290" i="68"/>
  <c r="H290" i="68"/>
  <c r="I290" i="68"/>
  <c r="J290" i="68"/>
  <c r="A291" i="68"/>
  <c r="B291" i="68"/>
  <c r="C291" i="68"/>
  <c r="D291" i="68"/>
  <c r="E291" i="68"/>
  <c r="F291" i="68"/>
  <c r="G291" i="68"/>
  <c r="H291" i="68"/>
  <c r="I291" i="68"/>
  <c r="J291" i="68"/>
  <c r="A292" i="68"/>
  <c r="B292" i="68"/>
  <c r="C292" i="68"/>
  <c r="D292" i="68"/>
  <c r="E292" i="68"/>
  <c r="F292" i="68"/>
  <c r="G292" i="68"/>
  <c r="H292" i="68"/>
  <c r="I292" i="68"/>
  <c r="J292" i="68"/>
  <c r="A293" i="68"/>
  <c r="B293" i="68"/>
  <c r="C293" i="68"/>
  <c r="D293" i="68"/>
  <c r="E293" i="68"/>
  <c r="F293" i="68"/>
  <c r="G293" i="68"/>
  <c r="H293" i="68"/>
  <c r="I293" i="68"/>
  <c r="J293" i="68"/>
  <c r="A294" i="68"/>
  <c r="B294" i="68"/>
  <c r="C294" i="68"/>
  <c r="D294" i="68"/>
  <c r="E294" i="68"/>
  <c r="F294" i="68"/>
  <c r="G294" i="68"/>
  <c r="H294" i="68"/>
  <c r="I294" i="68"/>
  <c r="J294" i="68"/>
  <c r="A295" i="68"/>
  <c r="B295" i="68"/>
  <c r="C295" i="68"/>
  <c r="D295" i="68"/>
  <c r="E295" i="68"/>
  <c r="F295" i="68"/>
  <c r="G295" i="68"/>
  <c r="H295" i="68"/>
  <c r="I295" i="68"/>
  <c r="J295" i="68"/>
  <c r="A296" i="68"/>
  <c r="B296" i="68"/>
  <c r="C296" i="68"/>
  <c r="D296" i="68"/>
  <c r="E296" i="68"/>
  <c r="F296" i="68"/>
  <c r="G296" i="68"/>
  <c r="H296" i="68"/>
  <c r="I296" i="68"/>
  <c r="J296" i="68"/>
  <c r="A297" i="68"/>
  <c r="B297" i="68"/>
  <c r="C297" i="68"/>
  <c r="D297" i="68"/>
  <c r="E297" i="68"/>
  <c r="F297" i="68"/>
  <c r="G297" i="68"/>
  <c r="H297" i="68"/>
  <c r="I297" i="68"/>
  <c r="J297" i="68"/>
  <c r="A298" i="68"/>
  <c r="B298" i="68"/>
  <c r="C298" i="68"/>
  <c r="D298" i="68"/>
  <c r="E298" i="68"/>
  <c r="F298" i="68"/>
  <c r="G298" i="68"/>
  <c r="H298" i="68"/>
  <c r="I298" i="68"/>
  <c r="J298" i="68"/>
  <c r="A299" i="68"/>
  <c r="B299" i="68"/>
  <c r="C299" i="68"/>
  <c r="D299" i="68"/>
  <c r="E299" i="68"/>
  <c r="F299" i="68"/>
  <c r="G299" i="68"/>
  <c r="H299" i="68"/>
  <c r="I299" i="68"/>
  <c r="J299" i="68"/>
  <c r="A300" i="68"/>
  <c r="B300" i="68"/>
  <c r="C300" i="68"/>
  <c r="D300" i="68"/>
  <c r="E300" i="68"/>
  <c r="F300" i="68"/>
  <c r="G300" i="68"/>
  <c r="H300" i="68"/>
  <c r="I300" i="68"/>
  <c r="J300" i="68"/>
  <c r="A301" i="68"/>
  <c r="B301" i="68"/>
  <c r="C301" i="68"/>
  <c r="D301" i="68"/>
  <c r="E301" i="68"/>
  <c r="F301" i="68"/>
  <c r="G301" i="68"/>
  <c r="H301" i="68"/>
  <c r="I301" i="68"/>
  <c r="J301" i="68"/>
  <c r="A302" i="68"/>
  <c r="B302" i="68"/>
  <c r="C302" i="68"/>
  <c r="D302" i="68"/>
  <c r="E302" i="68"/>
  <c r="F302" i="68"/>
  <c r="G302" i="68"/>
  <c r="H302" i="68"/>
  <c r="I302" i="68"/>
  <c r="J302" i="68"/>
  <c r="A303" i="68"/>
  <c r="B303" i="68"/>
  <c r="C303" i="68"/>
  <c r="D303" i="68"/>
  <c r="E303" i="68"/>
  <c r="F303" i="68"/>
  <c r="G303" i="68"/>
  <c r="H303" i="68"/>
  <c r="I303" i="68"/>
  <c r="J303" i="68"/>
  <c r="A304" i="68"/>
  <c r="B304" i="68"/>
  <c r="C304" i="68"/>
  <c r="D304" i="68"/>
  <c r="E304" i="68"/>
  <c r="F304" i="68"/>
  <c r="G304" i="68"/>
  <c r="H304" i="68"/>
  <c r="I304" i="68"/>
  <c r="J304" i="68"/>
  <c r="A305" i="68"/>
  <c r="B305" i="68"/>
  <c r="C305" i="68"/>
  <c r="D305" i="68"/>
  <c r="E305" i="68"/>
  <c r="F305" i="68"/>
  <c r="G305" i="68"/>
  <c r="H305" i="68"/>
  <c r="I305" i="68"/>
  <c r="J305" i="68"/>
  <c r="A306" i="68"/>
  <c r="B306" i="68"/>
  <c r="C306" i="68"/>
  <c r="D306" i="68"/>
  <c r="E306" i="68"/>
  <c r="F306" i="68"/>
  <c r="G306" i="68"/>
  <c r="H306" i="68"/>
  <c r="I306" i="68"/>
  <c r="J306" i="68"/>
  <c r="A307" i="68"/>
  <c r="B307" i="68"/>
  <c r="C307" i="68"/>
  <c r="D307" i="68"/>
  <c r="E307" i="68"/>
  <c r="F307" i="68"/>
  <c r="G307" i="68"/>
  <c r="H307" i="68"/>
  <c r="I307" i="68"/>
  <c r="J307" i="68"/>
  <c r="A308" i="68"/>
  <c r="B308" i="68"/>
  <c r="C308" i="68"/>
  <c r="D308" i="68"/>
  <c r="E308" i="68"/>
  <c r="F308" i="68"/>
  <c r="G308" i="68"/>
  <c r="H308" i="68"/>
  <c r="I308" i="68"/>
  <c r="J308" i="68"/>
  <c r="A309" i="68"/>
  <c r="B309" i="68"/>
  <c r="C309" i="68"/>
  <c r="D309" i="68"/>
  <c r="E309" i="68"/>
  <c r="F309" i="68"/>
  <c r="G309" i="68"/>
  <c r="H309" i="68"/>
  <c r="I309" i="68"/>
  <c r="J309" i="68"/>
  <c r="A310" i="68"/>
  <c r="B310" i="68"/>
  <c r="C310" i="68"/>
  <c r="D310" i="68"/>
  <c r="E310" i="68"/>
  <c r="F310" i="68"/>
  <c r="G310" i="68"/>
  <c r="H310" i="68"/>
  <c r="I310" i="68"/>
  <c r="J310" i="68"/>
  <c r="A311" i="68"/>
  <c r="B311" i="68"/>
  <c r="C311" i="68"/>
  <c r="D311" i="68"/>
  <c r="E311" i="68"/>
  <c r="F311" i="68"/>
  <c r="G311" i="68"/>
  <c r="H311" i="68"/>
  <c r="I311" i="68"/>
  <c r="J311" i="68"/>
  <c r="A312" i="68"/>
  <c r="B312" i="68"/>
  <c r="C312" i="68"/>
  <c r="D312" i="68"/>
  <c r="E312" i="68"/>
  <c r="F312" i="68"/>
  <c r="G312" i="68"/>
  <c r="H312" i="68"/>
  <c r="I312" i="68"/>
  <c r="J312" i="68"/>
  <c r="A313" i="68"/>
  <c r="B313" i="68"/>
  <c r="C313" i="68"/>
  <c r="D313" i="68"/>
  <c r="E313" i="68"/>
  <c r="F313" i="68"/>
  <c r="G313" i="68"/>
  <c r="H313" i="68"/>
  <c r="I313" i="68"/>
  <c r="J313" i="68"/>
  <c r="A314" i="68"/>
  <c r="B314" i="68"/>
  <c r="C314" i="68"/>
  <c r="D314" i="68"/>
  <c r="E314" i="68"/>
  <c r="F314" i="68"/>
  <c r="G314" i="68"/>
  <c r="H314" i="68"/>
  <c r="I314" i="68"/>
  <c r="J314" i="68"/>
  <c r="A315" i="68"/>
  <c r="B315" i="68"/>
  <c r="C315" i="68"/>
  <c r="D315" i="68"/>
  <c r="E315" i="68"/>
  <c r="F315" i="68"/>
  <c r="G315" i="68"/>
  <c r="H315" i="68"/>
  <c r="I315" i="68"/>
  <c r="J315" i="68"/>
  <c r="A316" i="68"/>
  <c r="B316" i="68"/>
  <c r="C316" i="68"/>
  <c r="D316" i="68"/>
  <c r="E316" i="68"/>
  <c r="F316" i="68"/>
  <c r="G316" i="68"/>
  <c r="H316" i="68"/>
  <c r="I316" i="68"/>
  <c r="J316" i="68"/>
  <c r="A317" i="68"/>
  <c r="B317" i="68"/>
  <c r="C317" i="68"/>
  <c r="D317" i="68"/>
  <c r="E317" i="68"/>
  <c r="F317" i="68"/>
  <c r="G317" i="68"/>
  <c r="H317" i="68"/>
  <c r="I317" i="68"/>
  <c r="J317" i="68"/>
  <c r="A318" i="68"/>
  <c r="B318" i="68"/>
  <c r="C318" i="68"/>
  <c r="D318" i="68"/>
  <c r="E318" i="68"/>
  <c r="F318" i="68"/>
  <c r="G318" i="68"/>
  <c r="H318" i="68"/>
  <c r="I318" i="68"/>
  <c r="J318" i="68"/>
  <c r="A319" i="68"/>
  <c r="B319" i="68"/>
  <c r="C319" i="68"/>
  <c r="D319" i="68"/>
  <c r="E319" i="68"/>
  <c r="F319" i="68"/>
  <c r="G319" i="68"/>
  <c r="H319" i="68"/>
  <c r="I319" i="68"/>
  <c r="J319" i="68"/>
  <c r="A320" i="68"/>
  <c r="B320" i="68"/>
  <c r="C320" i="68"/>
  <c r="D320" i="68"/>
  <c r="E320" i="68"/>
  <c r="F320" i="68"/>
  <c r="G320" i="68"/>
  <c r="H320" i="68"/>
  <c r="I320" i="68"/>
  <c r="J320" i="68"/>
  <c r="A321" i="68"/>
  <c r="B321" i="68"/>
  <c r="C321" i="68"/>
  <c r="D321" i="68"/>
  <c r="E321" i="68"/>
  <c r="F321" i="68"/>
  <c r="G321" i="68"/>
  <c r="H321" i="68"/>
  <c r="I321" i="68"/>
  <c r="J321" i="68"/>
  <c r="A322" i="68"/>
  <c r="B322" i="68"/>
  <c r="C322" i="68"/>
  <c r="D322" i="68"/>
  <c r="E322" i="68"/>
  <c r="F322" i="68"/>
  <c r="G322" i="68"/>
  <c r="H322" i="68"/>
  <c r="I322" i="68"/>
  <c r="J322" i="68"/>
  <c r="A323" i="68"/>
  <c r="B323" i="68"/>
  <c r="C323" i="68"/>
  <c r="D323" i="68"/>
  <c r="E323" i="68"/>
  <c r="F323" i="68"/>
  <c r="G323" i="68"/>
  <c r="H323" i="68"/>
  <c r="I323" i="68"/>
  <c r="J323" i="68"/>
  <c r="A324" i="68"/>
  <c r="B324" i="68"/>
  <c r="C324" i="68"/>
  <c r="D324" i="68"/>
  <c r="E324" i="68"/>
  <c r="F324" i="68"/>
  <c r="G324" i="68"/>
  <c r="H324" i="68"/>
  <c r="I324" i="68"/>
  <c r="J324" i="68"/>
  <c r="A325" i="68"/>
  <c r="B325" i="68"/>
  <c r="C325" i="68"/>
  <c r="D325" i="68"/>
  <c r="E325" i="68"/>
  <c r="F325" i="68"/>
  <c r="G325" i="68"/>
  <c r="H325" i="68"/>
  <c r="I325" i="68"/>
  <c r="J325" i="68"/>
  <c r="A326" i="68"/>
  <c r="B326" i="68"/>
  <c r="C326" i="68"/>
  <c r="D326" i="68"/>
  <c r="E326" i="68"/>
  <c r="F326" i="68"/>
  <c r="G326" i="68"/>
  <c r="H326" i="68"/>
  <c r="I326" i="68"/>
  <c r="J326" i="68"/>
  <c r="A327" i="68"/>
  <c r="B327" i="68"/>
  <c r="C327" i="68"/>
  <c r="D327" i="68"/>
  <c r="E327" i="68"/>
  <c r="F327" i="68"/>
  <c r="G327" i="68"/>
  <c r="H327" i="68"/>
  <c r="I327" i="68"/>
  <c r="J327" i="68"/>
  <c r="A328" i="68"/>
  <c r="B328" i="68"/>
  <c r="C328" i="68"/>
  <c r="D328" i="68"/>
  <c r="E328" i="68"/>
  <c r="F328" i="68"/>
  <c r="G328" i="68"/>
  <c r="H328" i="68"/>
  <c r="I328" i="68"/>
  <c r="J328" i="68"/>
  <c r="A329" i="68"/>
  <c r="B329" i="68"/>
  <c r="C329" i="68"/>
  <c r="D329" i="68"/>
  <c r="E329" i="68"/>
  <c r="F329" i="68"/>
  <c r="G329" i="68"/>
  <c r="H329" i="68"/>
  <c r="I329" i="68"/>
  <c r="J329" i="68"/>
  <c r="A330" i="68"/>
  <c r="B330" i="68"/>
  <c r="C330" i="68"/>
  <c r="D330" i="68"/>
  <c r="E330" i="68"/>
  <c r="F330" i="68"/>
  <c r="G330" i="68"/>
  <c r="H330" i="68"/>
  <c r="I330" i="68"/>
  <c r="J330" i="68"/>
  <c r="A331" i="68"/>
  <c r="B331" i="68"/>
  <c r="C331" i="68"/>
  <c r="D331" i="68"/>
  <c r="E331" i="68"/>
  <c r="F331" i="68"/>
  <c r="G331" i="68"/>
  <c r="H331" i="68"/>
  <c r="I331" i="68"/>
  <c r="J331" i="68"/>
  <c r="A332" i="68"/>
  <c r="B332" i="68"/>
  <c r="C332" i="68"/>
  <c r="D332" i="68"/>
  <c r="E332" i="68"/>
  <c r="F332" i="68"/>
  <c r="G332" i="68"/>
  <c r="H332" i="68"/>
  <c r="I332" i="68"/>
  <c r="J332" i="68"/>
  <c r="A333" i="68"/>
  <c r="B333" i="68"/>
  <c r="C333" i="68"/>
  <c r="D333" i="68"/>
  <c r="E333" i="68"/>
  <c r="F333" i="68"/>
  <c r="G333" i="68"/>
  <c r="H333" i="68"/>
  <c r="I333" i="68"/>
  <c r="J333" i="68"/>
  <c r="A334" i="68"/>
  <c r="B334" i="68"/>
  <c r="C334" i="68"/>
  <c r="D334" i="68"/>
  <c r="E334" i="68"/>
  <c r="F334" i="68"/>
  <c r="G334" i="68"/>
  <c r="H334" i="68"/>
  <c r="I334" i="68"/>
  <c r="J334" i="68"/>
  <c r="A335" i="68"/>
  <c r="B335" i="68"/>
  <c r="C335" i="68"/>
  <c r="D335" i="68"/>
  <c r="E335" i="68"/>
  <c r="F335" i="68"/>
  <c r="G335" i="68"/>
  <c r="H335" i="68"/>
  <c r="I335" i="68"/>
  <c r="J335" i="68"/>
  <c r="A336" i="68"/>
  <c r="B336" i="68"/>
  <c r="C336" i="68"/>
  <c r="D336" i="68"/>
  <c r="E336" i="68"/>
  <c r="F336" i="68"/>
  <c r="G336" i="68"/>
  <c r="H336" i="68"/>
  <c r="I336" i="68"/>
  <c r="J336" i="68"/>
  <c r="A337" i="68"/>
  <c r="B337" i="68"/>
  <c r="C337" i="68"/>
  <c r="D337" i="68"/>
  <c r="E337" i="68"/>
  <c r="F337" i="68"/>
  <c r="G337" i="68"/>
  <c r="H337" i="68"/>
  <c r="I337" i="68"/>
  <c r="J337" i="68"/>
  <c r="A338" i="68"/>
  <c r="B338" i="68"/>
  <c r="C338" i="68"/>
  <c r="D338" i="68"/>
  <c r="E338" i="68"/>
  <c r="F338" i="68"/>
  <c r="G338" i="68"/>
  <c r="H338" i="68"/>
  <c r="I338" i="68"/>
  <c r="J338" i="68"/>
  <c r="A339" i="68"/>
  <c r="B339" i="68"/>
  <c r="C339" i="68"/>
  <c r="D339" i="68"/>
  <c r="E339" i="68"/>
  <c r="F339" i="68"/>
  <c r="G339" i="68"/>
  <c r="H339" i="68"/>
  <c r="I339" i="68"/>
  <c r="J339" i="68"/>
  <c r="A340" i="68"/>
  <c r="B340" i="68"/>
  <c r="C340" i="68"/>
  <c r="D340" i="68"/>
  <c r="E340" i="68"/>
  <c r="F340" i="68"/>
  <c r="G340" i="68"/>
  <c r="H340" i="68"/>
  <c r="I340" i="68"/>
  <c r="J340" i="68"/>
  <c r="A341" i="68"/>
  <c r="B341" i="68"/>
  <c r="C341" i="68"/>
  <c r="D341" i="68"/>
  <c r="E341" i="68"/>
  <c r="F341" i="68"/>
  <c r="G341" i="68"/>
  <c r="H341" i="68"/>
  <c r="I341" i="68"/>
  <c r="J341" i="68"/>
  <c r="A342" i="68"/>
  <c r="B342" i="68"/>
  <c r="C342" i="68"/>
  <c r="D342" i="68"/>
  <c r="E342" i="68"/>
  <c r="F342" i="68"/>
  <c r="G342" i="68"/>
  <c r="H342" i="68"/>
  <c r="I342" i="68"/>
  <c r="J342" i="68"/>
  <c r="A343" i="68"/>
  <c r="B343" i="68"/>
  <c r="C343" i="68"/>
  <c r="D343" i="68"/>
  <c r="E343" i="68"/>
  <c r="F343" i="68"/>
  <c r="G343" i="68"/>
  <c r="H343" i="68"/>
  <c r="I343" i="68"/>
  <c r="J343" i="68"/>
  <c r="A344" i="68"/>
  <c r="B344" i="68"/>
  <c r="C344" i="68"/>
  <c r="D344" i="68"/>
  <c r="E344" i="68"/>
  <c r="F344" i="68"/>
  <c r="G344" i="68"/>
  <c r="H344" i="68"/>
  <c r="I344" i="68"/>
  <c r="J344" i="68"/>
  <c r="A345" i="68"/>
  <c r="B345" i="68"/>
  <c r="C345" i="68"/>
  <c r="D345" i="68"/>
  <c r="E345" i="68"/>
  <c r="F345" i="68"/>
  <c r="G345" i="68"/>
  <c r="H345" i="68"/>
  <c r="I345" i="68"/>
  <c r="J345" i="68"/>
  <c r="A346" i="68"/>
  <c r="B346" i="68"/>
  <c r="C346" i="68"/>
  <c r="D346" i="68"/>
  <c r="E346" i="68"/>
  <c r="F346" i="68"/>
  <c r="G346" i="68"/>
  <c r="H346" i="68"/>
  <c r="I346" i="68"/>
  <c r="J346" i="68"/>
  <c r="A347" i="68"/>
  <c r="B347" i="68"/>
  <c r="C347" i="68"/>
  <c r="D347" i="68"/>
  <c r="E347" i="68"/>
  <c r="F347" i="68"/>
  <c r="G347" i="68"/>
  <c r="H347" i="68"/>
  <c r="I347" i="68"/>
  <c r="J347" i="68"/>
  <c r="A348" i="68"/>
  <c r="B348" i="68"/>
  <c r="C348" i="68"/>
  <c r="D348" i="68"/>
  <c r="E348" i="68"/>
  <c r="F348" i="68"/>
  <c r="G348" i="68"/>
  <c r="H348" i="68"/>
  <c r="I348" i="68"/>
  <c r="J348" i="68"/>
  <c r="A349" i="68"/>
  <c r="B349" i="68"/>
  <c r="C349" i="68"/>
  <c r="D349" i="68"/>
  <c r="E349" i="68"/>
  <c r="F349" i="68"/>
  <c r="G349" i="68"/>
  <c r="H349" i="68"/>
  <c r="I349" i="68"/>
  <c r="J349" i="68"/>
  <c r="A350" i="68"/>
  <c r="B350" i="68"/>
  <c r="C350" i="68"/>
  <c r="D350" i="68"/>
  <c r="E350" i="68"/>
  <c r="F350" i="68"/>
  <c r="G350" i="68"/>
  <c r="H350" i="68"/>
  <c r="I350" i="68"/>
  <c r="J350" i="68"/>
  <c r="A351" i="68"/>
  <c r="B351" i="68"/>
  <c r="C351" i="68"/>
  <c r="D351" i="68"/>
  <c r="E351" i="68"/>
  <c r="F351" i="68"/>
  <c r="G351" i="68"/>
  <c r="H351" i="68"/>
  <c r="I351" i="68"/>
  <c r="J351" i="68"/>
  <c r="A352" i="68"/>
  <c r="B352" i="68"/>
  <c r="C352" i="68"/>
  <c r="D352" i="68"/>
  <c r="E352" i="68"/>
  <c r="F352" i="68"/>
  <c r="G352" i="68"/>
  <c r="H352" i="68"/>
  <c r="I352" i="68"/>
  <c r="J352" i="68"/>
  <c r="A353" i="68"/>
  <c r="B353" i="68"/>
  <c r="C353" i="68"/>
  <c r="D353" i="68"/>
  <c r="E353" i="68"/>
  <c r="F353" i="68"/>
  <c r="G353" i="68"/>
  <c r="H353" i="68"/>
  <c r="I353" i="68"/>
  <c r="J353" i="68"/>
  <c r="A354" i="68"/>
  <c r="B354" i="68"/>
  <c r="C354" i="68"/>
  <c r="D354" i="68"/>
  <c r="E354" i="68"/>
  <c r="F354" i="68"/>
  <c r="G354" i="68"/>
  <c r="H354" i="68"/>
  <c r="I354" i="68"/>
  <c r="J354" i="68"/>
  <c r="A355" i="68"/>
  <c r="B355" i="68"/>
  <c r="C355" i="68"/>
  <c r="D355" i="68"/>
  <c r="E355" i="68"/>
  <c r="F355" i="68"/>
  <c r="G355" i="68"/>
  <c r="H355" i="68"/>
  <c r="I355" i="68"/>
  <c r="J355" i="68"/>
  <c r="A356" i="68"/>
  <c r="B356" i="68"/>
  <c r="C356" i="68"/>
  <c r="D356" i="68"/>
  <c r="E356" i="68"/>
  <c r="F356" i="68"/>
  <c r="G356" i="68"/>
  <c r="H356" i="68"/>
  <c r="I356" i="68"/>
  <c r="J356" i="68"/>
  <c r="A357" i="68"/>
  <c r="B357" i="68"/>
  <c r="C357" i="68"/>
  <c r="D357" i="68"/>
  <c r="E357" i="68"/>
  <c r="F357" i="68"/>
  <c r="G357" i="68"/>
  <c r="H357" i="68"/>
  <c r="I357" i="68"/>
  <c r="J357" i="68"/>
  <c r="A358" i="68"/>
  <c r="B358" i="68"/>
  <c r="C358" i="68"/>
  <c r="D358" i="68"/>
  <c r="E358" i="68"/>
  <c r="F358" i="68"/>
  <c r="G358" i="68"/>
  <c r="H358" i="68"/>
  <c r="I358" i="68"/>
  <c r="J358" i="68"/>
  <c r="A359" i="68"/>
  <c r="B359" i="68"/>
  <c r="C359" i="68"/>
  <c r="D359" i="68"/>
  <c r="E359" i="68"/>
  <c r="F359" i="68"/>
  <c r="G359" i="68"/>
  <c r="H359" i="68"/>
  <c r="I359" i="68"/>
  <c r="J359" i="68"/>
  <c r="A360" i="68"/>
  <c r="B360" i="68"/>
  <c r="C360" i="68"/>
  <c r="D360" i="68"/>
  <c r="E360" i="68"/>
  <c r="F360" i="68"/>
  <c r="G360" i="68"/>
  <c r="H360" i="68"/>
  <c r="I360" i="68"/>
  <c r="J360" i="68"/>
  <c r="A361" i="68"/>
  <c r="B361" i="68"/>
  <c r="C361" i="68"/>
  <c r="D361" i="68"/>
  <c r="E361" i="68"/>
  <c r="F361" i="68"/>
  <c r="G361" i="68"/>
  <c r="H361" i="68"/>
  <c r="I361" i="68"/>
  <c r="J361" i="68"/>
  <c r="A362" i="68"/>
  <c r="B362" i="68"/>
  <c r="C362" i="68"/>
  <c r="D362" i="68"/>
  <c r="E362" i="68"/>
  <c r="F362" i="68"/>
  <c r="G362" i="68"/>
  <c r="H362" i="68"/>
  <c r="I362" i="68"/>
  <c r="J362" i="68"/>
  <c r="A363" i="68"/>
  <c r="B363" i="68"/>
  <c r="C363" i="68"/>
  <c r="D363" i="68"/>
  <c r="E363" i="68"/>
  <c r="F363" i="68"/>
  <c r="G363" i="68"/>
  <c r="H363" i="68"/>
  <c r="I363" i="68"/>
  <c r="J363" i="68"/>
  <c r="A364" i="68"/>
  <c r="B364" i="68"/>
  <c r="C364" i="68"/>
  <c r="D364" i="68"/>
  <c r="E364" i="68"/>
  <c r="F364" i="68"/>
  <c r="G364" i="68"/>
  <c r="H364" i="68"/>
  <c r="I364" i="68"/>
  <c r="J364" i="68"/>
  <c r="A365" i="68"/>
  <c r="B365" i="68"/>
  <c r="C365" i="68"/>
  <c r="D365" i="68"/>
  <c r="E365" i="68"/>
  <c r="F365" i="68"/>
  <c r="G365" i="68"/>
  <c r="H365" i="68"/>
  <c r="I365" i="68"/>
  <c r="J365" i="68"/>
  <c r="A366" i="68"/>
  <c r="B366" i="68"/>
  <c r="C366" i="68"/>
  <c r="D366" i="68"/>
  <c r="E366" i="68"/>
  <c r="F366" i="68"/>
  <c r="G366" i="68"/>
  <c r="H366" i="68"/>
  <c r="I366" i="68"/>
  <c r="J366" i="68"/>
  <c r="A367" i="68"/>
  <c r="B367" i="68"/>
  <c r="C367" i="68"/>
  <c r="D367" i="68"/>
  <c r="E367" i="68"/>
  <c r="F367" i="68"/>
  <c r="G367" i="68"/>
  <c r="H367" i="68"/>
  <c r="I367" i="68"/>
  <c r="J367" i="68"/>
  <c r="A368" i="68"/>
  <c r="B368" i="68"/>
  <c r="C368" i="68"/>
  <c r="D368" i="68"/>
  <c r="E368" i="68"/>
  <c r="F368" i="68"/>
  <c r="G368" i="68"/>
  <c r="H368" i="68"/>
  <c r="I368" i="68"/>
  <c r="J368" i="68"/>
  <c r="A369" i="68"/>
  <c r="B369" i="68"/>
  <c r="C369" i="68"/>
  <c r="D369" i="68"/>
  <c r="E369" i="68"/>
  <c r="F369" i="68"/>
  <c r="G369" i="68"/>
  <c r="H369" i="68"/>
  <c r="I369" i="68"/>
  <c r="J369" i="68"/>
  <c r="A370" i="68"/>
  <c r="B370" i="68"/>
  <c r="C370" i="68"/>
  <c r="D370" i="68"/>
  <c r="E370" i="68"/>
  <c r="F370" i="68"/>
  <c r="G370" i="68"/>
  <c r="H370" i="68"/>
  <c r="I370" i="68"/>
  <c r="J370" i="68"/>
  <c r="A371" i="68"/>
  <c r="B371" i="68"/>
  <c r="C371" i="68"/>
  <c r="D371" i="68"/>
  <c r="E371" i="68"/>
  <c r="F371" i="68"/>
  <c r="G371" i="68"/>
  <c r="H371" i="68"/>
  <c r="I371" i="68"/>
  <c r="J371" i="68"/>
  <c r="A372" i="68"/>
  <c r="B372" i="68"/>
  <c r="C372" i="68"/>
  <c r="D372" i="68"/>
  <c r="E372" i="68"/>
  <c r="F372" i="68"/>
  <c r="G372" i="68"/>
  <c r="H372" i="68"/>
  <c r="I372" i="68"/>
  <c r="J372" i="68"/>
  <c r="A373" i="68"/>
  <c r="B373" i="68"/>
  <c r="C373" i="68"/>
  <c r="D373" i="68"/>
  <c r="E373" i="68"/>
  <c r="F373" i="68"/>
  <c r="G373" i="68"/>
  <c r="H373" i="68"/>
  <c r="I373" i="68"/>
  <c r="J373" i="68"/>
  <c r="A374" i="68"/>
  <c r="B374" i="68"/>
  <c r="C374" i="68"/>
  <c r="D374" i="68"/>
  <c r="E374" i="68"/>
  <c r="F374" i="68"/>
  <c r="G374" i="68"/>
  <c r="H374" i="68"/>
  <c r="I374" i="68"/>
  <c r="J374" i="68"/>
  <c r="A375" i="68"/>
  <c r="B375" i="68"/>
  <c r="C375" i="68"/>
  <c r="D375" i="68"/>
  <c r="E375" i="68"/>
  <c r="F375" i="68"/>
  <c r="G375" i="68"/>
  <c r="H375" i="68"/>
  <c r="I375" i="68"/>
  <c r="J375" i="68"/>
  <c r="A376" i="68"/>
  <c r="B376" i="68"/>
  <c r="C376" i="68"/>
  <c r="D376" i="68"/>
  <c r="E376" i="68"/>
  <c r="F376" i="68"/>
  <c r="G376" i="68"/>
  <c r="H376" i="68"/>
  <c r="I376" i="68"/>
  <c r="J376" i="68"/>
  <c r="A377" i="68"/>
  <c r="B377" i="68"/>
  <c r="C377" i="68"/>
  <c r="D377" i="68"/>
  <c r="E377" i="68"/>
  <c r="F377" i="68"/>
  <c r="G377" i="68"/>
  <c r="H377" i="68"/>
  <c r="I377" i="68"/>
  <c r="J377" i="68"/>
  <c r="A378" i="68"/>
  <c r="B378" i="68"/>
  <c r="C378" i="68"/>
  <c r="D378" i="68"/>
  <c r="E378" i="68"/>
  <c r="F378" i="68"/>
  <c r="G378" i="68"/>
  <c r="H378" i="68"/>
  <c r="I378" i="68"/>
  <c r="J378" i="68"/>
  <c r="A379" i="68"/>
  <c r="B379" i="68"/>
  <c r="C379" i="68"/>
  <c r="D379" i="68"/>
  <c r="E379" i="68"/>
  <c r="F379" i="68"/>
  <c r="G379" i="68"/>
  <c r="H379" i="68"/>
  <c r="I379" i="68"/>
  <c r="J379" i="68"/>
  <c r="A380" i="68"/>
  <c r="B380" i="68"/>
  <c r="C380" i="68"/>
  <c r="D380" i="68"/>
  <c r="E380" i="68"/>
  <c r="F380" i="68"/>
  <c r="G380" i="68"/>
  <c r="H380" i="68"/>
  <c r="I380" i="68"/>
  <c r="J380" i="68"/>
  <c r="A381" i="68"/>
  <c r="B381" i="68"/>
  <c r="C381" i="68"/>
  <c r="D381" i="68"/>
  <c r="E381" i="68"/>
  <c r="F381" i="68"/>
  <c r="G381" i="68"/>
  <c r="H381" i="68"/>
  <c r="I381" i="68"/>
  <c r="J381" i="68"/>
  <c r="A382" i="68"/>
  <c r="B382" i="68"/>
  <c r="C382" i="68"/>
  <c r="D382" i="68"/>
  <c r="E382" i="68"/>
  <c r="F382" i="68"/>
  <c r="G382" i="68"/>
  <c r="H382" i="68"/>
  <c r="I382" i="68"/>
  <c r="J382" i="68"/>
  <c r="A383" i="68"/>
  <c r="B383" i="68"/>
  <c r="C383" i="68"/>
  <c r="D383" i="68"/>
  <c r="E383" i="68"/>
  <c r="F383" i="68"/>
  <c r="G383" i="68"/>
  <c r="H383" i="68"/>
  <c r="I383" i="68"/>
  <c r="J383" i="68"/>
  <c r="A384" i="68"/>
  <c r="B384" i="68"/>
  <c r="C384" i="68"/>
  <c r="D384" i="68"/>
  <c r="E384" i="68"/>
  <c r="F384" i="68"/>
  <c r="G384" i="68"/>
  <c r="H384" i="68"/>
  <c r="I384" i="68"/>
  <c r="J384" i="68"/>
  <c r="A385" i="68"/>
  <c r="B385" i="68"/>
  <c r="C385" i="68"/>
  <c r="D385" i="68"/>
  <c r="E385" i="68"/>
  <c r="F385" i="68"/>
  <c r="G385" i="68"/>
  <c r="H385" i="68"/>
  <c r="I385" i="68"/>
  <c r="J385" i="68"/>
  <c r="A386" i="68"/>
  <c r="B386" i="68"/>
  <c r="C386" i="68"/>
  <c r="D386" i="68"/>
  <c r="E386" i="68"/>
  <c r="F386" i="68"/>
  <c r="G386" i="68"/>
  <c r="H386" i="68"/>
  <c r="I386" i="68"/>
  <c r="J386" i="68"/>
  <c r="A387" i="68"/>
  <c r="B387" i="68"/>
  <c r="C387" i="68"/>
  <c r="D387" i="68"/>
  <c r="E387" i="68"/>
  <c r="F387" i="68"/>
  <c r="G387" i="68"/>
  <c r="H387" i="68"/>
  <c r="I387" i="68"/>
  <c r="J387" i="68"/>
  <c r="A388" i="68"/>
  <c r="B388" i="68"/>
  <c r="C388" i="68"/>
  <c r="D388" i="68"/>
  <c r="E388" i="68"/>
  <c r="F388" i="68"/>
  <c r="G388" i="68"/>
  <c r="H388" i="68"/>
  <c r="I388" i="68"/>
  <c r="J388" i="68"/>
  <c r="A389" i="68"/>
  <c r="B389" i="68"/>
  <c r="C389" i="68"/>
  <c r="D389" i="68"/>
  <c r="E389" i="68"/>
  <c r="F389" i="68"/>
  <c r="G389" i="68"/>
  <c r="H389" i="68"/>
  <c r="I389" i="68"/>
  <c r="J389" i="68"/>
  <c r="A390" i="68"/>
  <c r="B390" i="68"/>
  <c r="C390" i="68"/>
  <c r="D390" i="68"/>
  <c r="E390" i="68"/>
  <c r="F390" i="68"/>
  <c r="G390" i="68"/>
  <c r="H390" i="68"/>
  <c r="I390" i="68"/>
  <c r="J390" i="68"/>
  <c r="A391" i="68"/>
  <c r="B391" i="68"/>
  <c r="C391" i="68"/>
  <c r="D391" i="68"/>
  <c r="E391" i="68"/>
  <c r="F391" i="68"/>
  <c r="G391" i="68"/>
  <c r="H391" i="68"/>
  <c r="I391" i="68"/>
  <c r="J391" i="68"/>
  <c r="A392" i="68"/>
  <c r="B392" i="68"/>
  <c r="C392" i="68"/>
  <c r="D392" i="68"/>
  <c r="E392" i="68"/>
  <c r="F392" i="68"/>
  <c r="G392" i="68"/>
  <c r="H392" i="68"/>
  <c r="I392" i="68"/>
  <c r="J392" i="68"/>
  <c r="A393" i="68"/>
  <c r="B393" i="68"/>
  <c r="C393" i="68"/>
  <c r="D393" i="68"/>
  <c r="E393" i="68"/>
  <c r="F393" i="68"/>
  <c r="G393" i="68"/>
  <c r="H393" i="68"/>
  <c r="I393" i="68"/>
  <c r="J393" i="68"/>
  <c r="A394" i="68"/>
  <c r="B394" i="68"/>
  <c r="C394" i="68"/>
  <c r="D394" i="68"/>
  <c r="E394" i="68"/>
  <c r="F394" i="68"/>
  <c r="G394" i="68"/>
  <c r="H394" i="68"/>
  <c r="I394" i="68"/>
  <c r="J394" i="68"/>
  <c r="A395" i="68"/>
  <c r="B395" i="68"/>
  <c r="C395" i="68"/>
  <c r="D395" i="68"/>
  <c r="E395" i="68"/>
  <c r="F395" i="68"/>
  <c r="G395" i="68"/>
  <c r="H395" i="68"/>
  <c r="I395" i="68"/>
  <c r="J395" i="68"/>
  <c r="A396" i="68"/>
  <c r="B396" i="68"/>
  <c r="C396" i="68"/>
  <c r="D396" i="68"/>
  <c r="E396" i="68"/>
  <c r="F396" i="68"/>
  <c r="G396" i="68"/>
  <c r="H396" i="68"/>
  <c r="I396" i="68"/>
  <c r="J396" i="68"/>
  <c r="A397" i="68"/>
  <c r="B397" i="68"/>
  <c r="C397" i="68"/>
  <c r="D397" i="68"/>
  <c r="E397" i="68"/>
  <c r="F397" i="68"/>
  <c r="G397" i="68"/>
  <c r="H397" i="68"/>
  <c r="I397" i="68"/>
  <c r="J397" i="68"/>
  <c r="A398" i="68"/>
  <c r="B398" i="68"/>
  <c r="C398" i="68"/>
  <c r="D398" i="68"/>
  <c r="E398" i="68"/>
  <c r="F398" i="68"/>
  <c r="G398" i="68"/>
  <c r="H398" i="68"/>
  <c r="I398" i="68"/>
  <c r="J398" i="68"/>
  <c r="A399" i="68"/>
  <c r="B399" i="68"/>
  <c r="C399" i="68"/>
  <c r="D399" i="68"/>
  <c r="E399" i="68"/>
  <c r="F399" i="68"/>
  <c r="G399" i="68"/>
  <c r="H399" i="68"/>
  <c r="I399" i="68"/>
  <c r="J399" i="68"/>
  <c r="A400" i="68"/>
  <c r="B400" i="68"/>
  <c r="C400" i="68"/>
  <c r="D400" i="68"/>
  <c r="E400" i="68"/>
  <c r="F400" i="68"/>
  <c r="G400" i="68"/>
  <c r="H400" i="68"/>
  <c r="I400" i="68"/>
  <c r="J400" i="68"/>
  <c r="A401" i="68"/>
  <c r="B401" i="68"/>
  <c r="C401" i="68"/>
  <c r="D401" i="68"/>
  <c r="E401" i="68"/>
  <c r="F401" i="68"/>
  <c r="G401" i="68"/>
  <c r="H401" i="68"/>
  <c r="I401" i="68"/>
  <c r="J401" i="68"/>
  <c r="A402" i="68"/>
  <c r="B402" i="68"/>
  <c r="C402" i="68"/>
  <c r="D402" i="68"/>
  <c r="E402" i="68"/>
  <c r="F402" i="68"/>
  <c r="G402" i="68"/>
  <c r="H402" i="68"/>
  <c r="I402" i="68"/>
  <c r="J402" i="68"/>
  <c r="A403" i="68"/>
  <c r="B403" i="68"/>
  <c r="C403" i="68"/>
  <c r="D403" i="68"/>
  <c r="E403" i="68"/>
  <c r="F403" i="68"/>
  <c r="G403" i="68"/>
  <c r="H403" i="68"/>
  <c r="I403" i="68"/>
  <c r="J403" i="68"/>
  <c r="A404" i="68"/>
  <c r="B404" i="68"/>
  <c r="C404" i="68"/>
  <c r="D404" i="68"/>
  <c r="E404" i="68"/>
  <c r="F404" i="68"/>
  <c r="G404" i="68"/>
  <c r="H404" i="68"/>
  <c r="I404" i="68"/>
  <c r="J404" i="68"/>
  <c r="A405" i="68"/>
  <c r="B405" i="68"/>
  <c r="C405" i="68"/>
  <c r="D405" i="68"/>
  <c r="E405" i="68"/>
  <c r="F405" i="68"/>
  <c r="G405" i="68"/>
  <c r="H405" i="68"/>
  <c r="I405" i="68"/>
  <c r="J405" i="68"/>
  <c r="A406" i="68"/>
  <c r="B406" i="68"/>
  <c r="C406" i="68"/>
  <c r="D406" i="68"/>
  <c r="E406" i="68"/>
  <c r="F406" i="68"/>
  <c r="G406" i="68"/>
  <c r="H406" i="68"/>
  <c r="I406" i="68"/>
  <c r="J406" i="68"/>
  <c r="A407" i="68"/>
  <c r="B407" i="68"/>
  <c r="C407" i="68"/>
  <c r="D407" i="68"/>
  <c r="E407" i="68"/>
  <c r="F407" i="68"/>
  <c r="G407" i="68"/>
  <c r="H407" i="68"/>
  <c r="I407" i="68"/>
  <c r="J407" i="68"/>
  <c r="A408" i="68"/>
  <c r="B408" i="68"/>
  <c r="C408" i="68"/>
  <c r="D408" i="68"/>
  <c r="E408" i="68"/>
  <c r="F408" i="68"/>
  <c r="G408" i="68"/>
  <c r="H408" i="68"/>
  <c r="I408" i="68"/>
  <c r="J408" i="68"/>
  <c r="A409" i="68"/>
  <c r="B409" i="68"/>
  <c r="C409" i="68"/>
  <c r="D409" i="68"/>
  <c r="E409" i="68"/>
  <c r="F409" i="68"/>
  <c r="G409" i="68"/>
  <c r="H409" i="68"/>
  <c r="I409" i="68"/>
  <c r="J409" i="68"/>
  <c r="A410" i="68"/>
  <c r="B410" i="68"/>
  <c r="C410" i="68"/>
  <c r="D410" i="68"/>
  <c r="E410" i="68"/>
  <c r="F410" i="68"/>
  <c r="G410" i="68"/>
  <c r="H410" i="68"/>
  <c r="I410" i="68"/>
  <c r="J410" i="68"/>
  <c r="A411" i="68"/>
  <c r="B411" i="68"/>
  <c r="C411" i="68"/>
  <c r="D411" i="68"/>
  <c r="E411" i="68"/>
  <c r="F411" i="68"/>
  <c r="G411" i="68"/>
  <c r="H411" i="68"/>
  <c r="I411" i="68"/>
  <c r="J411" i="68"/>
  <c r="A412" i="68"/>
  <c r="B412" i="68"/>
  <c r="C412" i="68"/>
  <c r="D412" i="68"/>
  <c r="E412" i="68"/>
  <c r="F412" i="68"/>
  <c r="G412" i="68"/>
  <c r="H412" i="68"/>
  <c r="I412" i="68"/>
  <c r="J412" i="68"/>
  <c r="A413" i="68"/>
  <c r="B413" i="68"/>
  <c r="C413" i="68"/>
  <c r="D413" i="68"/>
  <c r="E413" i="68"/>
  <c r="F413" i="68"/>
  <c r="G413" i="68"/>
  <c r="H413" i="68"/>
  <c r="I413" i="68"/>
  <c r="J413" i="68"/>
  <c r="A414" i="68"/>
  <c r="B414" i="68"/>
  <c r="C414" i="68"/>
  <c r="D414" i="68"/>
  <c r="E414" i="68"/>
  <c r="F414" i="68"/>
  <c r="G414" i="68"/>
  <c r="H414" i="68"/>
  <c r="I414" i="68"/>
  <c r="J414" i="68"/>
  <c r="A415" i="68"/>
  <c r="B415" i="68"/>
  <c r="C415" i="68"/>
  <c r="D415" i="68"/>
  <c r="E415" i="68"/>
  <c r="F415" i="68"/>
  <c r="G415" i="68"/>
  <c r="H415" i="68"/>
  <c r="I415" i="68"/>
  <c r="J415" i="68"/>
  <c r="A416" i="68"/>
  <c r="B416" i="68"/>
  <c r="C416" i="68"/>
  <c r="D416" i="68"/>
  <c r="E416" i="68"/>
  <c r="F416" i="68"/>
  <c r="G416" i="68"/>
  <c r="H416" i="68"/>
  <c r="I416" i="68"/>
  <c r="J416" i="68"/>
  <c r="A417" i="68"/>
  <c r="B417" i="68"/>
  <c r="C417" i="68"/>
  <c r="D417" i="68"/>
  <c r="E417" i="68"/>
  <c r="F417" i="68"/>
  <c r="G417" i="68"/>
  <c r="H417" i="68"/>
  <c r="I417" i="68"/>
  <c r="J417" i="68"/>
  <c r="A418" i="68"/>
  <c r="B418" i="68"/>
  <c r="C418" i="68"/>
  <c r="D418" i="68"/>
  <c r="E418" i="68"/>
  <c r="F418" i="68"/>
  <c r="G418" i="68"/>
  <c r="H418" i="68"/>
  <c r="I418" i="68"/>
  <c r="J418" i="68"/>
  <c r="A419" i="68"/>
  <c r="B419" i="68"/>
  <c r="C419" i="68"/>
  <c r="D419" i="68"/>
  <c r="E419" i="68"/>
  <c r="F419" i="68"/>
  <c r="G419" i="68"/>
  <c r="H419" i="68"/>
  <c r="I419" i="68"/>
  <c r="J419" i="68"/>
  <c r="A420" i="68"/>
  <c r="B420" i="68"/>
  <c r="C420" i="68"/>
  <c r="D420" i="68"/>
  <c r="E420" i="68"/>
  <c r="F420" i="68"/>
  <c r="G420" i="68"/>
  <c r="H420" i="68"/>
  <c r="I420" i="68"/>
  <c r="J420" i="68"/>
  <c r="A421" i="68"/>
  <c r="B421" i="68"/>
  <c r="C421" i="68"/>
  <c r="D421" i="68"/>
  <c r="E421" i="68"/>
  <c r="F421" i="68"/>
  <c r="G421" i="68"/>
  <c r="H421" i="68"/>
  <c r="I421" i="68"/>
  <c r="J421" i="68"/>
  <c r="A422" i="68"/>
  <c r="B422" i="68"/>
  <c r="C422" i="68"/>
  <c r="D422" i="68"/>
  <c r="E422" i="68"/>
  <c r="F422" i="68"/>
  <c r="G422" i="68"/>
  <c r="H422" i="68"/>
  <c r="I422" i="68"/>
  <c r="J422" i="68"/>
  <c r="A423" i="68"/>
  <c r="B423" i="68"/>
  <c r="C423" i="68"/>
  <c r="D423" i="68"/>
  <c r="E423" i="68"/>
  <c r="F423" i="68"/>
  <c r="G423" i="68"/>
  <c r="H423" i="68"/>
  <c r="I423" i="68"/>
  <c r="J423" i="68"/>
  <c r="A424" i="68"/>
  <c r="B424" i="68"/>
  <c r="C424" i="68"/>
  <c r="D424" i="68"/>
  <c r="E424" i="68"/>
  <c r="F424" i="68"/>
  <c r="G424" i="68"/>
  <c r="H424" i="68"/>
  <c r="I424" i="68"/>
  <c r="J424" i="68"/>
  <c r="A425" i="68"/>
  <c r="B425" i="68"/>
  <c r="C425" i="68"/>
  <c r="D425" i="68"/>
  <c r="E425" i="68"/>
  <c r="F425" i="68"/>
  <c r="G425" i="68"/>
  <c r="H425" i="68"/>
  <c r="I425" i="68"/>
  <c r="J425" i="68"/>
  <c r="A426" i="68"/>
  <c r="B426" i="68"/>
  <c r="C426" i="68"/>
  <c r="D426" i="68"/>
  <c r="E426" i="68"/>
  <c r="F426" i="68"/>
  <c r="G426" i="68"/>
  <c r="H426" i="68"/>
  <c r="I426" i="68"/>
  <c r="J426" i="68"/>
  <c r="A427" i="68"/>
  <c r="B427" i="68"/>
  <c r="C427" i="68"/>
  <c r="D427" i="68"/>
  <c r="E427" i="68"/>
  <c r="F427" i="68"/>
  <c r="G427" i="68"/>
  <c r="H427" i="68"/>
  <c r="I427" i="68"/>
  <c r="J427" i="68"/>
  <c r="A428" i="68"/>
  <c r="B428" i="68"/>
  <c r="C428" i="68"/>
  <c r="D428" i="68"/>
  <c r="E428" i="68"/>
  <c r="F428" i="68"/>
  <c r="G428" i="68"/>
  <c r="H428" i="68"/>
  <c r="I428" i="68"/>
  <c r="J428" i="68"/>
  <c r="A429" i="68"/>
  <c r="B429" i="68"/>
  <c r="C429" i="68"/>
  <c r="D429" i="68"/>
  <c r="E429" i="68"/>
  <c r="F429" i="68"/>
  <c r="G429" i="68"/>
  <c r="H429" i="68"/>
  <c r="I429" i="68"/>
  <c r="J429" i="68"/>
  <c r="A430" i="68"/>
  <c r="B430" i="68"/>
  <c r="C430" i="68"/>
  <c r="D430" i="68"/>
  <c r="E430" i="68"/>
  <c r="F430" i="68"/>
  <c r="G430" i="68"/>
  <c r="H430" i="68"/>
  <c r="I430" i="68"/>
  <c r="J430" i="68"/>
  <c r="A431" i="68"/>
  <c r="B431" i="68"/>
  <c r="C431" i="68"/>
  <c r="D431" i="68"/>
  <c r="E431" i="68"/>
  <c r="F431" i="68"/>
  <c r="G431" i="68"/>
  <c r="H431" i="68"/>
  <c r="I431" i="68"/>
  <c r="J431" i="68"/>
  <c r="A432" i="68"/>
  <c r="B432" i="68"/>
  <c r="C432" i="68"/>
  <c r="D432" i="68"/>
  <c r="E432" i="68"/>
  <c r="F432" i="68"/>
  <c r="G432" i="68"/>
  <c r="H432" i="68"/>
  <c r="I432" i="68"/>
  <c r="J432" i="68"/>
  <c r="A433" i="68"/>
  <c r="B433" i="68"/>
  <c r="C433" i="68"/>
  <c r="D433" i="68"/>
  <c r="E433" i="68"/>
  <c r="F433" i="68"/>
  <c r="G433" i="68"/>
  <c r="H433" i="68"/>
  <c r="I433" i="68"/>
  <c r="J433" i="68"/>
  <c r="A434" i="68"/>
  <c r="B434" i="68"/>
  <c r="C434" i="68"/>
  <c r="D434" i="68"/>
  <c r="E434" i="68"/>
  <c r="F434" i="68"/>
  <c r="G434" i="68"/>
  <c r="H434" i="68"/>
  <c r="I434" i="68"/>
  <c r="J434" i="68"/>
  <c r="A435" i="68"/>
  <c r="B435" i="68"/>
  <c r="C435" i="68"/>
  <c r="D435" i="68"/>
  <c r="E435" i="68"/>
  <c r="F435" i="68"/>
  <c r="G435" i="68"/>
  <c r="H435" i="68"/>
  <c r="I435" i="68"/>
  <c r="J435" i="68"/>
  <c r="A436" i="68"/>
  <c r="B436" i="68"/>
  <c r="C436" i="68"/>
  <c r="D436" i="68"/>
  <c r="E436" i="68"/>
  <c r="F436" i="68"/>
  <c r="G436" i="68"/>
  <c r="H436" i="68"/>
  <c r="I436" i="68"/>
  <c r="J436" i="68"/>
  <c r="A437" i="68"/>
  <c r="B437" i="68"/>
  <c r="C437" i="68"/>
  <c r="D437" i="68"/>
  <c r="E437" i="68"/>
  <c r="F437" i="68"/>
  <c r="G437" i="68"/>
  <c r="H437" i="68"/>
  <c r="I437" i="68"/>
  <c r="J437" i="68"/>
  <c r="A438" i="68"/>
  <c r="B438" i="68"/>
  <c r="C438" i="68"/>
  <c r="D438" i="68"/>
  <c r="E438" i="68"/>
  <c r="F438" i="68"/>
  <c r="G438" i="68"/>
  <c r="H438" i="68"/>
  <c r="I438" i="68"/>
  <c r="J438" i="68"/>
  <c r="A439" i="68"/>
  <c r="B439" i="68"/>
  <c r="C439" i="68"/>
  <c r="D439" i="68"/>
  <c r="E439" i="68"/>
  <c r="F439" i="68"/>
  <c r="G439" i="68"/>
  <c r="H439" i="68"/>
  <c r="I439" i="68"/>
  <c r="J439" i="68"/>
  <c r="A440" i="68"/>
  <c r="B440" i="68"/>
  <c r="C440" i="68"/>
  <c r="D440" i="68"/>
  <c r="E440" i="68"/>
  <c r="F440" i="68"/>
  <c r="G440" i="68"/>
  <c r="H440" i="68"/>
  <c r="I440" i="68"/>
  <c r="J440" i="68"/>
  <c r="A441" i="68"/>
  <c r="B441" i="68"/>
  <c r="C441" i="68"/>
  <c r="D441" i="68"/>
  <c r="E441" i="68"/>
  <c r="F441" i="68"/>
  <c r="G441" i="68"/>
  <c r="H441" i="68"/>
  <c r="I441" i="68"/>
  <c r="J441" i="68"/>
  <c r="A442" i="68"/>
  <c r="B442" i="68"/>
  <c r="C442" i="68"/>
  <c r="D442" i="68"/>
  <c r="E442" i="68"/>
  <c r="F442" i="68"/>
  <c r="G442" i="68"/>
  <c r="H442" i="68"/>
  <c r="I442" i="68"/>
  <c r="J442" i="68"/>
  <c r="A443" i="68"/>
  <c r="B443" i="68"/>
  <c r="C443" i="68"/>
  <c r="D443" i="68"/>
  <c r="E443" i="68"/>
  <c r="F443" i="68"/>
  <c r="G443" i="68"/>
  <c r="H443" i="68"/>
  <c r="I443" i="68"/>
  <c r="J443" i="68"/>
  <c r="A444" i="68"/>
  <c r="B444" i="68"/>
  <c r="C444" i="68"/>
  <c r="D444" i="68"/>
  <c r="E444" i="68"/>
  <c r="F444" i="68"/>
  <c r="G444" i="68"/>
  <c r="H444" i="68"/>
  <c r="I444" i="68"/>
  <c r="J444" i="68"/>
  <c r="A445" i="68"/>
  <c r="B445" i="68"/>
  <c r="C445" i="68"/>
  <c r="D445" i="68"/>
  <c r="E445" i="68"/>
  <c r="F445" i="68"/>
  <c r="G445" i="68"/>
  <c r="H445" i="68"/>
  <c r="I445" i="68"/>
  <c r="J445" i="68"/>
  <c r="A446" i="68"/>
  <c r="B446" i="68"/>
  <c r="C446" i="68"/>
  <c r="D446" i="68"/>
  <c r="E446" i="68"/>
  <c r="F446" i="68"/>
  <c r="G446" i="68"/>
  <c r="H446" i="68"/>
  <c r="I446" i="68"/>
  <c r="J446" i="68"/>
  <c r="A447" i="68"/>
  <c r="B447" i="68"/>
  <c r="C447" i="68"/>
  <c r="D447" i="68"/>
  <c r="E447" i="68"/>
  <c r="F447" i="68"/>
  <c r="G447" i="68"/>
  <c r="H447" i="68"/>
  <c r="I447" i="68"/>
  <c r="J447" i="68"/>
  <c r="A448" i="68"/>
  <c r="B448" i="68"/>
  <c r="C448" i="68"/>
  <c r="D448" i="68"/>
  <c r="E448" i="68"/>
  <c r="F448" i="68"/>
  <c r="G448" i="68"/>
  <c r="H448" i="68"/>
  <c r="I448" i="68"/>
  <c r="J448" i="68"/>
  <c r="A449" i="68"/>
  <c r="B449" i="68"/>
  <c r="C449" i="68"/>
  <c r="D449" i="68"/>
  <c r="E449" i="68"/>
  <c r="F449" i="68"/>
  <c r="G449" i="68"/>
  <c r="H449" i="68"/>
  <c r="I449" i="68"/>
  <c r="J449" i="68"/>
  <c r="A450" i="68"/>
  <c r="B450" i="68"/>
  <c r="C450" i="68"/>
  <c r="D450" i="68"/>
  <c r="E450" i="68"/>
  <c r="F450" i="68"/>
  <c r="G450" i="68"/>
  <c r="H450" i="68"/>
  <c r="I450" i="68"/>
  <c r="J450" i="68"/>
  <c r="A451" i="68"/>
  <c r="B451" i="68"/>
  <c r="C451" i="68"/>
  <c r="D451" i="68"/>
  <c r="E451" i="68"/>
  <c r="F451" i="68"/>
  <c r="G451" i="68"/>
  <c r="H451" i="68"/>
  <c r="I451" i="68"/>
  <c r="J451" i="68"/>
  <c r="A452" i="68"/>
  <c r="B452" i="68"/>
  <c r="C452" i="68"/>
  <c r="D452" i="68"/>
  <c r="E452" i="68"/>
  <c r="F452" i="68"/>
  <c r="G452" i="68"/>
  <c r="H452" i="68"/>
  <c r="I452" i="68"/>
  <c r="J452" i="68"/>
  <c r="A453" i="68"/>
  <c r="B453" i="68"/>
  <c r="C453" i="68"/>
  <c r="D453" i="68"/>
  <c r="E453" i="68"/>
  <c r="F453" i="68"/>
  <c r="G453" i="68"/>
  <c r="H453" i="68"/>
  <c r="I453" i="68"/>
  <c r="J453" i="68"/>
  <c r="A454" i="68"/>
  <c r="B454" i="68"/>
  <c r="C454" i="68"/>
  <c r="D454" i="68"/>
  <c r="E454" i="68"/>
  <c r="F454" i="68"/>
  <c r="G454" i="68"/>
  <c r="H454" i="68"/>
  <c r="I454" i="68"/>
  <c r="J454" i="68"/>
  <c r="A455" i="68"/>
  <c r="B455" i="68"/>
  <c r="C455" i="68"/>
  <c r="D455" i="68"/>
  <c r="E455" i="68"/>
  <c r="F455" i="68"/>
  <c r="G455" i="68"/>
  <c r="H455" i="68"/>
  <c r="I455" i="68"/>
  <c r="J455" i="68"/>
  <c r="A456" i="68"/>
  <c r="B456" i="68"/>
  <c r="C456" i="68"/>
  <c r="D456" i="68"/>
  <c r="E456" i="68"/>
  <c r="F456" i="68"/>
  <c r="G456" i="68"/>
  <c r="H456" i="68"/>
  <c r="I456" i="68"/>
  <c r="J456" i="68"/>
  <c r="A457" i="68"/>
  <c r="B457" i="68"/>
  <c r="C457" i="68"/>
  <c r="D457" i="68"/>
  <c r="E457" i="68"/>
  <c r="F457" i="68"/>
  <c r="G457" i="68"/>
  <c r="H457" i="68"/>
  <c r="I457" i="68"/>
  <c r="J457" i="68"/>
  <c r="A458" i="68"/>
  <c r="B458" i="68"/>
  <c r="C458" i="68"/>
  <c r="D458" i="68"/>
  <c r="E458" i="68"/>
  <c r="F458" i="68"/>
  <c r="G458" i="68"/>
  <c r="H458" i="68"/>
  <c r="I458" i="68"/>
  <c r="J458" i="68"/>
  <c r="A459" i="68"/>
  <c r="B459" i="68"/>
  <c r="C459" i="68"/>
  <c r="D459" i="68"/>
  <c r="E459" i="68"/>
  <c r="F459" i="68"/>
  <c r="G459" i="68"/>
  <c r="H459" i="68"/>
  <c r="I459" i="68"/>
  <c r="J459" i="68"/>
  <c r="A460" i="68"/>
  <c r="B460" i="68"/>
  <c r="C460" i="68"/>
  <c r="D460" i="68"/>
  <c r="E460" i="68"/>
  <c r="F460" i="68"/>
  <c r="G460" i="68"/>
  <c r="H460" i="68"/>
  <c r="I460" i="68"/>
  <c r="J460" i="68"/>
  <c r="A461" i="68"/>
  <c r="B461" i="68"/>
  <c r="C461" i="68"/>
  <c r="D461" i="68"/>
  <c r="E461" i="68"/>
  <c r="F461" i="68"/>
  <c r="G461" i="68"/>
  <c r="H461" i="68"/>
  <c r="I461" i="68"/>
  <c r="J461" i="68"/>
  <c r="A462" i="68"/>
  <c r="B462" i="68"/>
  <c r="C462" i="68"/>
  <c r="D462" i="68"/>
  <c r="E462" i="68"/>
  <c r="F462" i="68"/>
  <c r="G462" i="68"/>
  <c r="H462" i="68"/>
  <c r="I462" i="68"/>
  <c r="J462" i="68"/>
  <c r="A463" i="68"/>
  <c r="B463" i="68"/>
  <c r="C463" i="68"/>
  <c r="D463" i="68"/>
  <c r="E463" i="68"/>
  <c r="F463" i="68"/>
  <c r="G463" i="68"/>
  <c r="H463" i="68"/>
  <c r="I463" i="68"/>
  <c r="J463" i="68"/>
  <c r="A464" i="68"/>
  <c r="B464" i="68"/>
  <c r="C464" i="68"/>
  <c r="D464" i="68"/>
  <c r="E464" i="68"/>
  <c r="F464" i="68"/>
  <c r="G464" i="68"/>
  <c r="H464" i="68"/>
  <c r="I464" i="68"/>
  <c r="J464" i="68"/>
  <c r="A465" i="68"/>
  <c r="B465" i="68"/>
  <c r="C465" i="68"/>
  <c r="D465" i="68"/>
  <c r="E465" i="68"/>
  <c r="F465" i="68"/>
  <c r="G465" i="68"/>
  <c r="H465" i="68"/>
  <c r="I465" i="68"/>
  <c r="J465" i="68"/>
  <c r="A466" i="68"/>
  <c r="B466" i="68"/>
  <c r="C466" i="68"/>
  <c r="D466" i="68"/>
  <c r="E466" i="68"/>
  <c r="F466" i="68"/>
  <c r="G466" i="68"/>
  <c r="H466" i="68"/>
  <c r="I466" i="68"/>
  <c r="J466" i="68"/>
  <c r="A467" i="68"/>
  <c r="B467" i="68"/>
  <c r="C467" i="68"/>
  <c r="D467" i="68"/>
  <c r="E467" i="68"/>
  <c r="F467" i="68"/>
  <c r="G467" i="68"/>
  <c r="H467" i="68"/>
  <c r="I467" i="68"/>
  <c r="J467" i="68"/>
  <c r="A468" i="68"/>
  <c r="B468" i="68"/>
  <c r="C468" i="68"/>
  <c r="D468" i="68"/>
  <c r="E468" i="68"/>
  <c r="F468" i="68"/>
  <c r="G468" i="68"/>
  <c r="H468" i="68"/>
  <c r="I468" i="68"/>
  <c r="J468" i="68"/>
  <c r="A469" i="68"/>
  <c r="B469" i="68"/>
  <c r="C469" i="68"/>
  <c r="D469" i="68"/>
  <c r="E469" i="68"/>
  <c r="F469" i="68"/>
  <c r="G469" i="68"/>
  <c r="H469" i="68"/>
  <c r="I469" i="68"/>
  <c r="J469" i="68"/>
  <c r="A470" i="68"/>
  <c r="B470" i="68"/>
  <c r="C470" i="68"/>
  <c r="D470" i="68"/>
  <c r="E470" i="68"/>
  <c r="F470" i="68"/>
  <c r="G470" i="68"/>
  <c r="H470" i="68"/>
  <c r="I470" i="68"/>
  <c r="J470" i="68"/>
  <c r="A471" i="68"/>
  <c r="B471" i="68"/>
  <c r="C471" i="68"/>
  <c r="D471" i="68"/>
  <c r="E471" i="68"/>
  <c r="F471" i="68"/>
  <c r="G471" i="68"/>
  <c r="H471" i="68"/>
  <c r="I471" i="68"/>
  <c r="J471" i="68"/>
  <c r="A472" i="68"/>
  <c r="B472" i="68"/>
  <c r="C472" i="68"/>
  <c r="D472" i="68"/>
  <c r="E472" i="68"/>
  <c r="F472" i="68"/>
  <c r="G472" i="68"/>
  <c r="H472" i="68"/>
  <c r="I472" i="68"/>
  <c r="J472" i="68"/>
  <c r="A473" i="68"/>
  <c r="B473" i="68"/>
  <c r="C473" i="68"/>
  <c r="D473" i="68"/>
  <c r="E473" i="68"/>
  <c r="F473" i="68"/>
  <c r="G473" i="68"/>
  <c r="H473" i="68"/>
  <c r="I473" i="68"/>
  <c r="J473" i="68"/>
  <c r="A474" i="68"/>
  <c r="B474" i="68"/>
  <c r="C474" i="68"/>
  <c r="D474" i="68"/>
  <c r="E474" i="68"/>
  <c r="F474" i="68"/>
  <c r="G474" i="68"/>
  <c r="H474" i="68"/>
  <c r="I474" i="68"/>
  <c r="J474" i="68"/>
  <c r="A475" i="68"/>
  <c r="B475" i="68"/>
  <c r="C475" i="68"/>
  <c r="D475" i="68"/>
  <c r="E475" i="68"/>
  <c r="F475" i="68"/>
  <c r="G475" i="68"/>
  <c r="H475" i="68"/>
  <c r="I475" i="68"/>
  <c r="J475" i="68"/>
  <c r="A476" i="68"/>
  <c r="B476" i="68"/>
  <c r="C476" i="68"/>
  <c r="D476" i="68"/>
  <c r="E476" i="68"/>
  <c r="F476" i="68"/>
  <c r="G476" i="68"/>
  <c r="H476" i="68"/>
  <c r="I476" i="68"/>
  <c r="J476" i="68"/>
  <c r="A477" i="68"/>
  <c r="B477" i="68"/>
  <c r="C477" i="68"/>
  <c r="D477" i="68"/>
  <c r="E477" i="68"/>
  <c r="F477" i="68"/>
  <c r="G477" i="68"/>
  <c r="H477" i="68"/>
  <c r="I477" i="68"/>
  <c r="J477" i="68"/>
  <c r="A478" i="68"/>
  <c r="B478" i="68"/>
  <c r="C478" i="68"/>
  <c r="D478" i="68"/>
  <c r="E478" i="68"/>
  <c r="F478" i="68"/>
  <c r="G478" i="68"/>
  <c r="H478" i="68"/>
  <c r="I478" i="68"/>
  <c r="J478" i="68"/>
  <c r="A479" i="68"/>
  <c r="B479" i="68"/>
  <c r="C479" i="68"/>
  <c r="D479" i="68"/>
  <c r="E479" i="68"/>
  <c r="F479" i="68"/>
  <c r="G479" i="68"/>
  <c r="H479" i="68"/>
  <c r="I479" i="68"/>
  <c r="J479" i="68"/>
  <c r="A480" i="68"/>
  <c r="B480" i="68"/>
  <c r="C480" i="68"/>
  <c r="D480" i="68"/>
  <c r="E480" i="68"/>
  <c r="F480" i="68"/>
  <c r="G480" i="68"/>
  <c r="H480" i="68"/>
  <c r="I480" i="68"/>
  <c r="J480" i="68"/>
  <c r="A481" i="68"/>
  <c r="B481" i="68"/>
  <c r="C481" i="68"/>
  <c r="D481" i="68"/>
  <c r="E481" i="68"/>
  <c r="F481" i="68"/>
  <c r="G481" i="68"/>
  <c r="H481" i="68"/>
  <c r="I481" i="68"/>
  <c r="J481" i="68"/>
  <c r="A482" i="68"/>
  <c r="B482" i="68"/>
  <c r="C482" i="68"/>
  <c r="D482" i="68"/>
  <c r="E482" i="68"/>
  <c r="F482" i="68"/>
  <c r="G482" i="68"/>
  <c r="H482" i="68"/>
  <c r="I482" i="68"/>
  <c r="J482" i="68"/>
  <c r="A483" i="68"/>
  <c r="B483" i="68"/>
  <c r="C483" i="68"/>
  <c r="D483" i="68"/>
  <c r="E483" i="68"/>
  <c r="F483" i="68"/>
  <c r="G483" i="68"/>
  <c r="H483" i="68"/>
  <c r="I483" i="68"/>
  <c r="J483" i="68"/>
  <c r="A484" i="68"/>
  <c r="B484" i="68"/>
  <c r="C484" i="68"/>
  <c r="D484" i="68"/>
  <c r="E484" i="68"/>
  <c r="F484" i="68"/>
  <c r="G484" i="68"/>
  <c r="H484" i="68"/>
  <c r="I484" i="68"/>
  <c r="J484" i="68"/>
  <c r="A485" i="68"/>
  <c r="B485" i="68"/>
  <c r="C485" i="68"/>
  <c r="D485" i="68"/>
  <c r="E485" i="68"/>
  <c r="F485" i="68"/>
  <c r="G485" i="68"/>
  <c r="H485" i="68"/>
  <c r="I485" i="68"/>
  <c r="J485" i="68"/>
  <c r="A486" i="68"/>
  <c r="B486" i="68"/>
  <c r="C486" i="68"/>
  <c r="D486" i="68"/>
  <c r="E486" i="68"/>
  <c r="F486" i="68"/>
  <c r="G486" i="68"/>
  <c r="H486" i="68"/>
  <c r="I486" i="68"/>
  <c r="J486" i="68"/>
  <c r="A487" i="68"/>
  <c r="B487" i="68"/>
  <c r="C487" i="68"/>
  <c r="D487" i="68"/>
  <c r="E487" i="68"/>
  <c r="F487" i="68"/>
  <c r="G487" i="68"/>
  <c r="H487" i="68"/>
  <c r="I487" i="68"/>
  <c r="J487" i="68"/>
  <c r="A488" i="68"/>
  <c r="B488" i="68"/>
  <c r="C488" i="68"/>
  <c r="D488" i="68"/>
  <c r="E488" i="68"/>
  <c r="F488" i="68"/>
  <c r="G488" i="68"/>
  <c r="H488" i="68"/>
  <c r="I488" i="68"/>
  <c r="J488" i="68"/>
  <c r="A489" i="68"/>
  <c r="B489" i="68"/>
  <c r="C489" i="68"/>
  <c r="D489" i="68"/>
  <c r="E489" i="68"/>
  <c r="F489" i="68"/>
  <c r="G489" i="68"/>
  <c r="H489" i="68"/>
  <c r="I489" i="68"/>
  <c r="J489" i="68"/>
  <c r="A490" i="68"/>
  <c r="B490" i="68"/>
  <c r="C490" i="68"/>
  <c r="D490" i="68"/>
  <c r="E490" i="68"/>
  <c r="F490" i="68"/>
  <c r="G490" i="68"/>
  <c r="H490" i="68"/>
  <c r="I490" i="68"/>
  <c r="J490" i="68"/>
  <c r="A491" i="68"/>
  <c r="B491" i="68"/>
  <c r="C491" i="68"/>
  <c r="D491" i="68"/>
  <c r="E491" i="68"/>
  <c r="F491" i="68"/>
  <c r="G491" i="68"/>
  <c r="H491" i="68"/>
  <c r="I491" i="68"/>
  <c r="J491" i="68"/>
  <c r="A492" i="68"/>
  <c r="B492" i="68"/>
  <c r="C492" i="68"/>
  <c r="D492" i="68"/>
  <c r="E492" i="68"/>
  <c r="F492" i="68"/>
  <c r="G492" i="68"/>
  <c r="H492" i="68"/>
  <c r="I492" i="68"/>
  <c r="J492" i="68"/>
  <c r="A493" i="68"/>
  <c r="B493" i="68"/>
  <c r="C493" i="68"/>
  <c r="D493" i="68"/>
  <c r="E493" i="68"/>
  <c r="F493" i="68"/>
  <c r="G493" i="68"/>
  <c r="H493" i="68"/>
  <c r="I493" i="68"/>
  <c r="J493" i="68"/>
  <c r="A494" i="68"/>
  <c r="B494" i="68"/>
  <c r="C494" i="68"/>
  <c r="D494" i="68"/>
  <c r="E494" i="68"/>
  <c r="F494" i="68"/>
  <c r="G494" i="68"/>
  <c r="H494" i="68"/>
  <c r="I494" i="68"/>
  <c r="J494" i="68"/>
  <c r="A495" i="68"/>
  <c r="B495" i="68"/>
  <c r="C495" i="68"/>
  <c r="D495" i="68"/>
  <c r="E495" i="68"/>
  <c r="F495" i="68"/>
  <c r="G495" i="68"/>
  <c r="H495" i="68"/>
  <c r="I495" i="68"/>
  <c r="J495" i="68"/>
  <c r="A496" i="68"/>
  <c r="B496" i="68"/>
  <c r="C496" i="68"/>
  <c r="D496" i="68"/>
  <c r="E496" i="68"/>
  <c r="F496" i="68"/>
  <c r="G496" i="68"/>
  <c r="H496" i="68"/>
  <c r="I496" i="68"/>
  <c r="J496" i="68"/>
  <c r="A497" i="68"/>
  <c r="B497" i="68"/>
  <c r="C497" i="68"/>
  <c r="D497" i="68"/>
  <c r="E497" i="68"/>
  <c r="F497" i="68"/>
  <c r="G497" i="68"/>
  <c r="H497" i="68"/>
  <c r="I497" i="68"/>
  <c r="J497" i="68"/>
  <c r="A498" i="68"/>
  <c r="B498" i="68"/>
  <c r="C498" i="68"/>
  <c r="D498" i="68"/>
  <c r="E498" i="68"/>
  <c r="F498" i="68"/>
  <c r="G498" i="68"/>
  <c r="H498" i="68"/>
  <c r="I498" i="68"/>
  <c r="J498" i="68"/>
  <c r="A499" i="68"/>
  <c r="B499" i="68"/>
  <c r="C499" i="68"/>
  <c r="D499" i="68"/>
  <c r="E499" i="68"/>
  <c r="F499" i="68"/>
  <c r="G499" i="68"/>
  <c r="H499" i="68"/>
  <c r="I499" i="68"/>
  <c r="J499" i="68"/>
  <c r="A500" i="68"/>
  <c r="B500" i="68"/>
  <c r="C500" i="68"/>
  <c r="D500" i="68"/>
  <c r="E500" i="68"/>
  <c r="F500" i="68"/>
  <c r="G500" i="68"/>
  <c r="H500" i="68"/>
  <c r="I500" i="68"/>
  <c r="J500" i="68"/>
  <c r="A501" i="68"/>
  <c r="B501" i="68"/>
  <c r="C501" i="68"/>
  <c r="D501" i="68"/>
  <c r="E501" i="68"/>
  <c r="F501" i="68"/>
  <c r="G501" i="68"/>
  <c r="H501" i="68"/>
  <c r="I501" i="68"/>
  <c r="J501" i="68"/>
  <c r="A502" i="68"/>
  <c r="B502" i="68"/>
  <c r="C502" i="68"/>
  <c r="D502" i="68"/>
  <c r="E502" i="68"/>
  <c r="F502" i="68"/>
  <c r="G502" i="68"/>
  <c r="H502" i="68"/>
  <c r="I502" i="68"/>
  <c r="J502" i="68"/>
  <c r="A503" i="68"/>
  <c r="B503" i="68"/>
  <c r="C503" i="68"/>
  <c r="D503" i="68"/>
  <c r="E503" i="68"/>
  <c r="F503" i="68"/>
  <c r="G503" i="68"/>
  <c r="H503" i="68"/>
  <c r="I503" i="68"/>
  <c r="J503" i="68"/>
  <c r="A504" i="68"/>
  <c r="B504" i="68"/>
  <c r="C504" i="68"/>
  <c r="D504" i="68"/>
  <c r="E504" i="68"/>
  <c r="F504" i="68"/>
  <c r="G504" i="68"/>
  <c r="H504" i="68"/>
  <c r="I504" i="68"/>
  <c r="J504" i="68"/>
  <c r="A505" i="68"/>
  <c r="B505" i="68"/>
  <c r="C505" i="68"/>
  <c r="D505" i="68"/>
  <c r="E505" i="68"/>
  <c r="F505" i="68"/>
  <c r="G505" i="68"/>
  <c r="H505" i="68"/>
  <c r="I505" i="68"/>
  <c r="J505" i="68"/>
  <c r="A506" i="68"/>
  <c r="B506" i="68"/>
  <c r="C506" i="68"/>
  <c r="D506" i="68"/>
  <c r="E506" i="68"/>
  <c r="F506" i="68"/>
  <c r="G506" i="68"/>
  <c r="H506" i="68"/>
  <c r="I506" i="68"/>
  <c r="J506" i="68"/>
  <c r="A507" i="68"/>
  <c r="B507" i="68"/>
  <c r="C507" i="68"/>
  <c r="D507" i="68"/>
  <c r="E507" i="68"/>
  <c r="F507" i="68"/>
  <c r="G507" i="68"/>
  <c r="H507" i="68"/>
  <c r="I507" i="68"/>
  <c r="J507" i="68"/>
  <c r="A508" i="68"/>
  <c r="B508" i="68"/>
  <c r="C508" i="68"/>
  <c r="D508" i="68"/>
  <c r="E508" i="68"/>
  <c r="F508" i="68"/>
  <c r="G508" i="68"/>
  <c r="H508" i="68"/>
  <c r="I508" i="68"/>
  <c r="J508" i="68"/>
  <c r="A509" i="68"/>
  <c r="B509" i="68"/>
  <c r="C509" i="68"/>
  <c r="D509" i="68"/>
  <c r="E509" i="68"/>
  <c r="F509" i="68"/>
  <c r="G509" i="68"/>
  <c r="H509" i="68"/>
  <c r="I509" i="68"/>
  <c r="J509" i="68"/>
  <c r="A510" i="68"/>
  <c r="B510" i="68"/>
  <c r="C510" i="68"/>
  <c r="D510" i="68"/>
  <c r="E510" i="68"/>
  <c r="F510" i="68"/>
  <c r="G510" i="68"/>
  <c r="H510" i="68"/>
  <c r="I510" i="68"/>
  <c r="J510" i="68"/>
  <c r="A511" i="68"/>
  <c r="B511" i="68"/>
  <c r="C511" i="68"/>
  <c r="D511" i="68"/>
  <c r="E511" i="68"/>
  <c r="F511" i="68"/>
  <c r="G511" i="68"/>
  <c r="H511" i="68"/>
  <c r="I511" i="68"/>
  <c r="J511" i="68"/>
  <c r="A512" i="68"/>
  <c r="B512" i="68"/>
  <c r="C512" i="68"/>
  <c r="D512" i="68"/>
  <c r="E512" i="68"/>
  <c r="F512" i="68"/>
  <c r="G512" i="68"/>
  <c r="H512" i="68"/>
  <c r="I512" i="68"/>
  <c r="J512" i="68"/>
  <c r="A513" i="68"/>
  <c r="B513" i="68"/>
  <c r="C513" i="68"/>
  <c r="D513" i="68"/>
  <c r="E513" i="68"/>
  <c r="F513" i="68"/>
  <c r="G513" i="68"/>
  <c r="H513" i="68"/>
  <c r="I513" i="68"/>
  <c r="J513" i="68"/>
  <c r="A514" i="68"/>
  <c r="B514" i="68"/>
  <c r="C514" i="68"/>
  <c r="D514" i="68"/>
  <c r="E514" i="68"/>
  <c r="F514" i="68"/>
  <c r="G514" i="68"/>
  <c r="H514" i="68"/>
  <c r="I514" i="68"/>
  <c r="J514" i="68"/>
  <c r="A515" i="68"/>
  <c r="B515" i="68"/>
  <c r="C515" i="68"/>
  <c r="D515" i="68"/>
  <c r="E515" i="68"/>
  <c r="F515" i="68"/>
  <c r="G515" i="68"/>
  <c r="H515" i="68"/>
  <c r="I515" i="68"/>
  <c r="J515" i="68"/>
  <c r="A516" i="68"/>
  <c r="B516" i="68"/>
  <c r="C516" i="68"/>
  <c r="D516" i="68"/>
  <c r="E516" i="68"/>
  <c r="F516" i="68"/>
  <c r="G516" i="68"/>
  <c r="H516" i="68"/>
  <c r="I516" i="68"/>
  <c r="J516" i="68"/>
  <c r="A517" i="68"/>
  <c r="B517" i="68"/>
  <c r="C517" i="68"/>
  <c r="D517" i="68"/>
  <c r="E517" i="68"/>
  <c r="F517" i="68"/>
  <c r="G517" i="68"/>
  <c r="H517" i="68"/>
  <c r="I517" i="68"/>
  <c r="J517" i="68"/>
  <c r="A518" i="68"/>
  <c r="B518" i="68"/>
  <c r="C518" i="68"/>
  <c r="D518" i="68"/>
  <c r="E518" i="68"/>
  <c r="F518" i="68"/>
  <c r="G518" i="68"/>
  <c r="H518" i="68"/>
  <c r="I518" i="68"/>
  <c r="J518" i="68"/>
  <c r="A519" i="68"/>
  <c r="B519" i="68"/>
  <c r="C519" i="68"/>
  <c r="D519" i="68"/>
  <c r="E519" i="68"/>
  <c r="F519" i="68"/>
  <c r="G519" i="68"/>
  <c r="H519" i="68"/>
  <c r="I519" i="68"/>
  <c r="J519" i="68"/>
  <c r="A520" i="68"/>
  <c r="B520" i="68"/>
  <c r="C520" i="68"/>
  <c r="D520" i="68"/>
  <c r="E520" i="68"/>
  <c r="F520" i="68"/>
  <c r="G520" i="68"/>
  <c r="H520" i="68"/>
  <c r="I520" i="68"/>
  <c r="J520" i="68"/>
  <c r="A521" i="68"/>
  <c r="B521" i="68"/>
  <c r="C521" i="68"/>
  <c r="D521" i="68"/>
  <c r="E521" i="68"/>
  <c r="F521" i="68"/>
  <c r="G521" i="68"/>
  <c r="H521" i="68"/>
  <c r="I521" i="68"/>
  <c r="J521" i="68"/>
  <c r="A522" i="68"/>
  <c r="B522" i="68"/>
  <c r="C522" i="68"/>
  <c r="D522" i="68"/>
  <c r="E522" i="68"/>
  <c r="F522" i="68"/>
  <c r="G522" i="68"/>
  <c r="H522" i="68"/>
  <c r="I522" i="68"/>
  <c r="J522" i="68"/>
  <c r="A523" i="68"/>
  <c r="B523" i="68"/>
  <c r="C523" i="68"/>
  <c r="D523" i="68"/>
  <c r="E523" i="68"/>
  <c r="F523" i="68"/>
  <c r="G523" i="68"/>
  <c r="H523" i="68"/>
  <c r="I523" i="68"/>
  <c r="J523" i="68"/>
  <c r="A524" i="68"/>
  <c r="B524" i="68"/>
  <c r="C524" i="68"/>
  <c r="D524" i="68"/>
  <c r="E524" i="68"/>
  <c r="F524" i="68"/>
  <c r="G524" i="68"/>
  <c r="H524" i="68"/>
  <c r="I524" i="68"/>
  <c r="J524" i="68"/>
  <c r="A525" i="68"/>
  <c r="B525" i="68"/>
  <c r="C525" i="68"/>
  <c r="D525" i="68"/>
  <c r="E525" i="68"/>
  <c r="F525" i="68"/>
  <c r="G525" i="68"/>
  <c r="H525" i="68"/>
  <c r="I525" i="68"/>
  <c r="J525" i="68"/>
  <c r="A526" i="68"/>
  <c r="B526" i="68"/>
  <c r="C526" i="68"/>
  <c r="D526" i="68"/>
  <c r="E526" i="68"/>
  <c r="F526" i="68"/>
  <c r="G526" i="68"/>
  <c r="H526" i="68"/>
  <c r="I526" i="68"/>
  <c r="J526" i="68"/>
  <c r="A527" i="68"/>
  <c r="B527" i="68"/>
  <c r="C527" i="68"/>
  <c r="D527" i="68"/>
  <c r="E527" i="68"/>
  <c r="F527" i="68"/>
  <c r="G527" i="68"/>
  <c r="H527" i="68"/>
  <c r="I527" i="68"/>
  <c r="J527" i="68"/>
  <c r="A528" i="68"/>
  <c r="B528" i="68"/>
  <c r="C528" i="68"/>
  <c r="D528" i="68"/>
  <c r="E528" i="68"/>
  <c r="F528" i="68"/>
  <c r="G528" i="68"/>
  <c r="H528" i="68"/>
  <c r="I528" i="68"/>
  <c r="J528" i="68"/>
  <c r="A529" i="68"/>
  <c r="B529" i="68"/>
  <c r="C529" i="68"/>
  <c r="D529" i="68"/>
  <c r="E529" i="68"/>
  <c r="F529" i="68"/>
  <c r="G529" i="68"/>
  <c r="H529" i="68"/>
  <c r="I529" i="68"/>
  <c r="J529" i="68"/>
  <c r="A530" i="68"/>
  <c r="B530" i="68"/>
  <c r="C530" i="68"/>
  <c r="D530" i="68"/>
  <c r="E530" i="68"/>
  <c r="F530" i="68"/>
  <c r="G530" i="68"/>
  <c r="H530" i="68"/>
  <c r="I530" i="68"/>
  <c r="J530" i="68"/>
  <c r="A531" i="68"/>
  <c r="B531" i="68"/>
  <c r="C531" i="68"/>
  <c r="D531" i="68"/>
  <c r="E531" i="68"/>
  <c r="F531" i="68"/>
  <c r="G531" i="68"/>
  <c r="H531" i="68"/>
  <c r="I531" i="68"/>
  <c r="J531" i="68"/>
  <c r="A532" i="68"/>
  <c r="B532" i="68"/>
  <c r="C532" i="68"/>
  <c r="D532" i="68"/>
  <c r="E532" i="68"/>
  <c r="F532" i="68"/>
  <c r="G532" i="68"/>
  <c r="H532" i="68"/>
  <c r="I532" i="68"/>
  <c r="J532" i="68"/>
  <c r="A533" i="68"/>
  <c r="B533" i="68"/>
  <c r="C533" i="68"/>
  <c r="D533" i="68"/>
  <c r="E533" i="68"/>
  <c r="F533" i="68"/>
  <c r="G533" i="68"/>
  <c r="H533" i="68"/>
  <c r="I533" i="68"/>
  <c r="J533" i="68"/>
  <c r="A534" i="68"/>
  <c r="B534" i="68"/>
  <c r="C534" i="68"/>
  <c r="D534" i="68"/>
  <c r="E534" i="68"/>
  <c r="F534" i="68"/>
  <c r="G534" i="68"/>
  <c r="H534" i="68"/>
  <c r="I534" i="68"/>
  <c r="J534" i="68"/>
  <c r="A535" i="68"/>
  <c r="B535" i="68"/>
  <c r="C535" i="68"/>
  <c r="D535" i="68"/>
  <c r="E535" i="68"/>
  <c r="F535" i="68"/>
  <c r="G535" i="68"/>
  <c r="H535" i="68"/>
  <c r="I535" i="68"/>
  <c r="J535" i="68"/>
  <c r="A536" i="68"/>
  <c r="B536" i="68"/>
  <c r="C536" i="68"/>
  <c r="D536" i="68"/>
  <c r="E536" i="68"/>
  <c r="F536" i="68"/>
  <c r="G536" i="68"/>
  <c r="H536" i="68"/>
  <c r="I536" i="68"/>
  <c r="J536" i="68"/>
  <c r="A537" i="68"/>
  <c r="B537" i="68"/>
  <c r="C537" i="68"/>
  <c r="D537" i="68"/>
  <c r="E537" i="68"/>
  <c r="F537" i="68"/>
  <c r="G537" i="68"/>
  <c r="H537" i="68"/>
  <c r="I537" i="68"/>
  <c r="J537" i="68"/>
  <c r="A538" i="68"/>
  <c r="B538" i="68"/>
  <c r="C538" i="68"/>
  <c r="D538" i="68"/>
  <c r="E538" i="68"/>
  <c r="F538" i="68"/>
  <c r="G538" i="68"/>
  <c r="H538" i="68"/>
  <c r="I538" i="68"/>
  <c r="J538" i="68"/>
  <c r="A539" i="68"/>
  <c r="B539" i="68"/>
  <c r="C539" i="68"/>
  <c r="D539" i="68"/>
  <c r="E539" i="68"/>
  <c r="F539" i="68"/>
  <c r="G539" i="68"/>
  <c r="H539" i="68"/>
  <c r="I539" i="68"/>
  <c r="J539" i="68"/>
  <c r="A540" i="68"/>
  <c r="B540" i="68"/>
  <c r="C540" i="68"/>
  <c r="D540" i="68"/>
  <c r="E540" i="68"/>
  <c r="F540" i="68"/>
  <c r="G540" i="68"/>
  <c r="H540" i="68"/>
  <c r="I540" i="68"/>
  <c r="J540" i="68"/>
  <c r="A541" i="68"/>
  <c r="B541" i="68"/>
  <c r="C541" i="68"/>
  <c r="D541" i="68"/>
  <c r="E541" i="68"/>
  <c r="F541" i="68"/>
  <c r="G541" i="68"/>
  <c r="H541" i="68"/>
  <c r="I541" i="68"/>
  <c r="J541" i="68"/>
  <c r="A542" i="68"/>
  <c r="B542" i="68"/>
  <c r="C542" i="68"/>
  <c r="D542" i="68"/>
  <c r="E542" i="68"/>
  <c r="F542" i="68"/>
  <c r="G542" i="68"/>
  <c r="H542" i="68"/>
  <c r="I542" i="68"/>
  <c r="J542" i="68"/>
  <c r="A543" i="68"/>
  <c r="B543" i="68"/>
  <c r="C543" i="68"/>
  <c r="D543" i="68"/>
  <c r="E543" i="68"/>
  <c r="F543" i="68"/>
  <c r="G543" i="68"/>
  <c r="H543" i="68"/>
  <c r="I543" i="68"/>
  <c r="J543" i="68"/>
  <c r="A544" i="68"/>
  <c r="B544" i="68"/>
  <c r="C544" i="68"/>
  <c r="D544" i="68"/>
  <c r="E544" i="68"/>
  <c r="F544" i="68"/>
  <c r="G544" i="68"/>
  <c r="H544" i="68"/>
  <c r="I544" i="68"/>
  <c r="J544" i="68"/>
  <c r="A545" i="68"/>
  <c r="B545" i="68"/>
  <c r="C545" i="68"/>
  <c r="D545" i="68"/>
  <c r="E545" i="68"/>
  <c r="F545" i="68"/>
  <c r="G545" i="68"/>
  <c r="H545" i="68"/>
  <c r="I545" i="68"/>
  <c r="J545" i="68"/>
  <c r="A546" i="68"/>
  <c r="B546" i="68"/>
  <c r="C546" i="68"/>
  <c r="D546" i="68"/>
  <c r="E546" i="68"/>
  <c r="F546" i="68"/>
  <c r="G546" i="68"/>
  <c r="H546" i="68"/>
  <c r="I546" i="68"/>
  <c r="J546" i="68"/>
  <c r="A547" i="68"/>
  <c r="B547" i="68"/>
  <c r="C547" i="68"/>
  <c r="D547" i="68"/>
  <c r="E547" i="68"/>
  <c r="F547" i="68"/>
  <c r="G547" i="68"/>
  <c r="H547" i="68"/>
  <c r="I547" i="68"/>
  <c r="J547" i="68"/>
  <c r="A548" i="68"/>
  <c r="B548" i="68"/>
  <c r="C548" i="68"/>
  <c r="D548" i="68"/>
  <c r="E548" i="68"/>
  <c r="F548" i="68"/>
  <c r="G548" i="68"/>
  <c r="H548" i="68"/>
  <c r="I548" i="68"/>
  <c r="J548" i="68"/>
  <c r="A549" i="68"/>
  <c r="B549" i="68"/>
  <c r="C549" i="68"/>
  <c r="D549" i="68"/>
  <c r="E549" i="68"/>
  <c r="F549" i="68"/>
  <c r="G549" i="68"/>
  <c r="H549" i="68"/>
  <c r="I549" i="68"/>
  <c r="J549" i="68"/>
  <c r="A550" i="68"/>
  <c r="B550" i="68"/>
  <c r="C550" i="68"/>
  <c r="D550" i="68"/>
  <c r="E550" i="68"/>
  <c r="F550" i="68"/>
  <c r="G550" i="68"/>
  <c r="H550" i="68"/>
  <c r="I550" i="68"/>
  <c r="J550" i="68"/>
  <c r="A551" i="68"/>
  <c r="B551" i="68"/>
  <c r="C551" i="68"/>
  <c r="D551" i="68"/>
  <c r="E551" i="68"/>
  <c r="F551" i="68"/>
  <c r="G551" i="68"/>
  <c r="H551" i="68"/>
  <c r="I551" i="68"/>
  <c r="J551" i="68"/>
  <c r="A552" i="68"/>
  <c r="B552" i="68"/>
  <c r="C552" i="68"/>
  <c r="D552" i="68"/>
  <c r="E552" i="68"/>
  <c r="F552" i="68"/>
  <c r="G552" i="68"/>
  <c r="H552" i="68"/>
  <c r="I552" i="68"/>
  <c r="J552" i="68"/>
  <c r="A553" i="68"/>
  <c r="B553" i="68"/>
  <c r="C553" i="68"/>
  <c r="D553" i="68"/>
  <c r="E553" i="68"/>
  <c r="F553" i="68"/>
  <c r="G553" i="68"/>
  <c r="H553" i="68"/>
  <c r="I553" i="68"/>
  <c r="J553" i="68"/>
  <c r="A554" i="68"/>
  <c r="B554" i="68"/>
  <c r="C554" i="68"/>
  <c r="D554" i="68"/>
  <c r="E554" i="68"/>
  <c r="F554" i="68"/>
  <c r="G554" i="68"/>
  <c r="H554" i="68"/>
  <c r="I554" i="68"/>
  <c r="J554" i="68"/>
  <c r="A555" i="68"/>
  <c r="B555" i="68"/>
  <c r="C555" i="68"/>
  <c r="D555" i="68"/>
  <c r="E555" i="68"/>
  <c r="F555" i="68"/>
  <c r="G555" i="68"/>
  <c r="H555" i="68"/>
  <c r="I555" i="68"/>
  <c r="J555" i="68"/>
  <c r="A556" i="68"/>
  <c r="B556" i="68"/>
  <c r="C556" i="68"/>
  <c r="D556" i="68"/>
  <c r="E556" i="68"/>
  <c r="F556" i="68"/>
  <c r="G556" i="68"/>
  <c r="H556" i="68"/>
  <c r="I556" i="68"/>
  <c r="J556" i="68"/>
  <c r="A557" i="68"/>
  <c r="B557" i="68"/>
  <c r="C557" i="68"/>
  <c r="D557" i="68"/>
  <c r="E557" i="68"/>
  <c r="F557" i="68"/>
  <c r="G557" i="68"/>
  <c r="H557" i="68"/>
  <c r="I557" i="68"/>
  <c r="J557" i="68"/>
  <c r="A558" i="68"/>
  <c r="B558" i="68"/>
  <c r="C558" i="68"/>
  <c r="D558" i="68"/>
  <c r="E558" i="68"/>
  <c r="F558" i="68"/>
  <c r="G558" i="68"/>
  <c r="H558" i="68"/>
  <c r="I558" i="68"/>
  <c r="J558" i="68"/>
  <c r="A559" i="68"/>
  <c r="B559" i="68"/>
  <c r="C559" i="68"/>
  <c r="D559" i="68"/>
  <c r="E559" i="68"/>
  <c r="F559" i="68"/>
  <c r="G559" i="68"/>
  <c r="H559" i="68"/>
  <c r="I559" i="68"/>
  <c r="J559" i="68"/>
  <c r="A560" i="68"/>
  <c r="B560" i="68"/>
  <c r="C560" i="68"/>
  <c r="D560" i="68"/>
  <c r="E560" i="68"/>
  <c r="F560" i="68"/>
  <c r="G560" i="68"/>
  <c r="H560" i="68"/>
  <c r="I560" i="68"/>
  <c r="J560" i="68"/>
  <c r="A561" i="68"/>
  <c r="B561" i="68"/>
  <c r="C561" i="68"/>
  <c r="D561" i="68"/>
  <c r="E561" i="68"/>
  <c r="F561" i="68"/>
  <c r="G561" i="68"/>
  <c r="H561" i="68"/>
  <c r="I561" i="68"/>
  <c r="J561" i="68"/>
  <c r="A562" i="68"/>
  <c r="B562" i="68"/>
  <c r="C562" i="68"/>
  <c r="D562" i="68"/>
  <c r="E562" i="68"/>
  <c r="F562" i="68"/>
  <c r="G562" i="68"/>
  <c r="H562" i="68"/>
  <c r="I562" i="68"/>
  <c r="J562" i="68"/>
  <c r="A563" i="68"/>
  <c r="B563" i="68"/>
  <c r="C563" i="68"/>
  <c r="D563" i="68"/>
  <c r="E563" i="68"/>
  <c r="F563" i="68"/>
  <c r="G563" i="68"/>
  <c r="H563" i="68"/>
  <c r="I563" i="68"/>
  <c r="J563" i="68"/>
  <c r="A564" i="68"/>
  <c r="B564" i="68"/>
  <c r="C564" i="68"/>
  <c r="D564" i="68"/>
  <c r="E564" i="68"/>
  <c r="F564" i="68"/>
  <c r="G564" i="68"/>
  <c r="H564" i="68"/>
  <c r="I564" i="68"/>
  <c r="J564" i="68"/>
  <c r="A565" i="68"/>
  <c r="B565" i="68"/>
  <c r="C565" i="68"/>
  <c r="D565" i="68"/>
  <c r="E565" i="68"/>
  <c r="F565" i="68"/>
  <c r="G565" i="68"/>
  <c r="H565" i="68"/>
  <c r="I565" i="68"/>
  <c r="J565" i="68"/>
  <c r="A566" i="68"/>
  <c r="B566" i="68"/>
  <c r="C566" i="68"/>
  <c r="D566" i="68"/>
  <c r="E566" i="68"/>
  <c r="F566" i="68"/>
  <c r="G566" i="68"/>
  <c r="H566" i="68"/>
  <c r="I566" i="68"/>
  <c r="J566" i="68"/>
  <c r="A567" i="68"/>
  <c r="B567" i="68"/>
  <c r="C567" i="68"/>
  <c r="D567" i="68"/>
  <c r="E567" i="68"/>
  <c r="F567" i="68"/>
  <c r="G567" i="68"/>
  <c r="H567" i="68"/>
  <c r="I567" i="68"/>
  <c r="J567" i="68"/>
  <c r="A568" i="68"/>
  <c r="B568" i="68"/>
  <c r="C568" i="68"/>
  <c r="D568" i="68"/>
  <c r="E568" i="68"/>
  <c r="F568" i="68"/>
  <c r="G568" i="68"/>
  <c r="H568" i="68"/>
  <c r="I568" i="68"/>
  <c r="J568" i="68"/>
  <c r="A569" i="68"/>
  <c r="B569" i="68"/>
  <c r="C569" i="68"/>
  <c r="D569" i="68"/>
  <c r="E569" i="68"/>
  <c r="F569" i="68"/>
  <c r="G569" i="68"/>
  <c r="H569" i="68"/>
  <c r="I569" i="68"/>
  <c r="J569" i="68"/>
  <c r="A570" i="68"/>
  <c r="B570" i="68"/>
  <c r="C570" i="68"/>
  <c r="D570" i="68"/>
  <c r="E570" i="68"/>
  <c r="F570" i="68"/>
  <c r="G570" i="68"/>
  <c r="H570" i="68"/>
  <c r="I570" i="68"/>
  <c r="J570" i="68"/>
  <c r="A571" i="68"/>
  <c r="B571" i="68"/>
  <c r="C571" i="68"/>
  <c r="D571" i="68"/>
  <c r="E571" i="68"/>
  <c r="F571" i="68"/>
  <c r="G571" i="68"/>
  <c r="H571" i="68"/>
  <c r="I571" i="68"/>
  <c r="J571" i="68"/>
  <c r="A572" i="68"/>
  <c r="B572" i="68"/>
  <c r="C572" i="68"/>
  <c r="D572" i="68"/>
  <c r="E572" i="68"/>
  <c r="F572" i="68"/>
  <c r="G572" i="68"/>
  <c r="H572" i="68"/>
  <c r="I572" i="68"/>
  <c r="J572" i="68"/>
  <c r="A573" i="68"/>
  <c r="B573" i="68"/>
  <c r="C573" i="68"/>
  <c r="D573" i="68"/>
  <c r="E573" i="68"/>
  <c r="F573" i="68"/>
  <c r="G573" i="68"/>
  <c r="H573" i="68"/>
  <c r="I573" i="68"/>
  <c r="J573" i="68"/>
  <c r="A574" i="68"/>
  <c r="B574" i="68"/>
  <c r="C574" i="68"/>
  <c r="D574" i="68"/>
  <c r="E574" i="68"/>
  <c r="F574" i="68"/>
  <c r="G574" i="68"/>
  <c r="H574" i="68"/>
  <c r="I574" i="68"/>
  <c r="J574" i="68"/>
  <c r="A575" i="68"/>
  <c r="B575" i="68"/>
  <c r="C575" i="68"/>
  <c r="D575" i="68"/>
  <c r="E575" i="68"/>
  <c r="F575" i="68"/>
  <c r="G575" i="68"/>
  <c r="H575" i="68"/>
  <c r="I575" i="68"/>
  <c r="J575" i="68"/>
  <c r="A576" i="68"/>
  <c r="B576" i="68"/>
  <c r="C576" i="68"/>
  <c r="D576" i="68"/>
  <c r="E576" i="68"/>
  <c r="F576" i="68"/>
  <c r="G576" i="68"/>
  <c r="H576" i="68"/>
  <c r="I576" i="68"/>
  <c r="J576" i="68"/>
  <c r="A577" i="68"/>
  <c r="B577" i="68"/>
  <c r="C577" i="68"/>
  <c r="D577" i="68"/>
  <c r="E577" i="68"/>
  <c r="F577" i="68"/>
  <c r="G577" i="68"/>
  <c r="H577" i="68"/>
  <c r="I577" i="68"/>
  <c r="J577" i="68"/>
  <c r="A578" i="68"/>
  <c r="B578" i="68"/>
  <c r="C578" i="68"/>
  <c r="D578" i="68"/>
  <c r="E578" i="68"/>
  <c r="F578" i="68"/>
  <c r="G578" i="68"/>
  <c r="H578" i="68"/>
  <c r="I578" i="68"/>
  <c r="J578" i="68"/>
  <c r="A579" i="68"/>
  <c r="B579" i="68"/>
  <c r="C579" i="68"/>
  <c r="D579" i="68"/>
  <c r="E579" i="68"/>
  <c r="F579" i="68"/>
  <c r="G579" i="68"/>
  <c r="H579" i="68"/>
  <c r="I579" i="68"/>
  <c r="J579" i="68"/>
  <c r="A580" i="68"/>
  <c r="B580" i="68"/>
  <c r="C580" i="68"/>
  <c r="D580" i="68"/>
  <c r="E580" i="68"/>
  <c r="F580" i="68"/>
  <c r="G580" i="68"/>
  <c r="H580" i="68"/>
  <c r="I580" i="68"/>
  <c r="J580" i="68"/>
  <c r="A581" i="68"/>
  <c r="B581" i="68"/>
  <c r="C581" i="68"/>
  <c r="D581" i="68"/>
  <c r="E581" i="68"/>
  <c r="F581" i="68"/>
  <c r="G581" i="68"/>
  <c r="H581" i="68"/>
  <c r="I581" i="68"/>
  <c r="J581" i="68"/>
  <c r="A582" i="68"/>
  <c r="B582" i="68"/>
  <c r="C582" i="68"/>
  <c r="D582" i="68"/>
  <c r="E582" i="68"/>
  <c r="F582" i="68"/>
  <c r="G582" i="68"/>
  <c r="H582" i="68"/>
  <c r="I582" i="68"/>
  <c r="J582" i="68"/>
  <c r="A583" i="68"/>
  <c r="B583" i="68"/>
  <c r="C583" i="68"/>
  <c r="D583" i="68"/>
  <c r="E583" i="68"/>
  <c r="F583" i="68"/>
  <c r="G583" i="68"/>
  <c r="H583" i="68"/>
  <c r="I583" i="68"/>
  <c r="J583" i="68"/>
  <c r="A584" i="68"/>
  <c r="B584" i="68"/>
  <c r="C584" i="68"/>
  <c r="D584" i="68"/>
  <c r="E584" i="68"/>
  <c r="F584" i="68"/>
  <c r="G584" i="68"/>
  <c r="H584" i="68"/>
  <c r="I584" i="68"/>
  <c r="J584" i="68"/>
  <c r="A585" i="68"/>
  <c r="B585" i="68"/>
  <c r="C585" i="68"/>
  <c r="D585" i="68"/>
  <c r="E585" i="68"/>
  <c r="F585" i="68"/>
  <c r="G585" i="68"/>
  <c r="H585" i="68"/>
  <c r="I585" i="68"/>
  <c r="J585" i="68"/>
  <c r="A586" i="68"/>
  <c r="B586" i="68"/>
  <c r="C586" i="68"/>
  <c r="D586" i="68"/>
  <c r="E586" i="68"/>
  <c r="F586" i="68"/>
  <c r="G586" i="68"/>
  <c r="H586" i="68"/>
  <c r="I586" i="68"/>
  <c r="J586" i="68"/>
  <c r="A587" i="68"/>
  <c r="B587" i="68"/>
  <c r="C587" i="68"/>
  <c r="D587" i="68"/>
  <c r="E587" i="68"/>
  <c r="F587" i="68"/>
  <c r="G587" i="68"/>
  <c r="H587" i="68"/>
  <c r="I587" i="68"/>
  <c r="J587" i="68"/>
  <c r="A588" i="68"/>
  <c r="B588" i="68"/>
  <c r="C588" i="68"/>
  <c r="D588" i="68"/>
  <c r="E588" i="68"/>
  <c r="F588" i="68"/>
  <c r="G588" i="68"/>
  <c r="H588" i="68"/>
  <c r="I588" i="68"/>
  <c r="J588" i="68"/>
  <c r="A589" i="68"/>
  <c r="B589" i="68"/>
  <c r="C589" i="68"/>
  <c r="D589" i="68"/>
  <c r="E589" i="68"/>
  <c r="F589" i="68"/>
  <c r="G589" i="68"/>
  <c r="H589" i="68"/>
  <c r="I589" i="68"/>
  <c r="J589" i="68"/>
  <c r="A590" i="68"/>
  <c r="B590" i="68"/>
  <c r="C590" i="68"/>
  <c r="D590" i="68"/>
  <c r="E590" i="68"/>
  <c r="F590" i="68"/>
  <c r="G590" i="68"/>
  <c r="H590" i="68"/>
  <c r="I590" i="68"/>
  <c r="J590" i="68"/>
  <c r="A591" i="68"/>
  <c r="B591" i="68"/>
  <c r="C591" i="68"/>
  <c r="D591" i="68"/>
  <c r="E591" i="68"/>
  <c r="F591" i="68"/>
  <c r="G591" i="68"/>
  <c r="H591" i="68"/>
  <c r="I591" i="68"/>
  <c r="J591" i="68"/>
  <c r="A592" i="68"/>
  <c r="B592" i="68"/>
  <c r="C592" i="68"/>
  <c r="D592" i="68"/>
  <c r="E592" i="68"/>
  <c r="F592" i="68"/>
  <c r="G592" i="68"/>
  <c r="H592" i="68"/>
  <c r="I592" i="68"/>
  <c r="J592" i="68"/>
  <c r="A593" i="68"/>
  <c r="B593" i="68"/>
  <c r="C593" i="68"/>
  <c r="D593" i="68"/>
  <c r="E593" i="68"/>
  <c r="F593" i="68"/>
  <c r="G593" i="68"/>
  <c r="H593" i="68"/>
  <c r="I593" i="68"/>
  <c r="J593" i="68"/>
  <c r="A594" i="68"/>
  <c r="B594" i="68"/>
  <c r="C594" i="68"/>
  <c r="D594" i="68"/>
  <c r="E594" i="68"/>
  <c r="F594" i="68"/>
  <c r="G594" i="68"/>
  <c r="H594" i="68"/>
  <c r="I594" i="68"/>
  <c r="J594" i="68"/>
  <c r="A595" i="68"/>
  <c r="B595" i="68"/>
  <c r="C595" i="68"/>
  <c r="D595" i="68"/>
  <c r="E595" i="68"/>
  <c r="F595" i="68"/>
  <c r="G595" i="68"/>
  <c r="H595" i="68"/>
  <c r="I595" i="68"/>
  <c r="J595" i="68"/>
  <c r="A596" i="68"/>
  <c r="B596" i="68"/>
  <c r="C596" i="68"/>
  <c r="D596" i="68"/>
  <c r="E596" i="68"/>
  <c r="F596" i="68"/>
  <c r="G596" i="68"/>
  <c r="H596" i="68"/>
  <c r="I596" i="68"/>
  <c r="J596" i="68"/>
  <c r="A597" i="68"/>
  <c r="B597" i="68"/>
  <c r="C597" i="68"/>
  <c r="D597" i="68"/>
  <c r="E597" i="68"/>
  <c r="F597" i="68"/>
  <c r="G597" i="68"/>
  <c r="H597" i="68"/>
  <c r="I597" i="68"/>
  <c r="J597" i="68"/>
  <c r="A598" i="68"/>
  <c r="B598" i="68"/>
  <c r="C598" i="68"/>
  <c r="D598" i="68"/>
  <c r="E598" i="68"/>
  <c r="F598" i="68"/>
  <c r="G598" i="68"/>
  <c r="H598" i="68"/>
  <c r="I598" i="68"/>
  <c r="J598" i="68"/>
  <c r="A599" i="68"/>
  <c r="B599" i="68"/>
  <c r="C599" i="68"/>
  <c r="D599" i="68"/>
  <c r="E599" i="68"/>
  <c r="F599" i="68"/>
  <c r="G599" i="68"/>
  <c r="H599" i="68"/>
  <c r="I599" i="68"/>
  <c r="J599" i="68"/>
  <c r="A600" i="68"/>
  <c r="B600" i="68"/>
  <c r="C600" i="68"/>
  <c r="D600" i="68"/>
  <c r="E600" i="68"/>
  <c r="F600" i="68"/>
  <c r="G600" i="68"/>
  <c r="H600" i="68"/>
  <c r="I600" i="68"/>
  <c r="J600" i="68"/>
  <c r="A601" i="68"/>
  <c r="B601" i="68"/>
  <c r="C601" i="68"/>
  <c r="D601" i="68"/>
  <c r="E601" i="68"/>
  <c r="F601" i="68"/>
  <c r="G601" i="68"/>
  <c r="H601" i="68"/>
  <c r="I601" i="68"/>
  <c r="J601" i="68"/>
  <c r="A602" i="68"/>
  <c r="B602" i="68"/>
  <c r="C602" i="68"/>
  <c r="D602" i="68"/>
  <c r="E602" i="68"/>
  <c r="F602" i="68"/>
  <c r="G602" i="68"/>
  <c r="H602" i="68"/>
  <c r="I602" i="68"/>
  <c r="J602" i="68"/>
  <c r="A603" i="68"/>
  <c r="B603" i="68"/>
  <c r="C603" i="68"/>
  <c r="D603" i="68"/>
  <c r="E603" i="68"/>
  <c r="F603" i="68"/>
  <c r="G603" i="68"/>
  <c r="H603" i="68"/>
  <c r="I603" i="68"/>
  <c r="J603" i="68"/>
  <c r="A604" i="68"/>
  <c r="B604" i="68"/>
  <c r="C604" i="68"/>
  <c r="D604" i="68"/>
  <c r="E604" i="68"/>
  <c r="F604" i="68"/>
  <c r="G604" i="68"/>
  <c r="H604" i="68"/>
  <c r="I604" i="68"/>
  <c r="J604" i="68"/>
  <c r="A605" i="68"/>
  <c r="B605" i="68"/>
  <c r="C605" i="68"/>
  <c r="D605" i="68"/>
  <c r="E605" i="68"/>
  <c r="F605" i="68"/>
  <c r="G605" i="68"/>
  <c r="H605" i="68"/>
  <c r="I605" i="68"/>
  <c r="J605" i="68"/>
  <c r="A606" i="68"/>
  <c r="B606" i="68"/>
  <c r="C606" i="68"/>
  <c r="D606" i="68"/>
  <c r="E606" i="68"/>
  <c r="F606" i="68"/>
  <c r="G606" i="68"/>
  <c r="H606" i="68"/>
  <c r="I606" i="68"/>
  <c r="J606" i="68"/>
  <c r="A607" i="68"/>
  <c r="B607" i="68"/>
  <c r="C607" i="68"/>
  <c r="D607" i="68"/>
  <c r="E607" i="68"/>
  <c r="F607" i="68"/>
  <c r="G607" i="68"/>
  <c r="H607" i="68"/>
  <c r="I607" i="68"/>
  <c r="J607" i="68"/>
  <c r="A608" i="68"/>
  <c r="B608" i="68"/>
  <c r="C608" i="68"/>
  <c r="D608" i="68"/>
  <c r="E608" i="68"/>
  <c r="F608" i="68"/>
  <c r="G608" i="68"/>
  <c r="H608" i="68"/>
  <c r="I608" i="68"/>
  <c r="J608" i="68"/>
  <c r="A609" i="68"/>
  <c r="B609" i="68"/>
  <c r="C609" i="68"/>
  <c r="D609" i="68"/>
  <c r="E609" i="68"/>
  <c r="F609" i="68"/>
  <c r="G609" i="68"/>
  <c r="H609" i="68"/>
  <c r="I609" i="68"/>
  <c r="J609" i="68"/>
  <c r="A610" i="68"/>
  <c r="B610" i="68"/>
  <c r="C610" i="68"/>
  <c r="D610" i="68"/>
  <c r="E610" i="68"/>
  <c r="F610" i="68"/>
  <c r="G610" i="68"/>
  <c r="H610" i="68"/>
  <c r="I610" i="68"/>
  <c r="J610" i="68"/>
  <c r="A611" i="68"/>
  <c r="B611" i="68"/>
  <c r="C611" i="68"/>
  <c r="D611" i="68"/>
  <c r="E611" i="68"/>
  <c r="F611" i="68"/>
  <c r="G611" i="68"/>
  <c r="H611" i="68"/>
  <c r="I611" i="68"/>
  <c r="J611" i="68"/>
  <c r="A612" i="68"/>
  <c r="B612" i="68"/>
  <c r="C612" i="68"/>
  <c r="D612" i="68"/>
  <c r="E612" i="68"/>
  <c r="F612" i="68"/>
  <c r="G612" i="68"/>
  <c r="H612" i="68"/>
  <c r="I612" i="68"/>
  <c r="J612" i="68"/>
  <c r="A613" i="68"/>
  <c r="B613" i="68"/>
  <c r="C613" i="68"/>
  <c r="D613" i="68"/>
  <c r="E613" i="68"/>
  <c r="F613" i="68"/>
  <c r="G613" i="68"/>
  <c r="H613" i="68"/>
  <c r="I613" i="68"/>
  <c r="J613" i="68"/>
  <c r="A614" i="68"/>
  <c r="B614" i="68"/>
  <c r="C614" i="68"/>
  <c r="D614" i="68"/>
  <c r="E614" i="68"/>
  <c r="F614" i="68"/>
  <c r="G614" i="68"/>
  <c r="H614" i="68"/>
  <c r="I614" i="68"/>
  <c r="J614" i="68"/>
  <c r="A615" i="68"/>
  <c r="B615" i="68"/>
  <c r="C615" i="68"/>
  <c r="D615" i="68"/>
  <c r="E615" i="68"/>
  <c r="F615" i="68"/>
  <c r="G615" i="68"/>
  <c r="H615" i="68"/>
  <c r="I615" i="68"/>
  <c r="J615" i="68"/>
  <c r="A616" i="68"/>
  <c r="B616" i="68"/>
  <c r="C616" i="68"/>
  <c r="D616" i="68"/>
  <c r="E616" i="68"/>
  <c r="F616" i="68"/>
  <c r="G616" i="68"/>
  <c r="H616" i="68"/>
  <c r="I616" i="68"/>
  <c r="J616" i="68"/>
  <c r="A617" i="68"/>
  <c r="B617" i="68"/>
  <c r="C617" i="68"/>
  <c r="D617" i="68"/>
  <c r="E617" i="68"/>
  <c r="F617" i="68"/>
  <c r="G617" i="68"/>
  <c r="H617" i="68"/>
  <c r="I617" i="68"/>
  <c r="J617" i="68"/>
  <c r="A618" i="68"/>
  <c r="B618" i="68"/>
  <c r="C618" i="68"/>
  <c r="D618" i="68"/>
  <c r="E618" i="68"/>
  <c r="F618" i="68"/>
  <c r="G618" i="68"/>
  <c r="H618" i="68"/>
  <c r="I618" i="68"/>
  <c r="J618" i="68"/>
  <c r="A619" i="68"/>
  <c r="B619" i="68"/>
  <c r="C619" i="68"/>
  <c r="D619" i="68"/>
  <c r="E619" i="68"/>
  <c r="F619" i="68"/>
  <c r="G619" i="68"/>
  <c r="H619" i="68"/>
  <c r="I619" i="68"/>
  <c r="J619" i="68"/>
  <c r="A620" i="68"/>
  <c r="B620" i="68"/>
  <c r="C620" i="68"/>
  <c r="D620" i="68"/>
  <c r="E620" i="68"/>
  <c r="F620" i="68"/>
  <c r="G620" i="68"/>
  <c r="H620" i="68"/>
  <c r="I620" i="68"/>
  <c r="J620" i="68"/>
  <c r="A621" i="68"/>
  <c r="B621" i="68"/>
  <c r="C621" i="68"/>
  <c r="D621" i="68"/>
  <c r="E621" i="68"/>
  <c r="F621" i="68"/>
  <c r="G621" i="68"/>
  <c r="H621" i="68"/>
  <c r="I621" i="68"/>
  <c r="J621" i="68"/>
  <c r="A622" i="68"/>
  <c r="B622" i="68"/>
  <c r="C622" i="68"/>
  <c r="D622" i="68"/>
  <c r="E622" i="68"/>
  <c r="F622" i="68"/>
  <c r="G622" i="68"/>
  <c r="H622" i="68"/>
  <c r="I622" i="68"/>
  <c r="J622" i="68"/>
  <c r="A623" i="68"/>
  <c r="B623" i="68"/>
  <c r="C623" i="68"/>
  <c r="D623" i="68"/>
  <c r="E623" i="68"/>
  <c r="F623" i="68"/>
  <c r="G623" i="68"/>
  <c r="H623" i="68"/>
  <c r="I623" i="68"/>
  <c r="J623" i="68"/>
  <c r="A624" i="68"/>
  <c r="B624" i="68"/>
  <c r="C624" i="68"/>
  <c r="D624" i="68"/>
  <c r="E624" i="68"/>
  <c r="F624" i="68"/>
  <c r="G624" i="68"/>
  <c r="H624" i="68"/>
  <c r="I624" i="68"/>
  <c r="J624" i="68"/>
  <c r="A625" i="68"/>
  <c r="B625" i="68"/>
  <c r="C625" i="68"/>
  <c r="D625" i="68"/>
  <c r="E625" i="68"/>
  <c r="F625" i="68"/>
  <c r="G625" i="68"/>
  <c r="H625" i="68"/>
  <c r="I625" i="68"/>
  <c r="J625" i="68"/>
  <c r="A626" i="68"/>
  <c r="B626" i="68"/>
  <c r="C626" i="68"/>
  <c r="D626" i="68"/>
  <c r="E626" i="68"/>
  <c r="F626" i="68"/>
  <c r="G626" i="68"/>
  <c r="H626" i="68"/>
  <c r="I626" i="68"/>
  <c r="J626" i="68"/>
  <c r="A627" i="68"/>
  <c r="B627" i="68"/>
  <c r="C627" i="68"/>
  <c r="D627" i="68"/>
  <c r="E627" i="68"/>
  <c r="F627" i="68"/>
  <c r="G627" i="68"/>
  <c r="H627" i="68"/>
  <c r="I627" i="68"/>
  <c r="J627" i="68"/>
  <c r="A628" i="68"/>
  <c r="B628" i="68"/>
  <c r="C628" i="68"/>
  <c r="D628" i="68"/>
  <c r="E628" i="68"/>
  <c r="F628" i="68"/>
  <c r="G628" i="68"/>
  <c r="H628" i="68"/>
  <c r="I628" i="68"/>
  <c r="J628" i="68"/>
  <c r="A629" i="68"/>
  <c r="B629" i="68"/>
  <c r="C629" i="68"/>
  <c r="D629" i="68"/>
  <c r="E629" i="68"/>
  <c r="F629" i="68"/>
  <c r="G629" i="68"/>
  <c r="H629" i="68"/>
  <c r="I629" i="68"/>
  <c r="J629" i="68"/>
  <c r="A630" i="68"/>
  <c r="B630" i="68"/>
  <c r="C630" i="68"/>
  <c r="D630" i="68"/>
  <c r="E630" i="68"/>
  <c r="F630" i="68"/>
  <c r="G630" i="68"/>
  <c r="H630" i="68"/>
  <c r="I630" i="68"/>
  <c r="J630" i="68"/>
  <c r="A631" i="68"/>
  <c r="B631" i="68"/>
  <c r="C631" i="68"/>
  <c r="D631" i="68"/>
  <c r="E631" i="68"/>
  <c r="F631" i="68"/>
  <c r="G631" i="68"/>
  <c r="H631" i="68"/>
  <c r="I631" i="68"/>
  <c r="J631" i="68"/>
  <c r="A632" i="68"/>
  <c r="B632" i="68"/>
  <c r="C632" i="68"/>
  <c r="D632" i="68"/>
  <c r="E632" i="68"/>
  <c r="F632" i="68"/>
  <c r="G632" i="68"/>
  <c r="H632" i="68"/>
  <c r="I632" i="68"/>
  <c r="J632" i="68"/>
  <c r="A633" i="68"/>
  <c r="B633" i="68"/>
  <c r="C633" i="68"/>
  <c r="D633" i="68"/>
  <c r="E633" i="68"/>
  <c r="F633" i="68"/>
  <c r="G633" i="68"/>
  <c r="H633" i="68"/>
  <c r="I633" i="68"/>
  <c r="J633" i="68"/>
  <c r="A634" i="68"/>
  <c r="B634" i="68"/>
  <c r="C634" i="68"/>
  <c r="D634" i="68"/>
  <c r="E634" i="68"/>
  <c r="F634" i="68"/>
  <c r="G634" i="68"/>
  <c r="H634" i="68"/>
  <c r="I634" i="68"/>
  <c r="J634" i="68"/>
  <c r="A635" i="68"/>
  <c r="B635" i="68"/>
  <c r="C635" i="68"/>
  <c r="D635" i="68"/>
  <c r="E635" i="68"/>
  <c r="F635" i="68"/>
  <c r="G635" i="68"/>
  <c r="H635" i="68"/>
  <c r="I635" i="68"/>
  <c r="J635" i="68"/>
  <c r="A636" i="68"/>
  <c r="B636" i="68"/>
  <c r="C636" i="68"/>
  <c r="D636" i="68"/>
  <c r="E636" i="68"/>
  <c r="F636" i="68"/>
  <c r="G636" i="68"/>
  <c r="H636" i="68"/>
  <c r="I636" i="68"/>
  <c r="J636" i="68"/>
  <c r="A637" i="68"/>
  <c r="B637" i="68"/>
  <c r="C637" i="68"/>
  <c r="D637" i="68"/>
  <c r="E637" i="68"/>
  <c r="F637" i="68"/>
  <c r="G637" i="68"/>
  <c r="H637" i="68"/>
  <c r="I637" i="68"/>
  <c r="J637" i="68"/>
  <c r="A638" i="68"/>
  <c r="B638" i="68"/>
  <c r="C638" i="68"/>
  <c r="D638" i="68"/>
  <c r="E638" i="68"/>
  <c r="F638" i="68"/>
  <c r="G638" i="68"/>
  <c r="H638" i="68"/>
  <c r="I638" i="68"/>
  <c r="J638" i="68"/>
  <c r="A639" i="68"/>
  <c r="B639" i="68"/>
  <c r="C639" i="68"/>
  <c r="D639" i="68"/>
  <c r="E639" i="68"/>
  <c r="F639" i="68"/>
  <c r="G639" i="68"/>
  <c r="H639" i="68"/>
  <c r="I639" i="68"/>
  <c r="J639" i="68"/>
  <c r="A640" i="68"/>
  <c r="B640" i="68"/>
  <c r="C640" i="68"/>
  <c r="D640" i="68"/>
  <c r="E640" i="68"/>
  <c r="F640" i="68"/>
  <c r="G640" i="68"/>
  <c r="H640" i="68"/>
  <c r="I640" i="68"/>
  <c r="J640" i="68"/>
  <c r="A641" i="68"/>
  <c r="B641" i="68"/>
  <c r="C641" i="68"/>
  <c r="D641" i="68"/>
  <c r="E641" i="68"/>
  <c r="F641" i="68"/>
  <c r="G641" i="68"/>
  <c r="H641" i="68"/>
  <c r="I641" i="68"/>
  <c r="J641" i="68"/>
  <c r="A642" i="68"/>
  <c r="B642" i="68"/>
  <c r="C642" i="68"/>
  <c r="D642" i="68"/>
  <c r="E642" i="68"/>
  <c r="F642" i="68"/>
  <c r="G642" i="68"/>
  <c r="H642" i="68"/>
  <c r="I642" i="68"/>
  <c r="J642" i="68"/>
  <c r="A643" i="68"/>
  <c r="B643" i="68"/>
  <c r="C643" i="68"/>
  <c r="D643" i="68"/>
  <c r="E643" i="68"/>
  <c r="F643" i="68"/>
  <c r="G643" i="68"/>
  <c r="H643" i="68"/>
  <c r="I643" i="68"/>
  <c r="J643" i="68"/>
  <c r="A644" i="68"/>
  <c r="B644" i="68"/>
  <c r="C644" i="68"/>
  <c r="D644" i="68"/>
  <c r="E644" i="68"/>
  <c r="F644" i="68"/>
  <c r="G644" i="68"/>
  <c r="H644" i="68"/>
  <c r="I644" i="68"/>
  <c r="J644" i="68"/>
  <c r="A645" i="68"/>
  <c r="B645" i="68"/>
  <c r="C645" i="68"/>
  <c r="D645" i="68"/>
  <c r="E645" i="68"/>
  <c r="F645" i="68"/>
  <c r="G645" i="68"/>
  <c r="H645" i="68"/>
  <c r="I645" i="68"/>
  <c r="J645" i="68"/>
  <c r="A646" i="68"/>
  <c r="B646" i="68"/>
  <c r="C646" i="68"/>
  <c r="D646" i="68"/>
  <c r="E646" i="68"/>
  <c r="F646" i="68"/>
  <c r="G646" i="68"/>
  <c r="H646" i="68"/>
  <c r="I646" i="68"/>
  <c r="J646" i="68"/>
  <c r="A647" i="68"/>
  <c r="B647" i="68"/>
  <c r="C647" i="68"/>
  <c r="D647" i="68"/>
  <c r="E647" i="68"/>
  <c r="F647" i="68"/>
  <c r="G647" i="68"/>
  <c r="H647" i="68"/>
  <c r="I647" i="68"/>
  <c r="J647" i="68"/>
  <c r="A648" i="68"/>
  <c r="B648" i="68"/>
  <c r="C648" i="68"/>
  <c r="D648" i="68"/>
  <c r="E648" i="68"/>
  <c r="F648" i="68"/>
  <c r="G648" i="68"/>
  <c r="H648" i="68"/>
  <c r="I648" i="68"/>
  <c r="J648" i="68"/>
  <c r="A649" i="68"/>
  <c r="B649" i="68"/>
  <c r="C649" i="68"/>
  <c r="D649" i="68"/>
  <c r="E649" i="68"/>
  <c r="F649" i="68"/>
  <c r="G649" i="68"/>
  <c r="H649" i="68"/>
  <c r="I649" i="68"/>
  <c r="J649" i="68"/>
  <c r="A650" i="68"/>
  <c r="B650" i="68"/>
  <c r="C650" i="68"/>
  <c r="D650" i="68"/>
  <c r="E650" i="68"/>
  <c r="F650" i="68"/>
  <c r="G650" i="68"/>
  <c r="H650" i="68"/>
  <c r="I650" i="68"/>
  <c r="J650" i="68"/>
  <c r="A651" i="68"/>
  <c r="B651" i="68"/>
  <c r="C651" i="68"/>
  <c r="D651" i="68"/>
  <c r="E651" i="68"/>
  <c r="F651" i="68"/>
  <c r="G651" i="68"/>
  <c r="H651" i="68"/>
  <c r="I651" i="68"/>
  <c r="J651" i="68"/>
  <c r="A652" i="68"/>
  <c r="B652" i="68"/>
  <c r="C652" i="68"/>
  <c r="D652" i="68"/>
  <c r="E652" i="68"/>
  <c r="F652" i="68"/>
  <c r="G652" i="68"/>
  <c r="H652" i="68"/>
  <c r="I652" i="68"/>
  <c r="J652" i="68"/>
  <c r="A653" i="68"/>
  <c r="B653" i="68"/>
  <c r="C653" i="68"/>
  <c r="D653" i="68"/>
  <c r="E653" i="68"/>
  <c r="F653" i="68"/>
  <c r="G653" i="68"/>
  <c r="H653" i="68"/>
  <c r="I653" i="68"/>
  <c r="J653" i="68"/>
  <c r="A654" i="68"/>
  <c r="B654" i="68"/>
  <c r="C654" i="68"/>
  <c r="D654" i="68"/>
  <c r="E654" i="68"/>
  <c r="F654" i="68"/>
  <c r="G654" i="68"/>
  <c r="H654" i="68"/>
  <c r="I654" i="68"/>
  <c r="J654" i="68"/>
  <c r="A655" i="68"/>
  <c r="B655" i="68"/>
  <c r="C655" i="68"/>
  <c r="D655" i="68"/>
  <c r="E655" i="68"/>
  <c r="F655" i="68"/>
  <c r="G655" i="68"/>
  <c r="H655" i="68"/>
  <c r="I655" i="68"/>
  <c r="J655" i="68"/>
  <c r="A656" i="68"/>
  <c r="B656" i="68"/>
  <c r="C656" i="68"/>
  <c r="D656" i="68"/>
  <c r="E656" i="68"/>
  <c r="F656" i="68"/>
  <c r="G656" i="68"/>
  <c r="H656" i="68"/>
  <c r="I656" i="68"/>
  <c r="J656" i="68"/>
  <c r="A657" i="68"/>
  <c r="B657" i="68"/>
  <c r="C657" i="68"/>
  <c r="D657" i="68"/>
  <c r="E657" i="68"/>
  <c r="F657" i="68"/>
  <c r="G657" i="68"/>
  <c r="H657" i="68"/>
  <c r="I657" i="68"/>
  <c r="J657" i="68"/>
  <c r="A658" i="68"/>
  <c r="B658" i="68"/>
  <c r="C658" i="68"/>
  <c r="D658" i="68"/>
  <c r="E658" i="68"/>
  <c r="F658" i="68"/>
  <c r="G658" i="68"/>
  <c r="H658" i="68"/>
  <c r="I658" i="68"/>
  <c r="J658" i="68"/>
  <c r="A659" i="68"/>
  <c r="B659" i="68"/>
  <c r="C659" i="68"/>
  <c r="D659" i="68"/>
  <c r="E659" i="68"/>
  <c r="F659" i="68"/>
  <c r="G659" i="68"/>
  <c r="H659" i="68"/>
  <c r="I659" i="68"/>
  <c r="J659" i="68"/>
  <c r="A660" i="68"/>
  <c r="B660" i="68"/>
  <c r="C660" i="68"/>
  <c r="D660" i="68"/>
  <c r="E660" i="68"/>
  <c r="F660" i="68"/>
  <c r="G660" i="68"/>
  <c r="H660" i="68"/>
  <c r="I660" i="68"/>
  <c r="J660" i="68"/>
  <c r="A661" i="68"/>
  <c r="B661" i="68"/>
  <c r="C661" i="68"/>
  <c r="D661" i="68"/>
  <c r="E661" i="68"/>
  <c r="F661" i="68"/>
  <c r="G661" i="68"/>
  <c r="H661" i="68"/>
  <c r="I661" i="68"/>
  <c r="J661" i="68"/>
  <c r="A662" i="68"/>
  <c r="B662" i="68"/>
  <c r="C662" i="68"/>
  <c r="D662" i="68"/>
  <c r="E662" i="68"/>
  <c r="F662" i="68"/>
  <c r="G662" i="68"/>
  <c r="H662" i="68"/>
  <c r="I662" i="68"/>
  <c r="J662" i="68"/>
  <c r="A663" i="68"/>
  <c r="B663" i="68"/>
  <c r="C663" i="68"/>
  <c r="D663" i="68"/>
  <c r="E663" i="68"/>
  <c r="F663" i="68"/>
  <c r="G663" i="68"/>
  <c r="H663" i="68"/>
  <c r="I663" i="68"/>
  <c r="J663" i="68"/>
  <c r="A664" i="68"/>
  <c r="B664" i="68"/>
  <c r="C664" i="68"/>
  <c r="D664" i="68"/>
  <c r="E664" i="68"/>
  <c r="F664" i="68"/>
  <c r="G664" i="68"/>
  <c r="H664" i="68"/>
  <c r="I664" i="68"/>
  <c r="J664" i="68"/>
  <c r="A665" i="68"/>
  <c r="B665" i="68"/>
  <c r="C665" i="68"/>
  <c r="D665" i="68"/>
  <c r="E665" i="68"/>
  <c r="F665" i="68"/>
  <c r="G665" i="68"/>
  <c r="H665" i="68"/>
  <c r="I665" i="68"/>
  <c r="J665" i="68"/>
  <c r="A666" i="68"/>
  <c r="B666" i="68"/>
  <c r="C666" i="68"/>
  <c r="D666" i="68"/>
  <c r="E666" i="68"/>
  <c r="F666" i="68"/>
  <c r="G666" i="68"/>
  <c r="H666" i="68"/>
  <c r="I666" i="68"/>
  <c r="J666" i="68"/>
  <c r="A667" i="68"/>
  <c r="B667" i="68"/>
  <c r="C667" i="68"/>
  <c r="D667" i="68"/>
  <c r="E667" i="68"/>
  <c r="F667" i="68"/>
  <c r="G667" i="68"/>
  <c r="H667" i="68"/>
  <c r="I667" i="68"/>
  <c r="J667" i="68"/>
  <c r="A668" i="68"/>
  <c r="B668" i="68"/>
  <c r="C668" i="68"/>
  <c r="D668" i="68"/>
  <c r="E668" i="68"/>
  <c r="F668" i="68"/>
  <c r="G668" i="68"/>
  <c r="H668" i="68"/>
  <c r="I668" i="68"/>
  <c r="J668" i="68"/>
  <c r="A669" i="68"/>
  <c r="B669" i="68"/>
  <c r="C669" i="68"/>
  <c r="D669" i="68"/>
  <c r="E669" i="68"/>
  <c r="F669" i="68"/>
  <c r="G669" i="68"/>
  <c r="H669" i="68"/>
  <c r="I669" i="68"/>
  <c r="J669" i="68"/>
  <c r="A670" i="68"/>
  <c r="B670" i="68"/>
  <c r="C670" i="68"/>
  <c r="D670" i="68"/>
  <c r="E670" i="68"/>
  <c r="F670" i="68"/>
  <c r="G670" i="68"/>
  <c r="H670" i="68"/>
  <c r="I670" i="68"/>
  <c r="J670" i="68"/>
  <c r="A671" i="68"/>
  <c r="B671" i="68"/>
  <c r="C671" i="68"/>
  <c r="D671" i="68"/>
  <c r="E671" i="68"/>
  <c r="F671" i="68"/>
  <c r="G671" i="68"/>
  <c r="H671" i="68"/>
  <c r="I671" i="68"/>
  <c r="J671" i="68"/>
  <c r="A672" i="68"/>
  <c r="B672" i="68"/>
  <c r="C672" i="68"/>
  <c r="D672" i="68"/>
  <c r="E672" i="68"/>
  <c r="F672" i="68"/>
  <c r="G672" i="68"/>
  <c r="H672" i="68"/>
  <c r="I672" i="68"/>
  <c r="J672" i="68"/>
  <c r="A673" i="68"/>
  <c r="B673" i="68"/>
  <c r="C673" i="68"/>
  <c r="D673" i="68"/>
  <c r="E673" i="68"/>
  <c r="F673" i="68"/>
  <c r="G673" i="68"/>
  <c r="H673" i="68"/>
  <c r="I673" i="68"/>
  <c r="J673" i="68"/>
  <c r="A674" i="68"/>
  <c r="B674" i="68"/>
  <c r="C674" i="68"/>
  <c r="D674" i="68"/>
  <c r="E674" i="68"/>
  <c r="F674" i="68"/>
  <c r="G674" i="68"/>
  <c r="H674" i="68"/>
  <c r="I674" i="68"/>
  <c r="J674" i="68"/>
  <c r="A675" i="68"/>
  <c r="B675" i="68"/>
  <c r="C675" i="68"/>
  <c r="D675" i="68"/>
  <c r="E675" i="68"/>
  <c r="F675" i="68"/>
  <c r="G675" i="68"/>
  <c r="H675" i="68"/>
  <c r="I675" i="68"/>
  <c r="J675" i="68"/>
  <c r="A676" i="68"/>
  <c r="B676" i="68"/>
  <c r="C676" i="68"/>
  <c r="D676" i="68"/>
  <c r="E676" i="68"/>
  <c r="F676" i="68"/>
  <c r="G676" i="68"/>
  <c r="H676" i="68"/>
  <c r="I676" i="68"/>
  <c r="J676" i="68"/>
  <c r="A677" i="68"/>
  <c r="B677" i="68"/>
  <c r="C677" i="68"/>
  <c r="D677" i="68"/>
  <c r="E677" i="68"/>
  <c r="F677" i="68"/>
  <c r="G677" i="68"/>
  <c r="H677" i="68"/>
  <c r="I677" i="68"/>
  <c r="J677" i="68"/>
  <c r="A678" i="68"/>
  <c r="B678" i="68"/>
  <c r="C678" i="68"/>
  <c r="D678" i="68"/>
  <c r="E678" i="68"/>
  <c r="F678" i="68"/>
  <c r="G678" i="68"/>
  <c r="H678" i="68"/>
  <c r="I678" i="68"/>
  <c r="J678" i="68"/>
  <c r="A679" i="68"/>
  <c r="B679" i="68"/>
  <c r="C679" i="68"/>
  <c r="D679" i="68"/>
  <c r="E679" i="68"/>
  <c r="F679" i="68"/>
  <c r="G679" i="68"/>
  <c r="H679" i="68"/>
  <c r="I679" i="68"/>
  <c r="J679" i="68"/>
  <c r="A680" i="68"/>
  <c r="B680" i="68"/>
  <c r="C680" i="68"/>
  <c r="D680" i="68"/>
  <c r="E680" i="68"/>
  <c r="F680" i="68"/>
  <c r="G680" i="68"/>
  <c r="H680" i="68"/>
  <c r="I680" i="68"/>
  <c r="J680" i="68"/>
  <c r="A681" i="68"/>
  <c r="B681" i="68"/>
  <c r="C681" i="68"/>
  <c r="D681" i="68"/>
  <c r="E681" i="68"/>
  <c r="F681" i="68"/>
  <c r="G681" i="68"/>
  <c r="H681" i="68"/>
  <c r="I681" i="68"/>
  <c r="J681" i="68"/>
  <c r="A682" i="68"/>
  <c r="B682" i="68"/>
  <c r="C682" i="68"/>
  <c r="D682" i="68"/>
  <c r="E682" i="68"/>
  <c r="F682" i="68"/>
  <c r="G682" i="68"/>
  <c r="H682" i="68"/>
  <c r="I682" i="68"/>
  <c r="J682" i="68"/>
  <c r="A683" i="68"/>
  <c r="B683" i="68"/>
  <c r="C683" i="68"/>
  <c r="D683" i="68"/>
  <c r="E683" i="68"/>
  <c r="F683" i="68"/>
  <c r="G683" i="68"/>
  <c r="H683" i="68"/>
  <c r="I683" i="68"/>
  <c r="J683" i="68"/>
  <c r="A684" i="68"/>
  <c r="B684" i="68"/>
  <c r="C684" i="68"/>
  <c r="D684" i="68"/>
  <c r="E684" i="68"/>
  <c r="F684" i="68"/>
  <c r="G684" i="68"/>
  <c r="H684" i="68"/>
  <c r="I684" i="68"/>
  <c r="J684" i="68"/>
  <c r="A685" i="68"/>
  <c r="B685" i="68"/>
  <c r="C685" i="68"/>
  <c r="D685" i="68"/>
  <c r="E685" i="68"/>
  <c r="F685" i="68"/>
  <c r="G685" i="68"/>
  <c r="H685" i="68"/>
  <c r="I685" i="68"/>
  <c r="J685" i="68"/>
  <c r="A686" i="68"/>
  <c r="B686" i="68"/>
  <c r="C686" i="68"/>
  <c r="D686" i="68"/>
  <c r="E686" i="68"/>
  <c r="F686" i="68"/>
  <c r="G686" i="68"/>
  <c r="H686" i="68"/>
  <c r="I686" i="68"/>
  <c r="J686" i="68"/>
  <c r="A687" i="68"/>
  <c r="B687" i="68"/>
  <c r="C687" i="68"/>
  <c r="D687" i="68"/>
  <c r="E687" i="68"/>
  <c r="F687" i="68"/>
  <c r="G687" i="68"/>
  <c r="H687" i="68"/>
  <c r="I687" i="68"/>
  <c r="J687" i="68"/>
  <c r="A688" i="68"/>
  <c r="B688" i="68"/>
  <c r="C688" i="68"/>
  <c r="D688" i="68"/>
  <c r="E688" i="68"/>
  <c r="F688" i="68"/>
  <c r="G688" i="68"/>
  <c r="H688" i="68"/>
  <c r="I688" i="68"/>
  <c r="J688" i="68"/>
  <c r="A689" i="68"/>
  <c r="B689" i="68"/>
  <c r="C689" i="68"/>
  <c r="D689" i="68"/>
  <c r="E689" i="68"/>
  <c r="F689" i="68"/>
  <c r="G689" i="68"/>
  <c r="H689" i="68"/>
  <c r="I689" i="68"/>
  <c r="J689" i="68"/>
  <c r="A690" i="68"/>
  <c r="B690" i="68"/>
  <c r="C690" i="68"/>
  <c r="D690" i="68"/>
  <c r="E690" i="68"/>
  <c r="F690" i="68"/>
  <c r="G690" i="68"/>
  <c r="H690" i="68"/>
  <c r="I690" i="68"/>
  <c r="J690" i="68"/>
  <c r="A691" i="68"/>
  <c r="B691" i="68"/>
  <c r="C691" i="68"/>
  <c r="D691" i="68"/>
  <c r="E691" i="68"/>
  <c r="F691" i="68"/>
  <c r="G691" i="68"/>
  <c r="H691" i="68"/>
  <c r="I691" i="68"/>
  <c r="J691" i="68"/>
  <c r="A692" i="68"/>
  <c r="B692" i="68"/>
  <c r="C692" i="68"/>
  <c r="D692" i="68"/>
  <c r="E692" i="68"/>
  <c r="F692" i="68"/>
  <c r="G692" i="68"/>
  <c r="H692" i="68"/>
  <c r="I692" i="68"/>
  <c r="J692" i="68"/>
  <c r="A693" i="68"/>
  <c r="B693" i="68"/>
  <c r="C693" i="68"/>
  <c r="D693" i="68"/>
  <c r="E693" i="68"/>
  <c r="F693" i="68"/>
  <c r="G693" i="68"/>
  <c r="H693" i="68"/>
  <c r="I693" i="68"/>
  <c r="J693" i="68"/>
  <c r="A694" i="68"/>
  <c r="B694" i="68"/>
  <c r="C694" i="68"/>
  <c r="D694" i="68"/>
  <c r="E694" i="68"/>
  <c r="F694" i="68"/>
  <c r="G694" i="68"/>
  <c r="H694" i="68"/>
  <c r="I694" i="68"/>
  <c r="J694" i="68"/>
  <c r="A695" i="68"/>
  <c r="B695" i="68"/>
  <c r="C695" i="68"/>
  <c r="D695" i="68"/>
  <c r="E695" i="68"/>
  <c r="F695" i="68"/>
  <c r="G695" i="68"/>
  <c r="H695" i="68"/>
  <c r="I695" i="68"/>
  <c r="J695" i="68"/>
  <c r="A696" i="68"/>
  <c r="B696" i="68"/>
  <c r="C696" i="68"/>
  <c r="D696" i="68"/>
  <c r="E696" i="68"/>
  <c r="F696" i="68"/>
  <c r="G696" i="68"/>
  <c r="H696" i="68"/>
  <c r="I696" i="68"/>
  <c r="J696" i="68"/>
  <c r="A697" i="68"/>
  <c r="B697" i="68"/>
  <c r="C697" i="68"/>
  <c r="D697" i="68"/>
  <c r="E697" i="68"/>
  <c r="F697" i="68"/>
  <c r="G697" i="68"/>
  <c r="H697" i="68"/>
  <c r="I697" i="68"/>
  <c r="J697" i="68"/>
  <c r="A698" i="68"/>
  <c r="B698" i="68"/>
  <c r="C698" i="68"/>
  <c r="D698" i="68"/>
  <c r="E698" i="68"/>
  <c r="F698" i="68"/>
  <c r="G698" i="68"/>
  <c r="H698" i="68"/>
  <c r="I698" i="68"/>
  <c r="J698" i="68"/>
  <c r="A699" i="68"/>
  <c r="B699" i="68"/>
  <c r="C699" i="68"/>
  <c r="D699" i="68"/>
  <c r="E699" i="68"/>
  <c r="F699" i="68"/>
  <c r="G699" i="68"/>
  <c r="H699" i="68"/>
  <c r="I699" i="68"/>
  <c r="J699" i="68"/>
  <c r="A700" i="68"/>
  <c r="B700" i="68"/>
  <c r="C700" i="68"/>
  <c r="D700" i="68"/>
  <c r="E700" i="68"/>
  <c r="F700" i="68"/>
  <c r="G700" i="68"/>
  <c r="H700" i="68"/>
  <c r="I700" i="68"/>
  <c r="J700" i="68"/>
  <c r="A701" i="68"/>
  <c r="B701" i="68"/>
  <c r="C701" i="68"/>
  <c r="D701" i="68"/>
  <c r="E701" i="68"/>
  <c r="F701" i="68"/>
  <c r="G701" i="68"/>
  <c r="H701" i="68"/>
  <c r="I701" i="68"/>
  <c r="J701" i="68"/>
  <c r="A702" i="68"/>
  <c r="B702" i="68"/>
  <c r="C702" i="68"/>
  <c r="D702" i="68"/>
  <c r="E702" i="68"/>
  <c r="F702" i="68"/>
  <c r="G702" i="68"/>
  <c r="H702" i="68"/>
  <c r="I702" i="68"/>
  <c r="J702" i="68"/>
  <c r="A703" i="68"/>
  <c r="B703" i="68"/>
  <c r="C703" i="68"/>
  <c r="D703" i="68"/>
  <c r="E703" i="68"/>
  <c r="F703" i="68"/>
  <c r="G703" i="68"/>
  <c r="H703" i="68"/>
  <c r="I703" i="68"/>
  <c r="J703" i="68"/>
  <c r="A704" i="68"/>
  <c r="B704" i="68"/>
  <c r="C704" i="68"/>
  <c r="D704" i="68"/>
  <c r="E704" i="68"/>
  <c r="F704" i="68"/>
  <c r="G704" i="68"/>
  <c r="H704" i="68"/>
  <c r="I704" i="68"/>
  <c r="J704" i="68"/>
  <c r="A705" i="68"/>
  <c r="B705" i="68"/>
  <c r="C705" i="68"/>
  <c r="D705" i="68"/>
  <c r="E705" i="68"/>
  <c r="F705" i="68"/>
  <c r="G705" i="68"/>
  <c r="H705" i="68"/>
  <c r="I705" i="68"/>
  <c r="J705" i="68"/>
  <c r="A706" i="68"/>
  <c r="B706" i="68"/>
  <c r="C706" i="68"/>
  <c r="D706" i="68"/>
  <c r="E706" i="68"/>
  <c r="F706" i="68"/>
  <c r="G706" i="68"/>
  <c r="H706" i="68"/>
  <c r="I706" i="68"/>
  <c r="J706" i="68"/>
  <c r="A707" i="68"/>
  <c r="B707" i="68"/>
  <c r="C707" i="68"/>
  <c r="D707" i="68"/>
  <c r="E707" i="68"/>
  <c r="F707" i="68"/>
  <c r="G707" i="68"/>
  <c r="H707" i="68"/>
  <c r="I707" i="68"/>
  <c r="J707" i="68"/>
  <c r="A708" i="68"/>
  <c r="B708" i="68"/>
  <c r="C708" i="68"/>
  <c r="D708" i="68"/>
  <c r="E708" i="68"/>
  <c r="F708" i="68"/>
  <c r="G708" i="68"/>
  <c r="H708" i="68"/>
  <c r="I708" i="68"/>
  <c r="J708" i="68"/>
  <c r="A709" i="68"/>
  <c r="B709" i="68"/>
  <c r="C709" i="68"/>
  <c r="D709" i="68"/>
  <c r="E709" i="68"/>
  <c r="F709" i="68"/>
  <c r="G709" i="68"/>
  <c r="H709" i="68"/>
  <c r="I709" i="68"/>
  <c r="J709" i="68"/>
  <c r="A710" i="68"/>
  <c r="B710" i="68"/>
  <c r="C710" i="68"/>
  <c r="D710" i="68"/>
  <c r="E710" i="68"/>
  <c r="F710" i="68"/>
  <c r="G710" i="68"/>
  <c r="H710" i="68"/>
  <c r="I710" i="68"/>
  <c r="J710" i="68"/>
  <c r="A711" i="68"/>
  <c r="B711" i="68"/>
  <c r="C711" i="68"/>
  <c r="D711" i="68"/>
  <c r="E711" i="68"/>
  <c r="F711" i="68"/>
  <c r="G711" i="68"/>
  <c r="H711" i="68"/>
  <c r="I711" i="68"/>
  <c r="J711" i="68"/>
  <c r="A712" i="68"/>
  <c r="B712" i="68"/>
  <c r="C712" i="68"/>
  <c r="D712" i="68"/>
  <c r="E712" i="68"/>
  <c r="F712" i="68"/>
  <c r="G712" i="68"/>
  <c r="H712" i="68"/>
  <c r="I712" i="68"/>
  <c r="J712" i="68"/>
  <c r="A713" i="68"/>
  <c r="B713" i="68"/>
  <c r="C713" i="68"/>
  <c r="D713" i="68"/>
  <c r="E713" i="68"/>
  <c r="F713" i="68"/>
  <c r="G713" i="68"/>
  <c r="H713" i="68"/>
  <c r="I713" i="68"/>
  <c r="J713" i="68"/>
  <c r="A714" i="68"/>
  <c r="B714" i="68"/>
  <c r="C714" i="68"/>
  <c r="D714" i="68"/>
  <c r="E714" i="68"/>
  <c r="F714" i="68"/>
  <c r="G714" i="68"/>
  <c r="H714" i="68"/>
  <c r="I714" i="68"/>
  <c r="J714" i="68"/>
  <c r="A715" i="68"/>
  <c r="B715" i="68"/>
  <c r="C715" i="68"/>
  <c r="D715" i="68"/>
  <c r="E715" i="68"/>
  <c r="F715" i="68"/>
  <c r="G715" i="68"/>
  <c r="H715" i="68"/>
  <c r="I715" i="68"/>
  <c r="J715" i="68"/>
  <c r="A716" i="68"/>
  <c r="B716" i="68"/>
  <c r="C716" i="68"/>
  <c r="D716" i="68"/>
  <c r="E716" i="68"/>
  <c r="F716" i="68"/>
  <c r="G716" i="68"/>
  <c r="H716" i="68"/>
  <c r="I716" i="68"/>
  <c r="J716" i="68"/>
  <c r="A717" i="68"/>
  <c r="B717" i="68"/>
  <c r="C717" i="68"/>
  <c r="D717" i="68"/>
  <c r="E717" i="68"/>
  <c r="F717" i="68"/>
  <c r="G717" i="68"/>
  <c r="H717" i="68"/>
  <c r="I717" i="68"/>
  <c r="J717" i="68"/>
  <c r="A718" i="68"/>
  <c r="B718" i="68"/>
  <c r="C718" i="68"/>
  <c r="D718" i="68"/>
  <c r="E718" i="68"/>
  <c r="F718" i="68"/>
  <c r="G718" i="68"/>
  <c r="H718" i="68"/>
  <c r="I718" i="68"/>
  <c r="J718" i="68"/>
  <c r="A719" i="68"/>
  <c r="B719" i="68"/>
  <c r="C719" i="68"/>
  <c r="D719" i="68"/>
  <c r="E719" i="68"/>
  <c r="F719" i="68"/>
  <c r="G719" i="68"/>
  <c r="H719" i="68"/>
  <c r="I719" i="68"/>
  <c r="J719" i="68"/>
  <c r="A720" i="68"/>
  <c r="B720" i="68"/>
  <c r="C720" i="68"/>
  <c r="D720" i="68"/>
  <c r="E720" i="68"/>
  <c r="F720" i="68"/>
  <c r="G720" i="68"/>
  <c r="H720" i="68"/>
  <c r="I720" i="68"/>
  <c r="J720" i="68"/>
  <c r="A721" i="68"/>
  <c r="B721" i="68"/>
  <c r="C721" i="68"/>
  <c r="D721" i="68"/>
  <c r="E721" i="68"/>
  <c r="F721" i="68"/>
  <c r="G721" i="68"/>
  <c r="H721" i="68"/>
  <c r="I721" i="68"/>
  <c r="J721" i="68"/>
  <c r="A722" i="68"/>
  <c r="B722" i="68"/>
  <c r="C722" i="68"/>
  <c r="D722" i="68"/>
  <c r="E722" i="68"/>
  <c r="F722" i="68"/>
  <c r="G722" i="68"/>
  <c r="H722" i="68"/>
  <c r="I722" i="68"/>
  <c r="J722" i="68"/>
  <c r="A723" i="68"/>
  <c r="B723" i="68"/>
  <c r="C723" i="68"/>
  <c r="D723" i="68"/>
  <c r="E723" i="68"/>
  <c r="F723" i="68"/>
  <c r="G723" i="68"/>
  <c r="H723" i="68"/>
  <c r="I723" i="68"/>
  <c r="J723" i="68"/>
  <c r="A724" i="68"/>
  <c r="B724" i="68"/>
  <c r="C724" i="68"/>
  <c r="D724" i="68"/>
  <c r="E724" i="68"/>
  <c r="F724" i="68"/>
  <c r="G724" i="68"/>
  <c r="H724" i="68"/>
  <c r="I724" i="68"/>
  <c r="J724" i="68"/>
  <c r="A725" i="68"/>
  <c r="B725" i="68"/>
  <c r="C725" i="68"/>
  <c r="D725" i="68"/>
  <c r="E725" i="68"/>
  <c r="F725" i="68"/>
  <c r="G725" i="68"/>
  <c r="H725" i="68"/>
  <c r="I725" i="68"/>
  <c r="J725" i="68"/>
  <c r="A726" i="68"/>
  <c r="B726" i="68"/>
  <c r="C726" i="68"/>
  <c r="D726" i="68"/>
  <c r="E726" i="68"/>
  <c r="F726" i="68"/>
  <c r="G726" i="68"/>
  <c r="H726" i="68"/>
  <c r="I726" i="68"/>
  <c r="J726" i="68"/>
  <c r="A727" i="68"/>
  <c r="B727" i="68"/>
  <c r="C727" i="68"/>
  <c r="D727" i="68"/>
  <c r="E727" i="68"/>
  <c r="F727" i="68"/>
  <c r="G727" i="68"/>
  <c r="H727" i="68"/>
  <c r="I727" i="68"/>
  <c r="J727" i="68"/>
  <c r="A728" i="68"/>
  <c r="B728" i="68"/>
  <c r="C728" i="68"/>
  <c r="D728" i="68"/>
  <c r="E728" i="68"/>
  <c r="F728" i="68"/>
  <c r="G728" i="68"/>
  <c r="H728" i="68"/>
  <c r="I728" i="68"/>
  <c r="J728" i="68"/>
  <c r="A729" i="68"/>
  <c r="B729" i="68"/>
  <c r="C729" i="68"/>
  <c r="D729" i="68"/>
  <c r="E729" i="68"/>
  <c r="F729" i="68"/>
  <c r="G729" i="68"/>
  <c r="H729" i="68"/>
  <c r="I729" i="68"/>
  <c r="J729" i="68"/>
  <c r="A730" i="68"/>
  <c r="B730" i="68"/>
  <c r="C730" i="68"/>
  <c r="D730" i="68"/>
  <c r="E730" i="68"/>
  <c r="F730" i="68"/>
  <c r="G730" i="68"/>
  <c r="H730" i="68"/>
  <c r="I730" i="68"/>
  <c r="J730" i="68"/>
  <c r="A731" i="68"/>
  <c r="B731" i="68"/>
  <c r="C731" i="68"/>
  <c r="D731" i="68"/>
  <c r="E731" i="68"/>
  <c r="F731" i="68"/>
  <c r="G731" i="68"/>
  <c r="H731" i="68"/>
  <c r="I731" i="68"/>
  <c r="J731" i="68"/>
  <c r="A732" i="68"/>
  <c r="B732" i="68"/>
  <c r="C732" i="68"/>
  <c r="D732" i="68"/>
  <c r="E732" i="68"/>
  <c r="F732" i="68"/>
  <c r="G732" i="68"/>
  <c r="H732" i="68"/>
  <c r="I732" i="68"/>
  <c r="J732" i="68"/>
  <c r="A733" i="68"/>
  <c r="B733" i="68"/>
  <c r="C733" i="68"/>
  <c r="D733" i="68"/>
  <c r="E733" i="68"/>
  <c r="F733" i="68"/>
  <c r="G733" i="68"/>
  <c r="H733" i="68"/>
  <c r="I733" i="68"/>
  <c r="J733" i="68"/>
  <c r="A734" i="68"/>
  <c r="B734" i="68"/>
  <c r="C734" i="68"/>
  <c r="D734" i="68"/>
  <c r="E734" i="68"/>
  <c r="F734" i="68"/>
  <c r="G734" i="68"/>
  <c r="H734" i="68"/>
  <c r="I734" i="68"/>
  <c r="J734" i="68"/>
  <c r="A735" i="68"/>
  <c r="B735" i="68"/>
  <c r="C735" i="68"/>
  <c r="D735" i="68"/>
  <c r="E735" i="68"/>
  <c r="F735" i="68"/>
  <c r="G735" i="68"/>
  <c r="H735" i="68"/>
  <c r="I735" i="68"/>
  <c r="J735" i="68"/>
  <c r="A736" i="68"/>
  <c r="B736" i="68"/>
  <c r="C736" i="68"/>
  <c r="D736" i="68"/>
  <c r="E736" i="68"/>
  <c r="F736" i="68"/>
  <c r="G736" i="68"/>
  <c r="H736" i="68"/>
  <c r="I736" i="68"/>
  <c r="J736" i="68"/>
  <c r="A737" i="68"/>
  <c r="B737" i="68"/>
  <c r="C737" i="68"/>
  <c r="D737" i="68"/>
  <c r="E737" i="68"/>
  <c r="F737" i="68"/>
  <c r="G737" i="68"/>
  <c r="H737" i="68"/>
  <c r="I737" i="68"/>
  <c r="J737" i="68"/>
  <c r="A738" i="68"/>
  <c r="B738" i="68"/>
  <c r="C738" i="68"/>
  <c r="D738" i="68"/>
  <c r="E738" i="68"/>
  <c r="F738" i="68"/>
  <c r="G738" i="68"/>
  <c r="H738" i="68"/>
  <c r="I738" i="68"/>
  <c r="J738" i="68"/>
  <c r="A739" i="68"/>
  <c r="B739" i="68"/>
  <c r="C739" i="68"/>
  <c r="D739" i="68"/>
  <c r="E739" i="68"/>
  <c r="F739" i="68"/>
  <c r="G739" i="68"/>
  <c r="H739" i="68"/>
  <c r="I739" i="68"/>
  <c r="J739" i="68"/>
  <c r="A740" i="68"/>
  <c r="B740" i="68"/>
  <c r="C740" i="68"/>
  <c r="D740" i="68"/>
  <c r="E740" i="68"/>
  <c r="F740" i="68"/>
  <c r="G740" i="68"/>
  <c r="H740" i="68"/>
  <c r="I740" i="68"/>
  <c r="J740" i="68"/>
  <c r="A741" i="68"/>
  <c r="B741" i="68"/>
  <c r="C741" i="68"/>
  <c r="D741" i="68"/>
  <c r="E741" i="68"/>
  <c r="F741" i="68"/>
  <c r="G741" i="68"/>
  <c r="H741" i="68"/>
  <c r="I741" i="68"/>
  <c r="J741" i="68"/>
  <c r="A742" i="68"/>
  <c r="B742" i="68"/>
  <c r="C742" i="68"/>
  <c r="D742" i="68"/>
  <c r="E742" i="68"/>
  <c r="F742" i="68"/>
  <c r="G742" i="68"/>
  <c r="H742" i="68"/>
  <c r="I742" i="68"/>
  <c r="J742" i="68"/>
  <c r="A743" i="68"/>
  <c r="B743" i="68"/>
  <c r="C743" i="68"/>
  <c r="D743" i="68"/>
  <c r="E743" i="68"/>
  <c r="F743" i="68"/>
  <c r="G743" i="68"/>
  <c r="H743" i="68"/>
  <c r="I743" i="68"/>
  <c r="J743" i="68"/>
  <c r="A744" i="68"/>
  <c r="B744" i="68"/>
  <c r="C744" i="68"/>
  <c r="D744" i="68"/>
  <c r="E744" i="68"/>
  <c r="F744" i="68"/>
  <c r="G744" i="68"/>
  <c r="H744" i="68"/>
  <c r="I744" i="68"/>
  <c r="J744" i="68"/>
  <c r="A745" i="68"/>
  <c r="B745" i="68"/>
  <c r="C745" i="68"/>
  <c r="D745" i="68"/>
  <c r="E745" i="68"/>
  <c r="F745" i="68"/>
  <c r="G745" i="68"/>
  <c r="H745" i="68"/>
  <c r="I745" i="68"/>
  <c r="J745" i="68"/>
  <c r="A746" i="68"/>
  <c r="B746" i="68"/>
  <c r="C746" i="68"/>
  <c r="D746" i="68"/>
  <c r="E746" i="68"/>
  <c r="F746" i="68"/>
  <c r="G746" i="68"/>
  <c r="H746" i="68"/>
  <c r="I746" i="68"/>
  <c r="J746" i="68"/>
  <c r="A747" i="68"/>
  <c r="B747" i="68"/>
  <c r="C747" i="68"/>
  <c r="D747" i="68"/>
  <c r="E747" i="68"/>
  <c r="F747" i="68"/>
  <c r="G747" i="68"/>
  <c r="H747" i="68"/>
  <c r="I747" i="68"/>
  <c r="J747" i="68"/>
  <c r="A748" i="68"/>
  <c r="B748" i="68"/>
  <c r="C748" i="68"/>
  <c r="D748" i="68"/>
  <c r="E748" i="68"/>
  <c r="F748" i="68"/>
  <c r="G748" i="68"/>
  <c r="H748" i="68"/>
  <c r="I748" i="68"/>
  <c r="J748" i="68"/>
  <c r="A749" i="68"/>
  <c r="B749" i="68"/>
  <c r="C749" i="68"/>
  <c r="D749" i="68"/>
  <c r="E749" i="68"/>
  <c r="F749" i="68"/>
  <c r="G749" i="68"/>
  <c r="H749" i="68"/>
  <c r="I749" i="68"/>
  <c r="J749" i="68"/>
  <c r="A750" i="68"/>
  <c r="B750" i="68"/>
  <c r="C750" i="68"/>
  <c r="D750" i="68"/>
  <c r="E750" i="68"/>
  <c r="F750" i="68"/>
  <c r="G750" i="68"/>
  <c r="H750" i="68"/>
  <c r="I750" i="68"/>
  <c r="J750" i="68"/>
  <c r="A751" i="68"/>
  <c r="B751" i="68"/>
  <c r="C751" i="68"/>
  <c r="D751" i="68"/>
  <c r="E751" i="68"/>
  <c r="F751" i="68"/>
  <c r="G751" i="68"/>
  <c r="H751" i="68"/>
  <c r="I751" i="68"/>
  <c r="J751" i="68"/>
  <c r="A752" i="68"/>
  <c r="B752" i="68"/>
  <c r="C752" i="68"/>
  <c r="D752" i="68"/>
  <c r="E752" i="68"/>
  <c r="F752" i="68"/>
  <c r="G752" i="68"/>
  <c r="H752" i="68"/>
  <c r="I752" i="68"/>
  <c r="J752" i="68"/>
  <c r="A753" i="68"/>
  <c r="B753" i="68"/>
  <c r="C753" i="68"/>
  <c r="D753" i="68"/>
  <c r="E753" i="68"/>
  <c r="F753" i="68"/>
  <c r="G753" i="68"/>
  <c r="H753" i="68"/>
  <c r="I753" i="68"/>
  <c r="J753" i="68"/>
  <c r="A754" i="68"/>
  <c r="B754" i="68"/>
  <c r="C754" i="68"/>
  <c r="D754" i="68"/>
  <c r="E754" i="68"/>
  <c r="F754" i="68"/>
  <c r="G754" i="68"/>
  <c r="H754" i="68"/>
  <c r="I754" i="68"/>
  <c r="J754" i="68"/>
  <c r="A755" i="68"/>
  <c r="B755" i="68"/>
  <c r="C755" i="68"/>
  <c r="D755" i="68"/>
  <c r="E755" i="68"/>
  <c r="F755" i="68"/>
  <c r="G755" i="68"/>
  <c r="H755" i="68"/>
  <c r="I755" i="68"/>
  <c r="J755" i="68"/>
  <c r="A756" i="68"/>
  <c r="B756" i="68"/>
  <c r="C756" i="68"/>
  <c r="D756" i="68"/>
  <c r="E756" i="68"/>
  <c r="F756" i="68"/>
  <c r="G756" i="68"/>
  <c r="H756" i="68"/>
  <c r="I756" i="68"/>
  <c r="J756" i="68"/>
  <c r="A757" i="68"/>
  <c r="B757" i="68"/>
  <c r="C757" i="68"/>
  <c r="D757" i="68"/>
  <c r="E757" i="68"/>
  <c r="F757" i="68"/>
  <c r="G757" i="68"/>
  <c r="H757" i="68"/>
  <c r="I757" i="68"/>
  <c r="J757" i="68"/>
  <c r="A758" i="68"/>
  <c r="B758" i="68"/>
  <c r="C758" i="68"/>
  <c r="D758" i="68"/>
  <c r="E758" i="68"/>
  <c r="F758" i="68"/>
  <c r="G758" i="68"/>
  <c r="H758" i="68"/>
  <c r="I758" i="68"/>
  <c r="J758" i="68"/>
  <c r="J2" i="68"/>
  <c r="I2" i="68"/>
  <c r="H2" i="68"/>
  <c r="G2" i="68"/>
  <c r="F2" i="68"/>
  <c r="E2" i="68"/>
  <c r="D2" i="68"/>
  <c r="C2" i="68"/>
  <c r="B2" i="68"/>
  <c r="A2" i="68"/>
  <c r="A16" i="71" l="1"/>
  <c r="B16" i="71"/>
  <c r="C16" i="71"/>
  <c r="D16" i="71"/>
  <c r="E16" i="71"/>
  <c r="F16" i="71"/>
  <c r="G16" i="71"/>
  <c r="K16" i="71"/>
  <c r="A3" i="87" l="1"/>
  <c r="B3" i="87"/>
  <c r="C3" i="87"/>
  <c r="D3" i="87"/>
  <c r="E3" i="87"/>
  <c r="A4" i="87"/>
  <c r="B4" i="87"/>
  <c r="C4" i="87"/>
  <c r="D4" i="87"/>
  <c r="E4" i="87"/>
  <c r="A5" i="87"/>
  <c r="B5" i="87"/>
  <c r="C5" i="87"/>
  <c r="D5" i="87"/>
  <c r="E5" i="87"/>
  <c r="A6" i="87"/>
  <c r="B6" i="87"/>
  <c r="C6" i="87"/>
  <c r="D6" i="87"/>
  <c r="E6" i="87"/>
  <c r="A7" i="87"/>
  <c r="B7" i="87"/>
  <c r="C7" i="87"/>
  <c r="D7" i="87"/>
  <c r="E7" i="87"/>
  <c r="A8" i="87"/>
  <c r="B8" i="87"/>
  <c r="C8" i="87"/>
  <c r="D8" i="87"/>
  <c r="E8" i="87"/>
  <c r="A9" i="87"/>
  <c r="B9" i="87"/>
  <c r="C9" i="87"/>
  <c r="D9" i="87"/>
  <c r="E9" i="87"/>
  <c r="A10" i="87"/>
  <c r="B10" i="87"/>
  <c r="C10" i="87"/>
  <c r="D10" i="87"/>
  <c r="E10" i="87"/>
  <c r="A11" i="87"/>
  <c r="B11" i="87"/>
  <c r="C11" i="87"/>
  <c r="D11" i="87"/>
  <c r="E11" i="87"/>
  <c r="A12" i="87"/>
  <c r="B12" i="87"/>
  <c r="C12" i="87"/>
  <c r="D12" i="87"/>
  <c r="E12" i="87"/>
  <c r="A13" i="87"/>
  <c r="B13" i="87"/>
  <c r="C13" i="87"/>
  <c r="D13" i="87"/>
  <c r="E13" i="87"/>
  <c r="A14" i="87"/>
  <c r="B14" i="87"/>
  <c r="C14" i="87"/>
  <c r="D14" i="87"/>
  <c r="E14" i="87"/>
  <c r="A15" i="87"/>
  <c r="B15" i="87"/>
  <c r="C15" i="87"/>
  <c r="D15" i="87"/>
  <c r="E15" i="87"/>
  <c r="A16" i="87"/>
  <c r="B16" i="87"/>
  <c r="C16" i="87"/>
  <c r="D16" i="87"/>
  <c r="E16" i="87"/>
  <c r="A17" i="87"/>
  <c r="B17" i="87"/>
  <c r="C17" i="87"/>
  <c r="D17" i="87"/>
  <c r="E17" i="87"/>
  <c r="A18" i="87"/>
  <c r="B18" i="87"/>
  <c r="C18" i="87"/>
  <c r="D18" i="87"/>
  <c r="E18" i="87"/>
  <c r="A19" i="87"/>
  <c r="B19" i="87"/>
  <c r="C19" i="87"/>
  <c r="D19" i="87"/>
  <c r="E19" i="87"/>
  <c r="A20" i="87"/>
  <c r="B20" i="87"/>
  <c r="C20" i="87"/>
  <c r="D20" i="87"/>
  <c r="E20" i="87"/>
  <c r="A21" i="87"/>
  <c r="B21" i="87"/>
  <c r="C21" i="87"/>
  <c r="D21" i="87"/>
  <c r="E21" i="87"/>
  <c r="A22" i="87"/>
  <c r="B22" i="87"/>
  <c r="C22" i="87"/>
  <c r="D22" i="87"/>
  <c r="E22" i="87"/>
  <c r="A23" i="87"/>
  <c r="B23" i="87"/>
  <c r="C23" i="87"/>
  <c r="D23" i="87"/>
  <c r="E23" i="87"/>
  <c r="A24" i="87"/>
  <c r="B24" i="87"/>
  <c r="C24" i="87"/>
  <c r="D24" i="87"/>
  <c r="E24" i="87"/>
  <c r="A25" i="87"/>
  <c r="B25" i="87"/>
  <c r="C25" i="87"/>
  <c r="D25" i="87"/>
  <c r="E25" i="87"/>
  <c r="A26" i="87"/>
  <c r="B26" i="87"/>
  <c r="C26" i="87"/>
  <c r="D26" i="87"/>
  <c r="E26" i="87"/>
  <c r="A27" i="87"/>
  <c r="B27" i="87"/>
  <c r="C27" i="87"/>
  <c r="D27" i="87"/>
  <c r="E27" i="87"/>
  <c r="A28" i="87"/>
  <c r="B28" i="87"/>
  <c r="C28" i="87"/>
  <c r="D28" i="87"/>
  <c r="E28" i="87"/>
  <c r="A29" i="87"/>
  <c r="B29" i="87"/>
  <c r="C29" i="87"/>
  <c r="D29" i="87"/>
  <c r="E29" i="87"/>
  <c r="A30" i="87"/>
  <c r="B30" i="87"/>
  <c r="C30" i="87"/>
  <c r="D30" i="87"/>
  <c r="E30" i="87"/>
  <c r="A31" i="87"/>
  <c r="B31" i="87"/>
  <c r="C31" i="87"/>
  <c r="D31" i="87"/>
  <c r="E31" i="87"/>
  <c r="A32" i="87"/>
  <c r="B32" i="87"/>
  <c r="C32" i="87"/>
  <c r="D32" i="87"/>
  <c r="E32" i="87"/>
  <c r="A33" i="87"/>
  <c r="B33" i="87"/>
  <c r="C33" i="87"/>
  <c r="D33" i="87"/>
  <c r="E33" i="87"/>
  <c r="A34" i="87"/>
  <c r="B34" i="87"/>
  <c r="C34" i="87"/>
  <c r="D34" i="87"/>
  <c r="E34" i="87"/>
  <c r="A35" i="87"/>
  <c r="B35" i="87"/>
  <c r="C35" i="87"/>
  <c r="D35" i="87"/>
  <c r="E35" i="87"/>
  <c r="A36" i="87"/>
  <c r="B36" i="87"/>
  <c r="C36" i="87"/>
  <c r="D36" i="87"/>
  <c r="E36" i="87"/>
  <c r="A37" i="87"/>
  <c r="B37" i="87"/>
  <c r="C37" i="87"/>
  <c r="D37" i="87"/>
  <c r="E37" i="87"/>
  <c r="A38" i="87"/>
  <c r="B38" i="87"/>
  <c r="C38" i="87"/>
  <c r="D38" i="87"/>
  <c r="E38" i="87"/>
  <c r="A39" i="87"/>
  <c r="B39" i="87"/>
  <c r="C39" i="87"/>
  <c r="D39" i="87"/>
  <c r="E39" i="87"/>
  <c r="A40" i="87"/>
  <c r="B40" i="87"/>
  <c r="C40" i="87"/>
  <c r="D40" i="87"/>
  <c r="E40" i="87"/>
  <c r="A41" i="87"/>
  <c r="B41" i="87"/>
  <c r="C41" i="87"/>
  <c r="D41" i="87"/>
  <c r="E41" i="87"/>
  <c r="A42" i="87"/>
  <c r="B42" i="87"/>
  <c r="C42" i="87"/>
  <c r="D42" i="87"/>
  <c r="E42" i="87"/>
  <c r="A43" i="87"/>
  <c r="B43" i="87"/>
  <c r="C43" i="87"/>
  <c r="D43" i="87"/>
  <c r="E43" i="87"/>
  <c r="A44" i="87"/>
  <c r="B44" i="87"/>
  <c r="C44" i="87"/>
  <c r="D44" i="87"/>
  <c r="E44" i="87"/>
  <c r="A45" i="87"/>
  <c r="B45" i="87"/>
  <c r="C45" i="87"/>
  <c r="D45" i="87"/>
  <c r="E45" i="87"/>
  <c r="A46" i="87"/>
  <c r="B46" i="87"/>
  <c r="C46" i="87"/>
  <c r="D46" i="87"/>
  <c r="E46" i="87"/>
  <c r="A47" i="87"/>
  <c r="B47" i="87"/>
  <c r="C47" i="87"/>
  <c r="D47" i="87"/>
  <c r="E47" i="87"/>
  <c r="A48" i="87"/>
  <c r="B48" i="87"/>
  <c r="C48" i="87"/>
  <c r="D48" i="87"/>
  <c r="E48" i="87"/>
  <c r="A49" i="87"/>
  <c r="B49" i="87"/>
  <c r="C49" i="87"/>
  <c r="D49" i="87"/>
  <c r="E49" i="87"/>
  <c r="A50" i="87"/>
  <c r="B50" i="87"/>
  <c r="C50" i="87"/>
  <c r="D50" i="87"/>
  <c r="E50" i="87"/>
  <c r="A51" i="87"/>
  <c r="B51" i="87"/>
  <c r="C51" i="87"/>
  <c r="D51" i="87"/>
  <c r="E51" i="87"/>
  <c r="A52" i="87"/>
  <c r="B52" i="87"/>
  <c r="C52" i="87"/>
  <c r="D52" i="87"/>
  <c r="E52" i="87"/>
  <c r="A53" i="87"/>
  <c r="B53" i="87"/>
  <c r="C53" i="87"/>
  <c r="D53" i="87"/>
  <c r="E53" i="87"/>
  <c r="A54" i="87"/>
  <c r="B54" i="87"/>
  <c r="C54" i="87"/>
  <c r="D54" i="87"/>
  <c r="E54" i="87"/>
  <c r="A55" i="87"/>
  <c r="B55" i="87"/>
  <c r="C55" i="87"/>
  <c r="D55" i="87"/>
  <c r="E55" i="87"/>
  <c r="A56" i="87"/>
  <c r="B56" i="87"/>
  <c r="C56" i="87"/>
  <c r="D56" i="87"/>
  <c r="E56" i="87"/>
  <c r="A57" i="87"/>
  <c r="B57" i="87"/>
  <c r="C57" i="87"/>
  <c r="D57" i="87"/>
  <c r="E57" i="87"/>
  <c r="A58" i="87"/>
  <c r="B58" i="87"/>
  <c r="C58" i="87"/>
  <c r="D58" i="87"/>
  <c r="E58" i="87"/>
  <c r="A59" i="87"/>
  <c r="B59" i="87"/>
  <c r="C59" i="87"/>
  <c r="D59" i="87"/>
  <c r="E59" i="87"/>
  <c r="A60" i="87"/>
  <c r="B60" i="87"/>
  <c r="C60" i="87"/>
  <c r="D60" i="87"/>
  <c r="E60" i="87"/>
  <c r="A61" i="87"/>
  <c r="B61" i="87"/>
  <c r="C61" i="87"/>
  <c r="D61" i="87"/>
  <c r="E61" i="87"/>
  <c r="A62" i="87"/>
  <c r="B62" i="87"/>
  <c r="C62" i="87"/>
  <c r="D62" i="87"/>
  <c r="E62" i="87"/>
  <c r="A63" i="87"/>
  <c r="B63" i="87"/>
  <c r="C63" i="87"/>
  <c r="D63" i="87"/>
  <c r="E63" i="87"/>
  <c r="A64" i="87"/>
  <c r="B64" i="87"/>
  <c r="C64" i="87"/>
  <c r="D64" i="87"/>
  <c r="E64" i="87"/>
  <c r="A65" i="87"/>
  <c r="B65" i="87"/>
  <c r="C65" i="87"/>
  <c r="D65" i="87"/>
  <c r="E65" i="87"/>
  <c r="A66" i="87"/>
  <c r="B66" i="87"/>
  <c r="C66" i="87"/>
  <c r="D66" i="87"/>
  <c r="E66" i="87"/>
  <c r="A67" i="87"/>
  <c r="B67" i="87"/>
  <c r="C67" i="87"/>
  <c r="D67" i="87"/>
  <c r="E67" i="87"/>
  <c r="A68" i="87"/>
  <c r="B68" i="87"/>
  <c r="C68" i="87"/>
  <c r="D68" i="87"/>
  <c r="E68" i="87"/>
  <c r="A69" i="87"/>
  <c r="B69" i="87"/>
  <c r="C69" i="87"/>
  <c r="D69" i="87"/>
  <c r="E69" i="87"/>
  <c r="A70" i="87"/>
  <c r="B70" i="87"/>
  <c r="C70" i="87"/>
  <c r="D70" i="87"/>
  <c r="E70" i="87"/>
  <c r="A71" i="87"/>
  <c r="B71" i="87"/>
  <c r="C71" i="87"/>
  <c r="D71" i="87"/>
  <c r="E71" i="87"/>
  <c r="A72" i="87"/>
  <c r="B72" i="87"/>
  <c r="C72" i="87"/>
  <c r="D72" i="87"/>
  <c r="E72" i="87"/>
  <c r="A73" i="87"/>
  <c r="B73" i="87"/>
  <c r="C73" i="87"/>
  <c r="D73" i="87"/>
  <c r="E73" i="87"/>
  <c r="A74" i="87"/>
  <c r="B74" i="87"/>
  <c r="C74" i="87"/>
  <c r="D74" i="87"/>
  <c r="E74" i="87"/>
  <c r="A75" i="87"/>
  <c r="B75" i="87"/>
  <c r="C75" i="87"/>
  <c r="D75" i="87"/>
  <c r="E75" i="87"/>
  <c r="A76" i="87"/>
  <c r="B76" i="87"/>
  <c r="C76" i="87"/>
  <c r="D76" i="87"/>
  <c r="E76" i="87"/>
  <c r="A77" i="87"/>
  <c r="B77" i="87"/>
  <c r="C77" i="87"/>
  <c r="D77" i="87"/>
  <c r="E77" i="87"/>
  <c r="A78" i="87"/>
  <c r="B78" i="87"/>
  <c r="C78" i="87"/>
  <c r="D78" i="87"/>
  <c r="E78" i="87"/>
  <c r="A79" i="87"/>
  <c r="B79" i="87"/>
  <c r="C79" i="87"/>
  <c r="D79" i="87"/>
  <c r="E79" i="87"/>
  <c r="A80" i="87"/>
  <c r="B80" i="87"/>
  <c r="C80" i="87"/>
  <c r="D80" i="87"/>
  <c r="E80" i="87"/>
  <c r="A81" i="87"/>
  <c r="B81" i="87"/>
  <c r="C81" i="87"/>
  <c r="D81" i="87"/>
  <c r="E81" i="87"/>
  <c r="A82" i="87"/>
  <c r="B82" i="87"/>
  <c r="C82" i="87"/>
  <c r="D82" i="87"/>
  <c r="E82" i="87"/>
  <c r="A83" i="87"/>
  <c r="B83" i="87"/>
  <c r="C83" i="87"/>
  <c r="D83" i="87"/>
  <c r="E83" i="87"/>
  <c r="A84" i="87"/>
  <c r="B84" i="87"/>
  <c r="C84" i="87"/>
  <c r="D84" i="87"/>
  <c r="E84" i="87"/>
  <c r="A85" i="87"/>
  <c r="B85" i="87"/>
  <c r="C85" i="87"/>
  <c r="D85" i="87"/>
  <c r="E85" i="87"/>
  <c r="A86" i="87"/>
  <c r="B86" i="87"/>
  <c r="C86" i="87"/>
  <c r="D86" i="87"/>
  <c r="E86" i="87"/>
  <c r="A87" i="87"/>
  <c r="B87" i="87"/>
  <c r="C87" i="87"/>
  <c r="D87" i="87"/>
  <c r="E87" i="87"/>
  <c r="A88" i="87"/>
  <c r="B88" i="87"/>
  <c r="C88" i="87"/>
  <c r="D88" i="87"/>
  <c r="E88" i="87"/>
  <c r="A89" i="87"/>
  <c r="B89" i="87"/>
  <c r="C89" i="87"/>
  <c r="D89" i="87"/>
  <c r="E89" i="87"/>
  <c r="A90" i="87"/>
  <c r="B90" i="87"/>
  <c r="C90" i="87"/>
  <c r="D90" i="87"/>
  <c r="E90" i="87"/>
  <c r="A91" i="87"/>
  <c r="B91" i="87"/>
  <c r="C91" i="87"/>
  <c r="D91" i="87"/>
  <c r="E91" i="87"/>
  <c r="A92" i="87"/>
  <c r="B92" i="87"/>
  <c r="C92" i="87"/>
  <c r="D92" i="87"/>
  <c r="E92" i="87"/>
  <c r="A93" i="87"/>
  <c r="B93" i="87"/>
  <c r="C93" i="87"/>
  <c r="D93" i="87"/>
  <c r="E93" i="87"/>
  <c r="A94" i="87"/>
  <c r="B94" i="87"/>
  <c r="C94" i="87"/>
  <c r="D94" i="87"/>
  <c r="E94" i="87"/>
  <c r="A95" i="87"/>
  <c r="B95" i="87"/>
  <c r="C95" i="87"/>
  <c r="D95" i="87"/>
  <c r="E95" i="87"/>
  <c r="A96" i="87"/>
  <c r="B96" i="87"/>
  <c r="C96" i="87"/>
  <c r="D96" i="87"/>
  <c r="E96" i="87"/>
  <c r="A97" i="87"/>
  <c r="B97" i="87"/>
  <c r="C97" i="87"/>
  <c r="D97" i="87"/>
  <c r="E97" i="87"/>
  <c r="A98" i="87"/>
  <c r="B98" i="87"/>
  <c r="C98" i="87"/>
  <c r="D98" i="87"/>
  <c r="E98" i="87"/>
  <c r="A99" i="87"/>
  <c r="B99" i="87"/>
  <c r="C99" i="87"/>
  <c r="D99" i="87"/>
  <c r="E99" i="87"/>
  <c r="A100" i="87"/>
  <c r="B100" i="87"/>
  <c r="C100" i="87"/>
  <c r="D100" i="87"/>
  <c r="E100" i="87"/>
  <c r="A101" i="87"/>
  <c r="B101" i="87"/>
  <c r="C101" i="87"/>
  <c r="D101" i="87"/>
  <c r="E101" i="87"/>
  <c r="A102" i="87"/>
  <c r="B102" i="87"/>
  <c r="C102" i="87"/>
  <c r="D102" i="87"/>
  <c r="E102" i="87"/>
  <c r="A103" i="87"/>
  <c r="B103" i="87"/>
  <c r="C103" i="87"/>
  <c r="D103" i="87"/>
  <c r="E103" i="87"/>
  <c r="A104" i="87"/>
  <c r="B104" i="87"/>
  <c r="C104" i="87"/>
  <c r="D104" i="87"/>
  <c r="E104" i="87"/>
  <c r="A105" i="87"/>
  <c r="B105" i="87"/>
  <c r="C105" i="87"/>
  <c r="D105" i="87"/>
  <c r="E105" i="87"/>
  <c r="A106" i="87"/>
  <c r="B106" i="87"/>
  <c r="C106" i="87"/>
  <c r="D106" i="87"/>
  <c r="E106" i="87"/>
  <c r="A107" i="87"/>
  <c r="B107" i="87"/>
  <c r="C107" i="87"/>
  <c r="D107" i="87"/>
  <c r="E107" i="87"/>
  <c r="A108" i="87"/>
  <c r="B108" i="87"/>
  <c r="C108" i="87"/>
  <c r="D108" i="87"/>
  <c r="E108" i="87"/>
  <c r="A109" i="87"/>
  <c r="B109" i="87"/>
  <c r="C109" i="87"/>
  <c r="D109" i="87"/>
  <c r="E109" i="87"/>
  <c r="A110" i="87"/>
  <c r="B110" i="87"/>
  <c r="C110" i="87"/>
  <c r="D110" i="87"/>
  <c r="E110" i="87"/>
  <c r="A111" i="87"/>
  <c r="B111" i="87"/>
  <c r="C111" i="87"/>
  <c r="D111" i="87"/>
  <c r="E111" i="87"/>
  <c r="A112" i="87"/>
  <c r="B112" i="87"/>
  <c r="C112" i="87"/>
  <c r="D112" i="87"/>
  <c r="E112" i="87"/>
  <c r="A113" i="87"/>
  <c r="B113" i="87"/>
  <c r="C113" i="87"/>
  <c r="D113" i="87"/>
  <c r="E113" i="87"/>
  <c r="A114" i="87"/>
  <c r="B114" i="87"/>
  <c r="C114" i="87"/>
  <c r="D114" i="87"/>
  <c r="E114" i="87"/>
  <c r="A115" i="87"/>
  <c r="B115" i="87"/>
  <c r="C115" i="87"/>
  <c r="D115" i="87"/>
  <c r="E115" i="87"/>
  <c r="A116" i="87"/>
  <c r="B116" i="87"/>
  <c r="C116" i="87"/>
  <c r="D116" i="87"/>
  <c r="E116" i="87"/>
  <c r="A117" i="87"/>
  <c r="B117" i="87"/>
  <c r="C117" i="87"/>
  <c r="D117" i="87"/>
  <c r="E117" i="87"/>
  <c r="A118" i="87"/>
  <c r="B118" i="87"/>
  <c r="C118" i="87"/>
  <c r="D118" i="87"/>
  <c r="E118" i="87"/>
  <c r="A119" i="87"/>
  <c r="B119" i="87"/>
  <c r="C119" i="87"/>
  <c r="D119" i="87"/>
  <c r="E119" i="87"/>
  <c r="A120" i="87"/>
  <c r="B120" i="87"/>
  <c r="C120" i="87"/>
  <c r="D120" i="87"/>
  <c r="E120" i="87"/>
  <c r="A121" i="87"/>
  <c r="B121" i="87"/>
  <c r="C121" i="87"/>
  <c r="D121" i="87"/>
  <c r="E121" i="87"/>
  <c r="A122" i="87"/>
  <c r="B122" i="87"/>
  <c r="C122" i="87"/>
  <c r="D122" i="87"/>
  <c r="E122" i="87"/>
  <c r="A123" i="87"/>
  <c r="B123" i="87"/>
  <c r="C123" i="87"/>
  <c r="D123" i="87"/>
  <c r="E123" i="87"/>
  <c r="A124" i="87"/>
  <c r="B124" i="87"/>
  <c r="C124" i="87"/>
  <c r="D124" i="87"/>
  <c r="E124" i="87"/>
  <c r="A125" i="87"/>
  <c r="B125" i="87"/>
  <c r="C125" i="87"/>
  <c r="D125" i="87"/>
  <c r="E125" i="87"/>
  <c r="A126" i="87"/>
  <c r="B126" i="87"/>
  <c r="C126" i="87"/>
  <c r="D126" i="87"/>
  <c r="E126" i="87"/>
  <c r="A127" i="87"/>
  <c r="B127" i="87"/>
  <c r="C127" i="87"/>
  <c r="D127" i="87"/>
  <c r="E127" i="87"/>
  <c r="A128" i="87"/>
  <c r="B128" i="87"/>
  <c r="C128" i="87"/>
  <c r="D128" i="87"/>
  <c r="E128" i="87"/>
  <c r="A129" i="87"/>
  <c r="B129" i="87"/>
  <c r="C129" i="87"/>
  <c r="D129" i="87"/>
  <c r="E129" i="87"/>
  <c r="A130" i="87"/>
  <c r="B130" i="87"/>
  <c r="C130" i="87"/>
  <c r="D130" i="87"/>
  <c r="E130" i="87"/>
  <c r="A131" i="87"/>
  <c r="B131" i="87"/>
  <c r="C131" i="87"/>
  <c r="D131" i="87"/>
  <c r="E131" i="87"/>
  <c r="A132" i="87"/>
  <c r="B132" i="87"/>
  <c r="C132" i="87"/>
  <c r="D132" i="87"/>
  <c r="E132" i="87"/>
  <c r="A133" i="87"/>
  <c r="B133" i="87"/>
  <c r="C133" i="87"/>
  <c r="D133" i="87"/>
  <c r="E133" i="87"/>
  <c r="A134" i="87"/>
  <c r="B134" i="87"/>
  <c r="C134" i="87"/>
  <c r="D134" i="87"/>
  <c r="E134" i="87"/>
  <c r="A135" i="87"/>
  <c r="B135" i="87"/>
  <c r="C135" i="87"/>
  <c r="D135" i="87"/>
  <c r="E135" i="87"/>
  <c r="A136" i="87"/>
  <c r="B136" i="87"/>
  <c r="C136" i="87"/>
  <c r="D136" i="87"/>
  <c r="E136" i="87"/>
  <c r="A137" i="87"/>
  <c r="B137" i="87"/>
  <c r="C137" i="87"/>
  <c r="D137" i="87"/>
  <c r="E137" i="87"/>
  <c r="A138" i="87"/>
  <c r="B138" i="87"/>
  <c r="C138" i="87"/>
  <c r="D138" i="87"/>
  <c r="E138" i="87"/>
  <c r="A139" i="87"/>
  <c r="B139" i="87"/>
  <c r="C139" i="87"/>
  <c r="D139" i="87"/>
  <c r="E139" i="87"/>
  <c r="A140" i="87"/>
  <c r="B140" i="87"/>
  <c r="C140" i="87"/>
  <c r="D140" i="87"/>
  <c r="E140" i="87"/>
  <c r="A141" i="87"/>
  <c r="B141" i="87"/>
  <c r="C141" i="87"/>
  <c r="D141" i="87"/>
  <c r="E141" i="87"/>
  <c r="A142" i="87"/>
  <c r="B142" i="87"/>
  <c r="C142" i="87"/>
  <c r="D142" i="87"/>
  <c r="E142" i="87"/>
  <c r="A143" i="87"/>
  <c r="B143" i="87"/>
  <c r="C143" i="87"/>
  <c r="D143" i="87"/>
  <c r="E143" i="87"/>
  <c r="A144" i="87"/>
  <c r="B144" i="87"/>
  <c r="C144" i="87"/>
  <c r="D144" i="87"/>
  <c r="E144" i="87"/>
  <c r="A145" i="87"/>
  <c r="B145" i="87"/>
  <c r="C145" i="87"/>
  <c r="D145" i="87"/>
  <c r="E145" i="87"/>
  <c r="A146" i="87"/>
  <c r="B146" i="87"/>
  <c r="C146" i="87"/>
  <c r="D146" i="87"/>
  <c r="E146" i="87"/>
  <c r="A147" i="87"/>
  <c r="B147" i="87"/>
  <c r="C147" i="87"/>
  <c r="D147" i="87"/>
  <c r="E147" i="87"/>
  <c r="A148" i="87"/>
  <c r="B148" i="87"/>
  <c r="C148" i="87"/>
  <c r="D148" i="87"/>
  <c r="E148" i="87"/>
  <c r="A149" i="87"/>
  <c r="B149" i="87"/>
  <c r="C149" i="87"/>
  <c r="D149" i="87"/>
  <c r="E149" i="87"/>
  <c r="A150" i="87"/>
  <c r="B150" i="87"/>
  <c r="C150" i="87"/>
  <c r="D150" i="87"/>
  <c r="E150" i="87"/>
  <c r="A151" i="87"/>
  <c r="B151" i="87"/>
  <c r="C151" i="87"/>
  <c r="D151" i="87"/>
  <c r="E151" i="87"/>
  <c r="A152" i="87"/>
  <c r="B152" i="87"/>
  <c r="C152" i="87"/>
  <c r="D152" i="87"/>
  <c r="E152" i="87"/>
  <c r="A153" i="87"/>
  <c r="B153" i="87"/>
  <c r="C153" i="87"/>
  <c r="D153" i="87"/>
  <c r="E153" i="87"/>
  <c r="A154" i="87"/>
  <c r="B154" i="87"/>
  <c r="C154" i="87"/>
  <c r="D154" i="87"/>
  <c r="E154" i="87"/>
  <c r="A155" i="87"/>
  <c r="B155" i="87"/>
  <c r="C155" i="87"/>
  <c r="D155" i="87"/>
  <c r="E155" i="87"/>
  <c r="A156" i="87"/>
  <c r="B156" i="87"/>
  <c r="C156" i="87"/>
  <c r="D156" i="87"/>
  <c r="E156" i="87"/>
  <c r="A157" i="87"/>
  <c r="B157" i="87"/>
  <c r="C157" i="87"/>
  <c r="D157" i="87"/>
  <c r="E157" i="87"/>
  <c r="A158" i="87"/>
  <c r="B158" i="87"/>
  <c r="C158" i="87"/>
  <c r="D158" i="87"/>
  <c r="E158" i="87"/>
  <c r="A159" i="87"/>
  <c r="B159" i="87"/>
  <c r="C159" i="87"/>
  <c r="D159" i="87"/>
  <c r="E159" i="87"/>
  <c r="A160" i="87"/>
  <c r="B160" i="87"/>
  <c r="C160" i="87"/>
  <c r="D160" i="87"/>
  <c r="E160" i="87"/>
  <c r="A161" i="87"/>
  <c r="B161" i="87"/>
  <c r="C161" i="87"/>
  <c r="D161" i="87"/>
  <c r="E161" i="87"/>
  <c r="A162" i="87"/>
  <c r="B162" i="87"/>
  <c r="C162" i="87"/>
  <c r="D162" i="87"/>
  <c r="E162" i="87"/>
  <c r="A163" i="87"/>
  <c r="B163" i="87"/>
  <c r="C163" i="87"/>
  <c r="D163" i="87"/>
  <c r="E163" i="87"/>
  <c r="A164" i="87"/>
  <c r="B164" i="87"/>
  <c r="C164" i="87"/>
  <c r="D164" i="87"/>
  <c r="E164" i="87"/>
  <c r="A165" i="87"/>
  <c r="B165" i="87"/>
  <c r="C165" i="87"/>
  <c r="D165" i="87"/>
  <c r="E165" i="87"/>
  <c r="A166" i="87"/>
  <c r="B166" i="87"/>
  <c r="C166" i="87"/>
  <c r="D166" i="87"/>
  <c r="E166" i="87"/>
  <c r="A167" i="87"/>
  <c r="B167" i="87"/>
  <c r="C167" i="87"/>
  <c r="D167" i="87"/>
  <c r="E167" i="87"/>
  <c r="A168" i="87"/>
  <c r="B168" i="87"/>
  <c r="C168" i="87"/>
  <c r="D168" i="87"/>
  <c r="E168" i="87"/>
  <c r="A169" i="87"/>
  <c r="B169" i="87"/>
  <c r="C169" i="87"/>
  <c r="D169" i="87"/>
  <c r="E169" i="87"/>
  <c r="A170" i="87"/>
  <c r="B170" i="87"/>
  <c r="C170" i="87"/>
  <c r="D170" i="87"/>
  <c r="E170" i="87"/>
  <c r="A171" i="87"/>
  <c r="B171" i="87"/>
  <c r="C171" i="87"/>
  <c r="D171" i="87"/>
  <c r="E171" i="87"/>
  <c r="A172" i="87"/>
  <c r="B172" i="87"/>
  <c r="C172" i="87"/>
  <c r="D172" i="87"/>
  <c r="E172" i="87"/>
  <c r="A173" i="87"/>
  <c r="B173" i="87"/>
  <c r="C173" i="87"/>
  <c r="D173" i="87"/>
  <c r="E173" i="87"/>
  <c r="A174" i="87"/>
  <c r="B174" i="87"/>
  <c r="C174" i="87"/>
  <c r="D174" i="87"/>
  <c r="E174" i="87"/>
  <c r="A175" i="87"/>
  <c r="B175" i="87"/>
  <c r="C175" i="87"/>
  <c r="D175" i="87"/>
  <c r="E175" i="87"/>
  <c r="A176" i="87"/>
  <c r="B176" i="87"/>
  <c r="C176" i="87"/>
  <c r="D176" i="87"/>
  <c r="E176" i="87"/>
  <c r="A177" i="87"/>
  <c r="B177" i="87"/>
  <c r="C177" i="87"/>
  <c r="D177" i="87"/>
  <c r="E177" i="87"/>
  <c r="A178" i="87"/>
  <c r="B178" i="87"/>
  <c r="C178" i="87"/>
  <c r="D178" i="87"/>
  <c r="E178" i="87"/>
  <c r="A179" i="87"/>
  <c r="B179" i="87"/>
  <c r="C179" i="87"/>
  <c r="D179" i="87"/>
  <c r="E179" i="87"/>
  <c r="A180" i="87"/>
  <c r="B180" i="87"/>
  <c r="C180" i="87"/>
  <c r="D180" i="87"/>
  <c r="E180" i="87"/>
  <c r="A181" i="87"/>
  <c r="B181" i="87"/>
  <c r="C181" i="87"/>
  <c r="D181" i="87"/>
  <c r="E181" i="87"/>
  <c r="A182" i="87"/>
  <c r="B182" i="87"/>
  <c r="C182" i="87"/>
  <c r="D182" i="87"/>
  <c r="E182" i="87"/>
  <c r="A183" i="87"/>
  <c r="B183" i="87"/>
  <c r="C183" i="87"/>
  <c r="D183" i="87"/>
  <c r="E183" i="87"/>
  <c r="A184" i="87"/>
  <c r="B184" i="87"/>
  <c r="C184" i="87"/>
  <c r="D184" i="87"/>
  <c r="E184" i="87"/>
  <c r="A185" i="87"/>
  <c r="B185" i="87"/>
  <c r="C185" i="87"/>
  <c r="D185" i="87"/>
  <c r="E185" i="87"/>
  <c r="A186" i="87"/>
  <c r="B186" i="87"/>
  <c r="C186" i="87"/>
  <c r="D186" i="87"/>
  <c r="E186" i="87"/>
  <c r="A187" i="87"/>
  <c r="B187" i="87"/>
  <c r="C187" i="87"/>
  <c r="D187" i="87"/>
  <c r="E187" i="87"/>
  <c r="A188" i="87"/>
  <c r="B188" i="87"/>
  <c r="C188" i="87"/>
  <c r="D188" i="87"/>
  <c r="E188" i="87"/>
  <c r="A189" i="87"/>
  <c r="B189" i="87"/>
  <c r="C189" i="87"/>
  <c r="D189" i="87"/>
  <c r="E189" i="87"/>
  <c r="A190" i="87"/>
  <c r="B190" i="87"/>
  <c r="C190" i="87"/>
  <c r="D190" i="87"/>
  <c r="E190" i="87"/>
  <c r="A191" i="87"/>
  <c r="B191" i="87"/>
  <c r="C191" i="87"/>
  <c r="D191" i="87"/>
  <c r="E191" i="87"/>
  <c r="A192" i="87"/>
  <c r="B192" i="87"/>
  <c r="C192" i="87"/>
  <c r="D192" i="87"/>
  <c r="E192" i="87"/>
  <c r="A193" i="87"/>
  <c r="B193" i="87"/>
  <c r="C193" i="87"/>
  <c r="D193" i="87"/>
  <c r="E193" i="87"/>
  <c r="A194" i="87"/>
  <c r="B194" i="87"/>
  <c r="C194" i="87"/>
  <c r="D194" i="87"/>
  <c r="E194" i="87"/>
  <c r="A195" i="87"/>
  <c r="B195" i="87"/>
  <c r="C195" i="87"/>
  <c r="D195" i="87"/>
  <c r="E195" i="87"/>
  <c r="A196" i="87"/>
  <c r="B196" i="87"/>
  <c r="C196" i="87"/>
  <c r="D196" i="87"/>
  <c r="E196" i="87"/>
  <c r="A197" i="87"/>
  <c r="B197" i="87"/>
  <c r="C197" i="87"/>
  <c r="D197" i="87"/>
  <c r="E197" i="87"/>
  <c r="A198" i="87"/>
  <c r="B198" i="87"/>
  <c r="C198" i="87"/>
  <c r="D198" i="87"/>
  <c r="E198" i="87"/>
  <c r="A199" i="87"/>
  <c r="B199" i="87"/>
  <c r="C199" i="87"/>
  <c r="D199" i="87"/>
  <c r="E199" i="87"/>
  <c r="A200" i="87"/>
  <c r="B200" i="87"/>
  <c r="C200" i="87"/>
  <c r="D200" i="87"/>
  <c r="E200" i="87"/>
  <c r="A201" i="87"/>
  <c r="B201" i="87"/>
  <c r="C201" i="87"/>
  <c r="D201" i="87"/>
  <c r="E201" i="87"/>
  <c r="A202" i="87"/>
  <c r="B202" i="87"/>
  <c r="C202" i="87"/>
  <c r="D202" i="87"/>
  <c r="E202" i="87"/>
  <c r="A203" i="87"/>
  <c r="B203" i="87"/>
  <c r="C203" i="87"/>
  <c r="D203" i="87"/>
  <c r="E203" i="87"/>
  <c r="A204" i="87"/>
  <c r="B204" i="87"/>
  <c r="C204" i="87"/>
  <c r="D204" i="87"/>
  <c r="E204" i="87"/>
  <c r="A205" i="87"/>
  <c r="B205" i="87"/>
  <c r="C205" i="87"/>
  <c r="D205" i="87"/>
  <c r="E205" i="87"/>
  <c r="A206" i="87"/>
  <c r="B206" i="87"/>
  <c r="C206" i="87"/>
  <c r="D206" i="87"/>
  <c r="E206" i="87"/>
  <c r="A207" i="87"/>
  <c r="B207" i="87"/>
  <c r="C207" i="87"/>
  <c r="D207" i="87"/>
  <c r="E207" i="87"/>
  <c r="A208" i="87"/>
  <c r="B208" i="87"/>
  <c r="C208" i="87"/>
  <c r="D208" i="87"/>
  <c r="E208" i="87"/>
  <c r="A209" i="87"/>
  <c r="B209" i="87"/>
  <c r="C209" i="87"/>
  <c r="D209" i="87"/>
  <c r="E209" i="87"/>
  <c r="A210" i="87"/>
  <c r="B210" i="87"/>
  <c r="C210" i="87"/>
  <c r="D210" i="87"/>
  <c r="E210" i="87"/>
  <c r="A211" i="87"/>
  <c r="B211" i="87"/>
  <c r="C211" i="87"/>
  <c r="D211" i="87"/>
  <c r="E211" i="87"/>
  <c r="A212" i="87"/>
  <c r="B212" i="87"/>
  <c r="C212" i="87"/>
  <c r="D212" i="87"/>
  <c r="E212" i="87"/>
  <c r="A213" i="87"/>
  <c r="B213" i="87"/>
  <c r="C213" i="87"/>
  <c r="D213" i="87"/>
  <c r="E213" i="87"/>
  <c r="A214" i="87"/>
  <c r="B214" i="87"/>
  <c r="C214" i="87"/>
  <c r="D214" i="87"/>
  <c r="E214" i="87"/>
  <c r="A215" i="87"/>
  <c r="B215" i="87"/>
  <c r="C215" i="87"/>
  <c r="D215" i="87"/>
  <c r="E215" i="87"/>
  <c r="A216" i="87"/>
  <c r="B216" i="87"/>
  <c r="C216" i="87"/>
  <c r="D216" i="87"/>
  <c r="E216" i="87"/>
  <c r="A217" i="87"/>
  <c r="B217" i="87"/>
  <c r="C217" i="87"/>
  <c r="D217" i="87"/>
  <c r="E217" i="87"/>
  <c r="A218" i="87"/>
  <c r="B218" i="87"/>
  <c r="C218" i="87"/>
  <c r="D218" i="87"/>
  <c r="E218" i="87"/>
  <c r="A219" i="87"/>
  <c r="B219" i="87"/>
  <c r="C219" i="87"/>
  <c r="D219" i="87"/>
  <c r="E219" i="87"/>
  <c r="A220" i="87"/>
  <c r="B220" i="87"/>
  <c r="C220" i="87"/>
  <c r="D220" i="87"/>
  <c r="E220" i="87"/>
  <c r="A221" i="87"/>
  <c r="B221" i="87"/>
  <c r="C221" i="87"/>
  <c r="D221" i="87"/>
  <c r="E221" i="87"/>
  <c r="A222" i="87"/>
  <c r="B222" i="87"/>
  <c r="C222" i="87"/>
  <c r="D222" i="87"/>
  <c r="E222" i="87"/>
  <c r="A223" i="87"/>
  <c r="B223" i="87"/>
  <c r="C223" i="87"/>
  <c r="D223" i="87"/>
  <c r="E223" i="87"/>
  <c r="A224" i="87"/>
  <c r="B224" i="87"/>
  <c r="C224" i="87"/>
  <c r="D224" i="87"/>
  <c r="E224" i="87"/>
  <c r="A225" i="87"/>
  <c r="B225" i="87"/>
  <c r="C225" i="87"/>
  <c r="D225" i="87"/>
  <c r="E225" i="87"/>
  <c r="A226" i="87"/>
  <c r="B226" i="87"/>
  <c r="C226" i="87"/>
  <c r="D226" i="87"/>
  <c r="E226" i="87"/>
  <c r="A227" i="87"/>
  <c r="B227" i="87"/>
  <c r="C227" i="87"/>
  <c r="D227" i="87"/>
  <c r="E227" i="87"/>
  <c r="A228" i="87"/>
  <c r="B228" i="87"/>
  <c r="C228" i="87"/>
  <c r="D228" i="87"/>
  <c r="E228" i="87"/>
  <c r="A229" i="87"/>
  <c r="B229" i="87"/>
  <c r="C229" i="87"/>
  <c r="D229" i="87"/>
  <c r="E229" i="87"/>
  <c r="A230" i="87"/>
  <c r="B230" i="87"/>
  <c r="C230" i="87"/>
  <c r="D230" i="87"/>
  <c r="E230" i="87"/>
  <c r="A231" i="87"/>
  <c r="B231" i="87"/>
  <c r="C231" i="87"/>
  <c r="D231" i="87"/>
  <c r="E231" i="87"/>
  <c r="A232" i="87"/>
  <c r="B232" i="87"/>
  <c r="C232" i="87"/>
  <c r="D232" i="87"/>
  <c r="E232" i="87"/>
  <c r="A233" i="87"/>
  <c r="B233" i="87"/>
  <c r="C233" i="87"/>
  <c r="D233" i="87"/>
  <c r="E233" i="87"/>
  <c r="A234" i="87"/>
  <c r="B234" i="87"/>
  <c r="C234" i="87"/>
  <c r="D234" i="87"/>
  <c r="E234" i="87"/>
  <c r="A235" i="87"/>
  <c r="B235" i="87"/>
  <c r="C235" i="87"/>
  <c r="D235" i="87"/>
  <c r="E235" i="87"/>
  <c r="A236" i="87"/>
  <c r="B236" i="87"/>
  <c r="C236" i="87"/>
  <c r="D236" i="87"/>
  <c r="E236" i="87"/>
  <c r="A237" i="87"/>
  <c r="B237" i="87"/>
  <c r="C237" i="87"/>
  <c r="D237" i="87"/>
  <c r="E237" i="87"/>
  <c r="A238" i="87"/>
  <c r="B238" i="87"/>
  <c r="C238" i="87"/>
  <c r="D238" i="87"/>
  <c r="E238" i="87"/>
  <c r="A239" i="87"/>
  <c r="B239" i="87"/>
  <c r="C239" i="87"/>
  <c r="D239" i="87"/>
  <c r="E239" i="87"/>
  <c r="A240" i="87"/>
  <c r="B240" i="87"/>
  <c r="C240" i="87"/>
  <c r="D240" i="87"/>
  <c r="E240" i="87"/>
  <c r="A241" i="87"/>
  <c r="B241" i="87"/>
  <c r="C241" i="87"/>
  <c r="D241" i="87"/>
  <c r="E241" i="87"/>
  <c r="A242" i="87"/>
  <c r="B242" i="87"/>
  <c r="C242" i="87"/>
  <c r="D242" i="87"/>
  <c r="E242" i="87"/>
  <c r="A243" i="87"/>
  <c r="B243" i="87"/>
  <c r="C243" i="87"/>
  <c r="D243" i="87"/>
  <c r="E243" i="87"/>
  <c r="A244" i="87"/>
  <c r="B244" i="87"/>
  <c r="C244" i="87"/>
  <c r="D244" i="87"/>
  <c r="E244" i="87"/>
  <c r="A245" i="87"/>
  <c r="B245" i="87"/>
  <c r="C245" i="87"/>
  <c r="D245" i="87"/>
  <c r="E245" i="87"/>
  <c r="A246" i="87"/>
  <c r="B246" i="87"/>
  <c r="C246" i="87"/>
  <c r="D246" i="87"/>
  <c r="E246" i="87"/>
  <c r="A247" i="87"/>
  <c r="B247" i="87"/>
  <c r="C247" i="87"/>
  <c r="D247" i="87"/>
  <c r="E247" i="87"/>
  <c r="A248" i="87"/>
  <c r="B248" i="87"/>
  <c r="C248" i="87"/>
  <c r="D248" i="87"/>
  <c r="E248" i="87"/>
  <c r="A249" i="87"/>
  <c r="B249" i="87"/>
  <c r="C249" i="87"/>
  <c r="D249" i="87"/>
  <c r="E249" i="87"/>
  <c r="A250" i="87"/>
  <c r="B250" i="87"/>
  <c r="C250" i="87"/>
  <c r="D250" i="87"/>
  <c r="E250" i="87"/>
  <c r="A251" i="87"/>
  <c r="B251" i="87"/>
  <c r="C251" i="87"/>
  <c r="D251" i="87"/>
  <c r="E251" i="87"/>
  <c r="A252" i="87"/>
  <c r="B252" i="87"/>
  <c r="C252" i="87"/>
  <c r="D252" i="87"/>
  <c r="E252" i="87"/>
  <c r="A253" i="87"/>
  <c r="B253" i="87"/>
  <c r="C253" i="87"/>
  <c r="D253" i="87"/>
  <c r="E253" i="87"/>
  <c r="A254" i="87"/>
  <c r="B254" i="87"/>
  <c r="C254" i="87"/>
  <c r="D254" i="87"/>
  <c r="E254" i="87"/>
  <c r="A255" i="87"/>
  <c r="B255" i="87"/>
  <c r="C255" i="87"/>
  <c r="D255" i="87"/>
  <c r="E255" i="87"/>
  <c r="A256" i="87"/>
  <c r="B256" i="87"/>
  <c r="C256" i="87"/>
  <c r="D256" i="87"/>
  <c r="E256" i="87"/>
  <c r="A257" i="87"/>
  <c r="B257" i="87"/>
  <c r="C257" i="87"/>
  <c r="D257" i="87"/>
  <c r="E257" i="87"/>
  <c r="A258" i="87"/>
  <c r="B258" i="87"/>
  <c r="C258" i="87"/>
  <c r="D258" i="87"/>
  <c r="E258" i="87"/>
  <c r="A259" i="87"/>
  <c r="B259" i="87"/>
  <c r="C259" i="87"/>
  <c r="D259" i="87"/>
  <c r="E259" i="87"/>
  <c r="A260" i="87"/>
  <c r="B260" i="87"/>
  <c r="C260" i="87"/>
  <c r="D260" i="87"/>
  <c r="E260" i="87"/>
  <c r="A261" i="87"/>
  <c r="B261" i="87"/>
  <c r="C261" i="87"/>
  <c r="D261" i="87"/>
  <c r="E261" i="87"/>
  <c r="A262" i="87"/>
  <c r="B262" i="87"/>
  <c r="C262" i="87"/>
  <c r="D262" i="87"/>
  <c r="E262" i="87"/>
  <c r="A263" i="87"/>
  <c r="B263" i="87"/>
  <c r="C263" i="87"/>
  <c r="D263" i="87"/>
  <c r="E263" i="87"/>
  <c r="A264" i="87"/>
  <c r="B264" i="87"/>
  <c r="C264" i="87"/>
  <c r="D264" i="87"/>
  <c r="E264" i="87"/>
  <c r="A265" i="87"/>
  <c r="B265" i="87"/>
  <c r="C265" i="87"/>
  <c r="D265" i="87"/>
  <c r="E265" i="87"/>
  <c r="A266" i="87"/>
  <c r="B266" i="87"/>
  <c r="C266" i="87"/>
  <c r="D266" i="87"/>
  <c r="E266" i="87"/>
  <c r="A267" i="87"/>
  <c r="B267" i="87"/>
  <c r="C267" i="87"/>
  <c r="D267" i="87"/>
  <c r="E267" i="87"/>
  <c r="A268" i="87"/>
  <c r="B268" i="87"/>
  <c r="C268" i="87"/>
  <c r="D268" i="87"/>
  <c r="E268" i="87"/>
  <c r="A269" i="87"/>
  <c r="B269" i="87"/>
  <c r="C269" i="87"/>
  <c r="D269" i="87"/>
  <c r="E269" i="87"/>
  <c r="A270" i="87"/>
  <c r="B270" i="87"/>
  <c r="C270" i="87"/>
  <c r="D270" i="87"/>
  <c r="E270" i="87"/>
  <c r="A271" i="87"/>
  <c r="B271" i="87"/>
  <c r="C271" i="87"/>
  <c r="D271" i="87"/>
  <c r="E271" i="87"/>
  <c r="A272" i="87"/>
  <c r="B272" i="87"/>
  <c r="C272" i="87"/>
  <c r="D272" i="87"/>
  <c r="E272" i="87"/>
  <c r="A273" i="87"/>
  <c r="B273" i="87"/>
  <c r="C273" i="87"/>
  <c r="D273" i="87"/>
  <c r="E273" i="87"/>
  <c r="A274" i="87"/>
  <c r="B274" i="87"/>
  <c r="C274" i="87"/>
  <c r="D274" i="87"/>
  <c r="E274" i="87"/>
  <c r="A275" i="87"/>
  <c r="B275" i="87"/>
  <c r="C275" i="87"/>
  <c r="D275" i="87"/>
  <c r="E275" i="87"/>
  <c r="A276" i="87"/>
  <c r="B276" i="87"/>
  <c r="C276" i="87"/>
  <c r="D276" i="87"/>
  <c r="E276" i="87"/>
  <c r="A277" i="87"/>
  <c r="B277" i="87"/>
  <c r="C277" i="87"/>
  <c r="D277" i="87"/>
  <c r="E277" i="87"/>
  <c r="A278" i="87"/>
  <c r="B278" i="87"/>
  <c r="C278" i="87"/>
  <c r="D278" i="87"/>
  <c r="E278" i="87"/>
  <c r="A279" i="87"/>
  <c r="B279" i="87"/>
  <c r="C279" i="87"/>
  <c r="D279" i="87"/>
  <c r="E279" i="87"/>
  <c r="A280" i="87"/>
  <c r="B280" i="87"/>
  <c r="C280" i="87"/>
  <c r="D280" i="87"/>
  <c r="E280" i="87"/>
  <c r="A281" i="87"/>
  <c r="B281" i="87"/>
  <c r="C281" i="87"/>
  <c r="D281" i="87"/>
  <c r="E281" i="87"/>
  <c r="A282" i="87"/>
  <c r="B282" i="87"/>
  <c r="C282" i="87"/>
  <c r="D282" i="87"/>
  <c r="E282" i="87"/>
  <c r="A283" i="87"/>
  <c r="B283" i="87"/>
  <c r="C283" i="87"/>
  <c r="D283" i="87"/>
  <c r="E283" i="87"/>
  <c r="A284" i="87"/>
  <c r="B284" i="87"/>
  <c r="C284" i="87"/>
  <c r="D284" i="87"/>
  <c r="E284" i="87"/>
  <c r="A285" i="87"/>
  <c r="B285" i="87"/>
  <c r="C285" i="87"/>
  <c r="D285" i="87"/>
  <c r="E285" i="87"/>
  <c r="A286" i="87"/>
  <c r="B286" i="87"/>
  <c r="C286" i="87"/>
  <c r="D286" i="87"/>
  <c r="E286" i="87"/>
  <c r="A287" i="87"/>
  <c r="B287" i="87"/>
  <c r="C287" i="87"/>
  <c r="D287" i="87"/>
  <c r="E287" i="87"/>
  <c r="A288" i="87"/>
  <c r="B288" i="87"/>
  <c r="C288" i="87"/>
  <c r="D288" i="87"/>
  <c r="E288" i="87"/>
  <c r="A289" i="87"/>
  <c r="B289" i="87"/>
  <c r="C289" i="87"/>
  <c r="D289" i="87"/>
  <c r="E289" i="87"/>
  <c r="A290" i="87"/>
  <c r="B290" i="87"/>
  <c r="C290" i="87"/>
  <c r="D290" i="87"/>
  <c r="E290" i="87"/>
  <c r="A291" i="87"/>
  <c r="B291" i="87"/>
  <c r="C291" i="87"/>
  <c r="D291" i="87"/>
  <c r="E291" i="87"/>
  <c r="A292" i="87"/>
  <c r="B292" i="87"/>
  <c r="C292" i="87"/>
  <c r="D292" i="87"/>
  <c r="E292" i="87"/>
  <c r="A293" i="87"/>
  <c r="B293" i="87"/>
  <c r="C293" i="87"/>
  <c r="D293" i="87"/>
  <c r="E293" i="87"/>
  <c r="A294" i="87"/>
  <c r="B294" i="87"/>
  <c r="C294" i="87"/>
  <c r="D294" i="87"/>
  <c r="E294" i="87"/>
  <c r="A295" i="87"/>
  <c r="B295" i="87"/>
  <c r="C295" i="87"/>
  <c r="D295" i="87"/>
  <c r="E295" i="87"/>
  <c r="A296" i="87"/>
  <c r="B296" i="87"/>
  <c r="C296" i="87"/>
  <c r="D296" i="87"/>
  <c r="E296" i="87"/>
  <c r="A297" i="87"/>
  <c r="B297" i="87"/>
  <c r="C297" i="87"/>
  <c r="D297" i="87"/>
  <c r="E297" i="87"/>
  <c r="A298" i="87"/>
  <c r="B298" i="87"/>
  <c r="C298" i="87"/>
  <c r="D298" i="87"/>
  <c r="E298" i="87"/>
  <c r="A299" i="87"/>
  <c r="B299" i="87"/>
  <c r="C299" i="87"/>
  <c r="D299" i="87"/>
  <c r="E299" i="87"/>
  <c r="A300" i="87"/>
  <c r="B300" i="87"/>
  <c r="C300" i="87"/>
  <c r="D300" i="87"/>
  <c r="E300" i="87"/>
  <c r="A301" i="87"/>
  <c r="B301" i="87"/>
  <c r="C301" i="87"/>
  <c r="D301" i="87"/>
  <c r="E301" i="87"/>
  <c r="A302" i="87"/>
  <c r="B302" i="87"/>
  <c r="C302" i="87"/>
  <c r="D302" i="87"/>
  <c r="E302" i="87"/>
  <c r="A303" i="87"/>
  <c r="B303" i="87"/>
  <c r="C303" i="87"/>
  <c r="D303" i="87"/>
  <c r="E303" i="87"/>
  <c r="A304" i="87"/>
  <c r="B304" i="87"/>
  <c r="C304" i="87"/>
  <c r="D304" i="87"/>
  <c r="E304" i="87"/>
  <c r="A305" i="87"/>
  <c r="B305" i="87"/>
  <c r="C305" i="87"/>
  <c r="D305" i="87"/>
  <c r="E305" i="87"/>
  <c r="A306" i="87"/>
  <c r="B306" i="87"/>
  <c r="C306" i="87"/>
  <c r="D306" i="87"/>
  <c r="E306" i="87"/>
  <c r="A307" i="87"/>
  <c r="B307" i="87"/>
  <c r="C307" i="87"/>
  <c r="D307" i="87"/>
  <c r="E307" i="87"/>
  <c r="A308" i="87"/>
  <c r="B308" i="87"/>
  <c r="C308" i="87"/>
  <c r="D308" i="87"/>
  <c r="E308" i="87"/>
  <c r="A309" i="87"/>
  <c r="B309" i="87"/>
  <c r="C309" i="87"/>
  <c r="D309" i="87"/>
  <c r="E309" i="87"/>
  <c r="A310" i="87"/>
  <c r="B310" i="87"/>
  <c r="C310" i="87"/>
  <c r="D310" i="87"/>
  <c r="E310" i="87"/>
  <c r="A311" i="87"/>
  <c r="B311" i="87"/>
  <c r="C311" i="87"/>
  <c r="D311" i="87"/>
  <c r="E311" i="87"/>
  <c r="A312" i="87"/>
  <c r="B312" i="87"/>
  <c r="C312" i="87"/>
  <c r="D312" i="87"/>
  <c r="E312" i="87"/>
  <c r="A313" i="87"/>
  <c r="B313" i="87"/>
  <c r="C313" i="87"/>
  <c r="D313" i="87"/>
  <c r="E313" i="87"/>
  <c r="A314" i="87"/>
  <c r="B314" i="87"/>
  <c r="C314" i="87"/>
  <c r="D314" i="87"/>
  <c r="E314" i="87"/>
  <c r="A315" i="87"/>
  <c r="B315" i="87"/>
  <c r="C315" i="87"/>
  <c r="D315" i="87"/>
  <c r="E315" i="87"/>
  <c r="A316" i="87"/>
  <c r="B316" i="87"/>
  <c r="C316" i="87"/>
  <c r="D316" i="87"/>
  <c r="E316" i="87"/>
  <c r="A317" i="87"/>
  <c r="B317" i="87"/>
  <c r="C317" i="87"/>
  <c r="D317" i="87"/>
  <c r="E317" i="87"/>
  <c r="A318" i="87"/>
  <c r="B318" i="87"/>
  <c r="C318" i="87"/>
  <c r="D318" i="87"/>
  <c r="E318" i="87"/>
  <c r="A319" i="87"/>
  <c r="B319" i="87"/>
  <c r="C319" i="87"/>
  <c r="D319" i="87"/>
  <c r="E319" i="87"/>
  <c r="A320" i="87"/>
  <c r="B320" i="87"/>
  <c r="C320" i="87"/>
  <c r="D320" i="87"/>
  <c r="E320" i="87"/>
  <c r="A321" i="87"/>
  <c r="B321" i="87"/>
  <c r="C321" i="87"/>
  <c r="D321" i="87"/>
  <c r="E321" i="87"/>
  <c r="A322" i="87"/>
  <c r="B322" i="87"/>
  <c r="C322" i="87"/>
  <c r="D322" i="87"/>
  <c r="E322" i="87"/>
  <c r="A323" i="87"/>
  <c r="B323" i="87"/>
  <c r="C323" i="87"/>
  <c r="D323" i="87"/>
  <c r="E323" i="87"/>
  <c r="A324" i="87"/>
  <c r="B324" i="87"/>
  <c r="C324" i="87"/>
  <c r="D324" i="87"/>
  <c r="E324" i="87"/>
  <c r="A325" i="87"/>
  <c r="B325" i="87"/>
  <c r="C325" i="87"/>
  <c r="D325" i="87"/>
  <c r="E325" i="87"/>
  <c r="A326" i="87"/>
  <c r="B326" i="87"/>
  <c r="C326" i="87"/>
  <c r="D326" i="87"/>
  <c r="E326" i="87"/>
  <c r="A327" i="87"/>
  <c r="B327" i="87"/>
  <c r="C327" i="87"/>
  <c r="D327" i="87"/>
  <c r="E327" i="87"/>
  <c r="A328" i="87"/>
  <c r="B328" i="87"/>
  <c r="C328" i="87"/>
  <c r="D328" i="87"/>
  <c r="E328" i="87"/>
  <c r="A329" i="87"/>
  <c r="B329" i="87"/>
  <c r="C329" i="87"/>
  <c r="D329" i="87"/>
  <c r="E329" i="87"/>
  <c r="A330" i="87"/>
  <c r="B330" i="87"/>
  <c r="C330" i="87"/>
  <c r="D330" i="87"/>
  <c r="E330" i="87"/>
  <c r="A331" i="87"/>
  <c r="B331" i="87"/>
  <c r="C331" i="87"/>
  <c r="D331" i="87"/>
  <c r="E331" i="87"/>
  <c r="A332" i="87"/>
  <c r="B332" i="87"/>
  <c r="C332" i="87"/>
  <c r="D332" i="87"/>
  <c r="E332" i="87"/>
  <c r="A333" i="87"/>
  <c r="B333" i="87"/>
  <c r="C333" i="87"/>
  <c r="D333" i="87"/>
  <c r="E333" i="87"/>
  <c r="A334" i="87"/>
  <c r="B334" i="87"/>
  <c r="C334" i="87"/>
  <c r="D334" i="87"/>
  <c r="E334" i="87"/>
  <c r="A335" i="87"/>
  <c r="B335" i="87"/>
  <c r="C335" i="87"/>
  <c r="D335" i="87"/>
  <c r="E335" i="87"/>
  <c r="A336" i="87"/>
  <c r="B336" i="87"/>
  <c r="C336" i="87"/>
  <c r="D336" i="87"/>
  <c r="E336" i="87"/>
  <c r="A337" i="87"/>
  <c r="B337" i="87"/>
  <c r="C337" i="87"/>
  <c r="D337" i="87"/>
  <c r="E337" i="87"/>
  <c r="A338" i="87"/>
  <c r="B338" i="87"/>
  <c r="C338" i="87"/>
  <c r="D338" i="87"/>
  <c r="E338" i="87"/>
  <c r="A339" i="87"/>
  <c r="B339" i="87"/>
  <c r="C339" i="87"/>
  <c r="D339" i="87"/>
  <c r="E339" i="87"/>
  <c r="A340" i="87"/>
  <c r="B340" i="87"/>
  <c r="C340" i="87"/>
  <c r="D340" i="87"/>
  <c r="E340" i="87"/>
  <c r="A341" i="87"/>
  <c r="B341" i="87"/>
  <c r="C341" i="87"/>
  <c r="D341" i="87"/>
  <c r="E341" i="87"/>
  <c r="A342" i="87"/>
  <c r="B342" i="87"/>
  <c r="C342" i="87"/>
  <c r="D342" i="87"/>
  <c r="E342" i="87"/>
  <c r="A343" i="87"/>
  <c r="B343" i="87"/>
  <c r="C343" i="87"/>
  <c r="D343" i="87"/>
  <c r="E343" i="87"/>
  <c r="A344" i="87"/>
  <c r="B344" i="87"/>
  <c r="C344" i="87"/>
  <c r="D344" i="87"/>
  <c r="E344" i="87"/>
  <c r="A345" i="87"/>
  <c r="B345" i="87"/>
  <c r="C345" i="87"/>
  <c r="D345" i="87"/>
  <c r="E345" i="87"/>
  <c r="A346" i="87"/>
  <c r="B346" i="87"/>
  <c r="C346" i="87"/>
  <c r="D346" i="87"/>
  <c r="E346" i="87"/>
  <c r="A347" i="87"/>
  <c r="B347" i="87"/>
  <c r="C347" i="87"/>
  <c r="D347" i="87"/>
  <c r="E347" i="87"/>
  <c r="A348" i="87"/>
  <c r="B348" i="87"/>
  <c r="C348" i="87"/>
  <c r="D348" i="87"/>
  <c r="E348" i="87"/>
  <c r="A349" i="87"/>
  <c r="B349" i="87"/>
  <c r="C349" i="87"/>
  <c r="D349" i="87"/>
  <c r="E349" i="87"/>
  <c r="A350" i="87"/>
  <c r="B350" i="87"/>
  <c r="C350" i="87"/>
  <c r="D350" i="87"/>
  <c r="E350" i="87"/>
  <c r="A351" i="87"/>
  <c r="B351" i="87"/>
  <c r="C351" i="87"/>
  <c r="D351" i="87"/>
  <c r="E351" i="87"/>
  <c r="A352" i="87"/>
  <c r="B352" i="87"/>
  <c r="C352" i="87"/>
  <c r="D352" i="87"/>
  <c r="E352" i="87"/>
  <c r="A353" i="87"/>
  <c r="B353" i="87"/>
  <c r="C353" i="87"/>
  <c r="D353" i="87"/>
  <c r="E353" i="87"/>
  <c r="A354" i="87"/>
  <c r="B354" i="87"/>
  <c r="C354" i="87"/>
  <c r="D354" i="87"/>
  <c r="E354" i="87"/>
  <c r="A355" i="87"/>
  <c r="B355" i="87"/>
  <c r="C355" i="87"/>
  <c r="D355" i="87"/>
  <c r="E355" i="87"/>
  <c r="A356" i="87"/>
  <c r="B356" i="87"/>
  <c r="C356" i="87"/>
  <c r="D356" i="87"/>
  <c r="E356" i="87"/>
  <c r="A357" i="87"/>
  <c r="B357" i="87"/>
  <c r="C357" i="87"/>
  <c r="D357" i="87"/>
  <c r="E357" i="87"/>
  <c r="A358" i="87"/>
  <c r="B358" i="87"/>
  <c r="C358" i="87"/>
  <c r="D358" i="87"/>
  <c r="E358" i="87"/>
  <c r="A359" i="87"/>
  <c r="B359" i="87"/>
  <c r="C359" i="87"/>
  <c r="D359" i="87"/>
  <c r="E359" i="87"/>
  <c r="A360" i="87"/>
  <c r="B360" i="87"/>
  <c r="C360" i="87"/>
  <c r="D360" i="87"/>
  <c r="E360" i="87"/>
  <c r="A361" i="87"/>
  <c r="B361" i="87"/>
  <c r="C361" i="87"/>
  <c r="D361" i="87"/>
  <c r="E361" i="87"/>
  <c r="A362" i="87"/>
  <c r="B362" i="87"/>
  <c r="C362" i="87"/>
  <c r="D362" i="87"/>
  <c r="E362" i="87"/>
  <c r="A363" i="87"/>
  <c r="B363" i="87"/>
  <c r="C363" i="87"/>
  <c r="D363" i="87"/>
  <c r="E363" i="87"/>
  <c r="A364" i="87"/>
  <c r="B364" i="87"/>
  <c r="C364" i="87"/>
  <c r="D364" i="87"/>
  <c r="E364" i="87"/>
  <c r="A365" i="87"/>
  <c r="B365" i="87"/>
  <c r="C365" i="87"/>
  <c r="D365" i="87"/>
  <c r="E365" i="87"/>
  <c r="A366" i="87"/>
  <c r="B366" i="87"/>
  <c r="C366" i="87"/>
  <c r="D366" i="87"/>
  <c r="E366" i="87"/>
  <c r="A367" i="87"/>
  <c r="B367" i="87"/>
  <c r="C367" i="87"/>
  <c r="D367" i="87"/>
  <c r="E367" i="87"/>
  <c r="A368" i="87"/>
  <c r="B368" i="87"/>
  <c r="C368" i="87"/>
  <c r="D368" i="87"/>
  <c r="E368" i="87"/>
  <c r="A369" i="87"/>
  <c r="B369" i="87"/>
  <c r="C369" i="87"/>
  <c r="D369" i="87"/>
  <c r="E369" i="87"/>
  <c r="A370" i="87"/>
  <c r="B370" i="87"/>
  <c r="C370" i="87"/>
  <c r="D370" i="87"/>
  <c r="E370" i="87"/>
  <c r="A371" i="87"/>
  <c r="B371" i="87"/>
  <c r="C371" i="87"/>
  <c r="D371" i="87"/>
  <c r="E371" i="87"/>
  <c r="A372" i="87"/>
  <c r="B372" i="87"/>
  <c r="C372" i="87"/>
  <c r="D372" i="87"/>
  <c r="E372" i="87"/>
  <c r="A373" i="87"/>
  <c r="B373" i="87"/>
  <c r="C373" i="87"/>
  <c r="D373" i="87"/>
  <c r="E373" i="87"/>
  <c r="A374" i="87"/>
  <c r="B374" i="87"/>
  <c r="C374" i="87"/>
  <c r="D374" i="87"/>
  <c r="E374" i="87"/>
  <c r="A375" i="87"/>
  <c r="B375" i="87"/>
  <c r="C375" i="87"/>
  <c r="D375" i="87"/>
  <c r="E375" i="87"/>
  <c r="A376" i="87"/>
  <c r="B376" i="87"/>
  <c r="C376" i="87"/>
  <c r="D376" i="87"/>
  <c r="E376" i="87"/>
  <c r="A377" i="87"/>
  <c r="B377" i="87"/>
  <c r="C377" i="87"/>
  <c r="D377" i="87"/>
  <c r="E377" i="87"/>
  <c r="A378" i="87"/>
  <c r="B378" i="87"/>
  <c r="C378" i="87"/>
  <c r="D378" i="87"/>
  <c r="E378" i="87"/>
  <c r="A379" i="87"/>
  <c r="B379" i="87"/>
  <c r="C379" i="87"/>
  <c r="D379" i="87"/>
  <c r="E379" i="87"/>
  <c r="A380" i="87"/>
  <c r="B380" i="87"/>
  <c r="C380" i="87"/>
  <c r="D380" i="87"/>
  <c r="E380" i="87"/>
  <c r="A381" i="87"/>
  <c r="B381" i="87"/>
  <c r="C381" i="87"/>
  <c r="D381" i="87"/>
  <c r="E381" i="87"/>
  <c r="A382" i="87"/>
  <c r="B382" i="87"/>
  <c r="C382" i="87"/>
  <c r="D382" i="87"/>
  <c r="E382" i="87"/>
  <c r="A383" i="87"/>
  <c r="B383" i="87"/>
  <c r="C383" i="87"/>
  <c r="D383" i="87"/>
  <c r="E383" i="87"/>
  <c r="A384" i="87"/>
  <c r="B384" i="87"/>
  <c r="C384" i="87"/>
  <c r="D384" i="87"/>
  <c r="E384" i="87"/>
  <c r="A385" i="87"/>
  <c r="B385" i="87"/>
  <c r="C385" i="87"/>
  <c r="D385" i="87"/>
  <c r="E385" i="87"/>
  <c r="A386" i="87"/>
  <c r="B386" i="87"/>
  <c r="C386" i="87"/>
  <c r="D386" i="87"/>
  <c r="E386" i="87"/>
  <c r="A387" i="87"/>
  <c r="B387" i="87"/>
  <c r="C387" i="87"/>
  <c r="D387" i="87"/>
  <c r="E387" i="87"/>
  <c r="A388" i="87"/>
  <c r="B388" i="87"/>
  <c r="C388" i="87"/>
  <c r="D388" i="87"/>
  <c r="E388" i="87"/>
  <c r="A389" i="87"/>
  <c r="B389" i="87"/>
  <c r="C389" i="87"/>
  <c r="D389" i="87"/>
  <c r="E389" i="87"/>
  <c r="A390" i="87"/>
  <c r="B390" i="87"/>
  <c r="C390" i="87"/>
  <c r="D390" i="87"/>
  <c r="E390" i="87"/>
  <c r="A391" i="87"/>
  <c r="B391" i="87"/>
  <c r="C391" i="87"/>
  <c r="D391" i="87"/>
  <c r="E391" i="87"/>
  <c r="A392" i="87"/>
  <c r="B392" i="87"/>
  <c r="C392" i="87"/>
  <c r="D392" i="87"/>
  <c r="E392" i="87"/>
  <c r="A393" i="87"/>
  <c r="B393" i="87"/>
  <c r="C393" i="87"/>
  <c r="D393" i="87"/>
  <c r="E393" i="87"/>
  <c r="A394" i="87"/>
  <c r="B394" i="87"/>
  <c r="C394" i="87"/>
  <c r="D394" i="87"/>
  <c r="E394" i="87"/>
  <c r="A395" i="87"/>
  <c r="B395" i="87"/>
  <c r="C395" i="87"/>
  <c r="D395" i="87"/>
  <c r="E395" i="87"/>
  <c r="A396" i="87"/>
  <c r="B396" i="87"/>
  <c r="C396" i="87"/>
  <c r="D396" i="87"/>
  <c r="E396" i="87"/>
  <c r="A397" i="87"/>
  <c r="B397" i="87"/>
  <c r="C397" i="87"/>
  <c r="D397" i="87"/>
  <c r="E397" i="87"/>
  <c r="A398" i="87"/>
  <c r="B398" i="87"/>
  <c r="C398" i="87"/>
  <c r="D398" i="87"/>
  <c r="E398" i="87"/>
  <c r="A399" i="87"/>
  <c r="B399" i="87"/>
  <c r="C399" i="87"/>
  <c r="D399" i="87"/>
  <c r="E399" i="87"/>
  <c r="A400" i="87"/>
  <c r="B400" i="87"/>
  <c r="C400" i="87"/>
  <c r="D400" i="87"/>
  <c r="E400" i="87"/>
  <c r="A401" i="87"/>
  <c r="B401" i="87"/>
  <c r="C401" i="87"/>
  <c r="D401" i="87"/>
  <c r="E401" i="87"/>
  <c r="A402" i="87"/>
  <c r="B402" i="87"/>
  <c r="C402" i="87"/>
  <c r="D402" i="87"/>
  <c r="E402" i="87"/>
  <c r="A403" i="87"/>
  <c r="B403" i="87"/>
  <c r="C403" i="87"/>
  <c r="D403" i="87"/>
  <c r="E403" i="87"/>
  <c r="A404" i="87"/>
  <c r="B404" i="87"/>
  <c r="C404" i="87"/>
  <c r="D404" i="87"/>
  <c r="E404" i="87"/>
  <c r="A405" i="87"/>
  <c r="B405" i="87"/>
  <c r="C405" i="87"/>
  <c r="D405" i="87"/>
  <c r="E405" i="87"/>
  <c r="A406" i="87"/>
  <c r="B406" i="87"/>
  <c r="C406" i="87"/>
  <c r="D406" i="87"/>
  <c r="E406" i="87"/>
  <c r="A407" i="87"/>
  <c r="B407" i="87"/>
  <c r="C407" i="87"/>
  <c r="D407" i="87"/>
  <c r="E407" i="87"/>
  <c r="A408" i="87"/>
  <c r="B408" i="87"/>
  <c r="C408" i="87"/>
  <c r="D408" i="87"/>
  <c r="E408" i="87"/>
  <c r="A409" i="87"/>
  <c r="B409" i="87"/>
  <c r="C409" i="87"/>
  <c r="D409" i="87"/>
  <c r="E409" i="87"/>
  <c r="A410" i="87"/>
  <c r="B410" i="87"/>
  <c r="C410" i="87"/>
  <c r="D410" i="87"/>
  <c r="E410" i="87"/>
  <c r="A411" i="87"/>
  <c r="B411" i="87"/>
  <c r="C411" i="87"/>
  <c r="D411" i="87"/>
  <c r="E411" i="87"/>
  <c r="A412" i="87"/>
  <c r="B412" i="87"/>
  <c r="C412" i="87"/>
  <c r="D412" i="87"/>
  <c r="E412" i="87"/>
  <c r="A413" i="87"/>
  <c r="B413" i="87"/>
  <c r="C413" i="87"/>
  <c r="D413" i="87"/>
  <c r="E413" i="87"/>
  <c r="A414" i="87"/>
  <c r="B414" i="87"/>
  <c r="C414" i="87"/>
  <c r="D414" i="87"/>
  <c r="E414" i="87"/>
  <c r="A415" i="87"/>
  <c r="B415" i="87"/>
  <c r="C415" i="87"/>
  <c r="D415" i="87"/>
  <c r="E415" i="87"/>
  <c r="A416" i="87"/>
  <c r="B416" i="87"/>
  <c r="C416" i="87"/>
  <c r="D416" i="87"/>
  <c r="E416" i="87"/>
  <c r="A417" i="87"/>
  <c r="B417" i="87"/>
  <c r="C417" i="87"/>
  <c r="D417" i="87"/>
  <c r="E417" i="87"/>
  <c r="A418" i="87"/>
  <c r="B418" i="87"/>
  <c r="C418" i="87"/>
  <c r="D418" i="87"/>
  <c r="E418" i="87"/>
  <c r="A419" i="87"/>
  <c r="B419" i="87"/>
  <c r="C419" i="87"/>
  <c r="D419" i="87"/>
  <c r="E419" i="87"/>
  <c r="A420" i="87"/>
  <c r="B420" i="87"/>
  <c r="C420" i="87"/>
  <c r="D420" i="87"/>
  <c r="E420" i="87"/>
  <c r="A421" i="87"/>
  <c r="B421" i="87"/>
  <c r="C421" i="87"/>
  <c r="D421" i="87"/>
  <c r="E421" i="87"/>
  <c r="A422" i="87"/>
  <c r="B422" i="87"/>
  <c r="C422" i="87"/>
  <c r="D422" i="87"/>
  <c r="E422" i="87"/>
  <c r="A423" i="87"/>
  <c r="B423" i="87"/>
  <c r="C423" i="87"/>
  <c r="D423" i="87"/>
  <c r="E423" i="87"/>
  <c r="A424" i="87"/>
  <c r="B424" i="87"/>
  <c r="C424" i="87"/>
  <c r="D424" i="87"/>
  <c r="E424" i="87"/>
  <c r="A425" i="87"/>
  <c r="B425" i="87"/>
  <c r="C425" i="87"/>
  <c r="D425" i="87"/>
  <c r="E425" i="87"/>
  <c r="A426" i="87"/>
  <c r="B426" i="87"/>
  <c r="C426" i="87"/>
  <c r="D426" i="87"/>
  <c r="E426" i="87"/>
  <c r="A427" i="87"/>
  <c r="B427" i="87"/>
  <c r="C427" i="87"/>
  <c r="D427" i="87"/>
  <c r="E427" i="87"/>
  <c r="A428" i="87"/>
  <c r="B428" i="87"/>
  <c r="C428" i="87"/>
  <c r="D428" i="87"/>
  <c r="E428" i="87"/>
  <c r="A429" i="87"/>
  <c r="B429" i="87"/>
  <c r="C429" i="87"/>
  <c r="D429" i="87"/>
  <c r="E429" i="87"/>
  <c r="A430" i="87"/>
  <c r="B430" i="87"/>
  <c r="C430" i="87"/>
  <c r="D430" i="87"/>
  <c r="E430" i="87"/>
  <c r="A431" i="87"/>
  <c r="B431" i="87"/>
  <c r="C431" i="87"/>
  <c r="D431" i="87"/>
  <c r="E431" i="87"/>
  <c r="A432" i="87"/>
  <c r="B432" i="87"/>
  <c r="C432" i="87"/>
  <c r="D432" i="87"/>
  <c r="E432" i="87"/>
  <c r="A433" i="87"/>
  <c r="B433" i="87"/>
  <c r="C433" i="87"/>
  <c r="D433" i="87"/>
  <c r="E433" i="87"/>
  <c r="A434" i="87"/>
  <c r="B434" i="87"/>
  <c r="C434" i="87"/>
  <c r="D434" i="87"/>
  <c r="E434" i="87"/>
  <c r="A435" i="87"/>
  <c r="B435" i="87"/>
  <c r="C435" i="87"/>
  <c r="D435" i="87"/>
  <c r="E435" i="87"/>
  <c r="A436" i="87"/>
  <c r="B436" i="87"/>
  <c r="C436" i="87"/>
  <c r="D436" i="87"/>
  <c r="E436" i="87"/>
  <c r="A437" i="87"/>
  <c r="B437" i="87"/>
  <c r="C437" i="87"/>
  <c r="D437" i="87"/>
  <c r="E437" i="87"/>
  <c r="A438" i="87"/>
  <c r="B438" i="87"/>
  <c r="C438" i="87"/>
  <c r="D438" i="87"/>
  <c r="E438" i="87"/>
  <c r="A439" i="87"/>
  <c r="B439" i="87"/>
  <c r="C439" i="87"/>
  <c r="D439" i="87"/>
  <c r="E439" i="87"/>
  <c r="A440" i="87"/>
  <c r="B440" i="87"/>
  <c r="C440" i="87"/>
  <c r="D440" i="87"/>
  <c r="E440" i="87"/>
  <c r="A441" i="87"/>
  <c r="B441" i="87"/>
  <c r="C441" i="87"/>
  <c r="D441" i="87"/>
  <c r="E441" i="87"/>
  <c r="A442" i="87"/>
  <c r="B442" i="87"/>
  <c r="C442" i="87"/>
  <c r="D442" i="87"/>
  <c r="E442" i="87"/>
  <c r="A443" i="87"/>
  <c r="B443" i="87"/>
  <c r="C443" i="87"/>
  <c r="D443" i="87"/>
  <c r="E443" i="87"/>
  <c r="A444" i="87"/>
  <c r="B444" i="87"/>
  <c r="C444" i="87"/>
  <c r="D444" i="87"/>
  <c r="E444" i="87"/>
  <c r="A445" i="87"/>
  <c r="B445" i="87"/>
  <c r="C445" i="87"/>
  <c r="D445" i="87"/>
  <c r="E445" i="87"/>
  <c r="A446" i="87"/>
  <c r="B446" i="87"/>
  <c r="C446" i="87"/>
  <c r="D446" i="87"/>
  <c r="E446" i="87"/>
  <c r="A447" i="87"/>
  <c r="B447" i="87"/>
  <c r="C447" i="87"/>
  <c r="D447" i="87"/>
  <c r="E447" i="87"/>
  <c r="A448" i="87"/>
  <c r="B448" i="87"/>
  <c r="C448" i="87"/>
  <c r="D448" i="87"/>
  <c r="E448" i="87"/>
  <c r="A449" i="87"/>
  <c r="B449" i="87"/>
  <c r="C449" i="87"/>
  <c r="D449" i="87"/>
  <c r="E449" i="87"/>
  <c r="A450" i="87"/>
  <c r="B450" i="87"/>
  <c r="C450" i="87"/>
  <c r="D450" i="87"/>
  <c r="E450" i="87"/>
  <c r="A451" i="87"/>
  <c r="B451" i="87"/>
  <c r="C451" i="87"/>
  <c r="D451" i="87"/>
  <c r="E451" i="87"/>
  <c r="A452" i="87"/>
  <c r="B452" i="87"/>
  <c r="C452" i="87"/>
  <c r="D452" i="87"/>
  <c r="E452" i="87"/>
  <c r="A453" i="87"/>
  <c r="B453" i="87"/>
  <c r="C453" i="87"/>
  <c r="D453" i="87"/>
  <c r="E453" i="87"/>
  <c r="A454" i="87"/>
  <c r="B454" i="87"/>
  <c r="C454" i="87"/>
  <c r="D454" i="87"/>
  <c r="E454" i="87"/>
  <c r="A455" i="87"/>
  <c r="B455" i="87"/>
  <c r="C455" i="87"/>
  <c r="D455" i="87"/>
  <c r="E455" i="87"/>
  <c r="A456" i="87"/>
  <c r="B456" i="87"/>
  <c r="C456" i="87"/>
  <c r="D456" i="87"/>
  <c r="E456" i="87"/>
  <c r="A457" i="87"/>
  <c r="B457" i="87"/>
  <c r="C457" i="87"/>
  <c r="D457" i="87"/>
  <c r="E457" i="87"/>
  <c r="A458" i="87"/>
  <c r="B458" i="87"/>
  <c r="C458" i="87"/>
  <c r="D458" i="87"/>
  <c r="E458" i="87"/>
  <c r="A459" i="87"/>
  <c r="B459" i="87"/>
  <c r="C459" i="87"/>
  <c r="D459" i="87"/>
  <c r="E459" i="87"/>
  <c r="A460" i="87"/>
  <c r="B460" i="87"/>
  <c r="C460" i="87"/>
  <c r="D460" i="87"/>
  <c r="E460" i="87"/>
  <c r="A461" i="87"/>
  <c r="B461" i="87"/>
  <c r="C461" i="87"/>
  <c r="D461" i="87"/>
  <c r="E461" i="87"/>
  <c r="A462" i="87"/>
  <c r="B462" i="87"/>
  <c r="C462" i="87"/>
  <c r="D462" i="87"/>
  <c r="E462" i="87"/>
  <c r="A463" i="87"/>
  <c r="B463" i="87"/>
  <c r="C463" i="87"/>
  <c r="D463" i="87"/>
  <c r="E463" i="87"/>
  <c r="A464" i="87"/>
  <c r="B464" i="87"/>
  <c r="C464" i="87"/>
  <c r="D464" i="87"/>
  <c r="E464" i="87"/>
  <c r="A465" i="87"/>
  <c r="B465" i="87"/>
  <c r="C465" i="87"/>
  <c r="D465" i="87"/>
  <c r="E465" i="87"/>
  <c r="A466" i="87"/>
  <c r="B466" i="87"/>
  <c r="C466" i="87"/>
  <c r="D466" i="87"/>
  <c r="E466" i="87"/>
  <c r="A467" i="87"/>
  <c r="B467" i="87"/>
  <c r="C467" i="87"/>
  <c r="D467" i="87"/>
  <c r="E467" i="87"/>
  <c r="A468" i="87"/>
  <c r="B468" i="87"/>
  <c r="C468" i="87"/>
  <c r="D468" i="87"/>
  <c r="E468" i="87"/>
  <c r="A469" i="87"/>
  <c r="B469" i="87"/>
  <c r="C469" i="87"/>
  <c r="D469" i="87"/>
  <c r="E469" i="87"/>
  <c r="A470" i="87"/>
  <c r="B470" i="87"/>
  <c r="C470" i="87"/>
  <c r="D470" i="87"/>
  <c r="E470" i="87"/>
  <c r="A471" i="87"/>
  <c r="B471" i="87"/>
  <c r="C471" i="87"/>
  <c r="D471" i="87"/>
  <c r="E471" i="87"/>
  <c r="A472" i="87"/>
  <c r="B472" i="87"/>
  <c r="C472" i="87"/>
  <c r="D472" i="87"/>
  <c r="E472" i="87"/>
  <c r="A473" i="87"/>
  <c r="B473" i="87"/>
  <c r="C473" i="87"/>
  <c r="D473" i="87"/>
  <c r="E473" i="87"/>
  <c r="A474" i="87"/>
  <c r="B474" i="87"/>
  <c r="C474" i="87"/>
  <c r="D474" i="87"/>
  <c r="E474" i="87"/>
  <c r="A475" i="87"/>
  <c r="B475" i="87"/>
  <c r="C475" i="87"/>
  <c r="D475" i="87"/>
  <c r="E475" i="87"/>
  <c r="A476" i="87"/>
  <c r="B476" i="87"/>
  <c r="C476" i="87"/>
  <c r="D476" i="87"/>
  <c r="E476" i="87"/>
  <c r="A477" i="87"/>
  <c r="B477" i="87"/>
  <c r="C477" i="87"/>
  <c r="D477" i="87"/>
  <c r="E477" i="87"/>
  <c r="A478" i="87"/>
  <c r="B478" i="87"/>
  <c r="C478" i="87"/>
  <c r="D478" i="87"/>
  <c r="E478" i="87"/>
  <c r="A479" i="87"/>
  <c r="B479" i="87"/>
  <c r="C479" i="87"/>
  <c r="D479" i="87"/>
  <c r="E479" i="87"/>
  <c r="A480" i="87"/>
  <c r="B480" i="87"/>
  <c r="C480" i="87"/>
  <c r="D480" i="87"/>
  <c r="E480" i="87"/>
  <c r="A481" i="87"/>
  <c r="B481" i="87"/>
  <c r="C481" i="87"/>
  <c r="D481" i="87"/>
  <c r="E481" i="87"/>
  <c r="A482" i="87"/>
  <c r="B482" i="87"/>
  <c r="C482" i="87"/>
  <c r="D482" i="87"/>
  <c r="E482" i="87"/>
  <c r="A483" i="87"/>
  <c r="B483" i="87"/>
  <c r="C483" i="87"/>
  <c r="D483" i="87"/>
  <c r="E483" i="87"/>
  <c r="A484" i="87"/>
  <c r="B484" i="87"/>
  <c r="C484" i="87"/>
  <c r="D484" i="87"/>
  <c r="E484" i="87"/>
  <c r="A485" i="87"/>
  <c r="B485" i="87"/>
  <c r="C485" i="87"/>
  <c r="D485" i="87"/>
  <c r="E485" i="87"/>
  <c r="A486" i="87"/>
  <c r="B486" i="87"/>
  <c r="C486" i="87"/>
  <c r="D486" i="87"/>
  <c r="E486" i="87"/>
  <c r="A487" i="87"/>
  <c r="B487" i="87"/>
  <c r="C487" i="87"/>
  <c r="D487" i="87"/>
  <c r="E487" i="87"/>
  <c r="A488" i="87"/>
  <c r="B488" i="87"/>
  <c r="C488" i="87"/>
  <c r="D488" i="87"/>
  <c r="E488" i="87"/>
  <c r="A489" i="87"/>
  <c r="B489" i="87"/>
  <c r="C489" i="87"/>
  <c r="D489" i="87"/>
  <c r="E489" i="87"/>
  <c r="A490" i="87"/>
  <c r="B490" i="87"/>
  <c r="C490" i="87"/>
  <c r="D490" i="87"/>
  <c r="E490" i="87"/>
  <c r="A491" i="87"/>
  <c r="B491" i="87"/>
  <c r="C491" i="87"/>
  <c r="D491" i="87"/>
  <c r="E491" i="87"/>
  <c r="A492" i="87"/>
  <c r="B492" i="87"/>
  <c r="C492" i="87"/>
  <c r="D492" i="87"/>
  <c r="E492" i="87"/>
  <c r="A493" i="87"/>
  <c r="B493" i="87"/>
  <c r="C493" i="87"/>
  <c r="D493" i="87"/>
  <c r="E493" i="87"/>
  <c r="A494" i="87"/>
  <c r="B494" i="87"/>
  <c r="C494" i="87"/>
  <c r="D494" i="87"/>
  <c r="E494" i="87"/>
  <c r="A495" i="87"/>
  <c r="B495" i="87"/>
  <c r="C495" i="87"/>
  <c r="D495" i="87"/>
  <c r="E495" i="87"/>
  <c r="A496" i="87"/>
  <c r="B496" i="87"/>
  <c r="C496" i="87"/>
  <c r="D496" i="87"/>
  <c r="E496" i="87"/>
  <c r="A497" i="87"/>
  <c r="B497" i="87"/>
  <c r="C497" i="87"/>
  <c r="D497" i="87"/>
  <c r="E497" i="87"/>
  <c r="A498" i="87"/>
  <c r="B498" i="87"/>
  <c r="C498" i="87"/>
  <c r="D498" i="87"/>
  <c r="E498" i="87"/>
  <c r="A499" i="87"/>
  <c r="B499" i="87"/>
  <c r="C499" i="87"/>
  <c r="D499" i="87"/>
  <c r="E499" i="87"/>
  <c r="A500" i="87"/>
  <c r="B500" i="87"/>
  <c r="C500" i="87"/>
  <c r="D500" i="87"/>
  <c r="E500" i="87"/>
  <c r="A501" i="87"/>
  <c r="B501" i="87"/>
  <c r="C501" i="87"/>
  <c r="D501" i="87"/>
  <c r="E501" i="87"/>
  <c r="A502" i="87"/>
  <c r="B502" i="87"/>
  <c r="C502" i="87"/>
  <c r="D502" i="87"/>
  <c r="E502" i="87"/>
  <c r="A503" i="87"/>
  <c r="B503" i="87"/>
  <c r="C503" i="87"/>
  <c r="D503" i="87"/>
  <c r="E503" i="87"/>
  <c r="A504" i="87"/>
  <c r="B504" i="87"/>
  <c r="C504" i="87"/>
  <c r="D504" i="87"/>
  <c r="E504" i="87"/>
  <c r="A505" i="87"/>
  <c r="B505" i="87"/>
  <c r="C505" i="87"/>
  <c r="D505" i="87"/>
  <c r="E505" i="87"/>
  <c r="A506" i="87"/>
  <c r="B506" i="87"/>
  <c r="C506" i="87"/>
  <c r="D506" i="87"/>
  <c r="E506" i="87"/>
  <c r="A507" i="87"/>
  <c r="B507" i="87"/>
  <c r="C507" i="87"/>
  <c r="D507" i="87"/>
  <c r="E507" i="87"/>
  <c r="A508" i="87"/>
  <c r="B508" i="87"/>
  <c r="C508" i="87"/>
  <c r="D508" i="87"/>
  <c r="E508" i="87"/>
  <c r="A509" i="87"/>
  <c r="B509" i="87"/>
  <c r="C509" i="87"/>
  <c r="D509" i="87"/>
  <c r="E509" i="87"/>
  <c r="A510" i="87"/>
  <c r="B510" i="87"/>
  <c r="C510" i="87"/>
  <c r="D510" i="87"/>
  <c r="E510" i="87"/>
  <c r="A511" i="87"/>
  <c r="B511" i="87"/>
  <c r="C511" i="87"/>
  <c r="D511" i="87"/>
  <c r="E511" i="87"/>
  <c r="A512" i="87"/>
  <c r="B512" i="87"/>
  <c r="C512" i="87"/>
  <c r="D512" i="87"/>
  <c r="E512" i="87"/>
  <c r="A513" i="87"/>
  <c r="B513" i="87"/>
  <c r="C513" i="87"/>
  <c r="D513" i="87"/>
  <c r="E513" i="87"/>
  <c r="A514" i="87"/>
  <c r="B514" i="87"/>
  <c r="C514" i="87"/>
  <c r="D514" i="87"/>
  <c r="E514" i="87"/>
  <c r="A515" i="87"/>
  <c r="B515" i="87"/>
  <c r="C515" i="87"/>
  <c r="D515" i="87"/>
  <c r="E515" i="87"/>
  <c r="A516" i="87"/>
  <c r="B516" i="87"/>
  <c r="C516" i="87"/>
  <c r="D516" i="87"/>
  <c r="E516" i="87"/>
  <c r="A517" i="87"/>
  <c r="B517" i="87"/>
  <c r="C517" i="87"/>
  <c r="D517" i="87"/>
  <c r="E517" i="87"/>
  <c r="A518" i="87"/>
  <c r="B518" i="87"/>
  <c r="C518" i="87"/>
  <c r="D518" i="87"/>
  <c r="E518" i="87"/>
  <c r="A519" i="87"/>
  <c r="B519" i="87"/>
  <c r="C519" i="87"/>
  <c r="D519" i="87"/>
  <c r="E519" i="87"/>
  <c r="A520" i="87"/>
  <c r="B520" i="87"/>
  <c r="C520" i="87"/>
  <c r="D520" i="87"/>
  <c r="E520" i="87"/>
  <c r="A521" i="87"/>
  <c r="B521" i="87"/>
  <c r="C521" i="87"/>
  <c r="D521" i="87"/>
  <c r="E521" i="87"/>
  <c r="A522" i="87"/>
  <c r="B522" i="87"/>
  <c r="C522" i="87"/>
  <c r="D522" i="87"/>
  <c r="E522" i="87"/>
  <c r="A523" i="87"/>
  <c r="B523" i="87"/>
  <c r="C523" i="87"/>
  <c r="D523" i="87"/>
  <c r="E523" i="87"/>
  <c r="A524" i="87"/>
  <c r="B524" i="87"/>
  <c r="C524" i="87"/>
  <c r="D524" i="87"/>
  <c r="E524" i="87"/>
  <c r="A525" i="87"/>
  <c r="B525" i="87"/>
  <c r="C525" i="87"/>
  <c r="D525" i="87"/>
  <c r="E525" i="87"/>
  <c r="A526" i="87"/>
  <c r="B526" i="87"/>
  <c r="C526" i="87"/>
  <c r="D526" i="87"/>
  <c r="E526" i="87"/>
  <c r="A527" i="87"/>
  <c r="B527" i="87"/>
  <c r="C527" i="87"/>
  <c r="D527" i="87"/>
  <c r="E527" i="87"/>
  <c r="A528" i="87"/>
  <c r="B528" i="87"/>
  <c r="C528" i="87"/>
  <c r="D528" i="87"/>
  <c r="E528" i="87"/>
  <c r="A529" i="87"/>
  <c r="B529" i="87"/>
  <c r="C529" i="87"/>
  <c r="D529" i="87"/>
  <c r="E529" i="87"/>
  <c r="A530" i="87"/>
  <c r="B530" i="87"/>
  <c r="C530" i="87"/>
  <c r="D530" i="87"/>
  <c r="E530" i="87"/>
  <c r="A531" i="87"/>
  <c r="B531" i="87"/>
  <c r="C531" i="87"/>
  <c r="D531" i="87"/>
  <c r="E531" i="87"/>
  <c r="A532" i="87"/>
  <c r="B532" i="87"/>
  <c r="C532" i="87"/>
  <c r="D532" i="87"/>
  <c r="E532" i="87"/>
  <c r="A533" i="87"/>
  <c r="B533" i="87"/>
  <c r="C533" i="87"/>
  <c r="D533" i="87"/>
  <c r="E533" i="87"/>
  <c r="A534" i="87"/>
  <c r="B534" i="87"/>
  <c r="C534" i="87"/>
  <c r="D534" i="87"/>
  <c r="E534" i="87"/>
  <c r="A535" i="87"/>
  <c r="B535" i="87"/>
  <c r="C535" i="87"/>
  <c r="D535" i="87"/>
  <c r="E535" i="87"/>
  <c r="A536" i="87"/>
  <c r="B536" i="87"/>
  <c r="C536" i="87"/>
  <c r="D536" i="87"/>
  <c r="E536" i="87"/>
  <c r="A537" i="87"/>
  <c r="B537" i="87"/>
  <c r="C537" i="87"/>
  <c r="D537" i="87"/>
  <c r="E537" i="87"/>
  <c r="A538" i="87"/>
  <c r="B538" i="87"/>
  <c r="C538" i="87"/>
  <c r="D538" i="87"/>
  <c r="E538" i="87"/>
  <c r="A539" i="87"/>
  <c r="B539" i="87"/>
  <c r="C539" i="87"/>
  <c r="D539" i="87"/>
  <c r="E539" i="87"/>
  <c r="A540" i="87"/>
  <c r="B540" i="87"/>
  <c r="C540" i="87"/>
  <c r="D540" i="87"/>
  <c r="E540" i="87"/>
  <c r="A541" i="87"/>
  <c r="B541" i="87"/>
  <c r="C541" i="87"/>
  <c r="D541" i="87"/>
  <c r="E541" i="87"/>
  <c r="A542" i="87"/>
  <c r="B542" i="87"/>
  <c r="C542" i="87"/>
  <c r="D542" i="87"/>
  <c r="E542" i="87"/>
  <c r="A543" i="87"/>
  <c r="B543" i="87"/>
  <c r="C543" i="87"/>
  <c r="D543" i="87"/>
  <c r="E543" i="87"/>
  <c r="A544" i="87"/>
  <c r="B544" i="87"/>
  <c r="C544" i="87"/>
  <c r="D544" i="87"/>
  <c r="E544" i="87"/>
  <c r="A545" i="87"/>
  <c r="B545" i="87"/>
  <c r="C545" i="87"/>
  <c r="D545" i="87"/>
  <c r="E545" i="87"/>
  <c r="A546" i="87"/>
  <c r="B546" i="87"/>
  <c r="C546" i="87"/>
  <c r="D546" i="87"/>
  <c r="E546" i="87"/>
  <c r="A547" i="87"/>
  <c r="B547" i="87"/>
  <c r="C547" i="87"/>
  <c r="D547" i="87"/>
  <c r="E547" i="87"/>
  <c r="A548" i="87"/>
  <c r="B548" i="87"/>
  <c r="C548" i="87"/>
  <c r="D548" i="87"/>
  <c r="E548" i="87"/>
  <c r="A549" i="87"/>
  <c r="B549" i="87"/>
  <c r="C549" i="87"/>
  <c r="D549" i="87"/>
  <c r="E549" i="87"/>
  <c r="A550" i="87"/>
  <c r="B550" i="87"/>
  <c r="C550" i="87"/>
  <c r="D550" i="87"/>
  <c r="E550" i="87"/>
  <c r="A551" i="87"/>
  <c r="B551" i="87"/>
  <c r="C551" i="87"/>
  <c r="D551" i="87"/>
  <c r="E551" i="87"/>
  <c r="A552" i="87"/>
  <c r="B552" i="87"/>
  <c r="C552" i="87"/>
  <c r="D552" i="87"/>
  <c r="E552" i="87"/>
  <c r="A553" i="87"/>
  <c r="B553" i="87"/>
  <c r="C553" i="87"/>
  <c r="D553" i="87"/>
  <c r="E553" i="87"/>
  <c r="A554" i="87"/>
  <c r="B554" i="87"/>
  <c r="C554" i="87"/>
  <c r="D554" i="87"/>
  <c r="E554" i="87"/>
  <c r="A555" i="87"/>
  <c r="B555" i="87"/>
  <c r="C555" i="87"/>
  <c r="D555" i="87"/>
  <c r="E555" i="87"/>
  <c r="A556" i="87"/>
  <c r="B556" i="87"/>
  <c r="C556" i="87"/>
  <c r="D556" i="87"/>
  <c r="E556" i="87"/>
  <c r="A557" i="87"/>
  <c r="B557" i="87"/>
  <c r="C557" i="87"/>
  <c r="D557" i="87"/>
  <c r="E557" i="87"/>
  <c r="A558" i="87"/>
  <c r="B558" i="87"/>
  <c r="C558" i="87"/>
  <c r="D558" i="87"/>
  <c r="E558" i="87"/>
  <c r="A559" i="87"/>
  <c r="B559" i="87"/>
  <c r="C559" i="87"/>
  <c r="D559" i="87"/>
  <c r="E559" i="87"/>
  <c r="A560" i="87"/>
  <c r="B560" i="87"/>
  <c r="C560" i="87"/>
  <c r="D560" i="87"/>
  <c r="E560" i="87"/>
  <c r="A561" i="87"/>
  <c r="B561" i="87"/>
  <c r="C561" i="87"/>
  <c r="D561" i="87"/>
  <c r="E561" i="87"/>
  <c r="A562" i="87"/>
  <c r="B562" i="87"/>
  <c r="C562" i="87"/>
  <c r="D562" i="87"/>
  <c r="E562" i="87"/>
  <c r="A563" i="87"/>
  <c r="B563" i="87"/>
  <c r="C563" i="87"/>
  <c r="D563" i="87"/>
  <c r="E563" i="87"/>
  <c r="A564" i="87"/>
  <c r="B564" i="87"/>
  <c r="C564" i="87"/>
  <c r="D564" i="87"/>
  <c r="E564" i="87"/>
  <c r="A565" i="87"/>
  <c r="B565" i="87"/>
  <c r="C565" i="87"/>
  <c r="D565" i="87"/>
  <c r="E565" i="87"/>
  <c r="A566" i="87"/>
  <c r="B566" i="87"/>
  <c r="C566" i="87"/>
  <c r="D566" i="87"/>
  <c r="E566" i="87"/>
  <c r="A567" i="87"/>
  <c r="B567" i="87"/>
  <c r="C567" i="87"/>
  <c r="D567" i="87"/>
  <c r="E567" i="87"/>
  <c r="A568" i="87"/>
  <c r="B568" i="87"/>
  <c r="C568" i="87"/>
  <c r="D568" i="87"/>
  <c r="E568" i="87"/>
  <c r="A569" i="87"/>
  <c r="B569" i="87"/>
  <c r="C569" i="87"/>
  <c r="D569" i="87"/>
  <c r="E569" i="87"/>
  <c r="A570" i="87"/>
  <c r="B570" i="87"/>
  <c r="C570" i="87"/>
  <c r="D570" i="87"/>
  <c r="E570" i="87"/>
  <c r="A571" i="87"/>
  <c r="B571" i="87"/>
  <c r="C571" i="87"/>
  <c r="D571" i="87"/>
  <c r="E571" i="87"/>
  <c r="A572" i="87"/>
  <c r="B572" i="87"/>
  <c r="C572" i="87"/>
  <c r="D572" i="87"/>
  <c r="E572" i="87"/>
  <c r="A573" i="87"/>
  <c r="B573" i="87"/>
  <c r="C573" i="87"/>
  <c r="D573" i="87"/>
  <c r="E573" i="87"/>
  <c r="A574" i="87"/>
  <c r="B574" i="87"/>
  <c r="C574" i="87"/>
  <c r="D574" i="87"/>
  <c r="E574" i="87"/>
  <c r="A575" i="87"/>
  <c r="B575" i="87"/>
  <c r="C575" i="87"/>
  <c r="D575" i="87"/>
  <c r="E575" i="87"/>
  <c r="A576" i="87"/>
  <c r="B576" i="87"/>
  <c r="C576" i="87"/>
  <c r="D576" i="87"/>
  <c r="E576" i="87"/>
  <c r="A577" i="87"/>
  <c r="B577" i="87"/>
  <c r="C577" i="87"/>
  <c r="D577" i="87"/>
  <c r="E577" i="87"/>
  <c r="A578" i="87"/>
  <c r="B578" i="87"/>
  <c r="C578" i="87"/>
  <c r="D578" i="87"/>
  <c r="E578" i="87"/>
  <c r="A579" i="87"/>
  <c r="B579" i="87"/>
  <c r="C579" i="87"/>
  <c r="D579" i="87"/>
  <c r="E579" i="87"/>
  <c r="A580" i="87"/>
  <c r="B580" i="87"/>
  <c r="C580" i="87"/>
  <c r="D580" i="87"/>
  <c r="E580" i="87"/>
  <c r="A581" i="87"/>
  <c r="B581" i="87"/>
  <c r="C581" i="87"/>
  <c r="D581" i="87"/>
  <c r="E581" i="87"/>
  <c r="A582" i="87"/>
  <c r="B582" i="87"/>
  <c r="C582" i="87"/>
  <c r="D582" i="87"/>
  <c r="E582" i="87"/>
  <c r="A583" i="87"/>
  <c r="B583" i="87"/>
  <c r="C583" i="87"/>
  <c r="D583" i="87"/>
  <c r="E583" i="87"/>
  <c r="A584" i="87"/>
  <c r="B584" i="87"/>
  <c r="C584" i="87"/>
  <c r="D584" i="87"/>
  <c r="E584" i="87"/>
  <c r="A585" i="87"/>
  <c r="B585" i="87"/>
  <c r="C585" i="87"/>
  <c r="D585" i="87"/>
  <c r="E585" i="87"/>
  <c r="A586" i="87"/>
  <c r="B586" i="87"/>
  <c r="C586" i="87"/>
  <c r="D586" i="87"/>
  <c r="E586" i="87"/>
  <c r="A587" i="87"/>
  <c r="B587" i="87"/>
  <c r="C587" i="87"/>
  <c r="D587" i="87"/>
  <c r="E587" i="87"/>
  <c r="A588" i="87"/>
  <c r="B588" i="87"/>
  <c r="C588" i="87"/>
  <c r="D588" i="87"/>
  <c r="E588" i="87"/>
  <c r="A589" i="87"/>
  <c r="B589" i="87"/>
  <c r="C589" i="87"/>
  <c r="D589" i="87"/>
  <c r="E589" i="87"/>
  <c r="A590" i="87"/>
  <c r="B590" i="87"/>
  <c r="C590" i="87"/>
  <c r="D590" i="87"/>
  <c r="E590" i="87"/>
  <c r="A591" i="87"/>
  <c r="B591" i="87"/>
  <c r="C591" i="87"/>
  <c r="D591" i="87"/>
  <c r="E591" i="87"/>
  <c r="A592" i="87"/>
  <c r="B592" i="87"/>
  <c r="C592" i="87"/>
  <c r="D592" i="87"/>
  <c r="E592" i="87"/>
  <c r="A593" i="87"/>
  <c r="B593" i="87"/>
  <c r="C593" i="87"/>
  <c r="D593" i="87"/>
  <c r="E593" i="87"/>
  <c r="A594" i="87"/>
  <c r="B594" i="87"/>
  <c r="C594" i="87"/>
  <c r="D594" i="87"/>
  <c r="E594" i="87"/>
  <c r="A595" i="87"/>
  <c r="B595" i="87"/>
  <c r="C595" i="87"/>
  <c r="D595" i="87"/>
  <c r="E595" i="87"/>
  <c r="A596" i="87"/>
  <c r="B596" i="87"/>
  <c r="C596" i="87"/>
  <c r="D596" i="87"/>
  <c r="E596" i="87"/>
  <c r="A597" i="87"/>
  <c r="B597" i="87"/>
  <c r="C597" i="87"/>
  <c r="D597" i="87"/>
  <c r="E597" i="87"/>
  <c r="A598" i="87"/>
  <c r="B598" i="87"/>
  <c r="C598" i="87"/>
  <c r="D598" i="87"/>
  <c r="E598" i="87"/>
  <c r="A599" i="87"/>
  <c r="B599" i="87"/>
  <c r="C599" i="87"/>
  <c r="D599" i="87"/>
  <c r="E599" i="87"/>
  <c r="A600" i="87"/>
  <c r="B600" i="87"/>
  <c r="C600" i="87"/>
  <c r="D600" i="87"/>
  <c r="E600" i="87"/>
  <c r="A601" i="87"/>
  <c r="B601" i="87"/>
  <c r="C601" i="87"/>
  <c r="D601" i="87"/>
  <c r="E601" i="87"/>
  <c r="A602" i="87"/>
  <c r="B602" i="87"/>
  <c r="C602" i="87"/>
  <c r="D602" i="87"/>
  <c r="E602" i="87"/>
  <c r="A603" i="87"/>
  <c r="B603" i="87"/>
  <c r="C603" i="87"/>
  <c r="D603" i="87"/>
  <c r="E603" i="87"/>
  <c r="A604" i="87"/>
  <c r="B604" i="87"/>
  <c r="C604" i="87"/>
  <c r="D604" i="87"/>
  <c r="E604" i="87"/>
  <c r="A605" i="87"/>
  <c r="B605" i="87"/>
  <c r="C605" i="87"/>
  <c r="D605" i="87"/>
  <c r="E605" i="87"/>
  <c r="A606" i="87"/>
  <c r="B606" i="87"/>
  <c r="C606" i="87"/>
  <c r="D606" i="87"/>
  <c r="E606" i="87"/>
  <c r="A607" i="87"/>
  <c r="B607" i="87"/>
  <c r="C607" i="87"/>
  <c r="D607" i="87"/>
  <c r="E607" i="87"/>
  <c r="A608" i="87"/>
  <c r="B608" i="87"/>
  <c r="C608" i="87"/>
  <c r="D608" i="87"/>
  <c r="E608" i="87"/>
  <c r="A609" i="87"/>
  <c r="B609" i="87"/>
  <c r="C609" i="87"/>
  <c r="D609" i="87"/>
  <c r="E609" i="87"/>
  <c r="A610" i="87"/>
  <c r="B610" i="87"/>
  <c r="C610" i="87"/>
  <c r="D610" i="87"/>
  <c r="E610" i="87"/>
  <c r="A611" i="87"/>
  <c r="B611" i="87"/>
  <c r="C611" i="87"/>
  <c r="D611" i="87"/>
  <c r="E611" i="87"/>
  <c r="A612" i="87"/>
  <c r="B612" i="87"/>
  <c r="C612" i="87"/>
  <c r="D612" i="87"/>
  <c r="E612" i="87"/>
  <c r="A613" i="87"/>
  <c r="B613" i="87"/>
  <c r="C613" i="87"/>
  <c r="D613" i="87"/>
  <c r="E613" i="87"/>
  <c r="A614" i="87"/>
  <c r="B614" i="87"/>
  <c r="C614" i="87"/>
  <c r="D614" i="87"/>
  <c r="E614" i="87"/>
  <c r="A615" i="87"/>
  <c r="B615" i="87"/>
  <c r="C615" i="87"/>
  <c r="D615" i="87"/>
  <c r="E615" i="87"/>
  <c r="A616" i="87"/>
  <c r="B616" i="87"/>
  <c r="C616" i="87"/>
  <c r="D616" i="87"/>
  <c r="E616" i="87"/>
  <c r="A617" i="87"/>
  <c r="B617" i="87"/>
  <c r="C617" i="87"/>
  <c r="D617" i="87"/>
  <c r="E617" i="87"/>
  <c r="A618" i="87"/>
  <c r="B618" i="87"/>
  <c r="C618" i="87"/>
  <c r="D618" i="87"/>
  <c r="E618" i="87"/>
  <c r="A619" i="87"/>
  <c r="B619" i="87"/>
  <c r="C619" i="87"/>
  <c r="D619" i="87"/>
  <c r="E619" i="87"/>
  <c r="A620" i="87"/>
  <c r="B620" i="87"/>
  <c r="C620" i="87"/>
  <c r="D620" i="87"/>
  <c r="E620" i="87"/>
  <c r="A621" i="87"/>
  <c r="B621" i="87"/>
  <c r="C621" i="87"/>
  <c r="D621" i="87"/>
  <c r="E621" i="87"/>
  <c r="A622" i="87"/>
  <c r="B622" i="87"/>
  <c r="C622" i="87"/>
  <c r="D622" i="87"/>
  <c r="E622" i="87"/>
  <c r="A623" i="87"/>
  <c r="B623" i="87"/>
  <c r="C623" i="87"/>
  <c r="D623" i="87"/>
  <c r="E623" i="87"/>
  <c r="A624" i="87"/>
  <c r="B624" i="87"/>
  <c r="C624" i="87"/>
  <c r="D624" i="87"/>
  <c r="E624" i="87"/>
  <c r="A625" i="87"/>
  <c r="B625" i="87"/>
  <c r="C625" i="87"/>
  <c r="D625" i="87"/>
  <c r="E625" i="87"/>
  <c r="A626" i="87"/>
  <c r="B626" i="87"/>
  <c r="C626" i="87"/>
  <c r="D626" i="87"/>
  <c r="E626" i="87"/>
  <c r="A627" i="87"/>
  <c r="B627" i="87"/>
  <c r="C627" i="87"/>
  <c r="D627" i="87"/>
  <c r="E627" i="87"/>
  <c r="A628" i="87"/>
  <c r="B628" i="87"/>
  <c r="C628" i="87"/>
  <c r="D628" i="87"/>
  <c r="E628" i="87"/>
  <c r="A629" i="87"/>
  <c r="B629" i="87"/>
  <c r="C629" i="87"/>
  <c r="D629" i="87"/>
  <c r="E629" i="87"/>
  <c r="A630" i="87"/>
  <c r="B630" i="87"/>
  <c r="C630" i="87"/>
  <c r="D630" i="87"/>
  <c r="E630" i="87"/>
  <c r="A631" i="87"/>
  <c r="B631" i="87"/>
  <c r="C631" i="87"/>
  <c r="D631" i="87"/>
  <c r="E631" i="87"/>
  <c r="A632" i="87"/>
  <c r="B632" i="87"/>
  <c r="C632" i="87"/>
  <c r="D632" i="87"/>
  <c r="E632" i="87"/>
  <c r="A633" i="87"/>
  <c r="B633" i="87"/>
  <c r="C633" i="87"/>
  <c r="D633" i="87"/>
  <c r="E633" i="87"/>
  <c r="A634" i="87"/>
  <c r="B634" i="87"/>
  <c r="C634" i="87"/>
  <c r="D634" i="87"/>
  <c r="E634" i="87"/>
  <c r="A635" i="87"/>
  <c r="B635" i="87"/>
  <c r="C635" i="87"/>
  <c r="D635" i="87"/>
  <c r="E635" i="87"/>
  <c r="A636" i="87"/>
  <c r="B636" i="87"/>
  <c r="C636" i="87"/>
  <c r="D636" i="87"/>
  <c r="E636" i="87"/>
  <c r="A637" i="87"/>
  <c r="B637" i="87"/>
  <c r="C637" i="87"/>
  <c r="D637" i="87"/>
  <c r="E637" i="87"/>
  <c r="A638" i="87"/>
  <c r="B638" i="87"/>
  <c r="C638" i="87"/>
  <c r="D638" i="87"/>
  <c r="E638" i="87"/>
  <c r="A639" i="87"/>
  <c r="B639" i="87"/>
  <c r="C639" i="87"/>
  <c r="D639" i="87"/>
  <c r="E639" i="87"/>
  <c r="A640" i="87"/>
  <c r="B640" i="87"/>
  <c r="C640" i="87"/>
  <c r="D640" i="87"/>
  <c r="E640" i="87"/>
  <c r="A641" i="87"/>
  <c r="B641" i="87"/>
  <c r="C641" i="87"/>
  <c r="D641" i="87"/>
  <c r="E641" i="87"/>
  <c r="A642" i="87"/>
  <c r="B642" i="87"/>
  <c r="C642" i="87"/>
  <c r="D642" i="87"/>
  <c r="E642" i="87"/>
  <c r="A643" i="87"/>
  <c r="B643" i="87"/>
  <c r="C643" i="87"/>
  <c r="D643" i="87"/>
  <c r="E643" i="87"/>
  <c r="A644" i="87"/>
  <c r="B644" i="87"/>
  <c r="C644" i="87"/>
  <c r="D644" i="87"/>
  <c r="E644" i="87"/>
  <c r="A645" i="87"/>
  <c r="B645" i="87"/>
  <c r="C645" i="87"/>
  <c r="D645" i="87"/>
  <c r="E645" i="87"/>
  <c r="A646" i="87"/>
  <c r="B646" i="87"/>
  <c r="C646" i="87"/>
  <c r="D646" i="87"/>
  <c r="E646" i="87"/>
  <c r="A647" i="87"/>
  <c r="B647" i="87"/>
  <c r="C647" i="87"/>
  <c r="D647" i="87"/>
  <c r="E647" i="87"/>
  <c r="A648" i="87"/>
  <c r="B648" i="87"/>
  <c r="C648" i="87"/>
  <c r="D648" i="87"/>
  <c r="E648" i="87"/>
  <c r="A649" i="87"/>
  <c r="B649" i="87"/>
  <c r="C649" i="87"/>
  <c r="D649" i="87"/>
  <c r="E649" i="87"/>
  <c r="A650" i="87"/>
  <c r="B650" i="87"/>
  <c r="C650" i="87"/>
  <c r="D650" i="87"/>
  <c r="E650" i="87"/>
  <c r="A651" i="87"/>
  <c r="B651" i="87"/>
  <c r="C651" i="87"/>
  <c r="D651" i="87"/>
  <c r="E651" i="87"/>
  <c r="A652" i="87"/>
  <c r="B652" i="87"/>
  <c r="C652" i="87"/>
  <c r="D652" i="87"/>
  <c r="E652" i="87"/>
  <c r="A653" i="87"/>
  <c r="B653" i="87"/>
  <c r="C653" i="87"/>
  <c r="D653" i="87"/>
  <c r="E653" i="87"/>
  <c r="A654" i="87"/>
  <c r="B654" i="87"/>
  <c r="C654" i="87"/>
  <c r="D654" i="87"/>
  <c r="E654" i="87"/>
  <c r="A655" i="87"/>
  <c r="B655" i="87"/>
  <c r="C655" i="87"/>
  <c r="D655" i="87"/>
  <c r="E655" i="87"/>
  <c r="A656" i="87"/>
  <c r="B656" i="87"/>
  <c r="C656" i="87"/>
  <c r="D656" i="87"/>
  <c r="E656" i="87"/>
  <c r="A657" i="87"/>
  <c r="B657" i="87"/>
  <c r="C657" i="87"/>
  <c r="D657" i="87"/>
  <c r="E657" i="87"/>
  <c r="A658" i="87"/>
  <c r="B658" i="87"/>
  <c r="C658" i="87"/>
  <c r="D658" i="87"/>
  <c r="E658" i="87"/>
  <c r="A659" i="87"/>
  <c r="B659" i="87"/>
  <c r="C659" i="87"/>
  <c r="D659" i="87"/>
  <c r="E659" i="87"/>
  <c r="A660" i="87"/>
  <c r="B660" i="87"/>
  <c r="C660" i="87"/>
  <c r="D660" i="87"/>
  <c r="E660" i="87"/>
  <c r="A661" i="87"/>
  <c r="B661" i="87"/>
  <c r="C661" i="87"/>
  <c r="D661" i="87"/>
  <c r="E661" i="87"/>
  <c r="A662" i="87"/>
  <c r="B662" i="87"/>
  <c r="C662" i="87"/>
  <c r="D662" i="87"/>
  <c r="E662" i="87"/>
  <c r="A663" i="87"/>
  <c r="B663" i="87"/>
  <c r="C663" i="87"/>
  <c r="D663" i="87"/>
  <c r="E663" i="87"/>
  <c r="A664" i="87"/>
  <c r="B664" i="87"/>
  <c r="C664" i="87"/>
  <c r="D664" i="87"/>
  <c r="E664" i="87"/>
  <c r="A665" i="87"/>
  <c r="B665" i="87"/>
  <c r="C665" i="87"/>
  <c r="D665" i="87"/>
  <c r="E665" i="87"/>
  <c r="A666" i="87"/>
  <c r="B666" i="87"/>
  <c r="C666" i="87"/>
  <c r="D666" i="87"/>
  <c r="E666" i="87"/>
  <c r="A667" i="87"/>
  <c r="B667" i="87"/>
  <c r="C667" i="87"/>
  <c r="D667" i="87"/>
  <c r="E667" i="87"/>
  <c r="A668" i="87"/>
  <c r="B668" i="87"/>
  <c r="C668" i="87"/>
  <c r="D668" i="87"/>
  <c r="E668" i="87"/>
  <c r="A669" i="87"/>
  <c r="B669" i="87"/>
  <c r="C669" i="87"/>
  <c r="D669" i="87"/>
  <c r="E669" i="87"/>
  <c r="A670" i="87"/>
  <c r="B670" i="87"/>
  <c r="C670" i="87"/>
  <c r="D670" i="87"/>
  <c r="E670" i="87"/>
  <c r="A671" i="87"/>
  <c r="B671" i="87"/>
  <c r="C671" i="87"/>
  <c r="D671" i="87"/>
  <c r="E671" i="87"/>
  <c r="A672" i="87"/>
  <c r="B672" i="87"/>
  <c r="C672" i="87"/>
  <c r="D672" i="87"/>
  <c r="E672" i="87"/>
  <c r="A673" i="87"/>
  <c r="B673" i="87"/>
  <c r="C673" i="87"/>
  <c r="D673" i="87"/>
  <c r="E673" i="87"/>
  <c r="A674" i="87"/>
  <c r="B674" i="87"/>
  <c r="C674" i="87"/>
  <c r="D674" i="87"/>
  <c r="E674" i="87"/>
  <c r="A675" i="87"/>
  <c r="B675" i="87"/>
  <c r="C675" i="87"/>
  <c r="D675" i="87"/>
  <c r="E675" i="87"/>
  <c r="A676" i="87"/>
  <c r="B676" i="87"/>
  <c r="C676" i="87"/>
  <c r="D676" i="87"/>
  <c r="E676" i="87"/>
  <c r="A677" i="87"/>
  <c r="B677" i="87"/>
  <c r="C677" i="87"/>
  <c r="D677" i="87"/>
  <c r="E677" i="87"/>
  <c r="A678" i="87"/>
  <c r="B678" i="87"/>
  <c r="C678" i="87"/>
  <c r="D678" i="87"/>
  <c r="E678" i="87"/>
  <c r="A679" i="87"/>
  <c r="B679" i="87"/>
  <c r="C679" i="87"/>
  <c r="D679" i="87"/>
  <c r="E679" i="87"/>
  <c r="A680" i="87"/>
  <c r="B680" i="87"/>
  <c r="C680" i="87"/>
  <c r="D680" i="87"/>
  <c r="E680" i="87"/>
  <c r="A681" i="87"/>
  <c r="B681" i="87"/>
  <c r="C681" i="87"/>
  <c r="D681" i="87"/>
  <c r="E681" i="87"/>
  <c r="A682" i="87"/>
  <c r="B682" i="87"/>
  <c r="C682" i="87"/>
  <c r="D682" i="87"/>
  <c r="E682" i="87"/>
  <c r="A683" i="87"/>
  <c r="B683" i="87"/>
  <c r="C683" i="87"/>
  <c r="D683" i="87"/>
  <c r="E683" i="87"/>
  <c r="A684" i="87"/>
  <c r="B684" i="87"/>
  <c r="C684" i="87"/>
  <c r="D684" i="87"/>
  <c r="E684" i="87"/>
  <c r="A685" i="87"/>
  <c r="B685" i="87"/>
  <c r="C685" i="87"/>
  <c r="D685" i="87"/>
  <c r="E685" i="87"/>
  <c r="A686" i="87"/>
  <c r="B686" i="87"/>
  <c r="C686" i="87"/>
  <c r="D686" i="87"/>
  <c r="E686" i="87"/>
  <c r="A687" i="87"/>
  <c r="B687" i="87"/>
  <c r="C687" i="87"/>
  <c r="D687" i="87"/>
  <c r="E687" i="87"/>
  <c r="A688" i="87"/>
  <c r="B688" i="87"/>
  <c r="C688" i="87"/>
  <c r="D688" i="87"/>
  <c r="E688" i="87"/>
  <c r="A689" i="87"/>
  <c r="B689" i="87"/>
  <c r="C689" i="87"/>
  <c r="D689" i="87"/>
  <c r="E689" i="87"/>
  <c r="A690" i="87"/>
  <c r="B690" i="87"/>
  <c r="C690" i="87"/>
  <c r="D690" i="87"/>
  <c r="E690" i="87"/>
  <c r="A691" i="87"/>
  <c r="B691" i="87"/>
  <c r="C691" i="87"/>
  <c r="D691" i="87"/>
  <c r="E691" i="87"/>
  <c r="A692" i="87"/>
  <c r="B692" i="87"/>
  <c r="C692" i="87"/>
  <c r="D692" i="87"/>
  <c r="E692" i="87"/>
  <c r="A693" i="87"/>
  <c r="B693" i="87"/>
  <c r="C693" i="87"/>
  <c r="D693" i="87"/>
  <c r="E693" i="87"/>
  <c r="A694" i="87"/>
  <c r="B694" i="87"/>
  <c r="C694" i="87"/>
  <c r="D694" i="87"/>
  <c r="E694" i="87"/>
  <c r="A695" i="87"/>
  <c r="B695" i="87"/>
  <c r="C695" i="87"/>
  <c r="D695" i="87"/>
  <c r="E695" i="87"/>
  <c r="A696" i="87"/>
  <c r="B696" i="87"/>
  <c r="C696" i="87"/>
  <c r="D696" i="87"/>
  <c r="E696" i="87"/>
  <c r="A697" i="87"/>
  <c r="B697" i="87"/>
  <c r="C697" i="87"/>
  <c r="D697" i="87"/>
  <c r="E697" i="87"/>
  <c r="A698" i="87"/>
  <c r="B698" i="87"/>
  <c r="C698" i="87"/>
  <c r="D698" i="87"/>
  <c r="E698" i="87"/>
  <c r="A699" i="87"/>
  <c r="B699" i="87"/>
  <c r="C699" i="87"/>
  <c r="D699" i="87"/>
  <c r="E699" i="87"/>
  <c r="A700" i="87"/>
  <c r="B700" i="87"/>
  <c r="C700" i="87"/>
  <c r="D700" i="87"/>
  <c r="E700" i="87"/>
  <c r="A701" i="87"/>
  <c r="B701" i="87"/>
  <c r="C701" i="87"/>
  <c r="D701" i="87"/>
  <c r="E701" i="87"/>
  <c r="A702" i="87"/>
  <c r="B702" i="87"/>
  <c r="C702" i="87"/>
  <c r="D702" i="87"/>
  <c r="E702" i="87"/>
  <c r="A703" i="87"/>
  <c r="B703" i="87"/>
  <c r="C703" i="87"/>
  <c r="D703" i="87"/>
  <c r="E703" i="87"/>
  <c r="A704" i="87"/>
  <c r="B704" i="87"/>
  <c r="C704" i="87"/>
  <c r="D704" i="87"/>
  <c r="E704" i="87"/>
  <c r="A705" i="87"/>
  <c r="B705" i="87"/>
  <c r="C705" i="87"/>
  <c r="D705" i="87"/>
  <c r="E705" i="87"/>
  <c r="A706" i="87"/>
  <c r="B706" i="87"/>
  <c r="C706" i="87"/>
  <c r="D706" i="87"/>
  <c r="E706" i="87"/>
  <c r="A707" i="87"/>
  <c r="B707" i="87"/>
  <c r="C707" i="87"/>
  <c r="D707" i="87"/>
  <c r="E707" i="87"/>
  <c r="A708" i="87"/>
  <c r="B708" i="87"/>
  <c r="C708" i="87"/>
  <c r="D708" i="87"/>
  <c r="E708" i="87"/>
  <c r="A709" i="87"/>
  <c r="B709" i="87"/>
  <c r="C709" i="87"/>
  <c r="D709" i="87"/>
  <c r="E709" i="87"/>
  <c r="A710" i="87"/>
  <c r="B710" i="87"/>
  <c r="C710" i="87"/>
  <c r="D710" i="87"/>
  <c r="E710" i="87"/>
  <c r="A711" i="87"/>
  <c r="B711" i="87"/>
  <c r="C711" i="87"/>
  <c r="D711" i="87"/>
  <c r="E711" i="87"/>
  <c r="A712" i="87"/>
  <c r="B712" i="87"/>
  <c r="C712" i="87"/>
  <c r="D712" i="87"/>
  <c r="E712" i="87"/>
  <c r="A713" i="87"/>
  <c r="B713" i="87"/>
  <c r="C713" i="87"/>
  <c r="D713" i="87"/>
  <c r="E713" i="87"/>
  <c r="A714" i="87"/>
  <c r="B714" i="87"/>
  <c r="C714" i="87"/>
  <c r="D714" i="87"/>
  <c r="E714" i="87"/>
  <c r="A715" i="87"/>
  <c r="B715" i="87"/>
  <c r="C715" i="87"/>
  <c r="D715" i="87"/>
  <c r="E715" i="87"/>
  <c r="A716" i="87"/>
  <c r="B716" i="87"/>
  <c r="C716" i="87"/>
  <c r="D716" i="87"/>
  <c r="E716" i="87"/>
  <c r="A717" i="87"/>
  <c r="B717" i="87"/>
  <c r="C717" i="87"/>
  <c r="D717" i="87"/>
  <c r="E717" i="87"/>
  <c r="A718" i="87"/>
  <c r="B718" i="87"/>
  <c r="C718" i="87"/>
  <c r="D718" i="87"/>
  <c r="E718" i="87"/>
  <c r="A719" i="87"/>
  <c r="B719" i="87"/>
  <c r="C719" i="87"/>
  <c r="D719" i="87"/>
  <c r="E719" i="87"/>
  <c r="A720" i="87"/>
  <c r="B720" i="87"/>
  <c r="C720" i="87"/>
  <c r="D720" i="87"/>
  <c r="E720" i="87"/>
  <c r="A721" i="87"/>
  <c r="B721" i="87"/>
  <c r="C721" i="87"/>
  <c r="D721" i="87"/>
  <c r="E721" i="87"/>
  <c r="A722" i="87"/>
  <c r="B722" i="87"/>
  <c r="C722" i="87"/>
  <c r="D722" i="87"/>
  <c r="E722" i="87"/>
  <c r="A723" i="87"/>
  <c r="B723" i="87"/>
  <c r="C723" i="87"/>
  <c r="D723" i="87"/>
  <c r="E723" i="87"/>
  <c r="A724" i="87"/>
  <c r="B724" i="87"/>
  <c r="C724" i="87"/>
  <c r="D724" i="87"/>
  <c r="E724" i="87"/>
  <c r="A725" i="87"/>
  <c r="B725" i="87"/>
  <c r="C725" i="87"/>
  <c r="D725" i="87"/>
  <c r="E725" i="87"/>
  <c r="A726" i="87"/>
  <c r="B726" i="87"/>
  <c r="C726" i="87"/>
  <c r="D726" i="87"/>
  <c r="E726" i="87"/>
  <c r="A727" i="87"/>
  <c r="B727" i="87"/>
  <c r="C727" i="87"/>
  <c r="D727" i="87"/>
  <c r="E727" i="87"/>
  <c r="A728" i="87"/>
  <c r="B728" i="87"/>
  <c r="C728" i="87"/>
  <c r="D728" i="87"/>
  <c r="E728" i="87"/>
  <c r="A729" i="87"/>
  <c r="B729" i="87"/>
  <c r="C729" i="87"/>
  <c r="D729" i="87"/>
  <c r="E729" i="87"/>
  <c r="A730" i="87"/>
  <c r="B730" i="87"/>
  <c r="C730" i="87"/>
  <c r="D730" i="87"/>
  <c r="E730" i="87"/>
  <c r="A731" i="87"/>
  <c r="B731" i="87"/>
  <c r="C731" i="87"/>
  <c r="D731" i="87"/>
  <c r="E731" i="87"/>
  <c r="A732" i="87"/>
  <c r="B732" i="87"/>
  <c r="C732" i="87"/>
  <c r="D732" i="87"/>
  <c r="E732" i="87"/>
  <c r="A733" i="87"/>
  <c r="B733" i="87"/>
  <c r="C733" i="87"/>
  <c r="D733" i="87"/>
  <c r="E733" i="87"/>
  <c r="A734" i="87"/>
  <c r="B734" i="87"/>
  <c r="C734" i="87"/>
  <c r="D734" i="87"/>
  <c r="E734" i="87"/>
  <c r="A735" i="87"/>
  <c r="B735" i="87"/>
  <c r="C735" i="87"/>
  <c r="D735" i="87"/>
  <c r="E735" i="87"/>
  <c r="A736" i="87"/>
  <c r="B736" i="87"/>
  <c r="C736" i="87"/>
  <c r="D736" i="87"/>
  <c r="E736" i="87"/>
  <c r="A737" i="87"/>
  <c r="B737" i="87"/>
  <c r="C737" i="87"/>
  <c r="D737" i="87"/>
  <c r="E737" i="87"/>
  <c r="A738" i="87"/>
  <c r="B738" i="87"/>
  <c r="C738" i="87"/>
  <c r="D738" i="87"/>
  <c r="E738" i="87"/>
  <c r="A739" i="87"/>
  <c r="B739" i="87"/>
  <c r="C739" i="87"/>
  <c r="D739" i="87"/>
  <c r="E739" i="87"/>
  <c r="A740" i="87"/>
  <c r="B740" i="87"/>
  <c r="C740" i="87"/>
  <c r="D740" i="87"/>
  <c r="E740" i="87"/>
  <c r="A741" i="87"/>
  <c r="B741" i="87"/>
  <c r="C741" i="87"/>
  <c r="D741" i="87"/>
  <c r="E741" i="87"/>
  <c r="A742" i="87"/>
  <c r="B742" i="87"/>
  <c r="C742" i="87"/>
  <c r="D742" i="87"/>
  <c r="E742" i="87"/>
  <c r="A743" i="87"/>
  <c r="B743" i="87"/>
  <c r="C743" i="87"/>
  <c r="D743" i="87"/>
  <c r="E743" i="87"/>
  <c r="A744" i="87"/>
  <c r="B744" i="87"/>
  <c r="C744" i="87"/>
  <c r="D744" i="87"/>
  <c r="E744" i="87"/>
  <c r="A745" i="87"/>
  <c r="B745" i="87"/>
  <c r="C745" i="87"/>
  <c r="D745" i="87"/>
  <c r="E745" i="87"/>
  <c r="A746" i="87"/>
  <c r="B746" i="87"/>
  <c r="C746" i="87"/>
  <c r="D746" i="87"/>
  <c r="E746" i="87"/>
  <c r="A747" i="87"/>
  <c r="B747" i="87"/>
  <c r="C747" i="87"/>
  <c r="D747" i="87"/>
  <c r="E747" i="87"/>
  <c r="A748" i="87"/>
  <c r="B748" i="87"/>
  <c r="C748" i="87"/>
  <c r="D748" i="87"/>
  <c r="E748" i="87"/>
  <c r="A749" i="87"/>
  <c r="B749" i="87"/>
  <c r="C749" i="87"/>
  <c r="D749" i="87"/>
  <c r="E749" i="87"/>
  <c r="A750" i="87"/>
  <c r="B750" i="87"/>
  <c r="C750" i="87"/>
  <c r="D750" i="87"/>
  <c r="E750" i="87"/>
  <c r="A751" i="87"/>
  <c r="B751" i="87"/>
  <c r="C751" i="87"/>
  <c r="D751" i="87"/>
  <c r="E751" i="87"/>
  <c r="A752" i="87"/>
  <c r="B752" i="87"/>
  <c r="C752" i="87"/>
  <c r="D752" i="87"/>
  <c r="E752" i="87"/>
  <c r="A753" i="87"/>
  <c r="B753" i="87"/>
  <c r="C753" i="87"/>
  <c r="D753" i="87"/>
  <c r="E753" i="87"/>
  <c r="A754" i="87"/>
  <c r="B754" i="87"/>
  <c r="C754" i="87"/>
  <c r="D754" i="87"/>
  <c r="E754" i="87"/>
  <c r="A755" i="87"/>
  <c r="B755" i="87"/>
  <c r="C755" i="87"/>
  <c r="D755" i="87"/>
  <c r="E755" i="87"/>
  <c r="A756" i="87"/>
  <c r="B756" i="87"/>
  <c r="C756" i="87"/>
  <c r="D756" i="87"/>
  <c r="E756" i="87"/>
  <c r="A757" i="87"/>
  <c r="B757" i="87"/>
  <c r="C757" i="87"/>
  <c r="D757" i="87"/>
  <c r="E757" i="87"/>
  <c r="A758" i="87"/>
  <c r="B758" i="87"/>
  <c r="C758" i="87"/>
  <c r="D758" i="87"/>
  <c r="E758" i="87"/>
  <c r="A759" i="87"/>
  <c r="B759" i="87"/>
  <c r="C759" i="87"/>
  <c r="D759" i="87"/>
  <c r="E759" i="87"/>
  <c r="A760" i="87"/>
  <c r="B760" i="87"/>
  <c r="C760" i="87"/>
  <c r="D760" i="87"/>
  <c r="E760" i="87"/>
  <c r="A761" i="87"/>
  <c r="B761" i="87"/>
  <c r="C761" i="87"/>
  <c r="D761" i="87"/>
  <c r="E761" i="87"/>
  <c r="A762" i="87"/>
  <c r="B762" i="87"/>
  <c r="C762" i="87"/>
  <c r="D762" i="87"/>
  <c r="E762" i="87"/>
  <c r="A763" i="87"/>
  <c r="B763" i="87"/>
  <c r="C763" i="87"/>
  <c r="D763" i="87"/>
  <c r="E763" i="87"/>
  <c r="A764" i="87"/>
  <c r="B764" i="87"/>
  <c r="C764" i="87"/>
  <c r="D764" i="87"/>
  <c r="E764" i="87"/>
  <c r="A765" i="87"/>
  <c r="B765" i="87"/>
  <c r="C765" i="87"/>
  <c r="D765" i="87"/>
  <c r="E765" i="87"/>
  <c r="A766" i="87"/>
  <c r="B766" i="87"/>
  <c r="C766" i="87"/>
  <c r="D766" i="87"/>
  <c r="E766" i="87"/>
  <c r="A767" i="87"/>
  <c r="B767" i="87"/>
  <c r="C767" i="87"/>
  <c r="D767" i="87"/>
  <c r="E767" i="87"/>
  <c r="A768" i="87"/>
  <c r="B768" i="87"/>
  <c r="C768" i="87"/>
  <c r="D768" i="87"/>
  <c r="E768" i="87"/>
  <c r="A769" i="87"/>
  <c r="B769" i="87"/>
  <c r="C769" i="87"/>
  <c r="D769" i="87"/>
  <c r="E769" i="87"/>
  <c r="A770" i="87"/>
  <c r="B770" i="87"/>
  <c r="C770" i="87"/>
  <c r="D770" i="87"/>
  <c r="E770" i="87"/>
  <c r="A771" i="87"/>
  <c r="B771" i="87"/>
  <c r="C771" i="87"/>
  <c r="D771" i="87"/>
  <c r="E771" i="87"/>
  <c r="A772" i="87"/>
  <c r="B772" i="87"/>
  <c r="C772" i="87"/>
  <c r="D772" i="87"/>
  <c r="E772" i="87"/>
  <c r="A773" i="87"/>
  <c r="B773" i="87"/>
  <c r="C773" i="87"/>
  <c r="D773" i="87"/>
  <c r="E773" i="87"/>
  <c r="A774" i="87"/>
  <c r="B774" i="87"/>
  <c r="C774" i="87"/>
  <c r="D774" i="87"/>
  <c r="E774" i="87"/>
  <c r="A775" i="87"/>
  <c r="B775" i="87"/>
  <c r="C775" i="87"/>
  <c r="D775" i="87"/>
  <c r="E775" i="87"/>
  <c r="A776" i="87"/>
  <c r="B776" i="87"/>
  <c r="C776" i="87"/>
  <c r="D776" i="87"/>
  <c r="E776" i="87"/>
  <c r="A777" i="87"/>
  <c r="B777" i="87"/>
  <c r="C777" i="87"/>
  <c r="D777" i="87"/>
  <c r="E777" i="87"/>
  <c r="A778" i="87"/>
  <c r="B778" i="87"/>
  <c r="C778" i="87"/>
  <c r="D778" i="87"/>
  <c r="E778" i="87"/>
  <c r="A779" i="87"/>
  <c r="B779" i="87"/>
  <c r="C779" i="87"/>
  <c r="D779" i="87"/>
  <c r="E779" i="87"/>
  <c r="A780" i="87"/>
  <c r="B780" i="87"/>
  <c r="C780" i="87"/>
  <c r="D780" i="87"/>
  <c r="E780" i="87"/>
  <c r="A781" i="87"/>
  <c r="B781" i="87"/>
  <c r="C781" i="87"/>
  <c r="D781" i="87"/>
  <c r="E781" i="87"/>
  <c r="A782" i="87"/>
  <c r="B782" i="87"/>
  <c r="C782" i="87"/>
  <c r="D782" i="87"/>
  <c r="E782" i="87"/>
  <c r="A783" i="87"/>
  <c r="B783" i="87"/>
  <c r="C783" i="87"/>
  <c r="D783" i="87"/>
  <c r="E783" i="87"/>
  <c r="A784" i="87"/>
  <c r="B784" i="87"/>
  <c r="C784" i="87"/>
  <c r="D784" i="87"/>
  <c r="E784" i="87"/>
  <c r="A785" i="87"/>
  <c r="B785" i="87"/>
  <c r="C785" i="87"/>
  <c r="D785" i="87"/>
  <c r="E785" i="87"/>
  <c r="A786" i="87"/>
  <c r="B786" i="87"/>
  <c r="C786" i="87"/>
  <c r="D786" i="87"/>
  <c r="E786" i="87"/>
  <c r="A787" i="87"/>
  <c r="B787" i="87"/>
  <c r="C787" i="87"/>
  <c r="D787" i="87"/>
  <c r="E787" i="87"/>
  <c r="A788" i="87"/>
  <c r="B788" i="87"/>
  <c r="C788" i="87"/>
  <c r="D788" i="87"/>
  <c r="E788" i="87"/>
  <c r="A789" i="87"/>
  <c r="B789" i="87"/>
  <c r="C789" i="87"/>
  <c r="D789" i="87"/>
  <c r="E789" i="87"/>
  <c r="A790" i="87"/>
  <c r="B790" i="87"/>
  <c r="C790" i="87"/>
  <c r="D790" i="87"/>
  <c r="E790" i="87"/>
  <c r="A791" i="87"/>
  <c r="B791" i="87"/>
  <c r="C791" i="87"/>
  <c r="D791" i="87"/>
  <c r="E791" i="87"/>
  <c r="A792" i="87"/>
  <c r="B792" i="87"/>
  <c r="C792" i="87"/>
  <c r="D792" i="87"/>
  <c r="E792" i="87"/>
  <c r="A793" i="87"/>
  <c r="B793" i="87"/>
  <c r="C793" i="87"/>
  <c r="D793" i="87"/>
  <c r="E793" i="87"/>
  <c r="A794" i="87"/>
  <c r="B794" i="87"/>
  <c r="C794" i="87"/>
  <c r="D794" i="87"/>
  <c r="E794" i="87"/>
  <c r="A795" i="87"/>
  <c r="B795" i="87"/>
  <c r="C795" i="87"/>
  <c r="D795" i="87"/>
  <c r="E795" i="87"/>
  <c r="A796" i="87"/>
  <c r="B796" i="87"/>
  <c r="C796" i="87"/>
  <c r="D796" i="87"/>
  <c r="E796" i="87"/>
  <c r="A797" i="87"/>
  <c r="B797" i="87"/>
  <c r="C797" i="87"/>
  <c r="D797" i="87"/>
  <c r="E797" i="87"/>
  <c r="A798" i="87"/>
  <c r="B798" i="87"/>
  <c r="C798" i="87"/>
  <c r="D798" i="87"/>
  <c r="E798" i="87"/>
  <c r="A799" i="87"/>
  <c r="B799" i="87"/>
  <c r="C799" i="87"/>
  <c r="D799" i="87"/>
  <c r="E799" i="87"/>
  <c r="A800" i="87"/>
  <c r="B800" i="87"/>
  <c r="C800" i="87"/>
  <c r="D800" i="87"/>
  <c r="E800" i="87"/>
  <c r="A801" i="87"/>
  <c r="B801" i="87"/>
  <c r="C801" i="87"/>
  <c r="D801" i="87"/>
  <c r="E801" i="87"/>
  <c r="A802" i="87"/>
  <c r="B802" i="87"/>
  <c r="C802" i="87"/>
  <c r="D802" i="87"/>
  <c r="E802" i="87"/>
  <c r="A803" i="87"/>
  <c r="B803" i="87"/>
  <c r="C803" i="87"/>
  <c r="D803" i="87"/>
  <c r="E803" i="87"/>
  <c r="A804" i="87"/>
  <c r="B804" i="87"/>
  <c r="C804" i="87"/>
  <c r="D804" i="87"/>
  <c r="E804" i="87"/>
  <c r="A805" i="87"/>
  <c r="B805" i="87"/>
  <c r="C805" i="87"/>
  <c r="D805" i="87"/>
  <c r="E805" i="87"/>
  <c r="A806" i="87"/>
  <c r="B806" i="87"/>
  <c r="C806" i="87"/>
  <c r="D806" i="87"/>
  <c r="E806" i="87"/>
  <c r="A807" i="87"/>
  <c r="B807" i="87"/>
  <c r="C807" i="87"/>
  <c r="D807" i="87"/>
  <c r="E807" i="87"/>
  <c r="A808" i="87"/>
  <c r="B808" i="87"/>
  <c r="C808" i="87"/>
  <c r="D808" i="87"/>
  <c r="E808" i="87"/>
  <c r="A809" i="87"/>
  <c r="B809" i="87"/>
  <c r="C809" i="87"/>
  <c r="D809" i="87"/>
  <c r="E809" i="87"/>
  <c r="A810" i="87"/>
  <c r="B810" i="87"/>
  <c r="C810" i="87"/>
  <c r="D810" i="87"/>
  <c r="E810" i="87"/>
  <c r="A811" i="87"/>
  <c r="B811" i="87"/>
  <c r="C811" i="87"/>
  <c r="D811" i="87"/>
  <c r="E811" i="87"/>
  <c r="A812" i="87"/>
  <c r="B812" i="87"/>
  <c r="C812" i="87"/>
  <c r="D812" i="87"/>
  <c r="E812" i="87"/>
  <c r="A813" i="87"/>
  <c r="B813" i="87"/>
  <c r="C813" i="87"/>
  <c r="D813" i="87"/>
  <c r="E813" i="87"/>
  <c r="A814" i="87"/>
  <c r="B814" i="87"/>
  <c r="C814" i="87"/>
  <c r="D814" i="87"/>
  <c r="E814" i="87"/>
  <c r="A815" i="87"/>
  <c r="B815" i="87"/>
  <c r="C815" i="87"/>
  <c r="D815" i="87"/>
  <c r="E815" i="87"/>
  <c r="A816" i="87"/>
  <c r="B816" i="87"/>
  <c r="C816" i="87"/>
  <c r="D816" i="87"/>
  <c r="E816" i="87"/>
  <c r="A817" i="87"/>
  <c r="B817" i="87"/>
  <c r="C817" i="87"/>
  <c r="D817" i="87"/>
  <c r="E817" i="87"/>
  <c r="A818" i="87"/>
  <c r="B818" i="87"/>
  <c r="C818" i="87"/>
  <c r="D818" i="87"/>
  <c r="E818" i="87"/>
  <c r="A819" i="87"/>
  <c r="B819" i="87"/>
  <c r="C819" i="87"/>
  <c r="D819" i="87"/>
  <c r="E819" i="87"/>
  <c r="A820" i="87"/>
  <c r="B820" i="87"/>
  <c r="C820" i="87"/>
  <c r="D820" i="87"/>
  <c r="E820" i="87"/>
  <c r="A821" i="87"/>
  <c r="B821" i="87"/>
  <c r="C821" i="87"/>
  <c r="D821" i="87"/>
  <c r="E821" i="87"/>
  <c r="A822" i="87"/>
  <c r="B822" i="87"/>
  <c r="C822" i="87"/>
  <c r="D822" i="87"/>
  <c r="E822" i="87"/>
  <c r="A823" i="87"/>
  <c r="B823" i="87"/>
  <c r="C823" i="87"/>
  <c r="D823" i="87"/>
  <c r="E823" i="87"/>
  <c r="A824" i="87"/>
  <c r="B824" i="87"/>
  <c r="C824" i="87"/>
  <c r="D824" i="87"/>
  <c r="E824" i="87"/>
  <c r="A825" i="87"/>
  <c r="B825" i="87"/>
  <c r="C825" i="87"/>
  <c r="D825" i="87"/>
  <c r="E825" i="87"/>
  <c r="A826" i="87"/>
  <c r="B826" i="87"/>
  <c r="C826" i="87"/>
  <c r="D826" i="87"/>
  <c r="E826" i="87"/>
  <c r="A827" i="87"/>
  <c r="B827" i="87"/>
  <c r="C827" i="87"/>
  <c r="D827" i="87"/>
  <c r="E827" i="87"/>
  <c r="A828" i="87"/>
  <c r="B828" i="87"/>
  <c r="C828" i="87"/>
  <c r="D828" i="87"/>
  <c r="E828" i="87"/>
  <c r="A829" i="87"/>
  <c r="B829" i="87"/>
  <c r="C829" i="87"/>
  <c r="D829" i="87"/>
  <c r="E829" i="87"/>
  <c r="A830" i="87"/>
  <c r="B830" i="87"/>
  <c r="C830" i="87"/>
  <c r="D830" i="87"/>
  <c r="E830" i="87"/>
  <c r="A831" i="87"/>
  <c r="B831" i="87"/>
  <c r="C831" i="87"/>
  <c r="D831" i="87"/>
  <c r="E831" i="87"/>
  <c r="A832" i="87"/>
  <c r="B832" i="87"/>
  <c r="C832" i="87"/>
  <c r="D832" i="87"/>
  <c r="E832" i="87"/>
  <c r="A833" i="87"/>
  <c r="B833" i="87"/>
  <c r="C833" i="87"/>
  <c r="D833" i="87"/>
  <c r="E833" i="87"/>
  <c r="A834" i="87"/>
  <c r="B834" i="87"/>
  <c r="C834" i="87"/>
  <c r="D834" i="87"/>
  <c r="E834" i="87"/>
  <c r="A835" i="87"/>
  <c r="B835" i="87"/>
  <c r="C835" i="87"/>
  <c r="D835" i="87"/>
  <c r="E835" i="87"/>
  <c r="A836" i="87"/>
  <c r="B836" i="87"/>
  <c r="C836" i="87"/>
  <c r="D836" i="87"/>
  <c r="E836" i="87"/>
  <c r="A837" i="87"/>
  <c r="B837" i="87"/>
  <c r="C837" i="87"/>
  <c r="D837" i="87"/>
  <c r="E837" i="87"/>
  <c r="A838" i="87"/>
  <c r="B838" i="87"/>
  <c r="C838" i="87"/>
  <c r="D838" i="87"/>
  <c r="E838" i="87"/>
  <c r="A839" i="87"/>
  <c r="B839" i="87"/>
  <c r="C839" i="87"/>
  <c r="D839" i="87"/>
  <c r="E839" i="87"/>
  <c r="A840" i="87"/>
  <c r="B840" i="87"/>
  <c r="C840" i="87"/>
  <c r="D840" i="87"/>
  <c r="E840" i="87"/>
  <c r="A841" i="87"/>
  <c r="B841" i="87"/>
  <c r="C841" i="87"/>
  <c r="D841" i="87"/>
  <c r="E841" i="87"/>
  <c r="A842" i="87"/>
  <c r="B842" i="87"/>
  <c r="C842" i="87"/>
  <c r="D842" i="87"/>
  <c r="E842" i="87"/>
  <c r="A843" i="87"/>
  <c r="B843" i="87"/>
  <c r="C843" i="87"/>
  <c r="D843" i="87"/>
  <c r="E843" i="87"/>
  <c r="A844" i="87"/>
  <c r="B844" i="87"/>
  <c r="C844" i="87"/>
  <c r="D844" i="87"/>
  <c r="E844" i="87"/>
  <c r="A845" i="87"/>
  <c r="B845" i="87"/>
  <c r="C845" i="87"/>
  <c r="D845" i="87"/>
  <c r="E845" i="87"/>
  <c r="A846" i="87"/>
  <c r="B846" i="87"/>
  <c r="C846" i="87"/>
  <c r="D846" i="87"/>
  <c r="E846" i="87"/>
  <c r="A847" i="87"/>
  <c r="B847" i="87"/>
  <c r="C847" i="87"/>
  <c r="D847" i="87"/>
  <c r="E847" i="87"/>
  <c r="A848" i="87"/>
  <c r="B848" i="87"/>
  <c r="C848" i="87"/>
  <c r="D848" i="87"/>
  <c r="E848" i="87"/>
  <c r="A849" i="87"/>
  <c r="B849" i="87"/>
  <c r="C849" i="87"/>
  <c r="D849" i="87"/>
  <c r="E849" i="87"/>
  <c r="A850" i="87"/>
  <c r="B850" i="87"/>
  <c r="C850" i="87"/>
  <c r="D850" i="87"/>
  <c r="E850" i="87"/>
  <c r="A851" i="87"/>
  <c r="B851" i="87"/>
  <c r="C851" i="87"/>
  <c r="D851" i="87"/>
  <c r="E851" i="87"/>
  <c r="A852" i="87"/>
  <c r="B852" i="87"/>
  <c r="C852" i="87"/>
  <c r="D852" i="87"/>
  <c r="E852" i="87"/>
  <c r="A853" i="87"/>
  <c r="B853" i="87"/>
  <c r="C853" i="87"/>
  <c r="D853" i="87"/>
  <c r="E853" i="87"/>
  <c r="A854" i="87"/>
  <c r="B854" i="87"/>
  <c r="C854" i="87"/>
  <c r="D854" i="87"/>
  <c r="E854" i="87"/>
  <c r="A855" i="87"/>
  <c r="B855" i="87"/>
  <c r="C855" i="87"/>
  <c r="D855" i="87"/>
  <c r="E855" i="87"/>
  <c r="A856" i="87"/>
  <c r="B856" i="87"/>
  <c r="C856" i="87"/>
  <c r="D856" i="87"/>
  <c r="E856" i="87"/>
  <c r="A857" i="87"/>
  <c r="B857" i="87"/>
  <c r="C857" i="87"/>
  <c r="D857" i="87"/>
  <c r="E857" i="87"/>
  <c r="A858" i="87"/>
  <c r="B858" i="87"/>
  <c r="C858" i="87"/>
  <c r="D858" i="87"/>
  <c r="E858" i="87"/>
  <c r="A859" i="87"/>
  <c r="B859" i="87"/>
  <c r="C859" i="87"/>
  <c r="D859" i="87"/>
  <c r="E859" i="87"/>
  <c r="A860" i="87"/>
  <c r="B860" i="87"/>
  <c r="C860" i="87"/>
  <c r="D860" i="87"/>
  <c r="E860" i="87"/>
  <c r="A861" i="87"/>
  <c r="B861" i="87"/>
  <c r="C861" i="87"/>
  <c r="D861" i="87"/>
  <c r="E861" i="87"/>
  <c r="A862" i="87"/>
  <c r="B862" i="87"/>
  <c r="C862" i="87"/>
  <c r="D862" i="87"/>
  <c r="E862" i="87"/>
  <c r="A863" i="87"/>
  <c r="B863" i="87"/>
  <c r="C863" i="87"/>
  <c r="D863" i="87"/>
  <c r="E863" i="87"/>
  <c r="A864" i="87"/>
  <c r="B864" i="87"/>
  <c r="C864" i="87"/>
  <c r="D864" i="87"/>
  <c r="E864" i="87"/>
  <c r="A865" i="87"/>
  <c r="B865" i="87"/>
  <c r="C865" i="87"/>
  <c r="D865" i="87"/>
  <c r="E865" i="87"/>
  <c r="A866" i="87"/>
  <c r="B866" i="87"/>
  <c r="C866" i="87"/>
  <c r="D866" i="87"/>
  <c r="E866" i="87"/>
  <c r="A867" i="87"/>
  <c r="B867" i="87"/>
  <c r="C867" i="87"/>
  <c r="D867" i="87"/>
  <c r="E867" i="87"/>
  <c r="A868" i="87"/>
  <c r="B868" i="87"/>
  <c r="C868" i="87"/>
  <c r="D868" i="87"/>
  <c r="E868" i="87"/>
  <c r="A869" i="87"/>
  <c r="B869" i="87"/>
  <c r="C869" i="87"/>
  <c r="D869" i="87"/>
  <c r="E869" i="87"/>
  <c r="A870" i="87"/>
  <c r="B870" i="87"/>
  <c r="C870" i="87"/>
  <c r="D870" i="87"/>
  <c r="E870" i="87"/>
  <c r="A871" i="87"/>
  <c r="B871" i="87"/>
  <c r="C871" i="87"/>
  <c r="D871" i="87"/>
  <c r="E871" i="87"/>
  <c r="A872" i="87"/>
  <c r="B872" i="87"/>
  <c r="C872" i="87"/>
  <c r="D872" i="87"/>
  <c r="E872" i="87"/>
  <c r="A873" i="87"/>
  <c r="B873" i="87"/>
  <c r="C873" i="87"/>
  <c r="D873" i="87"/>
  <c r="E873" i="87"/>
  <c r="A874" i="87"/>
  <c r="B874" i="87"/>
  <c r="C874" i="87"/>
  <c r="D874" i="87"/>
  <c r="E874" i="87"/>
  <c r="A875" i="87"/>
  <c r="B875" i="87"/>
  <c r="C875" i="87"/>
  <c r="D875" i="87"/>
  <c r="E875" i="87"/>
  <c r="A876" i="87"/>
  <c r="B876" i="87"/>
  <c r="C876" i="87"/>
  <c r="D876" i="87"/>
  <c r="E876" i="87"/>
  <c r="A877" i="87"/>
  <c r="B877" i="87"/>
  <c r="C877" i="87"/>
  <c r="D877" i="87"/>
  <c r="E877" i="87"/>
  <c r="A878" i="87"/>
  <c r="B878" i="87"/>
  <c r="C878" i="87"/>
  <c r="D878" i="87"/>
  <c r="E878" i="87"/>
  <c r="A879" i="87"/>
  <c r="B879" i="87"/>
  <c r="C879" i="87"/>
  <c r="D879" i="87"/>
  <c r="E879" i="87"/>
  <c r="A880" i="87"/>
  <c r="B880" i="87"/>
  <c r="C880" i="87"/>
  <c r="D880" i="87"/>
  <c r="E880" i="87"/>
  <c r="A881" i="87"/>
  <c r="B881" i="87"/>
  <c r="C881" i="87"/>
  <c r="D881" i="87"/>
  <c r="E881" i="87"/>
  <c r="A882" i="87"/>
  <c r="B882" i="87"/>
  <c r="C882" i="87"/>
  <c r="D882" i="87"/>
  <c r="E882" i="87"/>
  <c r="A883" i="87"/>
  <c r="B883" i="87"/>
  <c r="C883" i="87"/>
  <c r="D883" i="87"/>
  <c r="E883" i="87"/>
  <c r="A884" i="87"/>
  <c r="B884" i="87"/>
  <c r="C884" i="87"/>
  <c r="D884" i="87"/>
  <c r="E884" i="87"/>
  <c r="A885" i="87"/>
  <c r="B885" i="87"/>
  <c r="C885" i="87"/>
  <c r="D885" i="87"/>
  <c r="E885" i="87"/>
  <c r="A886" i="87"/>
  <c r="B886" i="87"/>
  <c r="C886" i="87"/>
  <c r="D886" i="87"/>
  <c r="E886" i="87"/>
  <c r="A887" i="87"/>
  <c r="B887" i="87"/>
  <c r="C887" i="87"/>
  <c r="D887" i="87"/>
  <c r="E887" i="87"/>
  <c r="A888" i="87"/>
  <c r="B888" i="87"/>
  <c r="C888" i="87"/>
  <c r="D888" i="87"/>
  <c r="E888" i="87"/>
  <c r="A889" i="87"/>
  <c r="B889" i="87"/>
  <c r="C889" i="87"/>
  <c r="D889" i="87"/>
  <c r="E889" i="87"/>
  <c r="A890" i="87"/>
  <c r="B890" i="87"/>
  <c r="C890" i="87"/>
  <c r="D890" i="87"/>
  <c r="E890" i="87"/>
  <c r="A891" i="87"/>
  <c r="B891" i="87"/>
  <c r="C891" i="87"/>
  <c r="D891" i="87"/>
  <c r="E891" i="87"/>
  <c r="A892" i="87"/>
  <c r="B892" i="87"/>
  <c r="C892" i="87"/>
  <c r="D892" i="87"/>
  <c r="E892" i="87"/>
  <c r="A893" i="87"/>
  <c r="B893" i="87"/>
  <c r="C893" i="87"/>
  <c r="D893" i="87"/>
  <c r="E893" i="87"/>
  <c r="A894" i="87"/>
  <c r="B894" i="87"/>
  <c r="C894" i="87"/>
  <c r="D894" i="87"/>
  <c r="E894" i="87"/>
  <c r="A895" i="87"/>
  <c r="B895" i="87"/>
  <c r="C895" i="87"/>
  <c r="D895" i="87"/>
  <c r="E895" i="87"/>
  <c r="A896" i="87"/>
  <c r="B896" i="87"/>
  <c r="C896" i="87"/>
  <c r="D896" i="87"/>
  <c r="E896" i="87"/>
  <c r="A897" i="87"/>
  <c r="B897" i="87"/>
  <c r="C897" i="87"/>
  <c r="D897" i="87"/>
  <c r="E897" i="87"/>
  <c r="A898" i="87"/>
  <c r="B898" i="87"/>
  <c r="C898" i="87"/>
  <c r="D898" i="87"/>
  <c r="E898" i="87"/>
  <c r="A899" i="87"/>
  <c r="B899" i="87"/>
  <c r="C899" i="87"/>
  <c r="D899" i="87"/>
  <c r="E899" i="87"/>
  <c r="A900" i="87"/>
  <c r="B900" i="87"/>
  <c r="C900" i="87"/>
  <c r="D900" i="87"/>
  <c r="E900" i="87"/>
  <c r="A901" i="87"/>
  <c r="B901" i="87"/>
  <c r="C901" i="87"/>
  <c r="D901" i="87"/>
  <c r="E901" i="87"/>
  <c r="A902" i="87"/>
  <c r="B902" i="87"/>
  <c r="C902" i="87"/>
  <c r="D902" i="87"/>
  <c r="E902" i="87"/>
  <c r="A903" i="87"/>
  <c r="B903" i="87"/>
  <c r="C903" i="87"/>
  <c r="D903" i="87"/>
  <c r="E903" i="87"/>
  <c r="A904" i="87"/>
  <c r="B904" i="87"/>
  <c r="C904" i="87"/>
  <c r="D904" i="87"/>
  <c r="E904" i="87"/>
  <c r="A905" i="87"/>
  <c r="B905" i="87"/>
  <c r="C905" i="87"/>
  <c r="D905" i="87"/>
  <c r="E905" i="87"/>
  <c r="A906" i="87"/>
  <c r="B906" i="87"/>
  <c r="C906" i="87"/>
  <c r="D906" i="87"/>
  <c r="E906" i="87"/>
  <c r="A907" i="87"/>
  <c r="B907" i="87"/>
  <c r="C907" i="87"/>
  <c r="D907" i="87"/>
  <c r="E907" i="87"/>
  <c r="A908" i="87"/>
  <c r="B908" i="87"/>
  <c r="C908" i="87"/>
  <c r="D908" i="87"/>
  <c r="E908" i="87"/>
  <c r="A909" i="87"/>
  <c r="B909" i="87"/>
  <c r="C909" i="87"/>
  <c r="D909" i="87"/>
  <c r="E909" i="87"/>
  <c r="A910" i="87"/>
  <c r="B910" i="87"/>
  <c r="C910" i="87"/>
  <c r="D910" i="87"/>
  <c r="E910" i="87"/>
  <c r="A911" i="87"/>
  <c r="B911" i="87"/>
  <c r="C911" i="87"/>
  <c r="D911" i="87"/>
  <c r="E911" i="87"/>
  <c r="A912" i="87"/>
  <c r="B912" i="87"/>
  <c r="C912" i="87"/>
  <c r="D912" i="87"/>
  <c r="E912" i="87"/>
  <c r="A913" i="87"/>
  <c r="B913" i="87"/>
  <c r="C913" i="87"/>
  <c r="D913" i="87"/>
  <c r="E913" i="87"/>
  <c r="A914" i="87"/>
  <c r="B914" i="87"/>
  <c r="C914" i="87"/>
  <c r="D914" i="87"/>
  <c r="E914" i="87"/>
  <c r="K2" i="92" l="1"/>
  <c r="G2" i="92"/>
  <c r="F2" i="92"/>
  <c r="E2" i="92"/>
  <c r="D2" i="92"/>
  <c r="C2" i="92"/>
  <c r="B2" i="92"/>
  <c r="A2" i="92"/>
  <c r="K2" i="91"/>
  <c r="G2" i="91"/>
  <c r="F2" i="91"/>
  <c r="E2" i="91"/>
  <c r="D2" i="91"/>
  <c r="C2" i="91"/>
  <c r="E2" i="73"/>
  <c r="E3" i="73"/>
  <c r="E4" i="73"/>
  <c r="E5" i="73"/>
  <c r="A2" i="73"/>
  <c r="A3" i="73"/>
  <c r="A4" i="73"/>
  <c r="A5" i="73"/>
  <c r="B2" i="91"/>
  <c r="A2" i="90"/>
  <c r="A3" i="90"/>
  <c r="A4" i="90"/>
  <c r="A5" i="90"/>
  <c r="A2" i="91"/>
  <c r="K5" i="90"/>
  <c r="G5" i="90"/>
  <c r="F5" i="90"/>
  <c r="E5" i="90"/>
  <c r="D5" i="90"/>
  <c r="C5" i="90"/>
  <c r="B5" i="90"/>
  <c r="K4" i="90"/>
  <c r="G4" i="90"/>
  <c r="F4" i="90"/>
  <c r="E4" i="90"/>
  <c r="D4" i="90"/>
  <c r="C4" i="90"/>
  <c r="B4" i="90"/>
  <c r="K3" i="90"/>
  <c r="G3" i="90"/>
  <c r="F3" i="90"/>
  <c r="E3" i="90"/>
  <c r="D3" i="90"/>
  <c r="C3" i="90"/>
  <c r="B3" i="90"/>
  <c r="K2" i="90"/>
  <c r="G2" i="90"/>
  <c r="F2" i="90"/>
  <c r="E2" i="90"/>
  <c r="D2" i="90"/>
  <c r="C2" i="90"/>
  <c r="B2" i="90"/>
  <c r="A3" i="71"/>
  <c r="B3" i="71"/>
  <c r="C3" i="71"/>
  <c r="D3" i="71"/>
  <c r="E3" i="71"/>
  <c r="F3" i="71"/>
  <c r="G3" i="71"/>
  <c r="K3" i="71"/>
  <c r="A4" i="71"/>
  <c r="B4" i="71"/>
  <c r="C4" i="71"/>
  <c r="D4" i="71"/>
  <c r="E4" i="71"/>
  <c r="F4" i="71"/>
  <c r="G4" i="71"/>
  <c r="K4" i="71"/>
  <c r="A5" i="71"/>
  <c r="B5" i="71"/>
  <c r="C5" i="71"/>
  <c r="D5" i="71"/>
  <c r="E5" i="71"/>
  <c r="F5" i="71"/>
  <c r="G5" i="71"/>
  <c r="K5" i="71"/>
  <c r="A6" i="71"/>
  <c r="B6" i="71"/>
  <c r="C6" i="71"/>
  <c r="D6" i="71"/>
  <c r="E6" i="71"/>
  <c r="F6" i="71"/>
  <c r="G6" i="71"/>
  <c r="K6" i="71"/>
  <c r="A7" i="71"/>
  <c r="B7" i="71"/>
  <c r="C7" i="71"/>
  <c r="D7" i="71"/>
  <c r="E7" i="71"/>
  <c r="F7" i="71"/>
  <c r="G7" i="71"/>
  <c r="K7" i="71"/>
  <c r="A8" i="71"/>
  <c r="B8" i="71"/>
  <c r="C8" i="71"/>
  <c r="D8" i="71"/>
  <c r="E8" i="71"/>
  <c r="F8" i="71"/>
  <c r="G8" i="71"/>
  <c r="K8" i="71"/>
  <c r="A9" i="71"/>
  <c r="B9" i="71"/>
  <c r="C9" i="71"/>
  <c r="D9" i="71"/>
  <c r="E9" i="71"/>
  <c r="F9" i="71"/>
  <c r="G9" i="71"/>
  <c r="K9" i="71"/>
  <c r="A10" i="71"/>
  <c r="B10" i="71"/>
  <c r="C10" i="71"/>
  <c r="D10" i="71"/>
  <c r="E10" i="71"/>
  <c r="F10" i="71"/>
  <c r="G10" i="71"/>
  <c r="K10" i="71"/>
  <c r="A11" i="71"/>
  <c r="B11" i="71"/>
  <c r="C11" i="71"/>
  <c r="D11" i="71"/>
  <c r="E11" i="71"/>
  <c r="F11" i="71"/>
  <c r="G11" i="71"/>
  <c r="K11" i="71"/>
  <c r="A12" i="71"/>
  <c r="B12" i="71"/>
  <c r="C12" i="71"/>
  <c r="D12" i="71"/>
  <c r="E12" i="71"/>
  <c r="F12" i="71"/>
  <c r="G12" i="71"/>
  <c r="K12" i="71"/>
  <c r="A13" i="71"/>
  <c r="B13" i="71"/>
  <c r="C13" i="71"/>
  <c r="D13" i="71"/>
  <c r="E13" i="71"/>
  <c r="F13" i="71"/>
  <c r="G13" i="71"/>
  <c r="K13" i="71"/>
  <c r="A14" i="71"/>
  <c r="B14" i="71"/>
  <c r="C14" i="71"/>
  <c r="D14" i="71"/>
  <c r="E14" i="71"/>
  <c r="F14" i="71"/>
  <c r="G14" i="71"/>
  <c r="K14" i="71"/>
  <c r="A15" i="71"/>
  <c r="B15" i="71"/>
  <c r="C15" i="71"/>
  <c r="D15" i="71"/>
  <c r="E15" i="71"/>
  <c r="F15" i="71"/>
  <c r="G15" i="71"/>
  <c r="K15" i="71"/>
  <c r="A3" i="25"/>
  <c r="B3" i="25"/>
  <c r="C3" i="25"/>
  <c r="D3" i="25"/>
  <c r="E3" i="25"/>
  <c r="F3" i="25"/>
  <c r="G3" i="25"/>
  <c r="K3" i="25"/>
  <c r="A4" i="25"/>
  <c r="B4" i="25"/>
  <c r="C4" i="25"/>
  <c r="D4" i="25"/>
  <c r="E4" i="25"/>
  <c r="F4" i="25"/>
  <c r="G4" i="25"/>
  <c r="K4" i="25"/>
  <c r="A5" i="25"/>
  <c r="B5" i="25"/>
  <c r="C5" i="25"/>
  <c r="D5" i="25"/>
  <c r="E5" i="25"/>
  <c r="F5" i="25"/>
  <c r="G5" i="25"/>
  <c r="K5" i="25"/>
  <c r="A6" i="25"/>
  <c r="B6" i="25"/>
  <c r="C6" i="25"/>
  <c r="D6" i="25"/>
  <c r="E6" i="25"/>
  <c r="F6" i="25"/>
  <c r="G6" i="25"/>
  <c r="K6" i="25"/>
  <c r="A7" i="25"/>
  <c r="B7" i="25"/>
  <c r="C7" i="25"/>
  <c r="D7" i="25"/>
  <c r="E7" i="25"/>
  <c r="F7" i="25"/>
  <c r="G7" i="25"/>
  <c r="K7" i="25"/>
  <c r="A8" i="25"/>
  <c r="B8" i="25"/>
  <c r="C8" i="25"/>
  <c r="D8" i="25"/>
  <c r="E8" i="25"/>
  <c r="F8" i="25"/>
  <c r="G8" i="25"/>
  <c r="K8" i="25"/>
  <c r="A9" i="25"/>
  <c r="B9" i="25"/>
  <c r="C9" i="25"/>
  <c r="D9" i="25"/>
  <c r="E9" i="25"/>
  <c r="F9" i="25"/>
  <c r="G9" i="25"/>
  <c r="K9" i="25"/>
  <c r="A10" i="25"/>
  <c r="B10" i="25"/>
  <c r="C10" i="25"/>
  <c r="D10" i="25"/>
  <c r="E10" i="25"/>
  <c r="F10" i="25"/>
  <c r="G10" i="25"/>
  <c r="K10" i="25"/>
  <c r="A11" i="25"/>
  <c r="B11" i="25"/>
  <c r="C11" i="25"/>
  <c r="D11" i="25"/>
  <c r="E11" i="25"/>
  <c r="F11" i="25"/>
  <c r="G11" i="25"/>
  <c r="K11" i="25"/>
  <c r="A12" i="25"/>
  <c r="B12" i="25"/>
  <c r="C12" i="25"/>
  <c r="D12" i="25"/>
  <c r="E12" i="25"/>
  <c r="F12" i="25"/>
  <c r="G12" i="25"/>
  <c r="K12" i="25"/>
  <c r="A13" i="25"/>
  <c r="B13" i="25"/>
  <c r="C13" i="25"/>
  <c r="D13" i="25"/>
  <c r="E13" i="25"/>
  <c r="F13" i="25"/>
  <c r="G13" i="25"/>
  <c r="K13" i="25"/>
  <c r="A14" i="25"/>
  <c r="B14" i="25"/>
  <c r="C14" i="25"/>
  <c r="D14" i="25"/>
  <c r="E14" i="25"/>
  <c r="F14" i="25"/>
  <c r="G14" i="25"/>
  <c r="K14" i="25"/>
  <c r="A15" i="25"/>
  <c r="B15" i="25"/>
  <c r="C15" i="25"/>
  <c r="D15" i="25"/>
  <c r="E15" i="25"/>
  <c r="F15" i="25"/>
  <c r="G15" i="25"/>
  <c r="K15" i="25"/>
  <c r="A16" i="25"/>
  <c r="B16" i="25"/>
  <c r="C16" i="25"/>
  <c r="D16" i="25"/>
  <c r="E16" i="25"/>
  <c r="F16" i="25"/>
  <c r="G16" i="25"/>
  <c r="K16" i="25"/>
  <c r="A17" i="25"/>
  <c r="B17" i="25"/>
  <c r="C17" i="25"/>
  <c r="D17" i="25"/>
  <c r="E17" i="25"/>
  <c r="F17" i="25"/>
  <c r="G17" i="25"/>
  <c r="K17" i="25"/>
  <c r="A18" i="25"/>
  <c r="B18" i="25"/>
  <c r="C18" i="25"/>
  <c r="D18" i="25"/>
  <c r="E18" i="25"/>
  <c r="F18" i="25"/>
  <c r="G18" i="25"/>
  <c r="K18" i="25"/>
  <c r="A3" i="29"/>
  <c r="B3" i="29"/>
  <c r="C3" i="29"/>
  <c r="D3" i="29"/>
  <c r="E3" i="29"/>
  <c r="F3" i="29"/>
  <c r="G3" i="29"/>
  <c r="K3" i="29"/>
  <c r="A4" i="29"/>
  <c r="B4" i="29"/>
  <c r="C4" i="29"/>
  <c r="D4" i="29"/>
  <c r="E4" i="29"/>
  <c r="F4" i="29"/>
  <c r="G4" i="29"/>
  <c r="K4" i="29"/>
  <c r="A5" i="29"/>
  <c r="B5" i="29"/>
  <c r="C5" i="29"/>
  <c r="D5" i="29"/>
  <c r="E5" i="29"/>
  <c r="F5" i="29"/>
  <c r="G5" i="29"/>
  <c r="K5" i="29"/>
  <c r="A6" i="29"/>
  <c r="B6" i="29"/>
  <c r="C6" i="29"/>
  <c r="D6" i="29"/>
  <c r="E6" i="29"/>
  <c r="F6" i="29"/>
  <c r="G6" i="29"/>
  <c r="K6" i="29"/>
  <c r="A7" i="29"/>
  <c r="B7" i="29"/>
  <c r="C7" i="29"/>
  <c r="D7" i="29"/>
  <c r="E7" i="29"/>
  <c r="F7" i="29"/>
  <c r="G7" i="29"/>
  <c r="K7" i="29"/>
  <c r="A3" i="19"/>
  <c r="B3" i="19"/>
  <c r="C3" i="19"/>
  <c r="D3" i="19"/>
  <c r="E3" i="19"/>
  <c r="F3" i="19"/>
  <c r="G3" i="19"/>
  <c r="K3" i="19"/>
  <c r="A4" i="19"/>
  <c r="B4" i="19"/>
  <c r="C4" i="19"/>
  <c r="D4" i="19"/>
  <c r="E4" i="19"/>
  <c r="F4" i="19"/>
  <c r="G4" i="19"/>
  <c r="K4" i="19"/>
  <c r="A5" i="19"/>
  <c r="B5" i="19"/>
  <c r="C5" i="19"/>
  <c r="D5" i="19"/>
  <c r="E5" i="19"/>
  <c r="F5" i="19"/>
  <c r="G5" i="19"/>
  <c r="K5" i="19"/>
  <c r="A6" i="19"/>
  <c r="B6" i="19"/>
  <c r="C6" i="19"/>
  <c r="D6" i="19"/>
  <c r="E6" i="19"/>
  <c r="F6" i="19"/>
  <c r="G6" i="19"/>
  <c r="K6" i="19"/>
  <c r="A7" i="19"/>
  <c r="B7" i="19"/>
  <c r="C7" i="19"/>
  <c r="D7" i="19"/>
  <c r="E7" i="19"/>
  <c r="F7" i="19"/>
  <c r="G7" i="19"/>
  <c r="K7" i="19"/>
  <c r="A8" i="19"/>
  <c r="B8" i="19"/>
  <c r="C8" i="19"/>
  <c r="D8" i="19"/>
  <c r="E8" i="19"/>
  <c r="F8" i="19"/>
  <c r="G8" i="19"/>
  <c r="K8" i="19"/>
  <c r="A9" i="19"/>
  <c r="B9" i="19"/>
  <c r="C9" i="19"/>
  <c r="D9" i="19"/>
  <c r="E9" i="19"/>
  <c r="F9" i="19"/>
  <c r="G9" i="19"/>
  <c r="K9" i="19"/>
  <c r="A10" i="19"/>
  <c r="B10" i="19"/>
  <c r="C10" i="19"/>
  <c r="D10" i="19"/>
  <c r="E10" i="19"/>
  <c r="F10" i="19"/>
  <c r="G10" i="19"/>
  <c r="K10" i="19"/>
  <c r="A11" i="19"/>
  <c r="B11" i="19"/>
  <c r="C11" i="19"/>
  <c r="D11" i="19"/>
  <c r="E11" i="19"/>
  <c r="F11" i="19"/>
  <c r="G11" i="19"/>
  <c r="K11" i="19"/>
  <c r="A12" i="19"/>
  <c r="B12" i="19"/>
  <c r="C12" i="19"/>
  <c r="D12" i="19"/>
  <c r="E12" i="19"/>
  <c r="F12" i="19"/>
  <c r="G12" i="19"/>
  <c r="K12" i="19"/>
  <c r="A13" i="19"/>
  <c r="B13" i="19"/>
  <c r="C13" i="19"/>
  <c r="D13" i="19"/>
  <c r="E13" i="19"/>
  <c r="F13" i="19"/>
  <c r="G13" i="19"/>
  <c r="K13" i="19"/>
  <c r="A14" i="19"/>
  <c r="B14" i="19"/>
  <c r="C14" i="19"/>
  <c r="D14" i="19"/>
  <c r="E14" i="19"/>
  <c r="F14" i="19"/>
  <c r="G14" i="19"/>
  <c r="K14" i="19"/>
  <c r="A4" i="23"/>
  <c r="B4" i="23"/>
  <c r="C4" i="23"/>
  <c r="D4" i="23"/>
  <c r="E4" i="23"/>
  <c r="F4" i="23"/>
  <c r="G4" i="23"/>
  <c r="K4" i="23"/>
  <c r="A5" i="23"/>
  <c r="B5" i="23"/>
  <c r="C5" i="23"/>
  <c r="D5" i="23"/>
  <c r="E5" i="23"/>
  <c r="F5" i="23"/>
  <c r="G5" i="23"/>
  <c r="K5" i="23"/>
  <c r="A6" i="23"/>
  <c r="B6" i="23"/>
  <c r="C6" i="23"/>
  <c r="D6" i="23"/>
  <c r="E6" i="23"/>
  <c r="F6" i="23"/>
  <c r="G6" i="23"/>
  <c r="K6" i="23"/>
  <c r="A7" i="23"/>
  <c r="B7" i="23"/>
  <c r="C7" i="23"/>
  <c r="D7" i="23"/>
  <c r="E7" i="23"/>
  <c r="F7" i="23"/>
  <c r="G7" i="23"/>
  <c r="K7" i="23"/>
  <c r="A8" i="23"/>
  <c r="B8" i="23"/>
  <c r="C8" i="23"/>
  <c r="D8" i="23"/>
  <c r="E8" i="23"/>
  <c r="F8" i="23"/>
  <c r="G8" i="23"/>
  <c r="K8" i="23"/>
  <c r="A9" i="23"/>
  <c r="B9" i="23"/>
  <c r="C9" i="23"/>
  <c r="D9" i="23"/>
  <c r="E9" i="23"/>
  <c r="F9" i="23"/>
  <c r="G9" i="23"/>
  <c r="K9" i="23"/>
  <c r="A10" i="23"/>
  <c r="B10" i="23"/>
  <c r="C10" i="23"/>
  <c r="D10" i="23"/>
  <c r="E10" i="23"/>
  <c r="F10" i="23"/>
  <c r="G10" i="23"/>
  <c r="K10" i="23"/>
  <c r="A11" i="23"/>
  <c r="B11" i="23"/>
  <c r="C11" i="23"/>
  <c r="D11" i="23"/>
  <c r="E11" i="23"/>
  <c r="F11" i="23"/>
  <c r="G11" i="23"/>
  <c r="K11" i="23"/>
  <c r="A12" i="23"/>
  <c r="B12" i="23"/>
  <c r="C12" i="23"/>
  <c r="D12" i="23"/>
  <c r="E12" i="23"/>
  <c r="F12" i="23"/>
  <c r="G12" i="23"/>
  <c r="K12" i="23"/>
  <c r="A13" i="23"/>
  <c r="B13" i="23"/>
  <c r="C13" i="23"/>
  <c r="D13" i="23"/>
  <c r="E13" i="23"/>
  <c r="F13" i="23"/>
  <c r="G13" i="23"/>
  <c r="K13" i="23"/>
  <c r="A14" i="23"/>
  <c r="B14" i="23"/>
  <c r="C14" i="23"/>
  <c r="D14" i="23"/>
  <c r="E14" i="23"/>
  <c r="F14" i="23"/>
  <c r="G14" i="23"/>
  <c r="K14" i="23"/>
  <c r="A15" i="23"/>
  <c r="B15" i="23"/>
  <c r="C15" i="23"/>
  <c r="D15" i="23"/>
  <c r="E15" i="23"/>
  <c r="F15" i="23"/>
  <c r="G15" i="23"/>
  <c r="K15" i="23"/>
  <c r="A16" i="23"/>
  <c r="B16" i="23"/>
  <c r="C16" i="23"/>
  <c r="D16" i="23"/>
  <c r="E16" i="23"/>
  <c r="F16" i="23"/>
  <c r="G16" i="23"/>
  <c r="K16" i="23"/>
  <c r="A17" i="23"/>
  <c r="B17" i="23"/>
  <c r="C17" i="23"/>
  <c r="D17" i="23"/>
  <c r="E17" i="23"/>
  <c r="F17" i="23"/>
  <c r="G17" i="23"/>
  <c r="K17" i="23"/>
  <c r="A3" i="21"/>
  <c r="B3" i="21"/>
  <c r="C3" i="21"/>
  <c r="D3" i="21"/>
  <c r="E3" i="21"/>
  <c r="F3" i="21"/>
  <c r="G3" i="21"/>
  <c r="K3" i="21"/>
  <c r="A4" i="21"/>
  <c r="B4" i="21"/>
  <c r="C4" i="21"/>
  <c r="D4" i="21"/>
  <c r="E4" i="21"/>
  <c r="F4" i="21"/>
  <c r="G4" i="21"/>
  <c r="K4" i="21"/>
  <c r="A5" i="21"/>
  <c r="B5" i="21"/>
  <c r="C5" i="21"/>
  <c r="D5" i="21"/>
  <c r="E5" i="21"/>
  <c r="F5" i="21"/>
  <c r="G5" i="21"/>
  <c r="K5" i="21"/>
  <c r="A6" i="21"/>
  <c r="B6" i="21"/>
  <c r="C6" i="21"/>
  <c r="D6" i="21"/>
  <c r="E6" i="21"/>
  <c r="F6" i="21"/>
  <c r="G6" i="21"/>
  <c r="K6" i="21"/>
  <c r="A7" i="21"/>
  <c r="B7" i="21"/>
  <c r="C7" i="21"/>
  <c r="D7" i="21"/>
  <c r="E7" i="21"/>
  <c r="F7" i="21"/>
  <c r="G7" i="21"/>
  <c r="K7" i="21"/>
  <c r="A8" i="21"/>
  <c r="B8" i="21"/>
  <c r="C8" i="21"/>
  <c r="D8" i="21"/>
  <c r="E8" i="21"/>
  <c r="F8" i="21"/>
  <c r="G8" i="21"/>
  <c r="K8" i="21"/>
  <c r="A9" i="21"/>
  <c r="B9" i="21"/>
  <c r="C9" i="21"/>
  <c r="D9" i="21"/>
  <c r="E9" i="21"/>
  <c r="F9" i="21"/>
  <c r="G9" i="21"/>
  <c r="K9" i="21"/>
  <c r="A10" i="21"/>
  <c r="B10" i="21"/>
  <c r="C10" i="21"/>
  <c r="D10" i="21"/>
  <c r="E10" i="21"/>
  <c r="F10" i="21"/>
  <c r="G10" i="21"/>
  <c r="K10" i="21"/>
  <c r="A11" i="21"/>
  <c r="B11" i="21"/>
  <c r="C11" i="21"/>
  <c r="D11" i="21"/>
  <c r="E11" i="21"/>
  <c r="F11" i="21"/>
  <c r="G11" i="21"/>
  <c r="K11" i="21"/>
  <c r="A12" i="21"/>
  <c r="B12" i="21"/>
  <c r="C12" i="21"/>
  <c r="D12" i="21"/>
  <c r="E12" i="21"/>
  <c r="F12" i="21"/>
  <c r="G12" i="21"/>
  <c r="K12" i="21"/>
  <c r="A13" i="21"/>
  <c r="B13" i="21"/>
  <c r="C13" i="21"/>
  <c r="D13" i="21"/>
  <c r="E13" i="21"/>
  <c r="F13" i="21"/>
  <c r="G13" i="21"/>
  <c r="K13" i="21"/>
  <c r="A14" i="21"/>
  <c r="B14" i="21"/>
  <c r="C14" i="21"/>
  <c r="D14" i="21"/>
  <c r="E14" i="21"/>
  <c r="F14" i="21"/>
  <c r="G14" i="21"/>
  <c r="K14" i="21"/>
  <c r="A15" i="21"/>
  <c r="B15" i="21"/>
  <c r="C15" i="21"/>
  <c r="D15" i="21"/>
  <c r="E15" i="21"/>
  <c r="F15" i="21"/>
  <c r="G15" i="21"/>
  <c r="K15" i="21"/>
  <c r="A16" i="21"/>
  <c r="B16" i="21"/>
  <c r="C16" i="21"/>
  <c r="D16" i="21"/>
  <c r="E16" i="21"/>
  <c r="F16" i="21"/>
  <c r="G16" i="21"/>
  <c r="K16" i="21"/>
  <c r="A17" i="21"/>
  <c r="B17" i="21"/>
  <c r="C17" i="21"/>
  <c r="D17" i="21"/>
  <c r="E17" i="21"/>
  <c r="F17" i="21"/>
  <c r="G17" i="21"/>
  <c r="K17" i="21"/>
  <c r="A18" i="21"/>
  <c r="B18" i="21"/>
  <c r="C18" i="21"/>
  <c r="D18" i="21"/>
  <c r="E18" i="21"/>
  <c r="F18" i="21"/>
  <c r="G18" i="21"/>
  <c r="K18" i="21"/>
  <c r="A19" i="21"/>
  <c r="B19" i="21"/>
  <c r="C19" i="21"/>
  <c r="D19" i="21"/>
  <c r="E19" i="21"/>
  <c r="F19" i="21"/>
  <c r="G19" i="21"/>
  <c r="K19" i="21"/>
  <c r="A20" i="21"/>
  <c r="B20" i="21"/>
  <c r="C20" i="21"/>
  <c r="D20" i="21"/>
  <c r="E20" i="21"/>
  <c r="F20" i="21"/>
  <c r="G20" i="21"/>
  <c r="K20" i="21"/>
  <c r="A21" i="21"/>
  <c r="B21" i="21"/>
  <c r="C21" i="21"/>
  <c r="D21" i="21"/>
  <c r="E21" i="21"/>
  <c r="F21" i="21"/>
  <c r="G21" i="21"/>
  <c r="K21" i="21"/>
  <c r="A22" i="21"/>
  <c r="B22" i="21"/>
  <c r="C22" i="21"/>
  <c r="D22" i="21"/>
  <c r="E22" i="21"/>
  <c r="F22" i="21"/>
  <c r="G22" i="21"/>
  <c r="K22" i="21"/>
  <c r="A23" i="21"/>
  <c r="B23" i="21"/>
  <c r="C23" i="21"/>
  <c r="D23" i="21"/>
  <c r="E23" i="21"/>
  <c r="F23" i="21"/>
  <c r="G23" i="21"/>
  <c r="K23" i="21"/>
  <c r="A24" i="21"/>
  <c r="B24" i="21"/>
  <c r="C24" i="21"/>
  <c r="D24" i="21"/>
  <c r="E24" i="21"/>
  <c r="F24" i="21"/>
  <c r="G24" i="21"/>
  <c r="K24" i="21"/>
  <c r="A25" i="21"/>
  <c r="B25" i="21"/>
  <c r="C25" i="21"/>
  <c r="D25" i="21"/>
  <c r="E25" i="21"/>
  <c r="F25" i="21"/>
  <c r="G25" i="21"/>
  <c r="K25" i="21"/>
  <c r="A26" i="21"/>
  <c r="B26" i="21"/>
  <c r="C26" i="21"/>
  <c r="D26" i="21"/>
  <c r="E26" i="21"/>
  <c r="F26" i="21"/>
  <c r="G26" i="21"/>
  <c r="K26" i="21"/>
  <c r="A27" i="21"/>
  <c r="B27" i="21"/>
  <c r="C27" i="21"/>
  <c r="D27" i="21"/>
  <c r="E27" i="21"/>
  <c r="F27" i="21"/>
  <c r="G27" i="21"/>
  <c r="K27" i="21"/>
  <c r="A28" i="21"/>
  <c r="B28" i="21"/>
  <c r="C28" i="21"/>
  <c r="D28" i="21"/>
  <c r="E28" i="21"/>
  <c r="F28" i="21"/>
  <c r="G28" i="21"/>
  <c r="K28" i="21"/>
  <c r="A29" i="21"/>
  <c r="B29" i="21"/>
  <c r="C29" i="21"/>
  <c r="D29" i="21"/>
  <c r="E29" i="21"/>
  <c r="F29" i="21"/>
  <c r="G29" i="21"/>
  <c r="K29" i="21"/>
  <c r="A30" i="21"/>
  <c r="B30" i="21"/>
  <c r="C30" i="21"/>
  <c r="D30" i="21"/>
  <c r="E30" i="21"/>
  <c r="F30" i="21"/>
  <c r="G30" i="21"/>
  <c r="K30" i="21"/>
  <c r="A31" i="21"/>
  <c r="B31" i="21"/>
  <c r="C31" i="21"/>
  <c r="D31" i="21"/>
  <c r="E31" i="21"/>
  <c r="F31" i="21"/>
  <c r="G31" i="21"/>
  <c r="K31" i="21"/>
  <c r="A32" i="21"/>
  <c r="B32" i="21"/>
  <c r="C32" i="21"/>
  <c r="D32" i="21"/>
  <c r="E32" i="21"/>
  <c r="F32" i="21"/>
  <c r="G32" i="21"/>
  <c r="K32" i="21"/>
  <c r="A33" i="21"/>
  <c r="B33" i="21"/>
  <c r="C33" i="21"/>
  <c r="D33" i="21"/>
  <c r="E33" i="21"/>
  <c r="F33" i="21"/>
  <c r="G33" i="21"/>
  <c r="K33" i="21"/>
  <c r="A34" i="21"/>
  <c r="B34" i="21"/>
  <c r="C34" i="21"/>
  <c r="D34" i="21"/>
  <c r="E34" i="21"/>
  <c r="F34" i="21"/>
  <c r="G34" i="21"/>
  <c r="K34" i="21"/>
  <c r="A35" i="21"/>
  <c r="B35" i="21"/>
  <c r="C35" i="21"/>
  <c r="D35" i="21"/>
  <c r="E35" i="21"/>
  <c r="F35" i="21"/>
  <c r="G35" i="21"/>
  <c r="K35" i="21"/>
  <c r="A36" i="21"/>
  <c r="B36" i="21"/>
  <c r="C36" i="21"/>
  <c r="D36" i="21"/>
  <c r="E36" i="21"/>
  <c r="F36" i="21"/>
  <c r="G36" i="21"/>
  <c r="K36" i="21"/>
  <c r="A37" i="21"/>
  <c r="B37" i="21"/>
  <c r="C37" i="21"/>
  <c r="D37" i="21"/>
  <c r="E37" i="21"/>
  <c r="F37" i="21"/>
  <c r="G37" i="21"/>
  <c r="K37" i="21"/>
  <c r="A38" i="21"/>
  <c r="B38" i="21"/>
  <c r="C38" i="21"/>
  <c r="D38" i="21"/>
  <c r="E38" i="21"/>
  <c r="F38" i="21"/>
  <c r="G38" i="21"/>
  <c r="K38" i="21"/>
  <c r="A39" i="21"/>
  <c r="B39" i="21"/>
  <c r="C39" i="21"/>
  <c r="D39" i="21"/>
  <c r="E39" i="21"/>
  <c r="F39" i="21"/>
  <c r="G39" i="21"/>
  <c r="K39" i="21"/>
  <c r="A40" i="21"/>
  <c r="B40" i="21"/>
  <c r="C40" i="21"/>
  <c r="D40" i="21"/>
  <c r="E40" i="21"/>
  <c r="F40" i="21"/>
  <c r="G40" i="21"/>
  <c r="K40" i="21"/>
  <c r="A41" i="21"/>
  <c r="B41" i="21"/>
  <c r="C41" i="21"/>
  <c r="D41" i="21"/>
  <c r="E41" i="21"/>
  <c r="F41" i="21"/>
  <c r="G41" i="21"/>
  <c r="K41" i="21"/>
  <c r="A3" i="26"/>
  <c r="B3" i="26"/>
  <c r="C3" i="26"/>
  <c r="D3" i="26"/>
  <c r="E3" i="26"/>
  <c r="F3" i="26"/>
  <c r="G3" i="26"/>
  <c r="K3" i="26"/>
  <c r="A4" i="26"/>
  <c r="B4" i="26"/>
  <c r="C4" i="26"/>
  <c r="D4" i="26"/>
  <c r="E4" i="26"/>
  <c r="F4" i="26"/>
  <c r="G4" i="26"/>
  <c r="K4" i="26"/>
  <c r="A5" i="26"/>
  <c r="B5" i="26"/>
  <c r="C5" i="26"/>
  <c r="D5" i="26"/>
  <c r="E5" i="26"/>
  <c r="F5" i="26"/>
  <c r="G5" i="26"/>
  <c r="K5" i="26"/>
  <c r="A6" i="26"/>
  <c r="B6" i="26"/>
  <c r="C6" i="26"/>
  <c r="D6" i="26"/>
  <c r="E6" i="26"/>
  <c r="F6" i="26"/>
  <c r="G6" i="26"/>
  <c r="K6" i="26"/>
  <c r="A7" i="26"/>
  <c r="B7" i="26"/>
  <c r="C7" i="26"/>
  <c r="D7" i="26"/>
  <c r="E7" i="26"/>
  <c r="F7" i="26"/>
  <c r="G7" i="26"/>
  <c r="K7" i="26"/>
  <c r="A8" i="26"/>
  <c r="B8" i="26"/>
  <c r="C8" i="26"/>
  <c r="D8" i="26"/>
  <c r="E8" i="26"/>
  <c r="F8" i="26"/>
  <c r="G8" i="26"/>
  <c r="K8" i="26"/>
  <c r="A9" i="26"/>
  <c r="B9" i="26"/>
  <c r="C9" i="26"/>
  <c r="D9" i="26"/>
  <c r="E9" i="26"/>
  <c r="F9" i="26"/>
  <c r="G9" i="26"/>
  <c r="K9" i="26"/>
  <c r="A10" i="26"/>
  <c r="B10" i="26"/>
  <c r="C10" i="26"/>
  <c r="D10" i="26"/>
  <c r="E10" i="26"/>
  <c r="F10" i="26"/>
  <c r="G10" i="26"/>
  <c r="K10" i="26"/>
  <c r="A11" i="26"/>
  <c r="B11" i="26"/>
  <c r="C11" i="26"/>
  <c r="D11" i="26"/>
  <c r="E11" i="26"/>
  <c r="F11" i="26"/>
  <c r="G11" i="26"/>
  <c r="K11" i="26"/>
  <c r="A12" i="26"/>
  <c r="B12" i="26"/>
  <c r="C12" i="26"/>
  <c r="D12" i="26"/>
  <c r="E12" i="26"/>
  <c r="F12" i="26"/>
  <c r="G12" i="26"/>
  <c r="K12" i="26"/>
  <c r="A13" i="26"/>
  <c r="B13" i="26"/>
  <c r="C13" i="26"/>
  <c r="D13" i="26"/>
  <c r="E13" i="26"/>
  <c r="F13" i="26"/>
  <c r="G13" i="26"/>
  <c r="K13" i="26"/>
  <c r="A14" i="26"/>
  <c r="B14" i="26"/>
  <c r="C14" i="26"/>
  <c r="D14" i="26"/>
  <c r="E14" i="26"/>
  <c r="F14" i="26"/>
  <c r="G14" i="26"/>
  <c r="K14" i="26"/>
  <c r="A15" i="26"/>
  <c r="B15" i="26"/>
  <c r="C15" i="26"/>
  <c r="D15" i="26"/>
  <c r="E15" i="26"/>
  <c r="F15" i="26"/>
  <c r="G15" i="26"/>
  <c r="K15" i="26"/>
  <c r="A16" i="26"/>
  <c r="B16" i="26"/>
  <c r="C16" i="26"/>
  <c r="D16" i="26"/>
  <c r="E16" i="26"/>
  <c r="F16" i="26"/>
  <c r="G16" i="26"/>
  <c r="K16" i="26"/>
  <c r="A17" i="26"/>
  <c r="B17" i="26"/>
  <c r="C17" i="26"/>
  <c r="D17" i="26"/>
  <c r="E17" i="26"/>
  <c r="F17" i="26"/>
  <c r="G17" i="26"/>
  <c r="K17" i="26"/>
  <c r="A18" i="26"/>
  <c r="B18" i="26"/>
  <c r="C18" i="26"/>
  <c r="D18" i="26"/>
  <c r="E18" i="26"/>
  <c r="F18" i="26"/>
  <c r="G18" i="26"/>
  <c r="K18" i="26"/>
  <c r="A19" i="26"/>
  <c r="B19" i="26"/>
  <c r="C19" i="26"/>
  <c r="D19" i="26"/>
  <c r="E19" i="26"/>
  <c r="F19" i="26"/>
  <c r="G19" i="26"/>
  <c r="K19" i="26"/>
  <c r="A20" i="26"/>
  <c r="B20" i="26"/>
  <c r="C20" i="26"/>
  <c r="D20" i="26"/>
  <c r="E20" i="26"/>
  <c r="F20" i="26"/>
  <c r="G20" i="26"/>
  <c r="K20" i="26"/>
  <c r="A21" i="26"/>
  <c r="B21" i="26"/>
  <c r="C21" i="26"/>
  <c r="D21" i="26"/>
  <c r="E21" i="26"/>
  <c r="F21" i="26"/>
  <c r="G21" i="26"/>
  <c r="K21" i="26"/>
  <c r="A3" i="30"/>
  <c r="B3" i="30"/>
  <c r="C3" i="30"/>
  <c r="D3" i="30"/>
  <c r="E3" i="30"/>
  <c r="F3" i="30"/>
  <c r="G3" i="30"/>
  <c r="K3" i="30"/>
  <c r="A4" i="30"/>
  <c r="B4" i="30"/>
  <c r="C4" i="30"/>
  <c r="D4" i="30"/>
  <c r="E4" i="30"/>
  <c r="F4" i="30"/>
  <c r="G4" i="30"/>
  <c r="K4" i="30"/>
  <c r="A5" i="30"/>
  <c r="B5" i="30"/>
  <c r="C5" i="30"/>
  <c r="D5" i="30"/>
  <c r="E5" i="30"/>
  <c r="F5" i="30"/>
  <c r="G5" i="30"/>
  <c r="K5" i="30"/>
  <c r="A6" i="30"/>
  <c r="B6" i="30"/>
  <c r="C6" i="30"/>
  <c r="D6" i="30"/>
  <c r="E6" i="30"/>
  <c r="F6" i="30"/>
  <c r="G6" i="30"/>
  <c r="K6" i="30"/>
  <c r="A7" i="30"/>
  <c r="B7" i="30"/>
  <c r="C7" i="30"/>
  <c r="D7" i="30"/>
  <c r="E7" i="30"/>
  <c r="F7" i="30"/>
  <c r="G7" i="30"/>
  <c r="K7" i="30"/>
  <c r="A8" i="30"/>
  <c r="B8" i="30"/>
  <c r="C8" i="30"/>
  <c r="D8" i="30"/>
  <c r="E8" i="30"/>
  <c r="F8" i="30"/>
  <c r="G8" i="30"/>
  <c r="K8" i="30"/>
  <c r="A9" i="30"/>
  <c r="B9" i="30"/>
  <c r="C9" i="30"/>
  <c r="D9" i="30"/>
  <c r="E9" i="30"/>
  <c r="F9" i="30"/>
  <c r="G9" i="30"/>
  <c r="K9" i="30"/>
  <c r="A10" i="30"/>
  <c r="B10" i="30"/>
  <c r="C10" i="30"/>
  <c r="D10" i="30"/>
  <c r="E10" i="30"/>
  <c r="F10" i="30"/>
  <c r="G10" i="30"/>
  <c r="K10" i="30"/>
  <c r="A11" i="30"/>
  <c r="B11" i="30"/>
  <c r="C11" i="30"/>
  <c r="D11" i="30"/>
  <c r="E11" i="30"/>
  <c r="F11" i="30"/>
  <c r="G11" i="30"/>
  <c r="K11" i="30"/>
  <c r="A12" i="30"/>
  <c r="B12" i="30"/>
  <c r="C12" i="30"/>
  <c r="D12" i="30"/>
  <c r="E12" i="30"/>
  <c r="F12" i="30"/>
  <c r="G12" i="30"/>
  <c r="K12" i="30"/>
  <c r="A13" i="30"/>
  <c r="B13" i="30"/>
  <c r="C13" i="30"/>
  <c r="D13" i="30"/>
  <c r="E13" i="30"/>
  <c r="F13" i="30"/>
  <c r="G13" i="30"/>
  <c r="K13" i="30"/>
  <c r="A14" i="30"/>
  <c r="B14" i="30"/>
  <c r="C14" i="30"/>
  <c r="D14" i="30"/>
  <c r="E14" i="30"/>
  <c r="F14" i="30"/>
  <c r="G14" i="30"/>
  <c r="K14" i="30"/>
  <c r="A3" i="20"/>
  <c r="B3" i="20"/>
  <c r="C3" i="20"/>
  <c r="D3" i="20"/>
  <c r="E3" i="20"/>
  <c r="F3" i="20"/>
  <c r="G3" i="20"/>
  <c r="K3" i="20"/>
  <c r="A4" i="20"/>
  <c r="B4" i="20"/>
  <c r="C4" i="20"/>
  <c r="D4" i="20"/>
  <c r="E4" i="20"/>
  <c r="F4" i="20"/>
  <c r="G4" i="20"/>
  <c r="K4" i="20"/>
  <c r="A5" i="20"/>
  <c r="B5" i="20"/>
  <c r="C5" i="20"/>
  <c r="D5" i="20"/>
  <c r="E5" i="20"/>
  <c r="F5" i="20"/>
  <c r="G5" i="20"/>
  <c r="K5" i="20"/>
  <c r="A6" i="20"/>
  <c r="B6" i="20"/>
  <c r="C6" i="20"/>
  <c r="D6" i="20"/>
  <c r="E6" i="20"/>
  <c r="F6" i="20"/>
  <c r="G6" i="20"/>
  <c r="K6" i="20"/>
  <c r="A7" i="20"/>
  <c r="B7" i="20"/>
  <c r="C7" i="20"/>
  <c r="D7" i="20"/>
  <c r="E7" i="20"/>
  <c r="F7" i="20"/>
  <c r="G7" i="20"/>
  <c r="K7" i="20"/>
  <c r="A8" i="20"/>
  <c r="B8" i="20"/>
  <c r="C8" i="20"/>
  <c r="D8" i="20"/>
  <c r="E8" i="20"/>
  <c r="F8" i="20"/>
  <c r="G8" i="20"/>
  <c r="K8" i="20"/>
  <c r="A9" i="20"/>
  <c r="B9" i="20"/>
  <c r="C9" i="20"/>
  <c r="D9" i="20"/>
  <c r="E9" i="20"/>
  <c r="F9" i="20"/>
  <c r="G9" i="20"/>
  <c r="K9" i="20"/>
  <c r="A10" i="20"/>
  <c r="B10" i="20"/>
  <c r="C10" i="20"/>
  <c r="D10" i="20"/>
  <c r="E10" i="20"/>
  <c r="F10" i="20"/>
  <c r="G10" i="20"/>
  <c r="K10" i="20"/>
  <c r="A11" i="20"/>
  <c r="B11" i="20"/>
  <c r="C11" i="20"/>
  <c r="D11" i="20"/>
  <c r="E11" i="20"/>
  <c r="F11" i="20"/>
  <c r="G11" i="20"/>
  <c r="K11" i="20"/>
  <c r="A12" i="20"/>
  <c r="B12" i="20"/>
  <c r="C12" i="20"/>
  <c r="D12" i="20"/>
  <c r="E12" i="20"/>
  <c r="F12" i="20"/>
  <c r="G12" i="20"/>
  <c r="K12" i="20"/>
  <c r="A13" i="20"/>
  <c r="B13" i="20"/>
  <c r="C13" i="20"/>
  <c r="D13" i="20"/>
  <c r="E13" i="20"/>
  <c r="F13" i="20"/>
  <c r="G13" i="20"/>
  <c r="K13" i="20"/>
  <c r="A14" i="20"/>
  <c r="B14" i="20"/>
  <c r="C14" i="20"/>
  <c r="D14" i="20"/>
  <c r="E14" i="20"/>
  <c r="F14" i="20"/>
  <c r="G14" i="20"/>
  <c r="K14" i="20"/>
  <c r="A15" i="20"/>
  <c r="B15" i="20"/>
  <c r="C15" i="20"/>
  <c r="D15" i="20"/>
  <c r="E15" i="20"/>
  <c r="F15" i="20"/>
  <c r="G15" i="20"/>
  <c r="K15" i="20"/>
  <c r="A16" i="20"/>
  <c r="B16" i="20"/>
  <c r="C16" i="20"/>
  <c r="D16" i="20"/>
  <c r="E16" i="20"/>
  <c r="F16" i="20"/>
  <c r="G16" i="20"/>
  <c r="K16" i="20"/>
  <c r="A3" i="22"/>
  <c r="B3" i="22"/>
  <c r="C3" i="22"/>
  <c r="D3" i="22"/>
  <c r="E3" i="22"/>
  <c r="F3" i="22"/>
  <c r="G3" i="22"/>
  <c r="K3" i="22"/>
  <c r="A4" i="22"/>
  <c r="B4" i="22"/>
  <c r="C4" i="22"/>
  <c r="D4" i="22"/>
  <c r="E4" i="22"/>
  <c r="F4" i="22"/>
  <c r="G4" i="22"/>
  <c r="K4" i="22"/>
  <c r="A5" i="22"/>
  <c r="B5" i="22"/>
  <c r="C5" i="22"/>
  <c r="D5" i="22"/>
  <c r="E5" i="22"/>
  <c r="F5" i="22"/>
  <c r="G5" i="22"/>
  <c r="K5" i="22"/>
  <c r="A6" i="22"/>
  <c r="B6" i="22"/>
  <c r="C6" i="22"/>
  <c r="D6" i="22"/>
  <c r="E6" i="22"/>
  <c r="F6" i="22"/>
  <c r="G6" i="22"/>
  <c r="K6" i="22"/>
  <c r="A7" i="22"/>
  <c r="B7" i="22"/>
  <c r="C7" i="22"/>
  <c r="D7" i="22"/>
  <c r="E7" i="22"/>
  <c r="F7" i="22"/>
  <c r="G7" i="22"/>
  <c r="K7" i="22"/>
  <c r="A8" i="22"/>
  <c r="B8" i="22"/>
  <c r="C8" i="22"/>
  <c r="D8" i="22"/>
  <c r="E8" i="22"/>
  <c r="F8" i="22"/>
  <c r="G8" i="22"/>
  <c r="K8" i="22"/>
  <c r="A9" i="22"/>
  <c r="B9" i="22"/>
  <c r="C9" i="22"/>
  <c r="D9" i="22"/>
  <c r="E9" i="22"/>
  <c r="F9" i="22"/>
  <c r="G9" i="22"/>
  <c r="K9" i="22"/>
  <c r="A10" i="22"/>
  <c r="B10" i="22"/>
  <c r="C10" i="22"/>
  <c r="D10" i="22"/>
  <c r="E10" i="22"/>
  <c r="F10" i="22"/>
  <c r="G10" i="22"/>
  <c r="K10" i="22"/>
  <c r="A11" i="22"/>
  <c r="B11" i="22"/>
  <c r="C11" i="22"/>
  <c r="D11" i="22"/>
  <c r="E11" i="22"/>
  <c r="F11" i="22"/>
  <c r="G11" i="22"/>
  <c r="K11" i="22"/>
  <c r="A12" i="22"/>
  <c r="B12" i="22"/>
  <c r="C12" i="22"/>
  <c r="D12" i="22"/>
  <c r="E12" i="22"/>
  <c r="F12" i="22"/>
  <c r="G12" i="22"/>
  <c r="K12" i="22"/>
  <c r="A13" i="22"/>
  <c r="B13" i="22"/>
  <c r="C13" i="22"/>
  <c r="D13" i="22"/>
  <c r="E13" i="22"/>
  <c r="F13" i="22"/>
  <c r="G13" i="22"/>
  <c r="K13" i="22"/>
  <c r="A14" i="22"/>
  <c r="B14" i="22"/>
  <c r="C14" i="22"/>
  <c r="D14" i="22"/>
  <c r="E14" i="22"/>
  <c r="F14" i="22"/>
  <c r="G14" i="22"/>
  <c r="K14" i="22"/>
  <c r="A15" i="22"/>
  <c r="B15" i="22"/>
  <c r="C15" i="22"/>
  <c r="D15" i="22"/>
  <c r="E15" i="22"/>
  <c r="F15" i="22"/>
  <c r="G15" i="22"/>
  <c r="K15" i="22"/>
  <c r="A16" i="22"/>
  <c r="B16" i="22"/>
  <c r="C16" i="22"/>
  <c r="D16" i="22"/>
  <c r="E16" i="22"/>
  <c r="F16" i="22"/>
  <c r="G16" i="22"/>
  <c r="K16" i="22"/>
  <c r="A17" i="22"/>
  <c r="B17" i="22"/>
  <c r="C17" i="22"/>
  <c r="D17" i="22"/>
  <c r="E17" i="22"/>
  <c r="F17" i="22"/>
  <c r="G17" i="22"/>
  <c r="K17" i="22"/>
  <c r="A18" i="22"/>
  <c r="B18" i="22"/>
  <c r="C18" i="22"/>
  <c r="D18" i="22"/>
  <c r="E18" i="22"/>
  <c r="F18" i="22"/>
  <c r="G18" i="22"/>
  <c r="K18" i="22"/>
  <c r="A19" i="22"/>
  <c r="B19" i="22"/>
  <c r="C19" i="22"/>
  <c r="D19" i="22"/>
  <c r="E19" i="22"/>
  <c r="F19" i="22"/>
  <c r="G19" i="22"/>
  <c r="K19" i="22"/>
  <c r="A20" i="22"/>
  <c r="B20" i="22"/>
  <c r="C20" i="22"/>
  <c r="D20" i="22"/>
  <c r="E20" i="22"/>
  <c r="F20" i="22"/>
  <c r="G20" i="22"/>
  <c r="K20" i="22"/>
  <c r="A21" i="22"/>
  <c r="B21" i="22"/>
  <c r="C21" i="22"/>
  <c r="D21" i="22"/>
  <c r="E21" i="22"/>
  <c r="F21" i="22"/>
  <c r="G21" i="22"/>
  <c r="K21" i="22"/>
  <c r="A22" i="22"/>
  <c r="B22" i="22"/>
  <c r="C22" i="22"/>
  <c r="D22" i="22"/>
  <c r="E22" i="22"/>
  <c r="F22" i="22"/>
  <c r="G22" i="22"/>
  <c r="K22" i="22"/>
  <c r="A23" i="22"/>
  <c r="B23" i="22"/>
  <c r="C23" i="22"/>
  <c r="D23" i="22"/>
  <c r="E23" i="22"/>
  <c r="F23" i="22"/>
  <c r="G23" i="22"/>
  <c r="K23" i="22"/>
  <c r="A24" i="22"/>
  <c r="B24" i="22"/>
  <c r="C24" i="22"/>
  <c r="D24" i="22"/>
  <c r="E24" i="22"/>
  <c r="F24" i="22"/>
  <c r="G24" i="22"/>
  <c r="K24" i="22"/>
  <c r="A25" i="22"/>
  <c r="B25" i="22"/>
  <c r="C25" i="22"/>
  <c r="D25" i="22"/>
  <c r="E25" i="22"/>
  <c r="F25" i="22"/>
  <c r="G25" i="22"/>
  <c r="K25" i="22"/>
  <c r="A26" i="22"/>
  <c r="B26" i="22"/>
  <c r="C26" i="22"/>
  <c r="D26" i="22"/>
  <c r="E26" i="22"/>
  <c r="F26" i="22"/>
  <c r="G26" i="22"/>
  <c r="K26" i="22"/>
  <c r="A27" i="22"/>
  <c r="B27" i="22"/>
  <c r="C27" i="22"/>
  <c r="D27" i="22"/>
  <c r="E27" i="22"/>
  <c r="F27" i="22"/>
  <c r="G27" i="22"/>
  <c r="K27" i="22"/>
  <c r="A28" i="22"/>
  <c r="B28" i="22"/>
  <c r="C28" i="22"/>
  <c r="D28" i="22"/>
  <c r="E28" i="22"/>
  <c r="F28" i="22"/>
  <c r="G28" i="22"/>
  <c r="K28" i="22"/>
  <c r="A29" i="22"/>
  <c r="B29" i="22"/>
  <c r="C29" i="22"/>
  <c r="D29" i="22"/>
  <c r="E29" i="22"/>
  <c r="F29" i="22"/>
  <c r="G29" i="22"/>
  <c r="K29" i="22"/>
  <c r="A30" i="22"/>
  <c r="B30" i="22"/>
  <c r="C30" i="22"/>
  <c r="D30" i="22"/>
  <c r="E30" i="22"/>
  <c r="F30" i="22"/>
  <c r="G30" i="22"/>
  <c r="K30" i="22"/>
  <c r="A31" i="22"/>
  <c r="B31" i="22"/>
  <c r="C31" i="22"/>
  <c r="D31" i="22"/>
  <c r="E31" i="22"/>
  <c r="F31" i="22"/>
  <c r="G31" i="22"/>
  <c r="K31" i="22"/>
  <c r="A32" i="22"/>
  <c r="B32" i="22"/>
  <c r="C32" i="22"/>
  <c r="D32" i="22"/>
  <c r="E32" i="22"/>
  <c r="F32" i="22"/>
  <c r="G32" i="22"/>
  <c r="K32" i="22"/>
  <c r="A33" i="22"/>
  <c r="B33" i="22"/>
  <c r="C33" i="22"/>
  <c r="D33" i="22"/>
  <c r="E33" i="22"/>
  <c r="F33" i="22"/>
  <c r="G33" i="22"/>
  <c r="K33" i="22"/>
  <c r="A34" i="22"/>
  <c r="B34" i="22"/>
  <c r="C34" i="22"/>
  <c r="D34" i="22"/>
  <c r="E34" i="22"/>
  <c r="F34" i="22"/>
  <c r="G34" i="22"/>
  <c r="K34" i="22"/>
  <c r="A35" i="22"/>
  <c r="B35" i="22"/>
  <c r="C35" i="22"/>
  <c r="D35" i="22"/>
  <c r="E35" i="22"/>
  <c r="F35" i="22"/>
  <c r="G35" i="22"/>
  <c r="K35" i="22"/>
  <c r="A36" i="22"/>
  <c r="B36" i="22"/>
  <c r="C36" i="22"/>
  <c r="D36" i="22"/>
  <c r="E36" i="22"/>
  <c r="F36" i="22"/>
  <c r="G36" i="22"/>
  <c r="K36" i="22"/>
  <c r="A37" i="22"/>
  <c r="B37" i="22"/>
  <c r="C37" i="22"/>
  <c r="D37" i="22"/>
  <c r="E37" i="22"/>
  <c r="F37" i="22"/>
  <c r="G37" i="22"/>
  <c r="K37" i="22"/>
  <c r="A38" i="22"/>
  <c r="B38" i="22"/>
  <c r="C38" i="22"/>
  <c r="D38" i="22"/>
  <c r="E38" i="22"/>
  <c r="F38" i="22"/>
  <c r="G38" i="22"/>
  <c r="K38" i="22"/>
  <c r="A39" i="22"/>
  <c r="B39" i="22"/>
  <c r="C39" i="22"/>
  <c r="D39" i="22"/>
  <c r="E39" i="22"/>
  <c r="F39" i="22"/>
  <c r="G39" i="22"/>
  <c r="K39" i="22"/>
  <c r="A40" i="22"/>
  <c r="B40" i="22"/>
  <c r="C40" i="22"/>
  <c r="D40" i="22"/>
  <c r="E40" i="22"/>
  <c r="F40" i="22"/>
  <c r="G40" i="22"/>
  <c r="K40" i="22"/>
  <c r="A41" i="22"/>
  <c r="B41" i="22"/>
  <c r="C41" i="22"/>
  <c r="D41" i="22"/>
  <c r="E41" i="22"/>
  <c r="F41" i="22"/>
  <c r="G41" i="22"/>
  <c r="K41" i="22"/>
  <c r="A42" i="22"/>
  <c r="B42" i="22"/>
  <c r="C42" i="22"/>
  <c r="D42" i="22"/>
  <c r="E42" i="22"/>
  <c r="F42" i="22"/>
  <c r="G42" i="22"/>
  <c r="K42" i="22"/>
  <c r="A43" i="22"/>
  <c r="B43" i="22"/>
  <c r="C43" i="22"/>
  <c r="D43" i="22"/>
  <c r="E43" i="22"/>
  <c r="F43" i="22"/>
  <c r="G43" i="22"/>
  <c r="K43" i="22"/>
  <c r="A44" i="22"/>
  <c r="B44" i="22"/>
  <c r="C44" i="22"/>
  <c r="D44" i="22"/>
  <c r="E44" i="22"/>
  <c r="F44" i="22"/>
  <c r="G44" i="22"/>
  <c r="K44" i="22"/>
  <c r="A45" i="22"/>
  <c r="B45" i="22"/>
  <c r="C45" i="22"/>
  <c r="D45" i="22"/>
  <c r="E45" i="22"/>
  <c r="F45" i="22"/>
  <c r="G45" i="22"/>
  <c r="K45" i="22"/>
  <c r="A46" i="22"/>
  <c r="B46" i="22"/>
  <c r="C46" i="22"/>
  <c r="D46" i="22"/>
  <c r="E46" i="22"/>
  <c r="F46" i="22"/>
  <c r="G46" i="22"/>
  <c r="K46" i="22"/>
  <c r="A47" i="22"/>
  <c r="B47" i="22"/>
  <c r="C47" i="22"/>
  <c r="D47" i="22"/>
  <c r="E47" i="22"/>
  <c r="F47" i="22"/>
  <c r="G47" i="22"/>
  <c r="K47" i="22"/>
  <c r="A48" i="22"/>
  <c r="B48" i="22"/>
  <c r="C48" i="22"/>
  <c r="D48" i="22"/>
  <c r="E48" i="22"/>
  <c r="F48" i="22"/>
  <c r="G48" i="22"/>
  <c r="K48" i="22"/>
  <c r="A49" i="22"/>
  <c r="B49" i="22"/>
  <c r="C49" i="22"/>
  <c r="D49" i="22"/>
  <c r="E49" i="22"/>
  <c r="F49" i="22"/>
  <c r="G49" i="22"/>
  <c r="K49" i="22"/>
  <c r="A50" i="22"/>
  <c r="B50" i="22"/>
  <c r="C50" i="22"/>
  <c r="D50" i="22"/>
  <c r="E50" i="22"/>
  <c r="F50" i="22"/>
  <c r="G50" i="22"/>
  <c r="K50" i="22"/>
  <c r="A51" i="22"/>
  <c r="B51" i="22"/>
  <c r="C51" i="22"/>
  <c r="D51" i="22"/>
  <c r="E51" i="22"/>
  <c r="F51" i="22"/>
  <c r="G51" i="22"/>
  <c r="K51" i="22"/>
  <c r="A52" i="22"/>
  <c r="B52" i="22"/>
  <c r="C52" i="22"/>
  <c r="D52" i="22"/>
  <c r="E52" i="22"/>
  <c r="F52" i="22"/>
  <c r="G52" i="22"/>
  <c r="K52" i="22"/>
  <c r="A3" i="17"/>
  <c r="B3" i="17"/>
  <c r="C3" i="17"/>
  <c r="D3" i="17"/>
  <c r="E3" i="17"/>
  <c r="F3" i="17"/>
  <c r="G3" i="17"/>
  <c r="K3" i="17"/>
  <c r="A4" i="17"/>
  <c r="B4" i="17"/>
  <c r="C4" i="17"/>
  <c r="D4" i="17"/>
  <c r="E4" i="17"/>
  <c r="F4" i="17"/>
  <c r="G4" i="17"/>
  <c r="K4" i="17"/>
  <c r="A5" i="17"/>
  <c r="B5" i="17"/>
  <c r="C5" i="17"/>
  <c r="D5" i="17"/>
  <c r="E5" i="17"/>
  <c r="F5" i="17"/>
  <c r="G5" i="17"/>
  <c r="K5" i="17"/>
  <c r="A6" i="17"/>
  <c r="B6" i="17"/>
  <c r="C6" i="17"/>
  <c r="D6" i="17"/>
  <c r="E6" i="17"/>
  <c r="F6" i="17"/>
  <c r="G6" i="17"/>
  <c r="K6" i="17"/>
  <c r="A7" i="17"/>
  <c r="B7" i="17"/>
  <c r="C7" i="17"/>
  <c r="D7" i="17"/>
  <c r="E7" i="17"/>
  <c r="F7" i="17"/>
  <c r="G7" i="17"/>
  <c r="K7" i="17"/>
  <c r="A8" i="17"/>
  <c r="B8" i="17"/>
  <c r="C8" i="17"/>
  <c r="D8" i="17"/>
  <c r="E8" i="17"/>
  <c r="F8" i="17"/>
  <c r="G8" i="17"/>
  <c r="K8" i="17"/>
  <c r="A9" i="17"/>
  <c r="B9" i="17"/>
  <c r="C9" i="17"/>
  <c r="D9" i="17"/>
  <c r="E9" i="17"/>
  <c r="F9" i="17"/>
  <c r="G9" i="17"/>
  <c r="K9" i="17"/>
  <c r="A10" i="17"/>
  <c r="B10" i="17"/>
  <c r="C10" i="17"/>
  <c r="D10" i="17"/>
  <c r="E10" i="17"/>
  <c r="F10" i="17"/>
  <c r="G10" i="17"/>
  <c r="K10" i="17"/>
  <c r="A11" i="17"/>
  <c r="B11" i="17"/>
  <c r="C11" i="17"/>
  <c r="D11" i="17"/>
  <c r="E11" i="17"/>
  <c r="F11" i="17"/>
  <c r="G11" i="17"/>
  <c r="K11" i="17"/>
  <c r="A12" i="17"/>
  <c r="B12" i="17"/>
  <c r="C12" i="17"/>
  <c r="D12" i="17"/>
  <c r="E12" i="17"/>
  <c r="F12" i="17"/>
  <c r="G12" i="17"/>
  <c r="K12" i="17"/>
  <c r="A13" i="17"/>
  <c r="B13" i="17"/>
  <c r="C13" i="17"/>
  <c r="D13" i="17"/>
  <c r="E13" i="17"/>
  <c r="F13" i="17"/>
  <c r="G13" i="17"/>
  <c r="K13" i="17"/>
  <c r="A14" i="17"/>
  <c r="B14" i="17"/>
  <c r="C14" i="17"/>
  <c r="D14" i="17"/>
  <c r="E14" i="17"/>
  <c r="F14" i="17"/>
  <c r="G14" i="17"/>
  <c r="K14" i="17"/>
  <c r="A15" i="17"/>
  <c r="B15" i="17"/>
  <c r="C15" i="17"/>
  <c r="D15" i="17"/>
  <c r="E15" i="17"/>
  <c r="F15" i="17"/>
  <c r="G15" i="17"/>
  <c r="K15" i="17"/>
  <c r="A16" i="17"/>
  <c r="B16" i="17"/>
  <c r="C16" i="17"/>
  <c r="D16" i="17"/>
  <c r="E16" i="17"/>
  <c r="F16" i="17"/>
  <c r="G16" i="17"/>
  <c r="K16" i="17"/>
  <c r="A17" i="17"/>
  <c r="B17" i="17"/>
  <c r="C17" i="17"/>
  <c r="D17" i="17"/>
  <c r="E17" i="17"/>
  <c r="F17" i="17"/>
  <c r="G17" i="17"/>
  <c r="K17" i="17"/>
  <c r="A18" i="17"/>
  <c r="B18" i="17"/>
  <c r="C18" i="17"/>
  <c r="D18" i="17"/>
  <c r="E18" i="17"/>
  <c r="F18" i="17"/>
  <c r="G18" i="17"/>
  <c r="K18" i="17"/>
  <c r="A19" i="17"/>
  <c r="B19" i="17"/>
  <c r="C19" i="17"/>
  <c r="D19" i="17"/>
  <c r="E19" i="17"/>
  <c r="F19" i="17"/>
  <c r="G19" i="17"/>
  <c r="K19" i="17"/>
  <c r="A20" i="17"/>
  <c r="B20" i="17"/>
  <c r="C20" i="17"/>
  <c r="D20" i="17"/>
  <c r="E20" i="17"/>
  <c r="F20" i="17"/>
  <c r="G20" i="17"/>
  <c r="K20" i="17"/>
  <c r="A21" i="17"/>
  <c r="B21" i="17"/>
  <c r="C21" i="17"/>
  <c r="D21" i="17"/>
  <c r="E21" i="17"/>
  <c r="F21" i="17"/>
  <c r="G21" i="17"/>
  <c r="K21" i="17"/>
  <c r="A22" i="17"/>
  <c r="B22" i="17"/>
  <c r="C22" i="17"/>
  <c r="D22" i="17"/>
  <c r="E22" i="17"/>
  <c r="F22" i="17"/>
  <c r="G22" i="17"/>
  <c r="K22" i="17"/>
  <c r="A23" i="17"/>
  <c r="B23" i="17"/>
  <c r="C23" i="17"/>
  <c r="D23" i="17"/>
  <c r="E23" i="17"/>
  <c r="F23" i="17"/>
  <c r="G23" i="17"/>
  <c r="K23" i="17"/>
  <c r="A24" i="17"/>
  <c r="B24" i="17"/>
  <c r="C24" i="17"/>
  <c r="D24" i="17"/>
  <c r="E24" i="17"/>
  <c r="F24" i="17"/>
  <c r="G24" i="17"/>
  <c r="K24" i="17"/>
  <c r="A25" i="17"/>
  <c r="B25" i="17"/>
  <c r="C25" i="17"/>
  <c r="D25" i="17"/>
  <c r="E25" i="17"/>
  <c r="F25" i="17"/>
  <c r="G25" i="17"/>
  <c r="K25" i="17"/>
  <c r="A26" i="17"/>
  <c r="B26" i="17"/>
  <c r="C26" i="17"/>
  <c r="D26" i="17"/>
  <c r="E26" i="17"/>
  <c r="F26" i="17"/>
  <c r="G26" i="17"/>
  <c r="K26" i="17"/>
  <c r="A27" i="17"/>
  <c r="B27" i="17"/>
  <c r="C27" i="17"/>
  <c r="D27" i="17"/>
  <c r="E27" i="17"/>
  <c r="F27" i="17"/>
  <c r="G27" i="17"/>
  <c r="K27" i="17"/>
  <c r="A28" i="17"/>
  <c r="B28" i="17"/>
  <c r="C28" i="17"/>
  <c r="D28" i="17"/>
  <c r="E28" i="17"/>
  <c r="F28" i="17"/>
  <c r="G28" i="17"/>
  <c r="K28" i="17"/>
  <c r="B3" i="73"/>
  <c r="C3" i="73"/>
  <c r="D3" i="73"/>
  <c r="F3" i="73"/>
  <c r="G3" i="73"/>
  <c r="K3" i="73"/>
  <c r="B4" i="73"/>
  <c r="C4" i="73"/>
  <c r="D4" i="73"/>
  <c r="F4" i="73"/>
  <c r="G4" i="73"/>
  <c r="K4" i="73"/>
  <c r="B5" i="73"/>
  <c r="C5" i="73"/>
  <c r="D5" i="73"/>
  <c r="F5" i="73"/>
  <c r="G5" i="73"/>
  <c r="K5" i="73"/>
  <c r="K2" i="73"/>
  <c r="G2" i="73"/>
  <c r="F2" i="73"/>
  <c r="D2" i="73"/>
  <c r="C2" i="73"/>
  <c r="B2" i="73"/>
  <c r="A73" i="4"/>
  <c r="A74" i="4"/>
  <c r="A75" i="4"/>
  <c r="B73" i="4"/>
  <c r="B74" i="4"/>
  <c r="B75" i="4"/>
  <c r="C73" i="4"/>
  <c r="C74" i="4"/>
  <c r="C75" i="4"/>
  <c r="D73" i="4"/>
  <c r="D74" i="4"/>
  <c r="D75" i="4"/>
  <c r="E73" i="4"/>
  <c r="E74" i="4"/>
  <c r="E75" i="4"/>
  <c r="F73" i="4"/>
  <c r="F74" i="4"/>
  <c r="F75" i="4"/>
  <c r="G73" i="4"/>
  <c r="G74" i="4"/>
  <c r="G75" i="4"/>
  <c r="K73" i="4"/>
  <c r="K74" i="4"/>
  <c r="K75" i="4"/>
  <c r="A3" i="70"/>
  <c r="B3" i="70"/>
  <c r="C3" i="70"/>
  <c r="D3" i="70"/>
  <c r="E3" i="70"/>
  <c r="F3" i="70"/>
  <c r="G3" i="70"/>
  <c r="K3" i="70"/>
  <c r="A4" i="70"/>
  <c r="B4" i="70"/>
  <c r="C4" i="70"/>
  <c r="D4" i="70"/>
  <c r="E4" i="70"/>
  <c r="F4" i="70"/>
  <c r="G4" i="70"/>
  <c r="K4" i="70"/>
  <c r="A5" i="70"/>
  <c r="B5" i="70"/>
  <c r="C5" i="70"/>
  <c r="D5" i="70"/>
  <c r="E5" i="70"/>
  <c r="F5" i="70"/>
  <c r="G5" i="70"/>
  <c r="K5" i="70"/>
  <c r="A6" i="70"/>
  <c r="B6" i="70"/>
  <c r="C6" i="70"/>
  <c r="D6" i="70"/>
  <c r="E6" i="70"/>
  <c r="F6" i="70"/>
  <c r="G6" i="70"/>
  <c r="K6" i="70"/>
  <c r="K2" i="70"/>
  <c r="G2" i="70"/>
  <c r="F2" i="70"/>
  <c r="E2" i="70"/>
  <c r="D2" i="70"/>
  <c r="C2" i="70"/>
  <c r="B2" i="70"/>
  <c r="A2" i="70"/>
  <c r="A41" i="9"/>
  <c r="A42" i="9"/>
  <c r="A43" i="9"/>
  <c r="B41" i="9"/>
  <c r="B42" i="9"/>
  <c r="B43" i="9"/>
  <c r="C41" i="9"/>
  <c r="C42" i="9"/>
  <c r="C43" i="9"/>
  <c r="D41" i="9"/>
  <c r="D42" i="9"/>
  <c r="D43" i="9"/>
  <c r="E41" i="9"/>
  <c r="E42" i="9"/>
  <c r="E43" i="9"/>
  <c r="F41" i="9"/>
  <c r="F42" i="9"/>
  <c r="F43" i="9"/>
  <c r="G41" i="9"/>
  <c r="G42" i="9"/>
  <c r="G43" i="9"/>
  <c r="K41" i="9"/>
  <c r="K42" i="9"/>
  <c r="K43" i="9"/>
  <c r="A92" i="6" l="1"/>
  <c r="A93" i="6"/>
  <c r="A94" i="6"/>
  <c r="A95" i="6"/>
  <c r="B92" i="6"/>
  <c r="B93" i="6"/>
  <c r="B94" i="6"/>
  <c r="B95" i="6"/>
  <c r="C92" i="6"/>
  <c r="C93" i="6"/>
  <c r="C94" i="6"/>
  <c r="C95" i="6"/>
  <c r="D92" i="6"/>
  <c r="D93" i="6"/>
  <c r="D94" i="6"/>
  <c r="D95" i="6"/>
  <c r="E92" i="6"/>
  <c r="E93" i="6"/>
  <c r="E94" i="6"/>
  <c r="E95" i="6"/>
  <c r="F92" i="6"/>
  <c r="F93" i="6"/>
  <c r="F94" i="6"/>
  <c r="F95" i="6"/>
  <c r="G92" i="6"/>
  <c r="G93" i="6"/>
  <c r="G94" i="6"/>
  <c r="G95" i="6"/>
  <c r="K92" i="6"/>
  <c r="K93" i="6"/>
  <c r="K94" i="6"/>
  <c r="K95" i="6"/>
  <c r="E1646" i="84" l="1"/>
  <c r="F1646" i="84"/>
  <c r="G1646" i="84"/>
  <c r="E1647" i="84"/>
  <c r="F1647" i="84"/>
  <c r="G1647" i="84"/>
  <c r="D1646" i="84"/>
  <c r="D1647" i="84"/>
  <c r="K2" i="25" l="1"/>
  <c r="G2" i="25"/>
  <c r="F2" i="25"/>
  <c r="E2" i="25"/>
  <c r="D2" i="25"/>
  <c r="C2" i="25"/>
  <c r="B2" i="25"/>
  <c r="A2" i="25"/>
  <c r="E2" i="29"/>
  <c r="G2" i="29"/>
  <c r="F2" i="29"/>
  <c r="D2" i="29"/>
  <c r="C2" i="29"/>
  <c r="B2" i="29"/>
  <c r="A2" i="29"/>
  <c r="K2" i="29"/>
  <c r="E2" i="19"/>
  <c r="K2" i="19"/>
  <c r="G2" i="19"/>
  <c r="F2" i="19"/>
  <c r="D2" i="19"/>
  <c r="C2" i="19"/>
  <c r="B2" i="19"/>
  <c r="A2" i="19"/>
  <c r="A3" i="27"/>
  <c r="B3" i="27"/>
  <c r="C3" i="27"/>
  <c r="D3" i="27"/>
  <c r="E3" i="27"/>
  <c r="F3" i="27"/>
  <c r="G3" i="27"/>
  <c r="K3" i="27"/>
  <c r="A4" i="27"/>
  <c r="B4" i="27"/>
  <c r="C4" i="27"/>
  <c r="D4" i="27"/>
  <c r="E4" i="27"/>
  <c r="F4" i="27"/>
  <c r="G4" i="27"/>
  <c r="K4" i="27"/>
  <c r="A5" i="27"/>
  <c r="B5" i="27"/>
  <c r="C5" i="27"/>
  <c r="D5" i="27"/>
  <c r="E5" i="27"/>
  <c r="F5" i="27"/>
  <c r="G5" i="27"/>
  <c r="K5" i="27"/>
  <c r="A6" i="27"/>
  <c r="B6" i="27"/>
  <c r="C6" i="27"/>
  <c r="D6" i="27"/>
  <c r="E6" i="27"/>
  <c r="F6" i="27"/>
  <c r="G6" i="27"/>
  <c r="K6" i="27"/>
  <c r="A7" i="27"/>
  <c r="B7" i="27"/>
  <c r="C7" i="27"/>
  <c r="D7" i="27"/>
  <c r="E7" i="27"/>
  <c r="F7" i="27"/>
  <c r="G7" i="27"/>
  <c r="K7" i="27"/>
  <c r="A8" i="27"/>
  <c r="B8" i="27"/>
  <c r="C8" i="27"/>
  <c r="D8" i="27"/>
  <c r="E8" i="27"/>
  <c r="F8" i="27"/>
  <c r="G8" i="27"/>
  <c r="K8" i="27"/>
  <c r="A9" i="27"/>
  <c r="B9" i="27"/>
  <c r="C9" i="27"/>
  <c r="D9" i="27"/>
  <c r="E9" i="27"/>
  <c r="F9" i="27"/>
  <c r="G9" i="27"/>
  <c r="K9" i="27"/>
  <c r="G2" i="27"/>
  <c r="F2" i="27"/>
  <c r="D2" i="27"/>
  <c r="C2" i="27"/>
  <c r="B2" i="27"/>
  <c r="A2" i="27"/>
  <c r="K2" i="27"/>
  <c r="E2" i="27"/>
  <c r="E2" i="23"/>
  <c r="E3" i="23"/>
  <c r="A3" i="23"/>
  <c r="B3" i="23"/>
  <c r="C3" i="23"/>
  <c r="D3" i="23"/>
  <c r="F3" i="23"/>
  <c r="G3" i="23"/>
  <c r="K3" i="23"/>
  <c r="A2" i="23"/>
  <c r="B2" i="23"/>
  <c r="C2" i="23"/>
  <c r="D2" i="23"/>
  <c r="F2" i="23"/>
  <c r="G2" i="23"/>
  <c r="K2" i="23"/>
  <c r="A23" i="16"/>
  <c r="B23" i="16"/>
  <c r="C23" i="16"/>
  <c r="D23" i="16"/>
  <c r="E23" i="16"/>
  <c r="F23" i="16"/>
  <c r="G23" i="16"/>
  <c r="K23" i="16"/>
  <c r="A24" i="16"/>
  <c r="B24" i="16"/>
  <c r="C24" i="16"/>
  <c r="D24" i="16"/>
  <c r="E24" i="16"/>
  <c r="F24" i="16"/>
  <c r="G24" i="16"/>
  <c r="K24" i="16"/>
  <c r="A3" i="16"/>
  <c r="B3" i="16"/>
  <c r="C3" i="16"/>
  <c r="D3" i="16"/>
  <c r="E3" i="16"/>
  <c r="F3" i="16"/>
  <c r="G3" i="16"/>
  <c r="K3" i="16"/>
  <c r="A4" i="16"/>
  <c r="B4" i="16"/>
  <c r="C4" i="16"/>
  <c r="D4" i="16"/>
  <c r="E4" i="16"/>
  <c r="F4" i="16"/>
  <c r="G4" i="16"/>
  <c r="K4" i="16"/>
  <c r="A5" i="16"/>
  <c r="B5" i="16"/>
  <c r="C5" i="16"/>
  <c r="D5" i="16"/>
  <c r="E5" i="16"/>
  <c r="F5" i="16"/>
  <c r="G5" i="16"/>
  <c r="K5" i="16"/>
  <c r="A6" i="16"/>
  <c r="B6" i="16"/>
  <c r="C6" i="16"/>
  <c r="D6" i="16"/>
  <c r="E6" i="16"/>
  <c r="F6" i="16"/>
  <c r="G6" i="16"/>
  <c r="K6" i="16"/>
  <c r="A7" i="16"/>
  <c r="B7" i="16"/>
  <c r="C7" i="16"/>
  <c r="D7" i="16"/>
  <c r="E7" i="16"/>
  <c r="F7" i="16"/>
  <c r="G7" i="16"/>
  <c r="K7" i="16"/>
  <c r="A8" i="16"/>
  <c r="B8" i="16"/>
  <c r="C8" i="16"/>
  <c r="D8" i="16"/>
  <c r="E8" i="16"/>
  <c r="F8" i="16"/>
  <c r="G8" i="16"/>
  <c r="K8" i="16"/>
  <c r="A9" i="16"/>
  <c r="B9" i="16"/>
  <c r="C9" i="16"/>
  <c r="D9" i="16"/>
  <c r="E9" i="16"/>
  <c r="F9" i="16"/>
  <c r="G9" i="16"/>
  <c r="K9" i="16"/>
  <c r="A10" i="16"/>
  <c r="B10" i="16"/>
  <c r="C10" i="16"/>
  <c r="D10" i="16"/>
  <c r="E10" i="16"/>
  <c r="F10" i="16"/>
  <c r="G10" i="16"/>
  <c r="K10" i="16"/>
  <c r="A11" i="16"/>
  <c r="B11" i="16"/>
  <c r="C11" i="16"/>
  <c r="D11" i="16"/>
  <c r="E11" i="16"/>
  <c r="F11" i="16"/>
  <c r="G11" i="16"/>
  <c r="K11" i="16"/>
  <c r="A12" i="16"/>
  <c r="B12" i="16"/>
  <c r="C12" i="16"/>
  <c r="D12" i="16"/>
  <c r="E12" i="16"/>
  <c r="F12" i="16"/>
  <c r="G12" i="16"/>
  <c r="K12" i="16"/>
  <c r="A13" i="16"/>
  <c r="B13" i="16"/>
  <c r="C13" i="16"/>
  <c r="D13" i="16"/>
  <c r="E13" i="16"/>
  <c r="F13" i="16"/>
  <c r="G13" i="16"/>
  <c r="K13" i="16"/>
  <c r="A14" i="16"/>
  <c r="B14" i="16"/>
  <c r="C14" i="16"/>
  <c r="D14" i="16"/>
  <c r="E14" i="16"/>
  <c r="F14" i="16"/>
  <c r="G14" i="16"/>
  <c r="K14" i="16"/>
  <c r="A15" i="16"/>
  <c r="B15" i="16"/>
  <c r="C15" i="16"/>
  <c r="D15" i="16"/>
  <c r="E15" i="16"/>
  <c r="F15" i="16"/>
  <c r="G15" i="16"/>
  <c r="K15" i="16"/>
  <c r="A16" i="16"/>
  <c r="B16" i="16"/>
  <c r="C16" i="16"/>
  <c r="D16" i="16"/>
  <c r="E16" i="16"/>
  <c r="F16" i="16"/>
  <c r="G16" i="16"/>
  <c r="K16" i="16"/>
  <c r="A17" i="16"/>
  <c r="B17" i="16"/>
  <c r="C17" i="16"/>
  <c r="D17" i="16"/>
  <c r="E17" i="16"/>
  <c r="F17" i="16"/>
  <c r="G17" i="16"/>
  <c r="K17" i="16"/>
  <c r="A18" i="16"/>
  <c r="B18" i="16"/>
  <c r="C18" i="16"/>
  <c r="D18" i="16"/>
  <c r="E18" i="16"/>
  <c r="F18" i="16"/>
  <c r="G18" i="16"/>
  <c r="K18" i="16"/>
  <c r="A19" i="16"/>
  <c r="B19" i="16"/>
  <c r="C19" i="16"/>
  <c r="D19" i="16"/>
  <c r="E19" i="16"/>
  <c r="F19" i="16"/>
  <c r="G19" i="16"/>
  <c r="K19" i="16"/>
  <c r="A20" i="16"/>
  <c r="B20" i="16"/>
  <c r="C20" i="16"/>
  <c r="D20" i="16"/>
  <c r="E20" i="16"/>
  <c r="F20" i="16"/>
  <c r="G20" i="16"/>
  <c r="K20" i="16"/>
  <c r="A21" i="16"/>
  <c r="B21" i="16"/>
  <c r="C21" i="16"/>
  <c r="D21" i="16"/>
  <c r="E21" i="16"/>
  <c r="F21" i="16"/>
  <c r="G21" i="16"/>
  <c r="K21" i="16"/>
  <c r="A22" i="16"/>
  <c r="B22" i="16"/>
  <c r="C22" i="16"/>
  <c r="D22" i="16"/>
  <c r="E22" i="16"/>
  <c r="F22" i="16"/>
  <c r="G22" i="16"/>
  <c r="K22" i="16"/>
  <c r="G2" i="16"/>
  <c r="F2" i="16"/>
  <c r="E2" i="16"/>
  <c r="D2" i="16"/>
  <c r="C2" i="16"/>
  <c r="B2" i="16"/>
  <c r="A2" i="16"/>
  <c r="K2" i="16"/>
  <c r="E2" i="21"/>
  <c r="A2" i="21"/>
  <c r="B2" i="21"/>
  <c r="C2" i="21"/>
  <c r="D2" i="21"/>
  <c r="F2" i="21"/>
  <c r="G2" i="21"/>
  <c r="K2" i="21"/>
  <c r="E2" i="26"/>
  <c r="K2" i="26"/>
  <c r="G2" i="26"/>
  <c r="F2" i="26"/>
  <c r="D2" i="26"/>
  <c r="C2" i="26"/>
  <c r="B2" i="26"/>
  <c r="A2" i="26"/>
  <c r="E2" i="30"/>
  <c r="G2" i="30"/>
  <c r="F2" i="30"/>
  <c r="D2" i="30"/>
  <c r="C2" i="30"/>
  <c r="B2" i="30"/>
  <c r="A2" i="30"/>
  <c r="K2" i="30"/>
  <c r="E2" i="20"/>
  <c r="G2" i="20"/>
  <c r="F2" i="20"/>
  <c r="D2" i="20"/>
  <c r="C2" i="20"/>
  <c r="B2" i="20"/>
  <c r="A2" i="20"/>
  <c r="K2" i="20"/>
  <c r="A8" i="28"/>
  <c r="B8" i="28"/>
  <c r="C8" i="28"/>
  <c r="D8" i="28"/>
  <c r="E8" i="28"/>
  <c r="F8" i="28"/>
  <c r="G8" i="28"/>
  <c r="K8" i="28"/>
  <c r="A3" i="28"/>
  <c r="B3" i="28"/>
  <c r="C3" i="28"/>
  <c r="D3" i="28"/>
  <c r="E3" i="28"/>
  <c r="F3" i="28"/>
  <c r="G3" i="28"/>
  <c r="K3" i="28"/>
  <c r="A4" i="28"/>
  <c r="B4" i="28"/>
  <c r="C4" i="28"/>
  <c r="D4" i="28"/>
  <c r="E4" i="28"/>
  <c r="F4" i="28"/>
  <c r="G4" i="28"/>
  <c r="K4" i="28"/>
  <c r="A5" i="28"/>
  <c r="B5" i="28"/>
  <c r="C5" i="28"/>
  <c r="D5" i="28"/>
  <c r="E5" i="28"/>
  <c r="F5" i="28"/>
  <c r="G5" i="28"/>
  <c r="K5" i="28"/>
  <c r="A6" i="28"/>
  <c r="B6" i="28"/>
  <c r="C6" i="28"/>
  <c r="D6" i="28"/>
  <c r="E6" i="28"/>
  <c r="F6" i="28"/>
  <c r="G6" i="28"/>
  <c r="K6" i="28"/>
  <c r="A7" i="28"/>
  <c r="B7" i="28"/>
  <c r="C7" i="28"/>
  <c r="D7" i="28"/>
  <c r="E7" i="28"/>
  <c r="F7" i="28"/>
  <c r="G7" i="28"/>
  <c r="K7" i="28"/>
  <c r="E2" i="28"/>
  <c r="K2" i="28"/>
  <c r="G2" i="28"/>
  <c r="F2" i="28"/>
  <c r="D2" i="28"/>
  <c r="C2" i="28"/>
  <c r="B2" i="28"/>
  <c r="A2" i="28"/>
  <c r="A3" i="24"/>
  <c r="B3" i="24"/>
  <c r="C3" i="24"/>
  <c r="D3" i="24"/>
  <c r="E3" i="24"/>
  <c r="F3" i="24"/>
  <c r="G3" i="24"/>
  <c r="K3" i="24"/>
  <c r="A4" i="24"/>
  <c r="B4" i="24"/>
  <c r="C4" i="24"/>
  <c r="D4" i="24"/>
  <c r="E4" i="24"/>
  <c r="F4" i="24"/>
  <c r="G4" i="24"/>
  <c r="K4" i="24"/>
  <c r="A5" i="24"/>
  <c r="B5" i="24"/>
  <c r="C5" i="24"/>
  <c r="D5" i="24"/>
  <c r="E5" i="24"/>
  <c r="F5" i="24"/>
  <c r="G5" i="24"/>
  <c r="K5" i="24"/>
  <c r="A6" i="24"/>
  <c r="B6" i="24"/>
  <c r="C6" i="24"/>
  <c r="D6" i="24"/>
  <c r="E6" i="24"/>
  <c r="F6" i="24"/>
  <c r="G6" i="24"/>
  <c r="K6" i="24"/>
  <c r="A7" i="24"/>
  <c r="B7" i="24"/>
  <c r="C7" i="24"/>
  <c r="D7" i="24"/>
  <c r="E7" i="24"/>
  <c r="F7" i="24"/>
  <c r="G7" i="24"/>
  <c r="K7" i="24"/>
  <c r="A8" i="24"/>
  <c r="B8" i="24"/>
  <c r="C8" i="24"/>
  <c r="D8" i="24"/>
  <c r="E8" i="24"/>
  <c r="F8" i="24"/>
  <c r="G8" i="24"/>
  <c r="K8" i="24"/>
  <c r="A9" i="24"/>
  <c r="B9" i="24"/>
  <c r="C9" i="24"/>
  <c r="D9" i="24"/>
  <c r="E9" i="24"/>
  <c r="F9" i="24"/>
  <c r="G9" i="24"/>
  <c r="K9" i="24"/>
  <c r="A10" i="24"/>
  <c r="B10" i="24"/>
  <c r="C10" i="24"/>
  <c r="D10" i="24"/>
  <c r="E10" i="24"/>
  <c r="F10" i="24"/>
  <c r="G10" i="24"/>
  <c r="K10" i="24"/>
  <c r="A11" i="24"/>
  <c r="B11" i="24"/>
  <c r="C11" i="24"/>
  <c r="D11" i="24"/>
  <c r="E11" i="24"/>
  <c r="F11" i="24"/>
  <c r="G11" i="24"/>
  <c r="K11" i="24"/>
  <c r="A12" i="24"/>
  <c r="B12" i="24"/>
  <c r="C12" i="24"/>
  <c r="D12" i="24"/>
  <c r="E12" i="24"/>
  <c r="F12" i="24"/>
  <c r="G12" i="24"/>
  <c r="K12" i="24"/>
  <c r="A13" i="24"/>
  <c r="B13" i="24"/>
  <c r="C13" i="24"/>
  <c r="D13" i="24"/>
  <c r="E13" i="24"/>
  <c r="F13" i="24"/>
  <c r="G13" i="24"/>
  <c r="K13" i="24"/>
  <c r="A14" i="24"/>
  <c r="B14" i="24"/>
  <c r="C14" i="24"/>
  <c r="D14" i="24"/>
  <c r="E14" i="24"/>
  <c r="F14" i="24"/>
  <c r="G14" i="24"/>
  <c r="K14" i="24"/>
  <c r="A15" i="24"/>
  <c r="B15" i="24"/>
  <c r="C15" i="24"/>
  <c r="D15" i="24"/>
  <c r="E15" i="24"/>
  <c r="F15" i="24"/>
  <c r="G15" i="24"/>
  <c r="K15" i="24"/>
  <c r="A16" i="24"/>
  <c r="B16" i="24"/>
  <c r="C16" i="24"/>
  <c r="D16" i="24"/>
  <c r="E16" i="24"/>
  <c r="F16" i="24"/>
  <c r="G16" i="24"/>
  <c r="K16" i="24"/>
  <c r="A17" i="24"/>
  <c r="B17" i="24"/>
  <c r="C17" i="24"/>
  <c r="D17" i="24"/>
  <c r="E17" i="24"/>
  <c r="F17" i="24"/>
  <c r="G17" i="24"/>
  <c r="K17" i="24"/>
  <c r="A18" i="24"/>
  <c r="B18" i="24"/>
  <c r="C18" i="24"/>
  <c r="D18" i="24"/>
  <c r="E18" i="24"/>
  <c r="F18" i="24"/>
  <c r="G18" i="24"/>
  <c r="K18" i="24"/>
  <c r="A19" i="24"/>
  <c r="B19" i="24"/>
  <c r="C19" i="24"/>
  <c r="D19" i="24"/>
  <c r="E19" i="24"/>
  <c r="F19" i="24"/>
  <c r="G19" i="24"/>
  <c r="K19" i="24"/>
  <c r="K2" i="24"/>
  <c r="G2" i="24"/>
  <c r="F2" i="24"/>
  <c r="E2" i="24"/>
  <c r="D2" i="24"/>
  <c r="C2" i="24"/>
  <c r="B2" i="24"/>
  <c r="A2" i="24"/>
  <c r="K2" i="17"/>
  <c r="G2" i="17"/>
  <c r="F2" i="17"/>
  <c r="E2" i="17"/>
  <c r="D2" i="17"/>
  <c r="C2" i="17"/>
  <c r="B2" i="17"/>
  <c r="A2" i="17"/>
  <c r="E2" i="22"/>
  <c r="G2" i="22"/>
  <c r="F2" i="22"/>
  <c r="D2" i="22"/>
  <c r="C2" i="22"/>
  <c r="B2" i="22"/>
  <c r="A2" i="22"/>
  <c r="K2" i="22"/>
  <c r="A3" i="72"/>
  <c r="B3" i="72"/>
  <c r="C3" i="72"/>
  <c r="D3" i="72"/>
  <c r="E3" i="72"/>
  <c r="F3" i="72"/>
  <c r="G3" i="72"/>
  <c r="K3" i="72"/>
  <c r="A4" i="72"/>
  <c r="B4" i="72"/>
  <c r="C4" i="72"/>
  <c r="D4" i="72"/>
  <c r="E4" i="72"/>
  <c r="F4" i="72"/>
  <c r="G4" i="72"/>
  <c r="K4" i="72"/>
  <c r="A5" i="72"/>
  <c r="B5" i="72"/>
  <c r="C5" i="72"/>
  <c r="D5" i="72"/>
  <c r="E5" i="72"/>
  <c r="F5" i="72"/>
  <c r="G5" i="72"/>
  <c r="K5" i="72"/>
  <c r="A6" i="72"/>
  <c r="B6" i="72"/>
  <c r="C6" i="72"/>
  <c r="D6" i="72"/>
  <c r="E6" i="72"/>
  <c r="F6" i="72"/>
  <c r="G6" i="72"/>
  <c r="K6" i="72"/>
  <c r="A7" i="72"/>
  <c r="B7" i="72"/>
  <c r="C7" i="72"/>
  <c r="D7" i="72"/>
  <c r="E7" i="72"/>
  <c r="F7" i="72"/>
  <c r="G7" i="72"/>
  <c r="K7" i="72"/>
  <c r="A8" i="72"/>
  <c r="B8" i="72"/>
  <c r="C8" i="72"/>
  <c r="D8" i="72"/>
  <c r="E8" i="72"/>
  <c r="F8" i="72"/>
  <c r="G8" i="72"/>
  <c r="K8" i="72"/>
  <c r="A9" i="72"/>
  <c r="B9" i="72"/>
  <c r="C9" i="72"/>
  <c r="D9" i="72"/>
  <c r="E9" i="72"/>
  <c r="F9" i="72"/>
  <c r="G9" i="72"/>
  <c r="K9" i="72"/>
  <c r="G2" i="72"/>
  <c r="F2" i="72"/>
  <c r="D2" i="72"/>
  <c r="C2" i="72"/>
  <c r="B2" i="72"/>
  <c r="A2" i="72"/>
  <c r="K2" i="72"/>
  <c r="E2" i="72"/>
  <c r="K2" i="67"/>
  <c r="G2" i="67"/>
  <c r="E2" i="67"/>
  <c r="F2" i="67"/>
  <c r="D2" i="67"/>
  <c r="C2" i="67"/>
  <c r="B2" i="67"/>
  <c r="A2" i="67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A3" i="32"/>
  <c r="B3" i="32"/>
  <c r="C3" i="32"/>
  <c r="D3" i="32"/>
  <c r="E3" i="32"/>
  <c r="F3" i="32"/>
  <c r="G3" i="32"/>
  <c r="K3" i="32"/>
  <c r="E2" i="32"/>
  <c r="K2" i="32"/>
  <c r="A2" i="32"/>
  <c r="B2" i="32"/>
  <c r="C2" i="32"/>
  <c r="D2" i="32"/>
  <c r="F2" i="32"/>
  <c r="G2" i="32"/>
  <c r="A3" i="15"/>
  <c r="B3" i="15"/>
  <c r="C3" i="15"/>
  <c r="D3" i="15"/>
  <c r="E3" i="15"/>
  <c r="F3" i="15"/>
  <c r="G3" i="15"/>
  <c r="K3" i="15"/>
  <c r="A4" i="15"/>
  <c r="B4" i="15"/>
  <c r="C4" i="15"/>
  <c r="D4" i="15"/>
  <c r="E4" i="15"/>
  <c r="F4" i="15"/>
  <c r="G4" i="15"/>
  <c r="K4" i="15"/>
  <c r="A5" i="15"/>
  <c r="B5" i="15"/>
  <c r="C5" i="15"/>
  <c r="D5" i="15"/>
  <c r="E5" i="15"/>
  <c r="F5" i="15"/>
  <c r="G5" i="15"/>
  <c r="K5" i="15"/>
  <c r="A6" i="15"/>
  <c r="B6" i="15"/>
  <c r="C6" i="15"/>
  <c r="D6" i="15"/>
  <c r="E6" i="15"/>
  <c r="F6" i="15"/>
  <c r="G6" i="15"/>
  <c r="K6" i="15"/>
  <c r="A7" i="15"/>
  <c r="B7" i="15"/>
  <c r="C7" i="15"/>
  <c r="D7" i="15"/>
  <c r="E7" i="15"/>
  <c r="F7" i="15"/>
  <c r="G7" i="15"/>
  <c r="K7" i="15"/>
  <c r="A8" i="15"/>
  <c r="B8" i="15"/>
  <c r="C8" i="15"/>
  <c r="D8" i="15"/>
  <c r="E8" i="15"/>
  <c r="F8" i="15"/>
  <c r="G8" i="15"/>
  <c r="K8" i="15"/>
  <c r="A9" i="15"/>
  <c r="B9" i="15"/>
  <c r="C9" i="15"/>
  <c r="D9" i="15"/>
  <c r="E9" i="15"/>
  <c r="F9" i="15"/>
  <c r="G9" i="15"/>
  <c r="K9" i="15"/>
  <c r="A10" i="15"/>
  <c r="B10" i="15"/>
  <c r="C10" i="15"/>
  <c r="D10" i="15"/>
  <c r="E10" i="15"/>
  <c r="F10" i="15"/>
  <c r="G10" i="15"/>
  <c r="K10" i="15"/>
  <c r="A11" i="15"/>
  <c r="B11" i="15"/>
  <c r="C11" i="15"/>
  <c r="D11" i="15"/>
  <c r="E11" i="15"/>
  <c r="F11" i="15"/>
  <c r="G11" i="15"/>
  <c r="K11" i="15"/>
  <c r="A12" i="15"/>
  <c r="B12" i="15"/>
  <c r="C12" i="15"/>
  <c r="D12" i="15"/>
  <c r="E12" i="15"/>
  <c r="F12" i="15"/>
  <c r="G12" i="15"/>
  <c r="K12" i="15"/>
  <c r="A13" i="15"/>
  <c r="B13" i="15"/>
  <c r="C13" i="15"/>
  <c r="D13" i="15"/>
  <c r="E13" i="15"/>
  <c r="F13" i="15"/>
  <c r="G13" i="15"/>
  <c r="K13" i="15"/>
  <c r="A14" i="15"/>
  <c r="B14" i="15"/>
  <c r="C14" i="15"/>
  <c r="D14" i="15"/>
  <c r="E14" i="15"/>
  <c r="F14" i="15"/>
  <c r="G14" i="15"/>
  <c r="K14" i="15"/>
  <c r="A15" i="15"/>
  <c r="B15" i="15"/>
  <c r="C15" i="15"/>
  <c r="D15" i="15"/>
  <c r="E15" i="15"/>
  <c r="F15" i="15"/>
  <c r="G15" i="15"/>
  <c r="K15" i="15"/>
  <c r="A16" i="15"/>
  <c r="B16" i="15"/>
  <c r="C16" i="15"/>
  <c r="D16" i="15"/>
  <c r="E16" i="15"/>
  <c r="F16" i="15"/>
  <c r="G16" i="15"/>
  <c r="K16" i="15"/>
  <c r="A17" i="15"/>
  <c r="B17" i="15"/>
  <c r="C17" i="15"/>
  <c r="D17" i="15"/>
  <c r="E17" i="15"/>
  <c r="F17" i="15"/>
  <c r="G17" i="15"/>
  <c r="K17" i="15"/>
  <c r="A18" i="15"/>
  <c r="B18" i="15"/>
  <c r="C18" i="15"/>
  <c r="D18" i="15"/>
  <c r="E18" i="15"/>
  <c r="F18" i="15"/>
  <c r="G18" i="15"/>
  <c r="K18" i="15"/>
  <c r="G2" i="15"/>
  <c r="F2" i="15"/>
  <c r="E2" i="15"/>
  <c r="D2" i="15"/>
  <c r="C2" i="15"/>
  <c r="B2" i="15"/>
  <c r="A2" i="15"/>
  <c r="K2" i="15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A3" i="13"/>
  <c r="B3" i="13"/>
  <c r="C3" i="13"/>
  <c r="D3" i="13"/>
  <c r="F3" i="13"/>
  <c r="G3" i="13"/>
  <c r="K3" i="13"/>
  <c r="A4" i="13"/>
  <c r="B4" i="13"/>
  <c r="C4" i="13"/>
  <c r="D4" i="13"/>
  <c r="F4" i="13"/>
  <c r="G4" i="13"/>
  <c r="K4" i="13"/>
  <c r="A5" i="13"/>
  <c r="B5" i="13"/>
  <c r="C5" i="13"/>
  <c r="D5" i="13"/>
  <c r="F5" i="13"/>
  <c r="G5" i="13"/>
  <c r="K5" i="13"/>
  <c r="A6" i="13"/>
  <c r="B6" i="13"/>
  <c r="C6" i="13"/>
  <c r="D6" i="13"/>
  <c r="F6" i="13"/>
  <c r="G6" i="13"/>
  <c r="K6" i="13"/>
  <c r="A7" i="13"/>
  <c r="B7" i="13"/>
  <c r="C7" i="13"/>
  <c r="D7" i="13"/>
  <c r="F7" i="13"/>
  <c r="G7" i="13"/>
  <c r="K7" i="13"/>
  <c r="A8" i="13"/>
  <c r="B8" i="13"/>
  <c r="C8" i="13"/>
  <c r="D8" i="13"/>
  <c r="F8" i="13"/>
  <c r="G8" i="13"/>
  <c r="K8" i="13"/>
  <c r="A9" i="13"/>
  <c r="B9" i="13"/>
  <c r="C9" i="13"/>
  <c r="D9" i="13"/>
  <c r="F9" i="13"/>
  <c r="G9" i="13"/>
  <c r="K9" i="13"/>
  <c r="A10" i="13"/>
  <c r="B10" i="13"/>
  <c r="C10" i="13"/>
  <c r="D10" i="13"/>
  <c r="F10" i="13"/>
  <c r="G10" i="13"/>
  <c r="K10" i="13"/>
  <c r="A11" i="13"/>
  <c r="B11" i="13"/>
  <c r="C11" i="13"/>
  <c r="D11" i="13"/>
  <c r="F11" i="13"/>
  <c r="G11" i="13"/>
  <c r="K11" i="13"/>
  <c r="A12" i="13"/>
  <c r="B12" i="13"/>
  <c r="C12" i="13"/>
  <c r="D12" i="13"/>
  <c r="F12" i="13"/>
  <c r="G12" i="13"/>
  <c r="K12" i="13"/>
  <c r="A13" i="13"/>
  <c r="B13" i="13"/>
  <c r="C13" i="13"/>
  <c r="D13" i="13"/>
  <c r="F13" i="13"/>
  <c r="G13" i="13"/>
  <c r="K13" i="13"/>
  <c r="A14" i="13"/>
  <c r="B14" i="13"/>
  <c r="C14" i="13"/>
  <c r="D14" i="13"/>
  <c r="F14" i="13"/>
  <c r="G14" i="13"/>
  <c r="K14" i="13"/>
  <c r="G2" i="13"/>
  <c r="F2" i="13"/>
  <c r="D2" i="13"/>
  <c r="C2" i="13"/>
  <c r="B2" i="13"/>
  <c r="A2" i="13"/>
  <c r="K2" i="13"/>
  <c r="A3" i="11"/>
  <c r="B3" i="11"/>
  <c r="C3" i="11"/>
  <c r="D3" i="11"/>
  <c r="F3" i="11"/>
  <c r="G3" i="11"/>
  <c r="K3" i="11"/>
  <c r="A4" i="11"/>
  <c r="B4" i="11"/>
  <c r="C4" i="11"/>
  <c r="D4" i="11"/>
  <c r="F4" i="11"/>
  <c r="G4" i="11"/>
  <c r="K4" i="11"/>
  <c r="A5" i="11"/>
  <c r="B5" i="11"/>
  <c r="C5" i="11"/>
  <c r="D5" i="11"/>
  <c r="F5" i="11"/>
  <c r="G5" i="11"/>
  <c r="K5" i="11"/>
  <c r="A6" i="11"/>
  <c r="B6" i="11"/>
  <c r="C6" i="11"/>
  <c r="D6" i="11"/>
  <c r="F6" i="11"/>
  <c r="G6" i="11"/>
  <c r="K6" i="11"/>
  <c r="A7" i="11"/>
  <c r="B7" i="11"/>
  <c r="C7" i="11"/>
  <c r="D7" i="11"/>
  <c r="F7" i="11"/>
  <c r="G7" i="11"/>
  <c r="K7" i="11"/>
  <c r="A8" i="11"/>
  <c r="B8" i="11"/>
  <c r="C8" i="11"/>
  <c r="D8" i="11"/>
  <c r="F8" i="11"/>
  <c r="G8" i="11"/>
  <c r="K8" i="11"/>
  <c r="A9" i="11"/>
  <c r="B9" i="11"/>
  <c r="C9" i="11"/>
  <c r="D9" i="11"/>
  <c r="F9" i="11"/>
  <c r="G9" i="11"/>
  <c r="K9" i="11"/>
  <c r="A10" i="11"/>
  <c r="B10" i="11"/>
  <c r="C10" i="11"/>
  <c r="D10" i="11"/>
  <c r="F10" i="11"/>
  <c r="G10" i="11"/>
  <c r="K10" i="11"/>
  <c r="A11" i="11"/>
  <c r="B11" i="11"/>
  <c r="C11" i="11"/>
  <c r="D11" i="11"/>
  <c r="F11" i="11"/>
  <c r="G11" i="11"/>
  <c r="K11" i="11"/>
  <c r="A12" i="11"/>
  <c r="B12" i="11"/>
  <c r="C12" i="11"/>
  <c r="D12" i="11"/>
  <c r="F12" i="11"/>
  <c r="G12" i="11"/>
  <c r="K12" i="11"/>
  <c r="A13" i="11"/>
  <c r="B13" i="11"/>
  <c r="C13" i="11"/>
  <c r="D13" i="11"/>
  <c r="F13" i="11"/>
  <c r="G13" i="11"/>
  <c r="K13" i="11"/>
  <c r="A14" i="11"/>
  <c r="B14" i="11"/>
  <c r="C14" i="11"/>
  <c r="D14" i="11"/>
  <c r="F14" i="11"/>
  <c r="G14" i="11"/>
  <c r="K14" i="11"/>
  <c r="A15" i="11"/>
  <c r="B15" i="11"/>
  <c r="C15" i="11"/>
  <c r="D15" i="11"/>
  <c r="F15" i="11"/>
  <c r="G15" i="11"/>
  <c r="K15" i="11"/>
  <c r="A16" i="11"/>
  <c r="B16" i="11"/>
  <c r="C16" i="11"/>
  <c r="D16" i="11"/>
  <c r="F16" i="11"/>
  <c r="G16" i="11"/>
  <c r="K16" i="11"/>
  <c r="A17" i="11"/>
  <c r="B17" i="11"/>
  <c r="C17" i="11"/>
  <c r="D17" i="11"/>
  <c r="F17" i="11"/>
  <c r="G17" i="11"/>
  <c r="K17" i="11"/>
  <c r="A18" i="11"/>
  <c r="B18" i="11"/>
  <c r="C18" i="11"/>
  <c r="D18" i="11"/>
  <c r="F18" i="11"/>
  <c r="G18" i="11"/>
  <c r="K18" i="11"/>
  <c r="A19" i="11"/>
  <c r="B19" i="11"/>
  <c r="C19" i="11"/>
  <c r="D19" i="11"/>
  <c r="F19" i="11"/>
  <c r="G19" i="11"/>
  <c r="K19" i="11"/>
  <c r="A20" i="11"/>
  <c r="B20" i="11"/>
  <c r="C20" i="11"/>
  <c r="D20" i="11"/>
  <c r="F20" i="11"/>
  <c r="G20" i="11"/>
  <c r="K20" i="11"/>
  <c r="A21" i="11"/>
  <c r="B21" i="11"/>
  <c r="C21" i="11"/>
  <c r="D21" i="11"/>
  <c r="F21" i="11"/>
  <c r="G21" i="11"/>
  <c r="K21" i="11"/>
  <c r="A22" i="11"/>
  <c r="B22" i="11"/>
  <c r="C22" i="11"/>
  <c r="D22" i="11"/>
  <c r="F22" i="11"/>
  <c r="G22" i="11"/>
  <c r="K22" i="11"/>
  <c r="A23" i="11"/>
  <c r="B23" i="11"/>
  <c r="C23" i="11"/>
  <c r="D23" i="11"/>
  <c r="F23" i="11"/>
  <c r="G23" i="11"/>
  <c r="K23" i="11"/>
  <c r="A24" i="11"/>
  <c r="B24" i="11"/>
  <c r="C24" i="11"/>
  <c r="D24" i="11"/>
  <c r="F24" i="11"/>
  <c r="G24" i="11"/>
  <c r="K24" i="11"/>
  <c r="A25" i="11"/>
  <c r="B25" i="11"/>
  <c r="C25" i="11"/>
  <c r="D25" i="11"/>
  <c r="F25" i="11"/>
  <c r="G25" i="11"/>
  <c r="K25" i="11"/>
  <c r="A26" i="11"/>
  <c r="B26" i="11"/>
  <c r="C26" i="11"/>
  <c r="D26" i="11"/>
  <c r="F26" i="11"/>
  <c r="G26" i="11"/>
  <c r="K26" i="11"/>
  <c r="A27" i="11"/>
  <c r="B27" i="11"/>
  <c r="C27" i="11"/>
  <c r="D27" i="11"/>
  <c r="F27" i="11"/>
  <c r="G27" i="11"/>
  <c r="K27" i="11"/>
  <c r="A28" i="11"/>
  <c r="B28" i="11"/>
  <c r="C28" i="11"/>
  <c r="D28" i="11"/>
  <c r="F28" i="11"/>
  <c r="G28" i="11"/>
  <c r="K28" i="11"/>
  <c r="A29" i="11"/>
  <c r="B29" i="11"/>
  <c r="C29" i="11"/>
  <c r="D29" i="11"/>
  <c r="F29" i="11"/>
  <c r="G29" i="11"/>
  <c r="K29" i="11"/>
  <c r="A30" i="11"/>
  <c r="B30" i="11"/>
  <c r="C30" i="11"/>
  <c r="D30" i="11"/>
  <c r="F30" i="11"/>
  <c r="G30" i="11"/>
  <c r="K30" i="11"/>
  <c r="A31" i="11"/>
  <c r="B31" i="11"/>
  <c r="C31" i="11"/>
  <c r="D31" i="11"/>
  <c r="F31" i="11"/>
  <c r="G31" i="11"/>
  <c r="K31" i="11"/>
  <c r="A32" i="11"/>
  <c r="B32" i="11"/>
  <c r="C32" i="11"/>
  <c r="D32" i="11"/>
  <c r="F32" i="11"/>
  <c r="G32" i="11"/>
  <c r="K32" i="11"/>
  <c r="A33" i="11"/>
  <c r="B33" i="11"/>
  <c r="C33" i="11"/>
  <c r="D33" i="11"/>
  <c r="F33" i="11"/>
  <c r="G33" i="11"/>
  <c r="K33" i="11"/>
  <c r="A34" i="11"/>
  <c r="B34" i="11"/>
  <c r="C34" i="11"/>
  <c r="D34" i="11"/>
  <c r="F34" i="11"/>
  <c r="G34" i="11"/>
  <c r="K34" i="11"/>
  <c r="A35" i="11"/>
  <c r="B35" i="11"/>
  <c r="C35" i="11"/>
  <c r="D35" i="11"/>
  <c r="F35" i="11"/>
  <c r="G35" i="11"/>
  <c r="K35" i="11"/>
  <c r="A36" i="11"/>
  <c r="B36" i="11"/>
  <c r="C36" i="11"/>
  <c r="D36" i="11"/>
  <c r="F36" i="11"/>
  <c r="G36" i="11"/>
  <c r="K36" i="11"/>
  <c r="A37" i="11"/>
  <c r="B37" i="11"/>
  <c r="C37" i="11"/>
  <c r="D37" i="11"/>
  <c r="F37" i="11"/>
  <c r="G37" i="11"/>
  <c r="K37" i="11"/>
  <c r="A38" i="11"/>
  <c r="B38" i="11"/>
  <c r="C38" i="11"/>
  <c r="D38" i="11"/>
  <c r="F38" i="11"/>
  <c r="G38" i="11"/>
  <c r="K38" i="11"/>
  <c r="A39" i="11"/>
  <c r="B39" i="11"/>
  <c r="C39" i="11"/>
  <c r="D39" i="11"/>
  <c r="F39" i="11"/>
  <c r="G39" i="11"/>
  <c r="K39" i="11"/>
  <c r="A40" i="11"/>
  <c r="B40" i="11"/>
  <c r="C40" i="11"/>
  <c r="D40" i="11"/>
  <c r="F40" i="11"/>
  <c r="G40" i="11"/>
  <c r="K40" i="11"/>
  <c r="A41" i="11"/>
  <c r="B41" i="11"/>
  <c r="C41" i="11"/>
  <c r="D41" i="11"/>
  <c r="F41" i="11"/>
  <c r="G41" i="11"/>
  <c r="K41" i="11"/>
  <c r="A42" i="11"/>
  <c r="B42" i="11"/>
  <c r="C42" i="11"/>
  <c r="D42" i="11"/>
  <c r="F42" i="11"/>
  <c r="G42" i="11"/>
  <c r="K42" i="11"/>
  <c r="A43" i="11"/>
  <c r="B43" i="11"/>
  <c r="C43" i="11"/>
  <c r="D43" i="11"/>
  <c r="F43" i="11"/>
  <c r="G43" i="11"/>
  <c r="K43" i="11"/>
  <c r="A44" i="11"/>
  <c r="B44" i="11"/>
  <c r="C44" i="11"/>
  <c r="D44" i="11"/>
  <c r="F44" i="11"/>
  <c r="G44" i="11"/>
  <c r="K44" i="11"/>
  <c r="A2" i="11"/>
  <c r="B2" i="11"/>
  <c r="C2" i="11"/>
  <c r="D2" i="11"/>
  <c r="F2" i="11"/>
  <c r="G2" i="11"/>
  <c r="K2" i="11"/>
  <c r="A3" i="7"/>
  <c r="B3" i="7"/>
  <c r="C3" i="7"/>
  <c r="D3" i="7"/>
  <c r="E3" i="7"/>
  <c r="F3" i="7"/>
  <c r="G3" i="7"/>
  <c r="K3" i="7"/>
  <c r="A4" i="7"/>
  <c r="B4" i="7"/>
  <c r="C4" i="7"/>
  <c r="D4" i="7"/>
  <c r="E4" i="7"/>
  <c r="F4" i="7"/>
  <c r="G4" i="7"/>
  <c r="K4" i="7"/>
  <c r="A5" i="7"/>
  <c r="B5" i="7"/>
  <c r="C5" i="7"/>
  <c r="D5" i="7"/>
  <c r="E5" i="7"/>
  <c r="F5" i="7"/>
  <c r="G5" i="7"/>
  <c r="K5" i="7"/>
  <c r="A6" i="7"/>
  <c r="B6" i="7"/>
  <c r="C6" i="7"/>
  <c r="D6" i="7"/>
  <c r="E6" i="7"/>
  <c r="F6" i="7"/>
  <c r="G6" i="7"/>
  <c r="K6" i="7"/>
  <c r="A7" i="7"/>
  <c r="B7" i="7"/>
  <c r="C7" i="7"/>
  <c r="D7" i="7"/>
  <c r="E7" i="7"/>
  <c r="F7" i="7"/>
  <c r="G7" i="7"/>
  <c r="K7" i="7"/>
  <c r="A8" i="7"/>
  <c r="B8" i="7"/>
  <c r="C8" i="7"/>
  <c r="D8" i="7"/>
  <c r="E8" i="7"/>
  <c r="F8" i="7"/>
  <c r="G8" i="7"/>
  <c r="K8" i="7"/>
  <c r="A9" i="7"/>
  <c r="B9" i="7"/>
  <c r="C9" i="7"/>
  <c r="D9" i="7"/>
  <c r="E9" i="7"/>
  <c r="F9" i="7"/>
  <c r="G9" i="7"/>
  <c r="K9" i="7"/>
  <c r="A10" i="7"/>
  <c r="B10" i="7"/>
  <c r="C10" i="7"/>
  <c r="D10" i="7"/>
  <c r="E10" i="7"/>
  <c r="F10" i="7"/>
  <c r="G10" i="7"/>
  <c r="K10" i="7"/>
  <c r="A11" i="7"/>
  <c r="B11" i="7"/>
  <c r="C11" i="7"/>
  <c r="D11" i="7"/>
  <c r="E11" i="7"/>
  <c r="F11" i="7"/>
  <c r="G11" i="7"/>
  <c r="K11" i="7"/>
  <c r="A12" i="7"/>
  <c r="B12" i="7"/>
  <c r="C12" i="7"/>
  <c r="D12" i="7"/>
  <c r="E12" i="7"/>
  <c r="F12" i="7"/>
  <c r="G12" i="7"/>
  <c r="K12" i="7"/>
  <c r="A13" i="7"/>
  <c r="B13" i="7"/>
  <c r="C13" i="7"/>
  <c r="D13" i="7"/>
  <c r="E13" i="7"/>
  <c r="F13" i="7"/>
  <c r="G13" i="7"/>
  <c r="K13" i="7"/>
  <c r="A14" i="7"/>
  <c r="B14" i="7"/>
  <c r="C14" i="7"/>
  <c r="D14" i="7"/>
  <c r="E14" i="7"/>
  <c r="F14" i="7"/>
  <c r="G14" i="7"/>
  <c r="K14" i="7"/>
  <c r="A15" i="7"/>
  <c r="B15" i="7"/>
  <c r="C15" i="7"/>
  <c r="D15" i="7"/>
  <c r="E15" i="7"/>
  <c r="F15" i="7"/>
  <c r="G15" i="7"/>
  <c r="K15" i="7"/>
  <c r="A16" i="7"/>
  <c r="B16" i="7"/>
  <c r="C16" i="7"/>
  <c r="D16" i="7"/>
  <c r="E16" i="7"/>
  <c r="F16" i="7"/>
  <c r="G16" i="7"/>
  <c r="K16" i="7"/>
  <c r="A17" i="7"/>
  <c r="B17" i="7"/>
  <c r="C17" i="7"/>
  <c r="D17" i="7"/>
  <c r="E17" i="7"/>
  <c r="F17" i="7"/>
  <c r="G17" i="7"/>
  <c r="K17" i="7"/>
  <c r="A18" i="7"/>
  <c r="B18" i="7"/>
  <c r="C18" i="7"/>
  <c r="D18" i="7"/>
  <c r="E18" i="7"/>
  <c r="F18" i="7"/>
  <c r="G18" i="7"/>
  <c r="K18" i="7"/>
  <c r="A19" i="7"/>
  <c r="B19" i="7"/>
  <c r="C19" i="7"/>
  <c r="D19" i="7"/>
  <c r="E19" i="7"/>
  <c r="F19" i="7"/>
  <c r="G19" i="7"/>
  <c r="K19" i="7"/>
  <c r="A20" i="7"/>
  <c r="B20" i="7"/>
  <c r="C20" i="7"/>
  <c r="D20" i="7"/>
  <c r="E20" i="7"/>
  <c r="F20" i="7"/>
  <c r="G20" i="7"/>
  <c r="K20" i="7"/>
  <c r="A21" i="7"/>
  <c r="B21" i="7"/>
  <c r="C21" i="7"/>
  <c r="D21" i="7"/>
  <c r="E21" i="7"/>
  <c r="F21" i="7"/>
  <c r="G21" i="7"/>
  <c r="K21" i="7"/>
  <c r="A22" i="7"/>
  <c r="B22" i="7"/>
  <c r="C22" i="7"/>
  <c r="D22" i="7"/>
  <c r="E22" i="7"/>
  <c r="F22" i="7"/>
  <c r="G22" i="7"/>
  <c r="K22" i="7"/>
  <c r="A23" i="7"/>
  <c r="B23" i="7"/>
  <c r="C23" i="7"/>
  <c r="D23" i="7"/>
  <c r="E23" i="7"/>
  <c r="F23" i="7"/>
  <c r="G23" i="7"/>
  <c r="K23" i="7"/>
  <c r="A24" i="7"/>
  <c r="B24" i="7"/>
  <c r="C24" i="7"/>
  <c r="D24" i="7"/>
  <c r="E24" i="7"/>
  <c r="F24" i="7"/>
  <c r="G24" i="7"/>
  <c r="K24" i="7"/>
  <c r="A25" i="7"/>
  <c r="B25" i="7"/>
  <c r="C25" i="7"/>
  <c r="D25" i="7"/>
  <c r="E25" i="7"/>
  <c r="F25" i="7"/>
  <c r="G25" i="7"/>
  <c r="K25" i="7"/>
  <c r="A26" i="7"/>
  <c r="B26" i="7"/>
  <c r="C26" i="7"/>
  <c r="D26" i="7"/>
  <c r="E26" i="7"/>
  <c r="F26" i="7"/>
  <c r="G26" i="7"/>
  <c r="K26" i="7"/>
  <c r="A27" i="7"/>
  <c r="B27" i="7"/>
  <c r="C27" i="7"/>
  <c r="D27" i="7"/>
  <c r="E27" i="7"/>
  <c r="F27" i="7"/>
  <c r="G27" i="7"/>
  <c r="K27" i="7"/>
  <c r="A28" i="7"/>
  <c r="B28" i="7"/>
  <c r="C28" i="7"/>
  <c r="D28" i="7"/>
  <c r="E28" i="7"/>
  <c r="F28" i="7"/>
  <c r="G28" i="7"/>
  <c r="K28" i="7"/>
  <c r="A29" i="7"/>
  <c r="B29" i="7"/>
  <c r="C29" i="7"/>
  <c r="D29" i="7"/>
  <c r="E29" i="7"/>
  <c r="F29" i="7"/>
  <c r="G29" i="7"/>
  <c r="K29" i="7"/>
  <c r="A30" i="7"/>
  <c r="B30" i="7"/>
  <c r="C30" i="7"/>
  <c r="D30" i="7"/>
  <c r="E30" i="7"/>
  <c r="F30" i="7"/>
  <c r="G30" i="7"/>
  <c r="K30" i="7"/>
  <c r="A31" i="7"/>
  <c r="B31" i="7"/>
  <c r="C31" i="7"/>
  <c r="D31" i="7"/>
  <c r="E31" i="7"/>
  <c r="F31" i="7"/>
  <c r="G31" i="7"/>
  <c r="K31" i="7"/>
  <c r="A32" i="7"/>
  <c r="B32" i="7"/>
  <c r="C32" i="7"/>
  <c r="D32" i="7"/>
  <c r="E32" i="7"/>
  <c r="F32" i="7"/>
  <c r="G32" i="7"/>
  <c r="K32" i="7"/>
  <c r="A33" i="7"/>
  <c r="B33" i="7"/>
  <c r="C33" i="7"/>
  <c r="D33" i="7"/>
  <c r="E33" i="7"/>
  <c r="F33" i="7"/>
  <c r="G33" i="7"/>
  <c r="K33" i="7"/>
  <c r="A34" i="7"/>
  <c r="B34" i="7"/>
  <c r="C34" i="7"/>
  <c r="D34" i="7"/>
  <c r="E34" i="7"/>
  <c r="F34" i="7"/>
  <c r="G34" i="7"/>
  <c r="K34" i="7"/>
  <c r="A35" i="7"/>
  <c r="B35" i="7"/>
  <c r="C35" i="7"/>
  <c r="D35" i="7"/>
  <c r="E35" i="7"/>
  <c r="F35" i="7"/>
  <c r="G35" i="7"/>
  <c r="K35" i="7"/>
  <c r="A36" i="7"/>
  <c r="B36" i="7"/>
  <c r="C36" i="7"/>
  <c r="D36" i="7"/>
  <c r="E36" i="7"/>
  <c r="F36" i="7"/>
  <c r="G36" i="7"/>
  <c r="K36" i="7"/>
  <c r="A37" i="7"/>
  <c r="B37" i="7"/>
  <c r="C37" i="7"/>
  <c r="D37" i="7"/>
  <c r="E37" i="7"/>
  <c r="F37" i="7"/>
  <c r="G37" i="7"/>
  <c r="K37" i="7"/>
  <c r="A38" i="7"/>
  <c r="B38" i="7"/>
  <c r="C38" i="7"/>
  <c r="D38" i="7"/>
  <c r="E38" i="7"/>
  <c r="F38" i="7"/>
  <c r="G38" i="7"/>
  <c r="K38" i="7"/>
  <c r="A39" i="7"/>
  <c r="B39" i="7"/>
  <c r="C39" i="7"/>
  <c r="D39" i="7"/>
  <c r="E39" i="7"/>
  <c r="F39" i="7"/>
  <c r="G39" i="7"/>
  <c r="K39" i="7"/>
  <c r="A40" i="7"/>
  <c r="B40" i="7"/>
  <c r="C40" i="7"/>
  <c r="D40" i="7"/>
  <c r="E40" i="7"/>
  <c r="F40" i="7"/>
  <c r="G40" i="7"/>
  <c r="K40" i="7"/>
  <c r="A41" i="7"/>
  <c r="B41" i="7"/>
  <c r="C41" i="7"/>
  <c r="D41" i="7"/>
  <c r="E41" i="7"/>
  <c r="F41" i="7"/>
  <c r="G41" i="7"/>
  <c r="K41" i="7"/>
  <c r="A42" i="7"/>
  <c r="B42" i="7"/>
  <c r="C42" i="7"/>
  <c r="D42" i="7"/>
  <c r="E42" i="7"/>
  <c r="F42" i="7"/>
  <c r="G42" i="7"/>
  <c r="K42" i="7"/>
  <c r="A43" i="7"/>
  <c r="B43" i="7"/>
  <c r="C43" i="7"/>
  <c r="D43" i="7"/>
  <c r="E43" i="7"/>
  <c r="F43" i="7"/>
  <c r="G43" i="7"/>
  <c r="K43" i="7"/>
  <c r="A44" i="7"/>
  <c r="B44" i="7"/>
  <c r="C44" i="7"/>
  <c r="D44" i="7"/>
  <c r="E44" i="7"/>
  <c r="F44" i="7"/>
  <c r="G44" i="7"/>
  <c r="K44" i="7"/>
  <c r="A45" i="7"/>
  <c r="B45" i="7"/>
  <c r="C45" i="7"/>
  <c r="D45" i="7"/>
  <c r="E45" i="7"/>
  <c r="F45" i="7"/>
  <c r="G45" i="7"/>
  <c r="K45" i="7"/>
  <c r="A46" i="7"/>
  <c r="B46" i="7"/>
  <c r="C46" i="7"/>
  <c r="D46" i="7"/>
  <c r="E46" i="7"/>
  <c r="F46" i="7"/>
  <c r="G46" i="7"/>
  <c r="K46" i="7"/>
  <c r="A47" i="7"/>
  <c r="B47" i="7"/>
  <c r="C47" i="7"/>
  <c r="D47" i="7"/>
  <c r="E47" i="7"/>
  <c r="F47" i="7"/>
  <c r="G47" i="7"/>
  <c r="K47" i="7"/>
  <c r="A48" i="7"/>
  <c r="B48" i="7"/>
  <c r="C48" i="7"/>
  <c r="D48" i="7"/>
  <c r="E48" i="7"/>
  <c r="F48" i="7"/>
  <c r="G48" i="7"/>
  <c r="K48" i="7"/>
  <c r="A49" i="7"/>
  <c r="B49" i="7"/>
  <c r="C49" i="7"/>
  <c r="D49" i="7"/>
  <c r="E49" i="7"/>
  <c r="F49" i="7"/>
  <c r="G49" i="7"/>
  <c r="K49" i="7"/>
  <c r="A50" i="7"/>
  <c r="B50" i="7"/>
  <c r="C50" i="7"/>
  <c r="D50" i="7"/>
  <c r="E50" i="7"/>
  <c r="F50" i="7"/>
  <c r="G50" i="7"/>
  <c r="K50" i="7"/>
  <c r="A51" i="7"/>
  <c r="B51" i="7"/>
  <c r="C51" i="7"/>
  <c r="D51" i="7"/>
  <c r="E51" i="7"/>
  <c r="F51" i="7"/>
  <c r="G51" i="7"/>
  <c r="K51" i="7"/>
  <c r="A52" i="7"/>
  <c r="B52" i="7"/>
  <c r="C52" i="7"/>
  <c r="D52" i="7"/>
  <c r="E52" i="7"/>
  <c r="F52" i="7"/>
  <c r="G52" i="7"/>
  <c r="K52" i="7"/>
  <c r="A53" i="7"/>
  <c r="B53" i="7"/>
  <c r="C53" i="7"/>
  <c r="D53" i="7"/>
  <c r="E53" i="7"/>
  <c r="F53" i="7"/>
  <c r="G53" i="7"/>
  <c r="K53" i="7"/>
  <c r="A54" i="7"/>
  <c r="B54" i="7"/>
  <c r="C54" i="7"/>
  <c r="D54" i="7"/>
  <c r="E54" i="7"/>
  <c r="F54" i="7"/>
  <c r="G54" i="7"/>
  <c r="K54" i="7"/>
  <c r="A55" i="7"/>
  <c r="B55" i="7"/>
  <c r="C55" i="7"/>
  <c r="D55" i="7"/>
  <c r="E55" i="7"/>
  <c r="F55" i="7"/>
  <c r="G55" i="7"/>
  <c r="K55" i="7"/>
  <c r="A56" i="7"/>
  <c r="B56" i="7"/>
  <c r="C56" i="7"/>
  <c r="D56" i="7"/>
  <c r="E56" i="7"/>
  <c r="F56" i="7"/>
  <c r="G56" i="7"/>
  <c r="K56" i="7"/>
  <c r="A57" i="7"/>
  <c r="B57" i="7"/>
  <c r="C57" i="7"/>
  <c r="D57" i="7"/>
  <c r="E57" i="7"/>
  <c r="F57" i="7"/>
  <c r="G57" i="7"/>
  <c r="K57" i="7"/>
  <c r="A58" i="7"/>
  <c r="B58" i="7"/>
  <c r="C58" i="7"/>
  <c r="D58" i="7"/>
  <c r="E58" i="7"/>
  <c r="F58" i="7"/>
  <c r="G58" i="7"/>
  <c r="K58" i="7"/>
  <c r="A59" i="7"/>
  <c r="B59" i="7"/>
  <c r="C59" i="7"/>
  <c r="D59" i="7"/>
  <c r="E59" i="7"/>
  <c r="F59" i="7"/>
  <c r="G59" i="7"/>
  <c r="K59" i="7"/>
  <c r="A60" i="7"/>
  <c r="B60" i="7"/>
  <c r="C60" i="7"/>
  <c r="D60" i="7"/>
  <c r="E60" i="7"/>
  <c r="F60" i="7"/>
  <c r="G60" i="7"/>
  <c r="K60" i="7"/>
  <c r="A61" i="7"/>
  <c r="B61" i="7"/>
  <c r="C61" i="7"/>
  <c r="D61" i="7"/>
  <c r="E61" i="7"/>
  <c r="F61" i="7"/>
  <c r="G61" i="7"/>
  <c r="K61" i="7"/>
  <c r="A62" i="7"/>
  <c r="B62" i="7"/>
  <c r="C62" i="7"/>
  <c r="D62" i="7"/>
  <c r="E62" i="7"/>
  <c r="F62" i="7"/>
  <c r="G62" i="7"/>
  <c r="K62" i="7"/>
  <c r="A63" i="7"/>
  <c r="B63" i="7"/>
  <c r="C63" i="7"/>
  <c r="D63" i="7"/>
  <c r="E63" i="7"/>
  <c r="F63" i="7"/>
  <c r="G63" i="7"/>
  <c r="K63" i="7"/>
  <c r="A64" i="7"/>
  <c r="B64" i="7"/>
  <c r="C64" i="7"/>
  <c r="D64" i="7"/>
  <c r="E64" i="7"/>
  <c r="F64" i="7"/>
  <c r="G64" i="7"/>
  <c r="K64" i="7"/>
  <c r="K2" i="7"/>
  <c r="G2" i="7"/>
  <c r="F2" i="7"/>
  <c r="E2" i="7"/>
  <c r="D2" i="7"/>
  <c r="C2" i="7"/>
  <c r="B2" i="7"/>
  <c r="A2" i="7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A3" i="4"/>
  <c r="B3" i="4"/>
  <c r="C3" i="4"/>
  <c r="D3" i="4"/>
  <c r="F3" i="4"/>
  <c r="G3" i="4"/>
  <c r="A4" i="4"/>
  <c r="B4" i="4"/>
  <c r="C4" i="4"/>
  <c r="D4" i="4"/>
  <c r="F4" i="4"/>
  <c r="G4" i="4"/>
  <c r="A5" i="4"/>
  <c r="B5" i="4"/>
  <c r="C5" i="4"/>
  <c r="D5" i="4"/>
  <c r="F5" i="4"/>
  <c r="G5" i="4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A21" i="4"/>
  <c r="B21" i="4"/>
  <c r="C21" i="4"/>
  <c r="D21" i="4"/>
  <c r="F21" i="4"/>
  <c r="G21" i="4"/>
  <c r="A22" i="4"/>
  <c r="B22" i="4"/>
  <c r="C22" i="4"/>
  <c r="D22" i="4"/>
  <c r="F22" i="4"/>
  <c r="G22" i="4"/>
  <c r="A23" i="4"/>
  <c r="B23" i="4"/>
  <c r="C23" i="4"/>
  <c r="D23" i="4"/>
  <c r="F23" i="4"/>
  <c r="G23" i="4"/>
  <c r="A24" i="4"/>
  <c r="B24" i="4"/>
  <c r="C24" i="4"/>
  <c r="D24" i="4"/>
  <c r="F24" i="4"/>
  <c r="G24" i="4"/>
  <c r="A25" i="4"/>
  <c r="B25" i="4"/>
  <c r="C25" i="4"/>
  <c r="D25" i="4"/>
  <c r="F25" i="4"/>
  <c r="G25" i="4"/>
  <c r="A26" i="4"/>
  <c r="B26" i="4"/>
  <c r="C26" i="4"/>
  <c r="D26" i="4"/>
  <c r="F26" i="4"/>
  <c r="G26" i="4"/>
  <c r="A27" i="4"/>
  <c r="B27" i="4"/>
  <c r="C27" i="4"/>
  <c r="D27" i="4"/>
  <c r="F27" i="4"/>
  <c r="G27" i="4"/>
  <c r="A28" i="4"/>
  <c r="B28" i="4"/>
  <c r="C28" i="4"/>
  <c r="D28" i="4"/>
  <c r="F28" i="4"/>
  <c r="G28" i="4"/>
  <c r="A29" i="4"/>
  <c r="B29" i="4"/>
  <c r="C29" i="4"/>
  <c r="D29" i="4"/>
  <c r="F29" i="4"/>
  <c r="G29" i="4"/>
  <c r="A30" i="4"/>
  <c r="B30" i="4"/>
  <c r="C30" i="4"/>
  <c r="D30" i="4"/>
  <c r="F30" i="4"/>
  <c r="G30" i="4"/>
  <c r="A31" i="4"/>
  <c r="B31" i="4"/>
  <c r="C31" i="4"/>
  <c r="D31" i="4"/>
  <c r="F31" i="4"/>
  <c r="G31" i="4"/>
  <c r="A32" i="4"/>
  <c r="B32" i="4"/>
  <c r="C32" i="4"/>
  <c r="D32" i="4"/>
  <c r="F32" i="4"/>
  <c r="G32" i="4"/>
  <c r="A33" i="4"/>
  <c r="B33" i="4"/>
  <c r="C33" i="4"/>
  <c r="D33" i="4"/>
  <c r="F33" i="4"/>
  <c r="G33" i="4"/>
  <c r="A34" i="4"/>
  <c r="B34" i="4"/>
  <c r="C34" i="4"/>
  <c r="D34" i="4"/>
  <c r="F34" i="4"/>
  <c r="G34" i="4"/>
  <c r="A35" i="4"/>
  <c r="B35" i="4"/>
  <c r="C35" i="4"/>
  <c r="D35" i="4"/>
  <c r="F35" i="4"/>
  <c r="G35" i="4"/>
  <c r="A36" i="4"/>
  <c r="B36" i="4"/>
  <c r="C36" i="4"/>
  <c r="D36" i="4"/>
  <c r="F36" i="4"/>
  <c r="G36" i="4"/>
  <c r="A37" i="4"/>
  <c r="B37" i="4"/>
  <c r="C37" i="4"/>
  <c r="D37" i="4"/>
  <c r="F37" i="4"/>
  <c r="G37" i="4"/>
  <c r="A38" i="4"/>
  <c r="B38" i="4"/>
  <c r="C38" i="4"/>
  <c r="D38" i="4"/>
  <c r="F38" i="4"/>
  <c r="G38" i="4"/>
  <c r="A39" i="4"/>
  <c r="B39" i="4"/>
  <c r="C39" i="4"/>
  <c r="D39" i="4"/>
  <c r="F39" i="4"/>
  <c r="G39" i="4"/>
  <c r="A40" i="4"/>
  <c r="B40" i="4"/>
  <c r="C40" i="4"/>
  <c r="D40" i="4"/>
  <c r="F40" i="4"/>
  <c r="G40" i="4"/>
  <c r="A41" i="4"/>
  <c r="B41" i="4"/>
  <c r="C41" i="4"/>
  <c r="D41" i="4"/>
  <c r="F41" i="4"/>
  <c r="G41" i="4"/>
  <c r="A42" i="4"/>
  <c r="B42" i="4"/>
  <c r="C42" i="4"/>
  <c r="D42" i="4"/>
  <c r="F42" i="4"/>
  <c r="G42" i="4"/>
  <c r="A43" i="4"/>
  <c r="B43" i="4"/>
  <c r="C43" i="4"/>
  <c r="D43" i="4"/>
  <c r="F43" i="4"/>
  <c r="G43" i="4"/>
  <c r="A44" i="4"/>
  <c r="B44" i="4"/>
  <c r="C44" i="4"/>
  <c r="D44" i="4"/>
  <c r="F44" i="4"/>
  <c r="G44" i="4"/>
  <c r="A45" i="4"/>
  <c r="B45" i="4"/>
  <c r="C45" i="4"/>
  <c r="D45" i="4"/>
  <c r="F45" i="4"/>
  <c r="G45" i="4"/>
  <c r="A46" i="4"/>
  <c r="B46" i="4"/>
  <c r="C46" i="4"/>
  <c r="D46" i="4"/>
  <c r="F46" i="4"/>
  <c r="G46" i="4"/>
  <c r="A47" i="4"/>
  <c r="B47" i="4"/>
  <c r="C47" i="4"/>
  <c r="D47" i="4"/>
  <c r="F47" i="4"/>
  <c r="G47" i="4"/>
  <c r="A48" i="4"/>
  <c r="B48" i="4"/>
  <c r="C48" i="4"/>
  <c r="D48" i="4"/>
  <c r="F48" i="4"/>
  <c r="G48" i="4"/>
  <c r="A49" i="4"/>
  <c r="B49" i="4"/>
  <c r="C49" i="4"/>
  <c r="D49" i="4"/>
  <c r="F49" i="4"/>
  <c r="G49" i="4"/>
  <c r="A50" i="4"/>
  <c r="B50" i="4"/>
  <c r="C50" i="4"/>
  <c r="D50" i="4"/>
  <c r="F50" i="4"/>
  <c r="G50" i="4"/>
  <c r="A51" i="4"/>
  <c r="B51" i="4"/>
  <c r="C51" i="4"/>
  <c r="D51" i="4"/>
  <c r="F51" i="4"/>
  <c r="G51" i="4"/>
  <c r="A52" i="4"/>
  <c r="B52" i="4"/>
  <c r="C52" i="4"/>
  <c r="D52" i="4"/>
  <c r="F52" i="4"/>
  <c r="G52" i="4"/>
  <c r="A53" i="4"/>
  <c r="B53" i="4"/>
  <c r="C53" i="4"/>
  <c r="D53" i="4"/>
  <c r="F53" i="4"/>
  <c r="G53" i="4"/>
  <c r="A54" i="4"/>
  <c r="B54" i="4"/>
  <c r="C54" i="4"/>
  <c r="D54" i="4"/>
  <c r="F54" i="4"/>
  <c r="G54" i="4"/>
  <c r="A55" i="4"/>
  <c r="B55" i="4"/>
  <c r="C55" i="4"/>
  <c r="D55" i="4"/>
  <c r="F55" i="4"/>
  <c r="G55" i="4"/>
  <c r="A56" i="4"/>
  <c r="B56" i="4"/>
  <c r="C56" i="4"/>
  <c r="D56" i="4"/>
  <c r="F56" i="4"/>
  <c r="G56" i="4"/>
  <c r="A57" i="4"/>
  <c r="B57" i="4"/>
  <c r="C57" i="4"/>
  <c r="D57" i="4"/>
  <c r="F57" i="4"/>
  <c r="G57" i="4"/>
  <c r="A58" i="4"/>
  <c r="B58" i="4"/>
  <c r="C58" i="4"/>
  <c r="D58" i="4"/>
  <c r="F58" i="4"/>
  <c r="G58" i="4"/>
  <c r="A59" i="4"/>
  <c r="B59" i="4"/>
  <c r="C59" i="4"/>
  <c r="D59" i="4"/>
  <c r="F59" i="4"/>
  <c r="G59" i="4"/>
  <c r="A60" i="4"/>
  <c r="B60" i="4"/>
  <c r="C60" i="4"/>
  <c r="D60" i="4"/>
  <c r="F60" i="4"/>
  <c r="G60" i="4"/>
  <c r="A61" i="4"/>
  <c r="B61" i="4"/>
  <c r="C61" i="4"/>
  <c r="D61" i="4"/>
  <c r="F61" i="4"/>
  <c r="G61" i="4"/>
  <c r="A62" i="4"/>
  <c r="B62" i="4"/>
  <c r="C62" i="4"/>
  <c r="D62" i="4"/>
  <c r="F62" i="4"/>
  <c r="G62" i="4"/>
  <c r="A63" i="4"/>
  <c r="B63" i="4"/>
  <c r="C63" i="4"/>
  <c r="D63" i="4"/>
  <c r="F63" i="4"/>
  <c r="G63" i="4"/>
  <c r="A64" i="4"/>
  <c r="B64" i="4"/>
  <c r="C64" i="4"/>
  <c r="D64" i="4"/>
  <c r="F64" i="4"/>
  <c r="G64" i="4"/>
  <c r="A65" i="4"/>
  <c r="B65" i="4"/>
  <c r="C65" i="4"/>
  <c r="D65" i="4"/>
  <c r="F65" i="4"/>
  <c r="G65" i="4"/>
  <c r="A66" i="4"/>
  <c r="B66" i="4"/>
  <c r="C66" i="4"/>
  <c r="D66" i="4"/>
  <c r="F66" i="4"/>
  <c r="G66" i="4"/>
  <c r="A67" i="4"/>
  <c r="B67" i="4"/>
  <c r="C67" i="4"/>
  <c r="D67" i="4"/>
  <c r="F67" i="4"/>
  <c r="G67" i="4"/>
  <c r="A68" i="4"/>
  <c r="B68" i="4"/>
  <c r="C68" i="4"/>
  <c r="D68" i="4"/>
  <c r="F68" i="4"/>
  <c r="G68" i="4"/>
  <c r="A69" i="4"/>
  <c r="B69" i="4"/>
  <c r="C69" i="4"/>
  <c r="D69" i="4"/>
  <c r="F69" i="4"/>
  <c r="G69" i="4"/>
  <c r="A70" i="4"/>
  <c r="B70" i="4"/>
  <c r="C70" i="4"/>
  <c r="D70" i="4"/>
  <c r="F70" i="4"/>
  <c r="G70" i="4"/>
  <c r="A71" i="4"/>
  <c r="B71" i="4"/>
  <c r="C71" i="4"/>
  <c r="D71" i="4"/>
  <c r="F71" i="4"/>
  <c r="G71" i="4"/>
  <c r="A72" i="4"/>
  <c r="B72" i="4"/>
  <c r="C72" i="4"/>
  <c r="D72" i="4"/>
  <c r="F72" i="4"/>
  <c r="G72" i="4"/>
  <c r="G2" i="4"/>
  <c r="F2" i="4"/>
  <c r="D2" i="4"/>
  <c r="C2" i="4"/>
  <c r="B2" i="4"/>
  <c r="A2" i="4"/>
  <c r="K2" i="71" l="1"/>
  <c r="G2" i="71"/>
  <c r="F2" i="71"/>
  <c r="E2" i="71"/>
  <c r="D2" i="71"/>
  <c r="C2" i="71"/>
  <c r="B2" i="71"/>
  <c r="A2" i="71"/>
  <c r="K2" i="66"/>
  <c r="G2" i="66"/>
  <c r="F2" i="66"/>
  <c r="E2" i="66"/>
  <c r="D2" i="66"/>
  <c r="C2" i="66"/>
  <c r="B2" i="66"/>
  <c r="A2" i="66"/>
  <c r="A3" i="31"/>
  <c r="B3" i="31"/>
  <c r="C3" i="31"/>
  <c r="D3" i="31"/>
  <c r="E3" i="31"/>
  <c r="F3" i="31"/>
  <c r="G3" i="31"/>
  <c r="K3" i="31"/>
  <c r="A4" i="31"/>
  <c r="B4" i="31"/>
  <c r="C4" i="31"/>
  <c r="D4" i="31"/>
  <c r="E4" i="31"/>
  <c r="F4" i="31"/>
  <c r="G4" i="31"/>
  <c r="K4" i="31"/>
  <c r="K2" i="31"/>
  <c r="G2" i="31"/>
  <c r="F2" i="31"/>
  <c r="E2" i="31"/>
  <c r="D2" i="31"/>
  <c r="C2" i="31"/>
  <c r="B2" i="31"/>
  <c r="A2" i="31"/>
  <c r="A3" i="1"/>
  <c r="B3" i="1"/>
  <c r="C3" i="1"/>
  <c r="D3" i="1"/>
  <c r="E3" i="1"/>
  <c r="F3" i="1"/>
  <c r="G3" i="1"/>
  <c r="K3" i="1"/>
  <c r="A4" i="1"/>
  <c r="B4" i="1"/>
  <c r="C4" i="1"/>
  <c r="D4" i="1"/>
  <c r="E4" i="1"/>
  <c r="F4" i="1"/>
  <c r="G4" i="1"/>
  <c r="K4" i="1"/>
  <c r="A5" i="1"/>
  <c r="B5" i="1"/>
  <c r="C5" i="1"/>
  <c r="D5" i="1"/>
  <c r="E5" i="1"/>
  <c r="F5" i="1"/>
  <c r="G5" i="1"/>
  <c r="K5" i="1"/>
  <c r="A6" i="1"/>
  <c r="B6" i="1"/>
  <c r="C6" i="1"/>
  <c r="D6" i="1"/>
  <c r="E6" i="1"/>
  <c r="F6" i="1"/>
  <c r="G6" i="1"/>
  <c r="K6" i="1"/>
  <c r="A7" i="1"/>
  <c r="B7" i="1"/>
  <c r="C7" i="1"/>
  <c r="D7" i="1"/>
  <c r="E7" i="1"/>
  <c r="F7" i="1"/>
  <c r="G7" i="1"/>
  <c r="K7" i="1"/>
  <c r="A8" i="1"/>
  <c r="B8" i="1"/>
  <c r="C8" i="1"/>
  <c r="D8" i="1"/>
  <c r="E8" i="1"/>
  <c r="F8" i="1"/>
  <c r="G8" i="1"/>
  <c r="K8" i="1"/>
  <c r="A9" i="1"/>
  <c r="B9" i="1"/>
  <c r="C9" i="1"/>
  <c r="D9" i="1"/>
  <c r="E9" i="1"/>
  <c r="F9" i="1"/>
  <c r="G9" i="1"/>
  <c r="K9" i="1"/>
  <c r="A10" i="1"/>
  <c r="B10" i="1"/>
  <c r="C10" i="1"/>
  <c r="D10" i="1"/>
  <c r="E10" i="1"/>
  <c r="F10" i="1"/>
  <c r="G10" i="1"/>
  <c r="K10" i="1"/>
  <c r="A11" i="1"/>
  <c r="B11" i="1"/>
  <c r="C11" i="1"/>
  <c r="D11" i="1"/>
  <c r="E11" i="1"/>
  <c r="F11" i="1"/>
  <c r="G11" i="1"/>
  <c r="K11" i="1"/>
  <c r="A12" i="1"/>
  <c r="B12" i="1"/>
  <c r="C12" i="1"/>
  <c r="D12" i="1"/>
  <c r="E12" i="1"/>
  <c r="F12" i="1"/>
  <c r="G12" i="1"/>
  <c r="K12" i="1"/>
  <c r="A13" i="1"/>
  <c r="B13" i="1"/>
  <c r="C13" i="1"/>
  <c r="D13" i="1"/>
  <c r="E13" i="1"/>
  <c r="F13" i="1"/>
  <c r="G13" i="1"/>
  <c r="K13" i="1"/>
  <c r="A14" i="1"/>
  <c r="B14" i="1"/>
  <c r="C14" i="1"/>
  <c r="D14" i="1"/>
  <c r="E14" i="1"/>
  <c r="F14" i="1"/>
  <c r="G14" i="1"/>
  <c r="K14" i="1"/>
  <c r="A15" i="1"/>
  <c r="B15" i="1"/>
  <c r="C15" i="1"/>
  <c r="D15" i="1"/>
  <c r="E15" i="1"/>
  <c r="F15" i="1"/>
  <c r="G15" i="1"/>
  <c r="K15" i="1"/>
  <c r="A16" i="1"/>
  <c r="B16" i="1"/>
  <c r="C16" i="1"/>
  <c r="D16" i="1"/>
  <c r="E16" i="1"/>
  <c r="F16" i="1"/>
  <c r="G16" i="1"/>
  <c r="K16" i="1"/>
  <c r="A17" i="1"/>
  <c r="B17" i="1"/>
  <c r="C17" i="1"/>
  <c r="D17" i="1"/>
  <c r="E17" i="1"/>
  <c r="F17" i="1"/>
  <c r="G17" i="1"/>
  <c r="K17" i="1"/>
  <c r="A18" i="1"/>
  <c r="B18" i="1"/>
  <c r="C18" i="1"/>
  <c r="D18" i="1"/>
  <c r="E18" i="1"/>
  <c r="F18" i="1"/>
  <c r="G18" i="1"/>
  <c r="K18" i="1"/>
  <c r="A19" i="1"/>
  <c r="B19" i="1"/>
  <c r="C19" i="1"/>
  <c r="D19" i="1"/>
  <c r="E19" i="1"/>
  <c r="F19" i="1"/>
  <c r="G19" i="1"/>
  <c r="K19" i="1"/>
  <c r="A20" i="1"/>
  <c r="B20" i="1"/>
  <c r="C20" i="1"/>
  <c r="D20" i="1"/>
  <c r="E20" i="1"/>
  <c r="F20" i="1"/>
  <c r="G20" i="1"/>
  <c r="K20" i="1"/>
  <c r="A21" i="1"/>
  <c r="B21" i="1"/>
  <c r="C21" i="1"/>
  <c r="D21" i="1"/>
  <c r="E21" i="1"/>
  <c r="F21" i="1"/>
  <c r="G21" i="1"/>
  <c r="K21" i="1"/>
  <c r="A22" i="1"/>
  <c r="B22" i="1"/>
  <c r="C22" i="1"/>
  <c r="D22" i="1"/>
  <c r="E22" i="1"/>
  <c r="F22" i="1"/>
  <c r="G22" i="1"/>
  <c r="K22" i="1"/>
  <c r="A23" i="1"/>
  <c r="B23" i="1"/>
  <c r="C23" i="1"/>
  <c r="D23" i="1"/>
  <c r="E23" i="1"/>
  <c r="F23" i="1"/>
  <c r="G23" i="1"/>
  <c r="K23" i="1"/>
  <c r="A24" i="1"/>
  <c r="B24" i="1"/>
  <c r="C24" i="1"/>
  <c r="D24" i="1"/>
  <c r="E24" i="1"/>
  <c r="F24" i="1"/>
  <c r="G24" i="1"/>
  <c r="K24" i="1"/>
  <c r="A25" i="1"/>
  <c r="B25" i="1"/>
  <c r="C25" i="1"/>
  <c r="D25" i="1"/>
  <c r="E25" i="1"/>
  <c r="F25" i="1"/>
  <c r="G25" i="1"/>
  <c r="K25" i="1"/>
  <c r="A26" i="1"/>
  <c r="B26" i="1"/>
  <c r="C26" i="1"/>
  <c r="D26" i="1"/>
  <c r="E26" i="1"/>
  <c r="F26" i="1"/>
  <c r="G26" i="1"/>
  <c r="K26" i="1"/>
  <c r="A27" i="1"/>
  <c r="B27" i="1"/>
  <c r="C27" i="1"/>
  <c r="D27" i="1"/>
  <c r="E27" i="1"/>
  <c r="F27" i="1"/>
  <c r="G27" i="1"/>
  <c r="K27" i="1"/>
  <c r="A28" i="1"/>
  <c r="B28" i="1"/>
  <c r="C28" i="1"/>
  <c r="D28" i="1"/>
  <c r="E28" i="1"/>
  <c r="F28" i="1"/>
  <c r="G28" i="1"/>
  <c r="K28" i="1"/>
  <c r="A29" i="1"/>
  <c r="B29" i="1"/>
  <c r="C29" i="1"/>
  <c r="D29" i="1"/>
  <c r="E29" i="1"/>
  <c r="F29" i="1"/>
  <c r="G29" i="1"/>
  <c r="K29" i="1"/>
  <c r="A30" i="1"/>
  <c r="B30" i="1"/>
  <c r="C30" i="1"/>
  <c r="D30" i="1"/>
  <c r="E30" i="1"/>
  <c r="F30" i="1"/>
  <c r="G30" i="1"/>
  <c r="K30" i="1"/>
  <c r="A31" i="1"/>
  <c r="B31" i="1"/>
  <c r="C31" i="1"/>
  <c r="D31" i="1"/>
  <c r="E31" i="1"/>
  <c r="F31" i="1"/>
  <c r="G31" i="1"/>
  <c r="K31" i="1"/>
  <c r="A32" i="1"/>
  <c r="B32" i="1"/>
  <c r="C32" i="1"/>
  <c r="D32" i="1"/>
  <c r="E32" i="1"/>
  <c r="F32" i="1"/>
  <c r="G32" i="1"/>
  <c r="K32" i="1"/>
  <c r="A33" i="1"/>
  <c r="B33" i="1"/>
  <c r="C33" i="1"/>
  <c r="D33" i="1"/>
  <c r="E33" i="1"/>
  <c r="F33" i="1"/>
  <c r="G33" i="1"/>
  <c r="K33" i="1"/>
  <c r="A34" i="1"/>
  <c r="B34" i="1"/>
  <c r="C34" i="1"/>
  <c r="D34" i="1"/>
  <c r="E34" i="1"/>
  <c r="F34" i="1"/>
  <c r="G34" i="1"/>
  <c r="K34" i="1"/>
  <c r="A35" i="1"/>
  <c r="B35" i="1"/>
  <c r="C35" i="1"/>
  <c r="D35" i="1"/>
  <c r="E35" i="1"/>
  <c r="F35" i="1"/>
  <c r="G35" i="1"/>
  <c r="K35" i="1"/>
  <c r="A36" i="1"/>
  <c r="B36" i="1"/>
  <c r="C36" i="1"/>
  <c r="D36" i="1"/>
  <c r="E36" i="1"/>
  <c r="F36" i="1"/>
  <c r="G36" i="1"/>
  <c r="K36" i="1"/>
  <c r="A37" i="1"/>
  <c r="B37" i="1"/>
  <c r="C37" i="1"/>
  <c r="D37" i="1"/>
  <c r="E37" i="1"/>
  <c r="F37" i="1"/>
  <c r="G37" i="1"/>
  <c r="K37" i="1"/>
  <c r="A38" i="1"/>
  <c r="B38" i="1"/>
  <c r="C38" i="1"/>
  <c r="D38" i="1"/>
  <c r="E38" i="1"/>
  <c r="F38" i="1"/>
  <c r="G38" i="1"/>
  <c r="K38" i="1"/>
  <c r="A39" i="1"/>
  <c r="B39" i="1"/>
  <c r="C39" i="1"/>
  <c r="D39" i="1"/>
  <c r="E39" i="1"/>
  <c r="F39" i="1"/>
  <c r="G39" i="1"/>
  <c r="K39" i="1"/>
  <c r="A40" i="1"/>
  <c r="B40" i="1"/>
  <c r="C40" i="1"/>
  <c r="D40" i="1"/>
  <c r="E40" i="1"/>
  <c r="F40" i="1"/>
  <c r="G40" i="1"/>
  <c r="K40" i="1"/>
  <c r="A41" i="1"/>
  <c r="B41" i="1"/>
  <c r="C41" i="1"/>
  <c r="D41" i="1"/>
  <c r="E41" i="1"/>
  <c r="F41" i="1"/>
  <c r="G41" i="1"/>
  <c r="K41" i="1"/>
  <c r="A42" i="1"/>
  <c r="B42" i="1"/>
  <c r="C42" i="1"/>
  <c r="D42" i="1"/>
  <c r="E42" i="1"/>
  <c r="F42" i="1"/>
  <c r="G42" i="1"/>
  <c r="K42" i="1"/>
  <c r="A43" i="1"/>
  <c r="B43" i="1"/>
  <c r="C43" i="1"/>
  <c r="D43" i="1"/>
  <c r="E43" i="1"/>
  <c r="F43" i="1"/>
  <c r="G43" i="1"/>
  <c r="K43" i="1"/>
  <c r="A44" i="1"/>
  <c r="B44" i="1"/>
  <c r="C44" i="1"/>
  <c r="D44" i="1"/>
  <c r="E44" i="1"/>
  <c r="F44" i="1"/>
  <c r="G44" i="1"/>
  <c r="K44" i="1"/>
  <c r="A45" i="1"/>
  <c r="B45" i="1"/>
  <c r="C45" i="1"/>
  <c r="D45" i="1"/>
  <c r="E45" i="1"/>
  <c r="F45" i="1"/>
  <c r="G45" i="1"/>
  <c r="K45" i="1"/>
  <c r="A46" i="1"/>
  <c r="B46" i="1"/>
  <c r="C46" i="1"/>
  <c r="D46" i="1"/>
  <c r="E46" i="1"/>
  <c r="F46" i="1"/>
  <c r="G46" i="1"/>
  <c r="K46" i="1"/>
  <c r="A47" i="1"/>
  <c r="B47" i="1"/>
  <c r="C47" i="1"/>
  <c r="D47" i="1"/>
  <c r="E47" i="1"/>
  <c r="F47" i="1"/>
  <c r="G47" i="1"/>
  <c r="K47" i="1"/>
  <c r="A48" i="1"/>
  <c r="B48" i="1"/>
  <c r="C48" i="1"/>
  <c r="D48" i="1"/>
  <c r="E48" i="1"/>
  <c r="F48" i="1"/>
  <c r="G48" i="1"/>
  <c r="K48" i="1"/>
  <c r="A49" i="1"/>
  <c r="B49" i="1"/>
  <c r="C49" i="1"/>
  <c r="D49" i="1"/>
  <c r="E49" i="1"/>
  <c r="F49" i="1"/>
  <c r="G49" i="1"/>
  <c r="K49" i="1"/>
  <c r="A50" i="1"/>
  <c r="B50" i="1"/>
  <c r="C50" i="1"/>
  <c r="D50" i="1"/>
  <c r="E50" i="1"/>
  <c r="F50" i="1"/>
  <c r="G50" i="1"/>
  <c r="K50" i="1"/>
  <c r="A51" i="1"/>
  <c r="B51" i="1"/>
  <c r="C51" i="1"/>
  <c r="D51" i="1"/>
  <c r="E51" i="1"/>
  <c r="F51" i="1"/>
  <c r="G51" i="1"/>
  <c r="K51" i="1"/>
  <c r="A52" i="1"/>
  <c r="B52" i="1"/>
  <c r="C52" i="1"/>
  <c r="D52" i="1"/>
  <c r="E52" i="1"/>
  <c r="F52" i="1"/>
  <c r="G52" i="1"/>
  <c r="K52" i="1"/>
  <c r="A53" i="1"/>
  <c r="B53" i="1"/>
  <c r="C53" i="1"/>
  <c r="D53" i="1"/>
  <c r="E53" i="1"/>
  <c r="F53" i="1"/>
  <c r="G53" i="1"/>
  <c r="K53" i="1"/>
  <c r="A54" i="1"/>
  <c r="B54" i="1"/>
  <c r="C54" i="1"/>
  <c r="D54" i="1"/>
  <c r="E54" i="1"/>
  <c r="F54" i="1"/>
  <c r="G54" i="1"/>
  <c r="K54" i="1"/>
  <c r="A55" i="1"/>
  <c r="B55" i="1"/>
  <c r="C55" i="1"/>
  <c r="D55" i="1"/>
  <c r="E55" i="1"/>
  <c r="F55" i="1"/>
  <c r="G55" i="1"/>
  <c r="K55" i="1"/>
  <c r="A56" i="1"/>
  <c r="B56" i="1"/>
  <c r="C56" i="1"/>
  <c r="D56" i="1"/>
  <c r="E56" i="1"/>
  <c r="F56" i="1"/>
  <c r="G56" i="1"/>
  <c r="K56" i="1"/>
  <c r="A57" i="1"/>
  <c r="B57" i="1"/>
  <c r="C57" i="1"/>
  <c r="D57" i="1"/>
  <c r="E57" i="1"/>
  <c r="F57" i="1"/>
  <c r="G57" i="1"/>
  <c r="K57" i="1"/>
  <c r="A58" i="1"/>
  <c r="B58" i="1"/>
  <c r="C58" i="1"/>
  <c r="D58" i="1"/>
  <c r="E58" i="1"/>
  <c r="F58" i="1"/>
  <c r="G58" i="1"/>
  <c r="K58" i="1"/>
  <c r="A59" i="1"/>
  <c r="B59" i="1"/>
  <c r="C59" i="1"/>
  <c r="D59" i="1"/>
  <c r="E59" i="1"/>
  <c r="F59" i="1"/>
  <c r="G59" i="1"/>
  <c r="K59" i="1"/>
  <c r="A60" i="1"/>
  <c r="B60" i="1"/>
  <c r="C60" i="1"/>
  <c r="D60" i="1"/>
  <c r="E60" i="1"/>
  <c r="F60" i="1"/>
  <c r="G60" i="1"/>
  <c r="K60" i="1"/>
  <c r="A61" i="1"/>
  <c r="B61" i="1"/>
  <c r="C61" i="1"/>
  <c r="D61" i="1"/>
  <c r="E61" i="1"/>
  <c r="F61" i="1"/>
  <c r="G61" i="1"/>
  <c r="K61" i="1"/>
  <c r="A62" i="1"/>
  <c r="B62" i="1"/>
  <c r="C62" i="1"/>
  <c r="D62" i="1"/>
  <c r="E62" i="1"/>
  <c r="F62" i="1"/>
  <c r="G62" i="1"/>
  <c r="K62" i="1"/>
  <c r="A63" i="1"/>
  <c r="B63" i="1"/>
  <c r="C63" i="1"/>
  <c r="D63" i="1"/>
  <c r="E63" i="1"/>
  <c r="F63" i="1"/>
  <c r="G63" i="1"/>
  <c r="K63" i="1"/>
  <c r="A3" i="9"/>
  <c r="B3" i="9"/>
  <c r="C3" i="9"/>
  <c r="D3" i="9"/>
  <c r="E3" i="9"/>
  <c r="F3" i="9"/>
  <c r="G3" i="9"/>
  <c r="K3" i="9"/>
  <c r="A4" i="9"/>
  <c r="B4" i="9"/>
  <c r="C4" i="9"/>
  <c r="D4" i="9"/>
  <c r="E4" i="9"/>
  <c r="F4" i="9"/>
  <c r="G4" i="9"/>
  <c r="K4" i="9"/>
  <c r="A5" i="9"/>
  <c r="B5" i="9"/>
  <c r="C5" i="9"/>
  <c r="D5" i="9"/>
  <c r="E5" i="9"/>
  <c r="F5" i="9"/>
  <c r="G5" i="9"/>
  <c r="K5" i="9"/>
  <c r="A6" i="9"/>
  <c r="B6" i="9"/>
  <c r="C6" i="9"/>
  <c r="D6" i="9"/>
  <c r="E6" i="9"/>
  <c r="F6" i="9"/>
  <c r="G6" i="9"/>
  <c r="K6" i="9"/>
  <c r="A7" i="9"/>
  <c r="B7" i="9"/>
  <c r="C7" i="9"/>
  <c r="D7" i="9"/>
  <c r="E7" i="9"/>
  <c r="F7" i="9"/>
  <c r="G7" i="9"/>
  <c r="K7" i="9"/>
  <c r="A8" i="9"/>
  <c r="B8" i="9"/>
  <c r="C8" i="9"/>
  <c r="D8" i="9"/>
  <c r="E8" i="9"/>
  <c r="F8" i="9"/>
  <c r="G8" i="9"/>
  <c r="K8" i="9"/>
  <c r="A9" i="9"/>
  <c r="B9" i="9"/>
  <c r="C9" i="9"/>
  <c r="D9" i="9"/>
  <c r="E9" i="9"/>
  <c r="F9" i="9"/>
  <c r="G9" i="9"/>
  <c r="K9" i="9"/>
  <c r="A10" i="9"/>
  <c r="B10" i="9"/>
  <c r="C10" i="9"/>
  <c r="D10" i="9"/>
  <c r="E10" i="9"/>
  <c r="F10" i="9"/>
  <c r="G10" i="9"/>
  <c r="K10" i="9"/>
  <c r="A11" i="9"/>
  <c r="B11" i="9"/>
  <c r="C11" i="9"/>
  <c r="D11" i="9"/>
  <c r="E11" i="9"/>
  <c r="F11" i="9"/>
  <c r="G11" i="9"/>
  <c r="K11" i="9"/>
  <c r="A12" i="9"/>
  <c r="B12" i="9"/>
  <c r="C12" i="9"/>
  <c r="D12" i="9"/>
  <c r="E12" i="9"/>
  <c r="F12" i="9"/>
  <c r="G12" i="9"/>
  <c r="K12" i="9"/>
  <c r="A13" i="9"/>
  <c r="B13" i="9"/>
  <c r="C13" i="9"/>
  <c r="D13" i="9"/>
  <c r="E13" i="9"/>
  <c r="F13" i="9"/>
  <c r="G13" i="9"/>
  <c r="K13" i="9"/>
  <c r="A14" i="9"/>
  <c r="B14" i="9"/>
  <c r="C14" i="9"/>
  <c r="D14" i="9"/>
  <c r="E14" i="9"/>
  <c r="F14" i="9"/>
  <c r="G14" i="9"/>
  <c r="K14" i="9"/>
  <c r="A15" i="9"/>
  <c r="B15" i="9"/>
  <c r="C15" i="9"/>
  <c r="D15" i="9"/>
  <c r="E15" i="9"/>
  <c r="F15" i="9"/>
  <c r="G15" i="9"/>
  <c r="K15" i="9"/>
  <c r="A16" i="9"/>
  <c r="B16" i="9"/>
  <c r="C16" i="9"/>
  <c r="D16" i="9"/>
  <c r="E16" i="9"/>
  <c r="F16" i="9"/>
  <c r="G16" i="9"/>
  <c r="K16" i="9"/>
  <c r="A17" i="9"/>
  <c r="B17" i="9"/>
  <c r="C17" i="9"/>
  <c r="D17" i="9"/>
  <c r="E17" i="9"/>
  <c r="F17" i="9"/>
  <c r="G17" i="9"/>
  <c r="K17" i="9"/>
  <c r="A18" i="9"/>
  <c r="B18" i="9"/>
  <c r="C18" i="9"/>
  <c r="D18" i="9"/>
  <c r="E18" i="9"/>
  <c r="F18" i="9"/>
  <c r="G18" i="9"/>
  <c r="K18" i="9"/>
  <c r="A19" i="9"/>
  <c r="B19" i="9"/>
  <c r="C19" i="9"/>
  <c r="D19" i="9"/>
  <c r="E19" i="9"/>
  <c r="F19" i="9"/>
  <c r="G19" i="9"/>
  <c r="K19" i="9"/>
  <c r="A20" i="9"/>
  <c r="B20" i="9"/>
  <c r="C20" i="9"/>
  <c r="D20" i="9"/>
  <c r="E20" i="9"/>
  <c r="F20" i="9"/>
  <c r="G20" i="9"/>
  <c r="K20" i="9"/>
  <c r="A21" i="9"/>
  <c r="B21" i="9"/>
  <c r="C21" i="9"/>
  <c r="D21" i="9"/>
  <c r="E21" i="9"/>
  <c r="F21" i="9"/>
  <c r="G21" i="9"/>
  <c r="K21" i="9"/>
  <c r="A22" i="9"/>
  <c r="B22" i="9"/>
  <c r="C22" i="9"/>
  <c r="D22" i="9"/>
  <c r="E22" i="9"/>
  <c r="F22" i="9"/>
  <c r="G22" i="9"/>
  <c r="K22" i="9"/>
  <c r="A23" i="9"/>
  <c r="B23" i="9"/>
  <c r="C23" i="9"/>
  <c r="D23" i="9"/>
  <c r="E23" i="9"/>
  <c r="F23" i="9"/>
  <c r="G23" i="9"/>
  <c r="K23" i="9"/>
  <c r="A24" i="9"/>
  <c r="B24" i="9"/>
  <c r="C24" i="9"/>
  <c r="D24" i="9"/>
  <c r="E24" i="9"/>
  <c r="F24" i="9"/>
  <c r="G24" i="9"/>
  <c r="K24" i="9"/>
  <c r="A25" i="9"/>
  <c r="B25" i="9"/>
  <c r="C25" i="9"/>
  <c r="D25" i="9"/>
  <c r="E25" i="9"/>
  <c r="F25" i="9"/>
  <c r="G25" i="9"/>
  <c r="K25" i="9"/>
  <c r="A26" i="9"/>
  <c r="B26" i="9"/>
  <c r="C26" i="9"/>
  <c r="D26" i="9"/>
  <c r="E26" i="9"/>
  <c r="F26" i="9"/>
  <c r="G26" i="9"/>
  <c r="K26" i="9"/>
  <c r="A27" i="9"/>
  <c r="B27" i="9"/>
  <c r="C27" i="9"/>
  <c r="D27" i="9"/>
  <c r="E27" i="9"/>
  <c r="F27" i="9"/>
  <c r="G27" i="9"/>
  <c r="K27" i="9"/>
  <c r="A28" i="9"/>
  <c r="B28" i="9"/>
  <c r="C28" i="9"/>
  <c r="D28" i="9"/>
  <c r="E28" i="9"/>
  <c r="F28" i="9"/>
  <c r="G28" i="9"/>
  <c r="K28" i="9"/>
  <c r="A29" i="9"/>
  <c r="B29" i="9"/>
  <c r="C29" i="9"/>
  <c r="D29" i="9"/>
  <c r="E29" i="9"/>
  <c r="F29" i="9"/>
  <c r="G29" i="9"/>
  <c r="K29" i="9"/>
  <c r="A30" i="9"/>
  <c r="B30" i="9"/>
  <c r="C30" i="9"/>
  <c r="D30" i="9"/>
  <c r="E30" i="9"/>
  <c r="F30" i="9"/>
  <c r="G30" i="9"/>
  <c r="K30" i="9"/>
  <c r="A31" i="9"/>
  <c r="B31" i="9"/>
  <c r="C31" i="9"/>
  <c r="D31" i="9"/>
  <c r="E31" i="9"/>
  <c r="F31" i="9"/>
  <c r="G31" i="9"/>
  <c r="K31" i="9"/>
  <c r="A32" i="9"/>
  <c r="B32" i="9"/>
  <c r="C32" i="9"/>
  <c r="D32" i="9"/>
  <c r="E32" i="9"/>
  <c r="F32" i="9"/>
  <c r="G32" i="9"/>
  <c r="K32" i="9"/>
  <c r="A33" i="9"/>
  <c r="B33" i="9"/>
  <c r="C33" i="9"/>
  <c r="D33" i="9"/>
  <c r="E33" i="9"/>
  <c r="F33" i="9"/>
  <c r="G33" i="9"/>
  <c r="K33" i="9"/>
  <c r="A34" i="9"/>
  <c r="B34" i="9"/>
  <c r="C34" i="9"/>
  <c r="D34" i="9"/>
  <c r="E34" i="9"/>
  <c r="F34" i="9"/>
  <c r="G34" i="9"/>
  <c r="K34" i="9"/>
  <c r="A35" i="9"/>
  <c r="B35" i="9"/>
  <c r="C35" i="9"/>
  <c r="D35" i="9"/>
  <c r="E35" i="9"/>
  <c r="F35" i="9"/>
  <c r="G35" i="9"/>
  <c r="K35" i="9"/>
  <c r="A36" i="9"/>
  <c r="B36" i="9"/>
  <c r="C36" i="9"/>
  <c r="D36" i="9"/>
  <c r="E36" i="9"/>
  <c r="F36" i="9"/>
  <c r="G36" i="9"/>
  <c r="K36" i="9"/>
  <c r="A37" i="9"/>
  <c r="B37" i="9"/>
  <c r="C37" i="9"/>
  <c r="D37" i="9"/>
  <c r="E37" i="9"/>
  <c r="F37" i="9"/>
  <c r="G37" i="9"/>
  <c r="K37" i="9"/>
  <c r="A38" i="9"/>
  <c r="B38" i="9"/>
  <c r="C38" i="9"/>
  <c r="D38" i="9"/>
  <c r="E38" i="9"/>
  <c r="F38" i="9"/>
  <c r="G38" i="9"/>
  <c r="K38" i="9"/>
  <c r="A39" i="9"/>
  <c r="B39" i="9"/>
  <c r="C39" i="9"/>
  <c r="D39" i="9"/>
  <c r="E39" i="9"/>
  <c r="F39" i="9"/>
  <c r="G39" i="9"/>
  <c r="K39" i="9"/>
  <c r="A40" i="9"/>
  <c r="B40" i="9"/>
  <c r="C40" i="9"/>
  <c r="D40" i="9"/>
  <c r="E40" i="9"/>
  <c r="F40" i="9"/>
  <c r="G40" i="9"/>
  <c r="K40" i="9"/>
  <c r="A3" i="12"/>
  <c r="B3" i="12"/>
  <c r="C3" i="12"/>
  <c r="D3" i="12"/>
  <c r="E3" i="12"/>
  <c r="F3" i="12"/>
  <c r="G3" i="12"/>
  <c r="K3" i="12"/>
  <c r="A4" i="12"/>
  <c r="B4" i="12"/>
  <c r="C4" i="12"/>
  <c r="D4" i="12"/>
  <c r="E4" i="12"/>
  <c r="F4" i="12"/>
  <c r="G4" i="12"/>
  <c r="K4" i="12"/>
  <c r="A5" i="12"/>
  <c r="B5" i="12"/>
  <c r="C5" i="12"/>
  <c r="D5" i="12"/>
  <c r="E5" i="12"/>
  <c r="F5" i="12"/>
  <c r="G5" i="12"/>
  <c r="K5" i="12"/>
  <c r="A6" i="12"/>
  <c r="B6" i="12"/>
  <c r="C6" i="12"/>
  <c r="D6" i="12"/>
  <c r="E6" i="12"/>
  <c r="F6" i="12"/>
  <c r="G6" i="12"/>
  <c r="K6" i="12"/>
  <c r="A7" i="12"/>
  <c r="B7" i="12"/>
  <c r="C7" i="12"/>
  <c r="D7" i="12"/>
  <c r="E7" i="12"/>
  <c r="F7" i="12"/>
  <c r="G7" i="12"/>
  <c r="K7" i="12"/>
  <c r="A8" i="12"/>
  <c r="B8" i="12"/>
  <c r="C8" i="12"/>
  <c r="D8" i="12"/>
  <c r="E8" i="12"/>
  <c r="F8" i="12"/>
  <c r="G8" i="12"/>
  <c r="K8" i="12"/>
  <c r="A9" i="12"/>
  <c r="B9" i="12"/>
  <c r="C9" i="12"/>
  <c r="D9" i="12"/>
  <c r="E9" i="12"/>
  <c r="F9" i="12"/>
  <c r="G9" i="12"/>
  <c r="K9" i="12"/>
  <c r="A10" i="12"/>
  <c r="B10" i="12"/>
  <c r="C10" i="12"/>
  <c r="D10" i="12"/>
  <c r="E10" i="12"/>
  <c r="F10" i="12"/>
  <c r="G10" i="12"/>
  <c r="K10" i="12"/>
  <c r="A11" i="12"/>
  <c r="B11" i="12"/>
  <c r="C11" i="12"/>
  <c r="D11" i="12"/>
  <c r="E11" i="12"/>
  <c r="F11" i="12"/>
  <c r="G11" i="12"/>
  <c r="K11" i="12"/>
  <c r="A3" i="14"/>
  <c r="B3" i="14"/>
  <c r="C3" i="14"/>
  <c r="D3" i="14"/>
  <c r="E3" i="14"/>
  <c r="F3" i="14"/>
  <c r="G3" i="14"/>
  <c r="K3" i="14"/>
  <c r="A4" i="14"/>
  <c r="B4" i="14"/>
  <c r="C4" i="14"/>
  <c r="D4" i="14"/>
  <c r="E4" i="14"/>
  <c r="F4" i="14"/>
  <c r="G4" i="14"/>
  <c r="K4" i="14"/>
  <c r="A5" i="14"/>
  <c r="B5" i="14"/>
  <c r="C5" i="14"/>
  <c r="D5" i="14"/>
  <c r="E5" i="14"/>
  <c r="F5" i="14"/>
  <c r="G5" i="14"/>
  <c r="K5" i="14"/>
  <c r="A6" i="14"/>
  <c r="B6" i="14"/>
  <c r="C6" i="14"/>
  <c r="D6" i="14"/>
  <c r="E6" i="14"/>
  <c r="F6" i="14"/>
  <c r="G6" i="14"/>
  <c r="K6" i="14"/>
  <c r="A7" i="14"/>
  <c r="B7" i="14"/>
  <c r="C7" i="14"/>
  <c r="D7" i="14"/>
  <c r="E7" i="14"/>
  <c r="F7" i="14"/>
  <c r="G7" i="14"/>
  <c r="K7" i="14"/>
  <c r="A8" i="14"/>
  <c r="B8" i="14"/>
  <c r="C8" i="14"/>
  <c r="D8" i="14"/>
  <c r="E8" i="14"/>
  <c r="F8" i="14"/>
  <c r="G8" i="14"/>
  <c r="K8" i="14"/>
  <c r="A9" i="14"/>
  <c r="B9" i="14"/>
  <c r="C9" i="14"/>
  <c r="D9" i="14"/>
  <c r="E9" i="14"/>
  <c r="F9" i="14"/>
  <c r="G9" i="14"/>
  <c r="K9" i="14"/>
  <c r="A10" i="14"/>
  <c r="B10" i="14"/>
  <c r="C10" i="14"/>
  <c r="D10" i="14"/>
  <c r="E10" i="14"/>
  <c r="F10" i="14"/>
  <c r="G10" i="14"/>
  <c r="K10" i="14"/>
  <c r="A11" i="14"/>
  <c r="B11" i="14"/>
  <c r="C11" i="14"/>
  <c r="D11" i="14"/>
  <c r="E11" i="14"/>
  <c r="F11" i="14"/>
  <c r="G11" i="14"/>
  <c r="K11" i="14"/>
  <c r="A12" i="14"/>
  <c r="B12" i="14"/>
  <c r="C12" i="14"/>
  <c r="D12" i="14"/>
  <c r="E12" i="14"/>
  <c r="F12" i="14"/>
  <c r="G12" i="14"/>
  <c r="K12" i="14"/>
  <c r="A13" i="14"/>
  <c r="B13" i="14"/>
  <c r="C13" i="14"/>
  <c r="D13" i="14"/>
  <c r="E13" i="14"/>
  <c r="F13" i="14"/>
  <c r="G13" i="14"/>
  <c r="K13" i="14"/>
  <c r="A14" i="14"/>
  <c r="B14" i="14"/>
  <c r="C14" i="14"/>
  <c r="D14" i="14"/>
  <c r="E14" i="14"/>
  <c r="F14" i="14"/>
  <c r="G14" i="14"/>
  <c r="K14" i="14"/>
  <c r="A15" i="14"/>
  <c r="B15" i="14"/>
  <c r="C15" i="14"/>
  <c r="D15" i="14"/>
  <c r="E15" i="14"/>
  <c r="F15" i="14"/>
  <c r="G15" i="14"/>
  <c r="K15" i="14"/>
  <c r="A16" i="14"/>
  <c r="B16" i="14"/>
  <c r="C16" i="14"/>
  <c r="D16" i="14"/>
  <c r="E16" i="14"/>
  <c r="F16" i="14"/>
  <c r="G16" i="14"/>
  <c r="K16" i="14"/>
  <c r="A17" i="14"/>
  <c r="B17" i="14"/>
  <c r="C17" i="14"/>
  <c r="D17" i="14"/>
  <c r="E17" i="14"/>
  <c r="F17" i="14"/>
  <c r="G17" i="14"/>
  <c r="K17" i="14"/>
  <c r="A18" i="14"/>
  <c r="B18" i="14"/>
  <c r="C18" i="14"/>
  <c r="D18" i="14"/>
  <c r="E18" i="14"/>
  <c r="F18" i="14"/>
  <c r="G18" i="14"/>
  <c r="K18" i="14"/>
  <c r="A19" i="14"/>
  <c r="B19" i="14"/>
  <c r="C19" i="14"/>
  <c r="D19" i="14"/>
  <c r="E19" i="14"/>
  <c r="F19" i="14"/>
  <c r="G19" i="14"/>
  <c r="K19" i="14"/>
  <c r="A20" i="14"/>
  <c r="B20" i="14"/>
  <c r="C20" i="14"/>
  <c r="D20" i="14"/>
  <c r="E20" i="14"/>
  <c r="F20" i="14"/>
  <c r="G20" i="14"/>
  <c r="K20" i="14"/>
  <c r="A21" i="14"/>
  <c r="B21" i="14"/>
  <c r="C21" i="14"/>
  <c r="D21" i="14"/>
  <c r="E21" i="14"/>
  <c r="F21" i="14"/>
  <c r="G21" i="14"/>
  <c r="K21" i="14"/>
  <c r="K2" i="14"/>
  <c r="G2" i="14"/>
  <c r="F2" i="14"/>
  <c r="E2" i="14"/>
  <c r="D2" i="14"/>
  <c r="C2" i="14"/>
  <c r="B2" i="14"/>
  <c r="A2" i="14"/>
  <c r="K2" i="12"/>
  <c r="G2" i="12"/>
  <c r="F2" i="12"/>
  <c r="E2" i="12"/>
  <c r="D2" i="12"/>
  <c r="C2" i="12"/>
  <c r="B2" i="12"/>
  <c r="A2" i="12"/>
  <c r="K2" i="9" l="1"/>
  <c r="G2" i="9"/>
  <c r="F2" i="9"/>
  <c r="E2" i="9"/>
  <c r="D2" i="9"/>
  <c r="C2" i="9"/>
  <c r="B2" i="9"/>
  <c r="A2" i="9"/>
  <c r="K2" i="1"/>
  <c r="G2" i="1"/>
  <c r="F2" i="1"/>
  <c r="E2" i="1"/>
  <c r="D2" i="1"/>
  <c r="C2" i="1"/>
  <c r="B2" i="1"/>
  <c r="A2" i="1"/>
  <c r="A3" i="6"/>
  <c r="B3" i="6"/>
  <c r="C3" i="6"/>
  <c r="D3" i="6"/>
  <c r="E3" i="6"/>
  <c r="F3" i="6"/>
  <c r="G3" i="6"/>
  <c r="K3" i="6"/>
  <c r="A4" i="6"/>
  <c r="B4" i="6"/>
  <c r="C4" i="6"/>
  <c r="D4" i="6"/>
  <c r="E4" i="6"/>
  <c r="F4" i="6"/>
  <c r="G4" i="6"/>
  <c r="K4" i="6"/>
  <c r="A5" i="6"/>
  <c r="B5" i="6"/>
  <c r="C5" i="6"/>
  <c r="D5" i="6"/>
  <c r="E5" i="6"/>
  <c r="F5" i="6"/>
  <c r="G5" i="6"/>
  <c r="K5" i="6"/>
  <c r="A6" i="6"/>
  <c r="B6" i="6"/>
  <c r="C6" i="6"/>
  <c r="D6" i="6"/>
  <c r="E6" i="6"/>
  <c r="F6" i="6"/>
  <c r="G6" i="6"/>
  <c r="K6" i="6"/>
  <c r="A7" i="6"/>
  <c r="B7" i="6"/>
  <c r="C7" i="6"/>
  <c r="D7" i="6"/>
  <c r="E7" i="6"/>
  <c r="F7" i="6"/>
  <c r="G7" i="6"/>
  <c r="K7" i="6"/>
  <c r="A8" i="6"/>
  <c r="B8" i="6"/>
  <c r="C8" i="6"/>
  <c r="D8" i="6"/>
  <c r="E8" i="6"/>
  <c r="F8" i="6"/>
  <c r="G8" i="6"/>
  <c r="K8" i="6"/>
  <c r="A9" i="6"/>
  <c r="B9" i="6"/>
  <c r="C9" i="6"/>
  <c r="D9" i="6"/>
  <c r="E9" i="6"/>
  <c r="F9" i="6"/>
  <c r="G9" i="6"/>
  <c r="K9" i="6"/>
  <c r="A10" i="6"/>
  <c r="B10" i="6"/>
  <c r="C10" i="6"/>
  <c r="D10" i="6"/>
  <c r="E10" i="6"/>
  <c r="F10" i="6"/>
  <c r="G10" i="6"/>
  <c r="K10" i="6"/>
  <c r="A11" i="6"/>
  <c r="B11" i="6"/>
  <c r="C11" i="6"/>
  <c r="D11" i="6"/>
  <c r="E11" i="6"/>
  <c r="F11" i="6"/>
  <c r="G11" i="6"/>
  <c r="K11" i="6"/>
  <c r="A12" i="6"/>
  <c r="B12" i="6"/>
  <c r="C12" i="6"/>
  <c r="D12" i="6"/>
  <c r="E12" i="6"/>
  <c r="F12" i="6"/>
  <c r="G12" i="6"/>
  <c r="K12" i="6"/>
  <c r="A13" i="6"/>
  <c r="B13" i="6"/>
  <c r="C13" i="6"/>
  <c r="D13" i="6"/>
  <c r="E13" i="6"/>
  <c r="F13" i="6"/>
  <c r="G13" i="6"/>
  <c r="K13" i="6"/>
  <c r="A14" i="6"/>
  <c r="B14" i="6"/>
  <c r="C14" i="6"/>
  <c r="D14" i="6"/>
  <c r="E14" i="6"/>
  <c r="F14" i="6"/>
  <c r="G14" i="6"/>
  <c r="K14" i="6"/>
  <c r="A15" i="6"/>
  <c r="B15" i="6"/>
  <c r="C15" i="6"/>
  <c r="D15" i="6"/>
  <c r="E15" i="6"/>
  <c r="F15" i="6"/>
  <c r="G15" i="6"/>
  <c r="K15" i="6"/>
  <c r="A16" i="6"/>
  <c r="B16" i="6"/>
  <c r="C16" i="6"/>
  <c r="D16" i="6"/>
  <c r="E16" i="6"/>
  <c r="F16" i="6"/>
  <c r="G16" i="6"/>
  <c r="K16" i="6"/>
  <c r="A17" i="6"/>
  <c r="B17" i="6"/>
  <c r="C17" i="6"/>
  <c r="D17" i="6"/>
  <c r="E17" i="6"/>
  <c r="F17" i="6"/>
  <c r="G17" i="6"/>
  <c r="K17" i="6"/>
  <c r="A18" i="6"/>
  <c r="B18" i="6"/>
  <c r="C18" i="6"/>
  <c r="D18" i="6"/>
  <c r="E18" i="6"/>
  <c r="F18" i="6"/>
  <c r="G18" i="6"/>
  <c r="K18" i="6"/>
  <c r="A19" i="6"/>
  <c r="B19" i="6"/>
  <c r="C19" i="6"/>
  <c r="D19" i="6"/>
  <c r="E19" i="6"/>
  <c r="F19" i="6"/>
  <c r="G19" i="6"/>
  <c r="K19" i="6"/>
  <c r="A20" i="6"/>
  <c r="B20" i="6"/>
  <c r="C20" i="6"/>
  <c r="D20" i="6"/>
  <c r="E20" i="6"/>
  <c r="F20" i="6"/>
  <c r="G20" i="6"/>
  <c r="K20" i="6"/>
  <c r="A21" i="6"/>
  <c r="B21" i="6"/>
  <c r="C21" i="6"/>
  <c r="D21" i="6"/>
  <c r="E21" i="6"/>
  <c r="F21" i="6"/>
  <c r="G21" i="6"/>
  <c r="K21" i="6"/>
  <c r="A22" i="6"/>
  <c r="B22" i="6"/>
  <c r="C22" i="6"/>
  <c r="D22" i="6"/>
  <c r="E22" i="6"/>
  <c r="F22" i="6"/>
  <c r="G22" i="6"/>
  <c r="K22" i="6"/>
  <c r="A23" i="6"/>
  <c r="B23" i="6"/>
  <c r="C23" i="6"/>
  <c r="D23" i="6"/>
  <c r="E23" i="6"/>
  <c r="F23" i="6"/>
  <c r="G23" i="6"/>
  <c r="K23" i="6"/>
  <c r="A24" i="6"/>
  <c r="B24" i="6"/>
  <c r="C24" i="6"/>
  <c r="D24" i="6"/>
  <c r="E24" i="6"/>
  <c r="F24" i="6"/>
  <c r="G24" i="6"/>
  <c r="K24" i="6"/>
  <c r="A25" i="6"/>
  <c r="B25" i="6"/>
  <c r="C25" i="6"/>
  <c r="D25" i="6"/>
  <c r="E25" i="6"/>
  <c r="F25" i="6"/>
  <c r="G25" i="6"/>
  <c r="K25" i="6"/>
  <c r="A26" i="6"/>
  <c r="B26" i="6"/>
  <c r="C26" i="6"/>
  <c r="D26" i="6"/>
  <c r="E26" i="6"/>
  <c r="F26" i="6"/>
  <c r="G26" i="6"/>
  <c r="K26" i="6"/>
  <c r="A27" i="6"/>
  <c r="B27" i="6"/>
  <c r="C27" i="6"/>
  <c r="D27" i="6"/>
  <c r="E27" i="6"/>
  <c r="F27" i="6"/>
  <c r="G27" i="6"/>
  <c r="K27" i="6"/>
  <c r="A28" i="6"/>
  <c r="B28" i="6"/>
  <c r="C28" i="6"/>
  <c r="D28" i="6"/>
  <c r="E28" i="6"/>
  <c r="F28" i="6"/>
  <c r="G28" i="6"/>
  <c r="K28" i="6"/>
  <c r="A29" i="6"/>
  <c r="B29" i="6"/>
  <c r="C29" i="6"/>
  <c r="D29" i="6"/>
  <c r="E29" i="6"/>
  <c r="F29" i="6"/>
  <c r="G29" i="6"/>
  <c r="K29" i="6"/>
  <c r="A30" i="6"/>
  <c r="B30" i="6"/>
  <c r="C30" i="6"/>
  <c r="D30" i="6"/>
  <c r="E30" i="6"/>
  <c r="F30" i="6"/>
  <c r="G30" i="6"/>
  <c r="K30" i="6"/>
  <c r="A31" i="6"/>
  <c r="B31" i="6"/>
  <c r="C31" i="6"/>
  <c r="D31" i="6"/>
  <c r="E31" i="6"/>
  <c r="F31" i="6"/>
  <c r="G31" i="6"/>
  <c r="K31" i="6"/>
  <c r="A32" i="6"/>
  <c r="B32" i="6"/>
  <c r="C32" i="6"/>
  <c r="D32" i="6"/>
  <c r="E32" i="6"/>
  <c r="F32" i="6"/>
  <c r="G32" i="6"/>
  <c r="K32" i="6"/>
  <c r="A33" i="6"/>
  <c r="B33" i="6"/>
  <c r="C33" i="6"/>
  <c r="D33" i="6"/>
  <c r="E33" i="6"/>
  <c r="F33" i="6"/>
  <c r="G33" i="6"/>
  <c r="K33" i="6"/>
  <c r="A34" i="6"/>
  <c r="B34" i="6"/>
  <c r="C34" i="6"/>
  <c r="D34" i="6"/>
  <c r="E34" i="6"/>
  <c r="F34" i="6"/>
  <c r="G34" i="6"/>
  <c r="K34" i="6"/>
  <c r="A35" i="6"/>
  <c r="B35" i="6"/>
  <c r="C35" i="6"/>
  <c r="D35" i="6"/>
  <c r="E35" i="6"/>
  <c r="F35" i="6"/>
  <c r="G35" i="6"/>
  <c r="K35" i="6"/>
  <c r="A36" i="6"/>
  <c r="B36" i="6"/>
  <c r="C36" i="6"/>
  <c r="D36" i="6"/>
  <c r="E36" i="6"/>
  <c r="F36" i="6"/>
  <c r="G36" i="6"/>
  <c r="K36" i="6"/>
  <c r="A37" i="6"/>
  <c r="B37" i="6"/>
  <c r="C37" i="6"/>
  <c r="D37" i="6"/>
  <c r="E37" i="6"/>
  <c r="F37" i="6"/>
  <c r="G37" i="6"/>
  <c r="K37" i="6"/>
  <c r="A38" i="6"/>
  <c r="B38" i="6"/>
  <c r="C38" i="6"/>
  <c r="D38" i="6"/>
  <c r="E38" i="6"/>
  <c r="F38" i="6"/>
  <c r="G38" i="6"/>
  <c r="K38" i="6"/>
  <c r="A39" i="6"/>
  <c r="B39" i="6"/>
  <c r="C39" i="6"/>
  <c r="D39" i="6"/>
  <c r="E39" i="6"/>
  <c r="F39" i="6"/>
  <c r="G39" i="6"/>
  <c r="K39" i="6"/>
  <c r="A40" i="6"/>
  <c r="B40" i="6"/>
  <c r="C40" i="6"/>
  <c r="D40" i="6"/>
  <c r="E40" i="6"/>
  <c r="F40" i="6"/>
  <c r="G40" i="6"/>
  <c r="K40" i="6"/>
  <c r="A41" i="6"/>
  <c r="B41" i="6"/>
  <c r="C41" i="6"/>
  <c r="D41" i="6"/>
  <c r="E41" i="6"/>
  <c r="F41" i="6"/>
  <c r="G41" i="6"/>
  <c r="K41" i="6"/>
  <c r="A42" i="6"/>
  <c r="B42" i="6"/>
  <c r="C42" i="6"/>
  <c r="D42" i="6"/>
  <c r="E42" i="6"/>
  <c r="F42" i="6"/>
  <c r="G42" i="6"/>
  <c r="K42" i="6"/>
  <c r="A43" i="6"/>
  <c r="B43" i="6"/>
  <c r="C43" i="6"/>
  <c r="D43" i="6"/>
  <c r="E43" i="6"/>
  <c r="F43" i="6"/>
  <c r="G43" i="6"/>
  <c r="K43" i="6"/>
  <c r="A44" i="6"/>
  <c r="B44" i="6"/>
  <c r="C44" i="6"/>
  <c r="D44" i="6"/>
  <c r="E44" i="6"/>
  <c r="F44" i="6"/>
  <c r="G44" i="6"/>
  <c r="K44" i="6"/>
  <c r="A45" i="6"/>
  <c r="B45" i="6"/>
  <c r="C45" i="6"/>
  <c r="D45" i="6"/>
  <c r="E45" i="6"/>
  <c r="F45" i="6"/>
  <c r="G45" i="6"/>
  <c r="K45" i="6"/>
  <c r="A46" i="6"/>
  <c r="B46" i="6"/>
  <c r="C46" i="6"/>
  <c r="D46" i="6"/>
  <c r="E46" i="6"/>
  <c r="F46" i="6"/>
  <c r="G46" i="6"/>
  <c r="K46" i="6"/>
  <c r="A47" i="6"/>
  <c r="B47" i="6"/>
  <c r="C47" i="6"/>
  <c r="D47" i="6"/>
  <c r="E47" i="6"/>
  <c r="F47" i="6"/>
  <c r="G47" i="6"/>
  <c r="K47" i="6"/>
  <c r="A48" i="6"/>
  <c r="B48" i="6"/>
  <c r="C48" i="6"/>
  <c r="D48" i="6"/>
  <c r="E48" i="6"/>
  <c r="F48" i="6"/>
  <c r="G48" i="6"/>
  <c r="K48" i="6"/>
  <c r="A49" i="6"/>
  <c r="B49" i="6"/>
  <c r="C49" i="6"/>
  <c r="D49" i="6"/>
  <c r="E49" i="6"/>
  <c r="F49" i="6"/>
  <c r="G49" i="6"/>
  <c r="K49" i="6"/>
  <c r="A50" i="6"/>
  <c r="B50" i="6"/>
  <c r="C50" i="6"/>
  <c r="D50" i="6"/>
  <c r="E50" i="6"/>
  <c r="F50" i="6"/>
  <c r="G50" i="6"/>
  <c r="K50" i="6"/>
  <c r="A51" i="6"/>
  <c r="B51" i="6"/>
  <c r="C51" i="6"/>
  <c r="D51" i="6"/>
  <c r="E51" i="6"/>
  <c r="F51" i="6"/>
  <c r="G51" i="6"/>
  <c r="K51" i="6"/>
  <c r="A52" i="6"/>
  <c r="B52" i="6"/>
  <c r="C52" i="6"/>
  <c r="D52" i="6"/>
  <c r="E52" i="6"/>
  <c r="F52" i="6"/>
  <c r="G52" i="6"/>
  <c r="K52" i="6"/>
  <c r="A53" i="6"/>
  <c r="B53" i="6"/>
  <c r="C53" i="6"/>
  <c r="D53" i="6"/>
  <c r="E53" i="6"/>
  <c r="F53" i="6"/>
  <c r="G53" i="6"/>
  <c r="K53" i="6"/>
  <c r="A54" i="6"/>
  <c r="B54" i="6"/>
  <c r="C54" i="6"/>
  <c r="D54" i="6"/>
  <c r="E54" i="6"/>
  <c r="F54" i="6"/>
  <c r="G54" i="6"/>
  <c r="K54" i="6"/>
  <c r="A55" i="6"/>
  <c r="B55" i="6"/>
  <c r="C55" i="6"/>
  <c r="D55" i="6"/>
  <c r="E55" i="6"/>
  <c r="F55" i="6"/>
  <c r="G55" i="6"/>
  <c r="K55" i="6"/>
  <c r="A56" i="6"/>
  <c r="B56" i="6"/>
  <c r="C56" i="6"/>
  <c r="D56" i="6"/>
  <c r="E56" i="6"/>
  <c r="F56" i="6"/>
  <c r="G56" i="6"/>
  <c r="K56" i="6"/>
  <c r="A57" i="6"/>
  <c r="B57" i="6"/>
  <c r="C57" i="6"/>
  <c r="D57" i="6"/>
  <c r="E57" i="6"/>
  <c r="F57" i="6"/>
  <c r="G57" i="6"/>
  <c r="K57" i="6"/>
  <c r="A58" i="6"/>
  <c r="B58" i="6"/>
  <c r="C58" i="6"/>
  <c r="D58" i="6"/>
  <c r="E58" i="6"/>
  <c r="F58" i="6"/>
  <c r="G58" i="6"/>
  <c r="K58" i="6"/>
  <c r="A59" i="6"/>
  <c r="B59" i="6"/>
  <c r="C59" i="6"/>
  <c r="D59" i="6"/>
  <c r="E59" i="6"/>
  <c r="F59" i="6"/>
  <c r="G59" i="6"/>
  <c r="K59" i="6"/>
  <c r="A60" i="6"/>
  <c r="B60" i="6"/>
  <c r="C60" i="6"/>
  <c r="D60" i="6"/>
  <c r="E60" i="6"/>
  <c r="F60" i="6"/>
  <c r="G60" i="6"/>
  <c r="K60" i="6"/>
  <c r="A61" i="6"/>
  <c r="B61" i="6"/>
  <c r="C61" i="6"/>
  <c r="D61" i="6"/>
  <c r="E61" i="6"/>
  <c r="F61" i="6"/>
  <c r="G61" i="6"/>
  <c r="K61" i="6"/>
  <c r="A62" i="6"/>
  <c r="B62" i="6"/>
  <c r="C62" i="6"/>
  <c r="D62" i="6"/>
  <c r="E62" i="6"/>
  <c r="F62" i="6"/>
  <c r="G62" i="6"/>
  <c r="K62" i="6"/>
  <c r="A63" i="6"/>
  <c r="B63" i="6"/>
  <c r="C63" i="6"/>
  <c r="D63" i="6"/>
  <c r="E63" i="6"/>
  <c r="F63" i="6"/>
  <c r="G63" i="6"/>
  <c r="K63" i="6"/>
  <c r="A64" i="6"/>
  <c r="B64" i="6"/>
  <c r="C64" i="6"/>
  <c r="D64" i="6"/>
  <c r="E64" i="6"/>
  <c r="F64" i="6"/>
  <c r="G64" i="6"/>
  <c r="K64" i="6"/>
  <c r="A65" i="6"/>
  <c r="B65" i="6"/>
  <c r="C65" i="6"/>
  <c r="D65" i="6"/>
  <c r="E65" i="6"/>
  <c r="F65" i="6"/>
  <c r="G65" i="6"/>
  <c r="K65" i="6"/>
  <c r="A66" i="6"/>
  <c r="B66" i="6"/>
  <c r="C66" i="6"/>
  <c r="D66" i="6"/>
  <c r="E66" i="6"/>
  <c r="F66" i="6"/>
  <c r="G66" i="6"/>
  <c r="K66" i="6"/>
  <c r="A67" i="6"/>
  <c r="B67" i="6"/>
  <c r="C67" i="6"/>
  <c r="D67" i="6"/>
  <c r="E67" i="6"/>
  <c r="F67" i="6"/>
  <c r="G67" i="6"/>
  <c r="K67" i="6"/>
  <c r="A68" i="6"/>
  <c r="B68" i="6"/>
  <c r="C68" i="6"/>
  <c r="D68" i="6"/>
  <c r="E68" i="6"/>
  <c r="F68" i="6"/>
  <c r="G68" i="6"/>
  <c r="K68" i="6"/>
  <c r="A69" i="6"/>
  <c r="B69" i="6"/>
  <c r="C69" i="6"/>
  <c r="D69" i="6"/>
  <c r="E69" i="6"/>
  <c r="F69" i="6"/>
  <c r="G69" i="6"/>
  <c r="K69" i="6"/>
  <c r="A70" i="6"/>
  <c r="B70" i="6"/>
  <c r="C70" i="6"/>
  <c r="D70" i="6"/>
  <c r="E70" i="6"/>
  <c r="F70" i="6"/>
  <c r="G70" i="6"/>
  <c r="K70" i="6"/>
  <c r="A71" i="6"/>
  <c r="B71" i="6"/>
  <c r="C71" i="6"/>
  <c r="D71" i="6"/>
  <c r="E71" i="6"/>
  <c r="F71" i="6"/>
  <c r="G71" i="6"/>
  <c r="K71" i="6"/>
  <c r="A72" i="6"/>
  <c r="B72" i="6"/>
  <c r="C72" i="6"/>
  <c r="D72" i="6"/>
  <c r="E72" i="6"/>
  <c r="F72" i="6"/>
  <c r="G72" i="6"/>
  <c r="K72" i="6"/>
  <c r="A73" i="6"/>
  <c r="B73" i="6"/>
  <c r="C73" i="6"/>
  <c r="D73" i="6"/>
  <c r="E73" i="6"/>
  <c r="F73" i="6"/>
  <c r="G73" i="6"/>
  <c r="K73" i="6"/>
  <c r="A74" i="6"/>
  <c r="B74" i="6"/>
  <c r="C74" i="6"/>
  <c r="D74" i="6"/>
  <c r="E74" i="6"/>
  <c r="F74" i="6"/>
  <c r="G74" i="6"/>
  <c r="K74" i="6"/>
  <c r="A75" i="6"/>
  <c r="B75" i="6"/>
  <c r="C75" i="6"/>
  <c r="D75" i="6"/>
  <c r="E75" i="6"/>
  <c r="F75" i="6"/>
  <c r="G75" i="6"/>
  <c r="K75" i="6"/>
  <c r="A76" i="6"/>
  <c r="B76" i="6"/>
  <c r="C76" i="6"/>
  <c r="D76" i="6"/>
  <c r="E76" i="6"/>
  <c r="F76" i="6"/>
  <c r="G76" i="6"/>
  <c r="K76" i="6"/>
  <c r="A77" i="6"/>
  <c r="B77" i="6"/>
  <c r="C77" i="6"/>
  <c r="D77" i="6"/>
  <c r="E77" i="6"/>
  <c r="F77" i="6"/>
  <c r="G77" i="6"/>
  <c r="K77" i="6"/>
  <c r="A78" i="6"/>
  <c r="B78" i="6"/>
  <c r="C78" i="6"/>
  <c r="D78" i="6"/>
  <c r="E78" i="6"/>
  <c r="F78" i="6"/>
  <c r="G78" i="6"/>
  <c r="K78" i="6"/>
  <c r="A79" i="6"/>
  <c r="B79" i="6"/>
  <c r="C79" i="6"/>
  <c r="D79" i="6"/>
  <c r="E79" i="6"/>
  <c r="F79" i="6"/>
  <c r="G79" i="6"/>
  <c r="K79" i="6"/>
  <c r="A80" i="6"/>
  <c r="B80" i="6"/>
  <c r="C80" i="6"/>
  <c r="D80" i="6"/>
  <c r="E80" i="6"/>
  <c r="F80" i="6"/>
  <c r="G80" i="6"/>
  <c r="K80" i="6"/>
  <c r="A81" i="6"/>
  <c r="B81" i="6"/>
  <c r="C81" i="6"/>
  <c r="D81" i="6"/>
  <c r="E81" i="6"/>
  <c r="F81" i="6"/>
  <c r="G81" i="6"/>
  <c r="K81" i="6"/>
  <c r="A82" i="6"/>
  <c r="B82" i="6"/>
  <c r="C82" i="6"/>
  <c r="D82" i="6"/>
  <c r="E82" i="6"/>
  <c r="F82" i="6"/>
  <c r="G82" i="6"/>
  <c r="K82" i="6"/>
  <c r="A83" i="6"/>
  <c r="B83" i="6"/>
  <c r="C83" i="6"/>
  <c r="D83" i="6"/>
  <c r="E83" i="6"/>
  <c r="F83" i="6"/>
  <c r="G83" i="6"/>
  <c r="K83" i="6"/>
  <c r="A84" i="6"/>
  <c r="B84" i="6"/>
  <c r="C84" i="6"/>
  <c r="D84" i="6"/>
  <c r="E84" i="6"/>
  <c r="F84" i="6"/>
  <c r="G84" i="6"/>
  <c r="K84" i="6"/>
  <c r="A85" i="6"/>
  <c r="B85" i="6"/>
  <c r="C85" i="6"/>
  <c r="D85" i="6"/>
  <c r="E85" i="6"/>
  <c r="F85" i="6"/>
  <c r="G85" i="6"/>
  <c r="K85" i="6"/>
  <c r="A86" i="6"/>
  <c r="B86" i="6"/>
  <c r="C86" i="6"/>
  <c r="D86" i="6"/>
  <c r="E86" i="6"/>
  <c r="F86" i="6"/>
  <c r="G86" i="6"/>
  <c r="K86" i="6"/>
  <c r="A87" i="6"/>
  <c r="B87" i="6"/>
  <c r="C87" i="6"/>
  <c r="D87" i="6"/>
  <c r="E87" i="6"/>
  <c r="F87" i="6"/>
  <c r="G87" i="6"/>
  <c r="K87" i="6"/>
  <c r="A88" i="6"/>
  <c r="B88" i="6"/>
  <c r="C88" i="6"/>
  <c r="D88" i="6"/>
  <c r="E88" i="6"/>
  <c r="F88" i="6"/>
  <c r="G88" i="6"/>
  <c r="K88" i="6"/>
  <c r="A89" i="6"/>
  <c r="B89" i="6"/>
  <c r="C89" i="6"/>
  <c r="D89" i="6"/>
  <c r="E89" i="6"/>
  <c r="F89" i="6"/>
  <c r="G89" i="6"/>
  <c r="K89" i="6"/>
  <c r="A90" i="6"/>
  <c r="B90" i="6"/>
  <c r="C90" i="6"/>
  <c r="D90" i="6"/>
  <c r="E90" i="6"/>
  <c r="F90" i="6"/>
  <c r="G90" i="6"/>
  <c r="K90" i="6"/>
  <c r="A91" i="6"/>
  <c r="B91" i="6"/>
  <c r="C91" i="6"/>
  <c r="D91" i="6"/>
  <c r="E91" i="6"/>
  <c r="F91" i="6"/>
  <c r="G91" i="6"/>
  <c r="K91" i="6"/>
  <c r="K2" i="6"/>
  <c r="G2" i="6"/>
  <c r="F2" i="6"/>
  <c r="E2" i="6"/>
  <c r="D2" i="6"/>
  <c r="C2" i="6"/>
  <c r="B2" i="6"/>
  <c r="A2" i="6"/>
  <c r="E2" i="87" l="1"/>
  <c r="D2" i="87"/>
  <c r="C2" i="87"/>
  <c r="B2" i="87"/>
  <c r="A2" i="87"/>
  <c r="O605" i="68" l="1"/>
  <c r="O700" i="68"/>
  <c r="O555" i="68"/>
  <c r="O392" i="68"/>
  <c r="O560" i="68"/>
  <c r="O484" i="68"/>
  <c r="O485" i="68"/>
  <c r="O423" i="68"/>
  <c r="O156" i="68"/>
  <c r="O257" i="68"/>
  <c r="O279" i="68"/>
  <c r="O417" i="68"/>
  <c r="O421" i="68"/>
  <c r="O317" i="68"/>
  <c r="O595" i="68"/>
  <c r="O364" i="68"/>
  <c r="O235" i="68"/>
  <c r="O637" i="68"/>
  <c r="O150" i="68"/>
  <c r="O196" i="68"/>
  <c r="O214" i="68"/>
  <c r="O51" i="68"/>
  <c r="O55" i="68"/>
  <c r="O625" i="68"/>
  <c r="O458" i="68"/>
  <c r="O610" i="68"/>
  <c r="O551" i="68"/>
  <c r="O577" i="68"/>
  <c r="O592" i="68"/>
  <c r="O731" i="68"/>
  <c r="O140" i="68"/>
  <c r="O352" i="68"/>
  <c r="O297" i="68"/>
  <c r="O327" i="68"/>
  <c r="O130" i="68"/>
  <c r="O732" i="68"/>
  <c r="O24" i="68"/>
  <c r="O165" i="68"/>
  <c r="O603" i="68"/>
  <c r="O704" i="68"/>
  <c r="O712" i="68"/>
  <c r="O205" i="68"/>
  <c r="O557" i="68"/>
  <c r="O574" i="68"/>
  <c r="O122" i="68"/>
  <c r="O729" i="68"/>
  <c r="O535" i="68"/>
  <c r="O657" i="68"/>
  <c r="O278" i="68"/>
  <c r="O415" i="68"/>
  <c r="O419" i="68"/>
  <c r="O316" i="68"/>
  <c r="O530" i="68"/>
  <c r="O126" i="68"/>
  <c r="O233" i="68"/>
  <c r="O284" i="68"/>
  <c r="O152" i="68"/>
  <c r="O181" i="68"/>
  <c r="O461" i="68"/>
  <c r="O93" i="68"/>
  <c r="O633" i="68"/>
  <c r="O623" i="68"/>
  <c r="O459" i="68"/>
  <c r="O399" i="68"/>
  <c r="O606" i="68"/>
  <c r="O441" i="68"/>
  <c r="O593" i="68"/>
  <c r="O751" i="68"/>
  <c r="O138" i="68"/>
  <c r="O285" i="68"/>
  <c r="O651" i="68"/>
  <c r="O245" i="68"/>
  <c r="O342" i="68"/>
  <c r="O21" i="68"/>
  <c r="O14" i="68"/>
  <c r="O346" i="68"/>
  <c r="O300" i="68"/>
  <c r="O206" i="68"/>
  <c r="O690" i="68"/>
  <c r="O56" i="68"/>
  <c r="O2" i="68"/>
  <c r="O230" i="68"/>
  <c r="O376" i="68"/>
  <c r="O678" i="68"/>
  <c r="O445" i="68"/>
  <c r="O325" i="68"/>
  <c r="O292" i="68"/>
  <c r="O281" i="68"/>
  <c r="O653" i="68"/>
  <c r="O187" i="68"/>
  <c r="O345" i="68"/>
  <c r="O758" i="68"/>
  <c r="O32" i="68"/>
  <c r="O7" i="68"/>
  <c r="O264" i="68"/>
  <c r="O602" i="68"/>
  <c r="O706" i="68"/>
  <c r="O386" i="68"/>
  <c r="O127" i="68"/>
  <c r="O558" i="68"/>
  <c r="O265" i="68"/>
  <c r="O744" i="68"/>
  <c r="O94" i="68"/>
  <c r="O685" i="68"/>
  <c r="O544" i="68"/>
  <c r="O177" i="68"/>
  <c r="O725" i="68"/>
  <c r="O722" i="68"/>
  <c r="O313" i="68"/>
  <c r="O532" i="68"/>
  <c r="O500" i="68"/>
  <c r="O232" i="68"/>
  <c r="O398" i="68"/>
  <c r="O367" i="68"/>
  <c r="O133" i="68"/>
  <c r="O719" i="68"/>
  <c r="O170" i="68"/>
  <c r="O363" i="68"/>
  <c r="O9" i="68"/>
  <c r="O527" i="68"/>
  <c r="O658" i="68"/>
  <c r="O339" i="68"/>
  <c r="O99" i="68"/>
  <c r="O48" i="68"/>
  <c r="O393" i="68"/>
  <c r="O627" i="68"/>
  <c r="O640" i="68"/>
  <c r="O369" i="68"/>
  <c r="O568" i="68"/>
  <c r="O219" i="68"/>
  <c r="O323" i="68"/>
  <c r="O286" i="68"/>
  <c r="O478" i="68"/>
  <c r="O492" i="68"/>
  <c r="O305" i="68"/>
  <c r="O145" i="68"/>
  <c r="O22" i="68"/>
  <c r="O10" i="68"/>
  <c r="O482" i="68"/>
  <c r="O394" i="68"/>
  <c r="O254" i="68"/>
  <c r="O40" i="68"/>
  <c r="O45" i="68"/>
  <c r="O27" i="68"/>
  <c r="O543" i="68"/>
  <c r="O226" i="68"/>
  <c r="O442" i="68"/>
  <c r="O496" i="68"/>
  <c r="O411" i="68"/>
  <c r="O255" i="68"/>
  <c r="O734" i="68"/>
  <c r="O439" i="68"/>
  <c r="O358" i="68"/>
  <c r="O330" i="68"/>
  <c r="O275" i="68"/>
  <c r="O520" i="68"/>
  <c r="O11" i="68"/>
  <c r="O17" i="68"/>
  <c r="O709" i="68"/>
  <c r="O667" i="68"/>
  <c r="O476" i="68"/>
  <c r="O541" i="68"/>
  <c r="O173" i="68"/>
  <c r="O582" i="68"/>
  <c r="O608" i="68"/>
  <c r="O377" i="68"/>
  <c r="O466" i="68"/>
  <c r="O63" i="68"/>
  <c r="O95" i="68"/>
  <c r="O83" i="68"/>
  <c r="O695" i="68"/>
  <c r="O103" i="68"/>
  <c r="O104" i="68"/>
  <c r="O382" i="68"/>
  <c r="O107" i="68"/>
  <c r="O106" i="68"/>
  <c r="O111" i="68"/>
  <c r="O405" i="68"/>
  <c r="O154" i="68"/>
  <c r="O426" i="68"/>
  <c r="O387" i="68"/>
  <c r="O322" i="68"/>
  <c r="O375" i="68"/>
  <c r="O231" i="68"/>
  <c r="O389" i="68"/>
  <c r="O236" i="68"/>
  <c r="O486" i="68"/>
  <c r="O249" i="68"/>
  <c r="O328" i="68"/>
  <c r="O324" i="68"/>
  <c r="O250" i="68"/>
  <c r="O452" i="68"/>
  <c r="O567" i="68"/>
  <c r="O546" i="68"/>
  <c r="O227" i="68"/>
  <c r="O618" i="68"/>
  <c r="O628" i="68"/>
  <c r="O64" i="68"/>
  <c r="O72" i="68"/>
  <c r="O88" i="68"/>
  <c r="O710" i="68"/>
  <c r="O742" i="68"/>
  <c r="O720" i="68"/>
  <c r="O237" i="68"/>
  <c r="O153" i="68"/>
  <c r="O721" i="68"/>
  <c r="O487" i="68"/>
  <c r="O169" i="68"/>
  <c r="O550" i="68"/>
  <c r="O225" i="68"/>
  <c r="O682" i="68"/>
  <c r="O80" i="68"/>
  <c r="O212" i="68"/>
  <c r="O30" i="68"/>
  <c r="O69" i="68"/>
  <c r="O380" i="68"/>
  <c r="O315" i="68"/>
  <c r="O564" i="68"/>
  <c r="O686" i="68"/>
  <c r="O28" i="68"/>
  <c r="O513" i="68"/>
  <c r="O334" i="68"/>
  <c r="O268" i="68"/>
  <c r="O209" i="68"/>
  <c r="O266" i="68"/>
  <c r="O381" i="68"/>
  <c r="O620" i="68"/>
  <c r="O508" i="68"/>
  <c r="O754" i="68"/>
  <c r="O479" i="68"/>
  <c r="O260" i="68"/>
  <c r="O409" i="68"/>
  <c r="O139" i="68"/>
  <c r="O400" i="68"/>
  <c r="O457" i="68"/>
  <c r="O632" i="68"/>
  <c r="O142" i="68"/>
  <c r="O75" i="68"/>
  <c r="O468" i="68"/>
  <c r="O691" i="68"/>
  <c r="O746" i="68"/>
  <c r="O149" i="68"/>
  <c r="O470" i="68"/>
  <c r="O174" i="68"/>
  <c r="O668" i="68"/>
  <c r="O539" i="68"/>
  <c r="O277" i="68"/>
  <c r="O534" i="68"/>
  <c r="O707" i="68"/>
  <c r="O626" i="68"/>
  <c r="O123" i="68"/>
  <c r="O644" i="68"/>
  <c r="O540" i="68"/>
  <c r="O340" i="68"/>
  <c r="O649" i="68"/>
  <c r="O36" i="68"/>
  <c r="O319" i="68"/>
  <c r="O676" i="68"/>
  <c r="O575" i="68"/>
  <c r="O553" i="68"/>
  <c r="O370" i="68"/>
  <c r="O613" i="68"/>
  <c r="O641" i="68"/>
  <c r="O516" i="68"/>
  <c r="O66" i="68"/>
  <c r="O76" i="68"/>
  <c r="O85" i="68"/>
  <c r="O179" i="68"/>
  <c r="O180" i="68"/>
  <c r="O723" i="68"/>
  <c r="O116" i="68"/>
  <c r="O119" i="68"/>
  <c r="O573" i="68"/>
  <c r="O252" i="68"/>
  <c r="O203" i="68"/>
  <c r="O124" i="68"/>
  <c r="O98" i="68"/>
  <c r="O517" i="68"/>
  <c r="O148" i="68"/>
  <c r="O35" i="68"/>
  <c r="O29" i="68"/>
  <c r="O353" i="68"/>
  <c r="O141" i="68"/>
  <c r="O624" i="68"/>
  <c r="O730" i="68"/>
  <c r="O489" i="68"/>
  <c r="O81" i="68"/>
  <c r="O699" i="68"/>
  <c r="O208" i="68"/>
  <c r="O151" i="68"/>
  <c r="O647" i="68"/>
  <c r="O117" i="68"/>
  <c r="O670" i="68"/>
  <c r="O418" i="68"/>
  <c r="O427" i="68"/>
  <c r="O158" i="68"/>
  <c r="O201" i="68"/>
  <c r="O705" i="68"/>
  <c r="O585" i="68"/>
  <c r="O78" i="68"/>
  <c r="O258" i="68"/>
  <c r="O693" i="68"/>
  <c r="O717" i="68"/>
  <c r="O146" i="68"/>
  <c r="O91" i="68"/>
  <c r="O434" i="68"/>
  <c r="O727" i="68"/>
  <c r="O256" i="68"/>
  <c r="O38" i="68"/>
  <c r="O580" i="68"/>
  <c r="O280" i="68"/>
  <c r="O62" i="68"/>
  <c r="O114" i="68"/>
  <c r="O588" i="68"/>
  <c r="O186" i="68"/>
  <c r="O414" i="68"/>
  <c r="O677" i="68"/>
  <c r="O736" i="68"/>
  <c r="O194" i="68"/>
  <c r="O438" i="68"/>
  <c r="O598" i="68"/>
  <c r="O3" i="68"/>
  <c r="O750" i="68"/>
  <c r="O519" i="68"/>
  <c r="O341" i="68"/>
  <c r="O207" i="68"/>
  <c r="O569" i="68"/>
  <c r="O229" i="68"/>
  <c r="O604" i="68"/>
  <c r="O172" i="68"/>
  <c r="O533" i="68"/>
  <c r="O70" i="68"/>
  <c r="O416" i="68"/>
  <c r="O23" i="68"/>
  <c r="O68" i="68"/>
  <c r="O650" i="68"/>
  <c r="O422" i="68"/>
  <c r="O190" i="68"/>
  <c r="O357" i="68"/>
  <c r="O737" i="68"/>
  <c r="O366" i="68"/>
  <c r="O453" i="68"/>
  <c r="O71" i="68"/>
  <c r="O53" i="68"/>
  <c r="O270" i="68"/>
  <c r="O248" i="68"/>
  <c r="O425" i="68"/>
  <c r="O689" i="68"/>
  <c r="O652" i="68"/>
  <c r="O529" i="68"/>
  <c r="O681" i="68"/>
  <c r="O188" i="68"/>
  <c r="O390" i="68"/>
  <c r="O581" i="68"/>
  <c r="O413" i="68"/>
  <c r="O86" i="68"/>
  <c r="O578" i="68"/>
  <c r="O655" i="68"/>
  <c r="O663" i="68"/>
  <c r="O510" i="68"/>
  <c r="O673" i="68"/>
  <c r="O396" i="68"/>
  <c r="O436" i="68"/>
  <c r="O176" i="68"/>
  <c r="O708" i="68"/>
  <c r="O428" i="68"/>
  <c r="O171" i="68"/>
  <c r="O463" i="68"/>
  <c r="O684" i="68"/>
  <c r="O100" i="68"/>
  <c r="O536" i="68"/>
  <c r="O589" i="68"/>
  <c r="O379" i="68"/>
  <c r="O121" i="68"/>
  <c r="O143" i="68"/>
  <c r="O57" i="68"/>
  <c r="O164" i="68"/>
  <c r="O424" i="68"/>
  <c r="O295" i="68"/>
  <c r="O312" i="68"/>
  <c r="O542" i="68"/>
  <c r="O157" i="68"/>
  <c r="O314" i="68"/>
  <c r="O240" i="68"/>
  <c r="O509" i="68"/>
  <c r="O191" i="68"/>
  <c r="O337" i="68"/>
  <c r="O491" i="68"/>
  <c r="O244" i="68"/>
  <c r="O263" i="68"/>
  <c r="O89" i="68"/>
  <c r="O503" i="68"/>
  <c r="O47" i="68"/>
  <c r="O307" i="68"/>
  <c r="O359" i="68"/>
  <c r="O579" i="68"/>
  <c r="O638" i="68"/>
  <c r="O200" i="68"/>
  <c r="O643" i="68"/>
  <c r="O97" i="68"/>
  <c r="O464" i="68"/>
  <c r="O523" i="68"/>
  <c r="O648" i="68"/>
  <c r="O465" i="68"/>
  <c r="O696" i="68"/>
  <c r="O343" i="68"/>
  <c r="O403" i="68"/>
  <c r="O724" i="68"/>
  <c r="O455" i="68"/>
  <c r="O437" i="68"/>
  <c r="O77" i="68"/>
  <c r="O331" i="68"/>
  <c r="O273" i="68"/>
  <c r="O430" i="68"/>
  <c r="O365" i="68"/>
  <c r="O26" i="68"/>
  <c r="O378" i="68"/>
  <c r="O451" i="68"/>
  <c r="O563" i="68"/>
  <c r="O735" i="68"/>
  <c r="O388" i="68"/>
  <c r="O538" i="68"/>
  <c r="O84" i="68"/>
  <c r="O326" i="68"/>
  <c r="O528" i="68"/>
  <c r="O112" i="68"/>
  <c r="O160" i="68"/>
  <c r="O329" i="68"/>
  <c r="O715" i="68"/>
  <c r="O488" i="68"/>
  <c r="O561" i="68"/>
  <c r="O58" i="68"/>
  <c r="O8" i="68"/>
  <c r="O408" i="68"/>
  <c r="O733" i="68"/>
  <c r="O110" i="68"/>
  <c r="O287" i="68"/>
  <c r="O347" i="68"/>
  <c r="O67" i="68"/>
  <c r="O497" i="68"/>
  <c r="O687" i="68"/>
  <c r="O547" i="68"/>
  <c r="O702" i="68"/>
  <c r="O639" i="68"/>
  <c r="O362" i="68"/>
  <c r="O525" i="68"/>
  <c r="O471" i="68"/>
  <c r="O456" i="68"/>
  <c r="O501" i="68"/>
  <c r="O522" i="68"/>
  <c r="O73" i="68"/>
  <c r="O462" i="68"/>
  <c r="O664" i="68"/>
  <c r="O113" i="68"/>
  <c r="O480" i="68"/>
  <c r="O429" i="68"/>
  <c r="O109" i="68"/>
  <c r="O391" i="68"/>
  <c r="O242" i="68"/>
  <c r="O222" i="68"/>
  <c r="O243" i="68"/>
  <c r="O34" i="68"/>
  <c r="O105" i="68"/>
  <c r="O234" i="68"/>
  <c r="O556" i="68"/>
  <c r="O591" i="68"/>
  <c r="O753" i="68"/>
  <c r="O338" i="68"/>
  <c r="O698" i="68"/>
  <c r="O74" i="68"/>
  <c r="O350" i="68"/>
  <c r="O448" i="68"/>
  <c r="O596" i="68"/>
  <c r="O294" i="68"/>
  <c r="O531" i="68"/>
  <c r="O432" i="68"/>
  <c r="O493" i="68"/>
  <c r="O572" i="68"/>
  <c r="O472" i="68"/>
  <c r="O87" i="68"/>
  <c r="O646" i="68"/>
  <c r="O271" i="68"/>
  <c r="O12" i="68"/>
  <c r="O159" i="68"/>
  <c r="O129" i="68"/>
  <c r="O629" i="68"/>
  <c r="O713" i="68"/>
  <c r="O688" i="68"/>
  <c r="O619" i="68"/>
  <c r="O385" i="68"/>
  <c r="O108" i="68"/>
  <c r="O741" i="68"/>
  <c r="O246" i="68"/>
  <c r="O726" i="68"/>
  <c r="O18" i="68"/>
  <c r="O59" i="68"/>
  <c r="O420" i="68"/>
  <c r="O309" i="68"/>
  <c r="O52" i="68"/>
  <c r="O444" i="68"/>
  <c r="O269" i="68"/>
  <c r="O192" i="68"/>
  <c r="O348" i="68"/>
  <c r="O135" i="68"/>
  <c r="O739" i="68"/>
  <c r="O701" i="68"/>
  <c r="O373" i="68"/>
  <c r="O216" i="68"/>
  <c r="O728" i="68"/>
  <c r="O82" i="68"/>
  <c r="O749" i="68"/>
  <c r="O136" i="68"/>
  <c r="O756" i="68"/>
  <c r="O175" i="68"/>
  <c r="O354" i="68"/>
  <c r="O616" i="68"/>
  <c r="O511" i="68"/>
  <c r="O630" i="68"/>
  <c r="O131" i="68"/>
  <c r="O44" i="68"/>
  <c r="O308" i="68"/>
  <c r="O54" i="68"/>
  <c r="O247" i="68"/>
  <c r="O210" i="68"/>
  <c r="O306" i="68"/>
  <c r="O559" i="68"/>
  <c r="O195" i="68"/>
  <c r="O552" i="68"/>
  <c r="O37" i="68"/>
  <c r="O372" i="68"/>
  <c r="O361" i="68"/>
  <c r="O134" i="68"/>
  <c r="O656" i="68"/>
  <c r="O355" i="68"/>
  <c r="O410" i="68"/>
  <c r="O631" i="68"/>
  <c r="O267" i="68"/>
  <c r="O397" i="68"/>
  <c r="O611" i="68"/>
  <c r="O440" i="68"/>
  <c r="O120" i="68"/>
  <c r="O161" i="68"/>
  <c r="O740" i="68"/>
  <c r="O692" i="68"/>
  <c r="O368" i="68"/>
  <c r="O473" i="68"/>
  <c r="O318" i="68"/>
  <c r="O504" i="68"/>
  <c r="O221" i="68"/>
  <c r="O298" i="68"/>
  <c r="O183" i="68"/>
  <c r="O41" i="68"/>
  <c r="O215" i="68"/>
  <c r="O599" i="68"/>
  <c r="O562" i="68"/>
  <c r="O217" i="68"/>
  <c r="O261" i="68"/>
  <c r="O680" i="68"/>
  <c r="O184" i="68"/>
  <c r="O586" i="68"/>
  <c r="O669" i="68"/>
  <c r="O241" i="68"/>
  <c r="O474" i="68"/>
  <c r="O213" i="68"/>
  <c r="O545" i="68"/>
  <c r="O360" i="68"/>
  <c r="O433" i="68"/>
  <c r="O554" i="68"/>
  <c r="O584" i="68"/>
  <c r="O147" i="68"/>
  <c r="O115" i="68"/>
  <c r="O622" i="68"/>
  <c r="O662" i="68"/>
  <c r="O483" i="68"/>
  <c r="O60" i="68"/>
  <c r="O537" i="68"/>
  <c r="O477" i="68"/>
  <c r="O654" i="68"/>
  <c r="O336" i="68"/>
  <c r="O506" i="68"/>
  <c r="O475" i="68"/>
  <c r="O659" i="68"/>
  <c r="O383" i="68"/>
  <c r="O587" i="68"/>
  <c r="O395" i="68"/>
  <c r="O674" i="68"/>
  <c r="O43" i="68"/>
  <c r="O144" i="68"/>
  <c r="O259" i="68"/>
  <c r="O211" i="68"/>
  <c r="O665" i="68"/>
  <c r="O524" i="68"/>
  <c r="O454" i="68"/>
  <c r="O645" i="68"/>
  <c r="O498" i="68"/>
  <c r="O332" i="68"/>
  <c r="O571" i="68"/>
  <c r="O671" i="68"/>
  <c r="O42" i="68"/>
  <c r="O125" i="68"/>
  <c r="O137" i="68"/>
  <c r="O747" i="68"/>
  <c r="O291" i="68"/>
  <c r="O15" i="68"/>
  <c r="O311" i="68"/>
  <c r="O301" i="68"/>
  <c r="O711" i="68"/>
  <c r="O61" i="68"/>
  <c r="O155" i="68"/>
  <c r="O490" i="68"/>
  <c r="O349" i="68"/>
  <c r="O118" i="68"/>
  <c r="O660" i="68"/>
  <c r="O481" i="68"/>
  <c r="O597" i="68"/>
  <c r="O20" i="68"/>
  <c r="O344" i="68"/>
  <c r="O374" i="68"/>
  <c r="O50" i="68"/>
  <c r="O384" i="68"/>
  <c r="O224" i="68"/>
  <c r="O703" i="68"/>
  <c r="O745" i="68"/>
  <c r="O102" i="68"/>
  <c r="O303" i="68"/>
  <c r="O460" i="68"/>
  <c r="O634" i="68"/>
  <c r="O600" i="68"/>
  <c r="O757" i="68"/>
  <c r="O356" i="68"/>
  <c r="O499" i="68"/>
  <c r="O6" i="68"/>
  <c r="O25" i="68"/>
  <c r="O193" i="68"/>
  <c r="O515" i="68"/>
  <c r="O163" i="68"/>
  <c r="O204" i="68"/>
  <c r="O407" i="68"/>
  <c r="O431" i="68"/>
  <c r="O661" i="68"/>
  <c r="O615" i="68"/>
  <c r="O512" i="68"/>
  <c r="O320" i="68"/>
  <c r="O304" i="68"/>
  <c r="O92" i="68"/>
  <c r="O202" i="68"/>
  <c r="O274" i="68"/>
  <c r="O666" i="68"/>
  <c r="O65" i="68"/>
  <c r="O31" i="68"/>
  <c r="O447" i="68"/>
  <c r="O299" i="68"/>
  <c r="O752" i="68"/>
  <c r="O635" i="68"/>
  <c r="O253" i="68"/>
  <c r="O39" i="68"/>
  <c r="O679" i="68"/>
  <c r="O189" i="68"/>
  <c r="O168" i="68"/>
  <c r="O218" i="68"/>
  <c r="O716" i="68"/>
  <c r="O185" i="68"/>
  <c r="O13" i="68"/>
  <c r="O79" i="68"/>
  <c r="O272" i="68"/>
  <c r="O583" i="68"/>
  <c r="O601" i="68"/>
  <c r="O549" i="68"/>
  <c r="O4" i="68"/>
  <c r="O90" i="68"/>
  <c r="O404" i="68"/>
  <c r="O507" i="68"/>
  <c r="O239" i="68"/>
  <c r="O518" i="68"/>
  <c r="O566" i="68"/>
  <c r="O162" i="68"/>
  <c r="O199" i="68"/>
  <c r="O401" i="68"/>
  <c r="O565" i="68"/>
  <c r="O276" i="68"/>
  <c r="O467" i="68"/>
  <c r="O19" i="68"/>
  <c r="O321" i="68"/>
  <c r="O526" i="68"/>
  <c r="O621" i="68"/>
  <c r="O251" i="68"/>
  <c r="O636" i="68"/>
  <c r="O228" i="68"/>
  <c r="O182" i="68"/>
  <c r="O683" i="68"/>
  <c r="O293" i="68"/>
  <c r="O642" i="68"/>
  <c r="O694" i="68"/>
  <c r="O96" i="68"/>
  <c r="O502" i="68"/>
  <c r="O290" i="68"/>
  <c r="O296" i="68"/>
  <c r="O302" i="68"/>
  <c r="O714" i="68"/>
  <c r="O166" i="68"/>
  <c r="O406" i="68"/>
  <c r="O101" i="68"/>
  <c r="O333" i="68"/>
  <c r="O576" i="68"/>
  <c r="O402" i="68"/>
  <c r="O469" i="68"/>
  <c r="O607" i="68"/>
  <c r="O494" i="68"/>
  <c r="O283" i="68"/>
  <c r="O718" i="68"/>
  <c r="O262" i="68"/>
  <c r="O220" i="68"/>
  <c r="O675" i="68"/>
  <c r="O612" i="68"/>
  <c r="O449" i="68"/>
  <c r="O446" i="68"/>
  <c r="O443" i="68"/>
  <c r="O672" i="68"/>
  <c r="O49" i="68"/>
  <c r="O33" i="68"/>
  <c r="O198" i="68"/>
  <c r="O223" i="68"/>
  <c r="O738" i="68"/>
  <c r="O755" i="68"/>
  <c r="O521" i="68"/>
  <c r="O282" i="68"/>
  <c r="O16" i="68"/>
  <c r="O748" i="68"/>
  <c r="O614" i="68"/>
  <c r="O570" i="68"/>
  <c r="O46" i="68"/>
  <c r="O697" i="68"/>
  <c r="O289" i="68"/>
  <c r="O310" i="68"/>
  <c r="O505" i="68"/>
  <c r="O5" i="68"/>
  <c r="O412" i="68"/>
  <c r="O435" i="68"/>
  <c r="O514" i="68"/>
  <c r="O594" i="68"/>
  <c r="O167" i="68"/>
  <c r="O590" i="68"/>
  <c r="O197" i="68"/>
  <c r="O288" i="68"/>
  <c r="O238" i="68"/>
  <c r="O128" i="68"/>
  <c r="O371" i="68"/>
  <c r="O548" i="68"/>
  <c r="O495" i="68"/>
  <c r="O743" i="68"/>
  <c r="O450" i="68"/>
  <c r="O351" i="68"/>
  <c r="O617" i="68"/>
  <c r="O132" i="68"/>
  <c r="O609" i="68"/>
  <c r="O335" i="68"/>
  <c r="G23" i="57"/>
  <c r="G5" i="57"/>
  <c r="G12" i="57"/>
  <c r="G3" i="57"/>
  <c r="G19" i="57"/>
  <c r="G13" i="57"/>
  <c r="G6" i="57"/>
  <c r="G16" i="57"/>
  <c r="G17" i="57"/>
  <c r="G2" i="57"/>
  <c r="G24" i="57"/>
  <c r="G7" i="57"/>
  <c r="G22" i="57"/>
  <c r="G21" i="57"/>
  <c r="G18" i="57"/>
  <c r="G9" i="57"/>
  <c r="G15" i="57"/>
  <c r="G10" i="57"/>
  <c r="G20" i="57"/>
  <c r="G14" i="57"/>
  <c r="G11" i="57"/>
  <c r="G4" i="57"/>
  <c r="O178" i="68"/>
  <c r="G1645" i="84"/>
  <c r="F1645" i="84"/>
  <c r="E1645" i="84"/>
  <c r="D1645" i="84"/>
  <c r="G1644" i="84"/>
  <c r="F1644" i="84"/>
  <c r="E1644" i="84"/>
  <c r="D1644" i="84"/>
  <c r="G1643" i="84"/>
  <c r="F1643" i="84"/>
  <c r="E1643" i="84"/>
  <c r="D1643" i="84"/>
  <c r="G1642" i="84"/>
  <c r="F1642" i="84"/>
  <c r="E1642" i="84"/>
  <c r="D1642" i="84"/>
  <c r="G1641" i="84"/>
  <c r="F1641" i="84"/>
  <c r="E1641" i="84"/>
  <c r="D1641" i="84"/>
  <c r="G1640" i="84"/>
  <c r="F1640" i="84"/>
  <c r="E1640" i="84"/>
  <c r="D1640" i="84"/>
  <c r="G1639" i="84"/>
  <c r="F1639" i="84"/>
  <c r="E1639" i="84"/>
  <c r="D1639" i="84"/>
  <c r="G1638" i="84"/>
  <c r="F1638" i="84"/>
  <c r="E1638" i="84"/>
  <c r="D1638" i="84"/>
  <c r="G1637" i="84"/>
  <c r="F1637" i="84"/>
  <c r="E1637" i="84"/>
  <c r="D1637" i="84"/>
  <c r="G1636" i="84"/>
  <c r="F1636" i="84"/>
  <c r="E1636" i="84"/>
  <c r="D1636" i="84"/>
  <c r="G1635" i="84"/>
  <c r="F1635" i="84"/>
  <c r="E1635" i="84"/>
  <c r="D1635" i="84"/>
  <c r="G1634" i="84"/>
  <c r="F1634" i="84"/>
  <c r="E1634" i="84"/>
  <c r="D1634" i="84"/>
  <c r="G1633" i="84"/>
  <c r="F1633" i="84"/>
  <c r="E1633" i="84"/>
  <c r="D1633" i="84"/>
  <c r="G1632" i="84"/>
  <c r="F1632" i="84"/>
  <c r="E1632" i="84"/>
  <c r="D1632" i="84"/>
  <c r="G1631" i="84"/>
  <c r="F1631" i="84"/>
  <c r="E1631" i="84"/>
  <c r="D1631" i="84"/>
  <c r="G1630" i="84"/>
  <c r="F1630" i="84"/>
  <c r="E1630" i="84"/>
  <c r="D1630" i="84"/>
  <c r="G1629" i="84"/>
  <c r="F1629" i="84"/>
  <c r="E1629" i="84"/>
  <c r="D1629" i="84"/>
  <c r="G1628" i="84"/>
  <c r="F1628" i="84"/>
  <c r="E1628" i="84"/>
  <c r="D1628" i="84"/>
  <c r="G1627" i="84"/>
  <c r="F1627" i="84"/>
  <c r="E1627" i="84"/>
  <c r="D1627" i="84"/>
  <c r="G1626" i="84"/>
  <c r="F1626" i="84"/>
  <c r="E1626" i="84"/>
  <c r="D1626" i="84"/>
  <c r="G1625" i="84"/>
  <c r="F1625" i="84"/>
  <c r="E1625" i="84"/>
  <c r="D1625" i="84"/>
  <c r="G1624" i="84"/>
  <c r="F1624" i="84"/>
  <c r="E1624" i="84"/>
  <c r="D1624" i="84"/>
  <c r="G1623" i="84"/>
  <c r="F1623" i="84"/>
  <c r="E1623" i="84"/>
  <c r="D1623" i="84"/>
  <c r="G1622" i="84"/>
  <c r="F1622" i="84"/>
  <c r="E1622" i="84"/>
  <c r="D1622" i="84"/>
  <c r="G1621" i="84"/>
  <c r="F1621" i="84"/>
  <c r="E1621" i="84"/>
  <c r="D1621" i="84"/>
  <c r="G1620" i="84"/>
  <c r="F1620" i="84"/>
  <c r="E1620" i="84"/>
  <c r="D1620" i="84"/>
  <c r="G1619" i="84"/>
  <c r="F1619" i="84"/>
  <c r="E1619" i="84"/>
  <c r="D1619" i="84"/>
  <c r="G1618" i="84"/>
  <c r="F1618" i="84"/>
  <c r="E1618" i="84"/>
  <c r="D1618" i="84"/>
  <c r="G1617" i="84"/>
  <c r="F1617" i="84"/>
  <c r="E1617" i="84"/>
  <c r="D1617" i="84"/>
  <c r="G1616" i="84"/>
  <c r="F1616" i="84"/>
  <c r="E1616" i="84"/>
  <c r="D1616" i="84"/>
  <c r="G1615" i="84"/>
  <c r="F1615" i="84"/>
  <c r="E1615" i="84"/>
  <c r="D1615" i="84"/>
  <c r="G1614" i="84"/>
  <c r="F1614" i="84"/>
  <c r="E1614" i="84"/>
  <c r="D1614" i="84"/>
  <c r="G1613" i="84"/>
  <c r="F1613" i="84"/>
  <c r="E1613" i="84"/>
  <c r="D1613" i="84"/>
  <c r="G1612" i="84"/>
  <c r="F1612" i="84"/>
  <c r="E1612" i="84"/>
  <c r="D1612" i="84"/>
  <c r="G1611" i="84"/>
  <c r="F1611" i="84"/>
  <c r="E1611" i="84"/>
  <c r="D1611" i="84"/>
  <c r="G1610" i="84"/>
  <c r="F1610" i="84"/>
  <c r="E1610" i="84"/>
  <c r="D1610" i="84"/>
  <c r="G1609" i="84"/>
  <c r="F1609" i="84"/>
  <c r="E1609" i="84"/>
  <c r="D1609" i="84"/>
  <c r="G1608" i="84"/>
  <c r="F1608" i="84"/>
  <c r="E1608" i="84"/>
  <c r="D1608" i="84"/>
  <c r="G1607" i="84"/>
  <c r="F1607" i="84"/>
  <c r="E1607" i="84"/>
  <c r="D1607" i="84"/>
  <c r="G1606" i="84"/>
  <c r="F1606" i="84"/>
  <c r="E1606" i="84"/>
  <c r="D1606" i="84"/>
  <c r="G1605" i="84"/>
  <c r="F1605" i="84"/>
  <c r="E1605" i="84"/>
  <c r="D1605" i="84"/>
  <c r="G1604" i="84"/>
  <c r="F1604" i="84"/>
  <c r="E1604" i="84"/>
  <c r="D1604" i="84"/>
  <c r="G1603" i="84"/>
  <c r="F1603" i="84"/>
  <c r="E1603" i="84"/>
  <c r="D1603" i="84"/>
  <c r="G1602" i="84"/>
  <c r="F1602" i="84"/>
  <c r="E1602" i="84"/>
  <c r="D1602" i="84"/>
  <c r="G1601" i="84"/>
  <c r="F1601" i="84"/>
  <c r="E1601" i="84"/>
  <c r="D1601" i="84"/>
  <c r="G1600" i="84"/>
  <c r="F1600" i="84"/>
  <c r="E1600" i="84"/>
  <c r="D1600" i="84"/>
  <c r="G1599" i="84"/>
  <c r="F1599" i="84"/>
  <c r="E1599" i="84"/>
  <c r="D1599" i="84"/>
  <c r="G1598" i="84"/>
  <c r="F1598" i="84"/>
  <c r="E1598" i="84"/>
  <c r="D1598" i="84"/>
  <c r="G1597" i="84"/>
  <c r="F1597" i="84"/>
  <c r="E1597" i="84"/>
  <c r="D1597" i="84"/>
  <c r="G1596" i="84"/>
  <c r="F1596" i="84"/>
  <c r="E1596" i="84"/>
  <c r="D1596" i="84"/>
  <c r="G1595" i="84"/>
  <c r="F1595" i="84"/>
  <c r="E1595" i="84"/>
  <c r="D1595" i="84"/>
  <c r="G1594" i="84"/>
  <c r="F1594" i="84"/>
  <c r="E1594" i="84"/>
  <c r="D1594" i="84"/>
  <c r="G1593" i="84"/>
  <c r="F1593" i="84"/>
  <c r="E1593" i="84"/>
  <c r="D1593" i="84"/>
  <c r="G1592" i="84"/>
  <c r="F1592" i="84"/>
  <c r="E1592" i="84"/>
  <c r="D1592" i="84"/>
  <c r="G1591" i="84"/>
  <c r="F1591" i="84"/>
  <c r="E1591" i="84"/>
  <c r="D1591" i="84"/>
  <c r="G1590" i="84"/>
  <c r="F1590" i="84"/>
  <c r="E1590" i="84"/>
  <c r="D1590" i="84"/>
  <c r="G1589" i="84"/>
  <c r="F1589" i="84"/>
  <c r="E1589" i="84"/>
  <c r="D1589" i="84"/>
  <c r="G1588" i="84"/>
  <c r="F1588" i="84"/>
  <c r="E1588" i="84"/>
  <c r="D1588" i="84"/>
  <c r="G1587" i="84"/>
  <c r="F1587" i="84"/>
  <c r="E1587" i="84"/>
  <c r="D1587" i="84"/>
  <c r="G1586" i="84"/>
  <c r="F1586" i="84"/>
  <c r="E1586" i="84"/>
  <c r="D1586" i="84"/>
  <c r="G1585" i="84"/>
  <c r="F1585" i="84"/>
  <c r="E1585" i="84"/>
  <c r="D1585" i="84"/>
  <c r="G1584" i="84"/>
  <c r="F1584" i="84"/>
  <c r="E1584" i="84"/>
  <c r="D1584" i="84"/>
  <c r="G1583" i="84"/>
  <c r="F1583" i="84"/>
  <c r="E1583" i="84"/>
  <c r="D1583" i="84"/>
  <c r="G1582" i="84"/>
  <c r="F1582" i="84"/>
  <c r="E1582" i="84"/>
  <c r="D1582" i="84"/>
  <c r="G1581" i="84"/>
  <c r="F1581" i="84"/>
  <c r="E1581" i="84"/>
  <c r="D1581" i="84"/>
  <c r="G1580" i="84"/>
  <c r="F1580" i="84"/>
  <c r="E1580" i="84"/>
  <c r="D1580" i="84"/>
  <c r="G1579" i="84"/>
  <c r="F1579" i="84"/>
  <c r="E1579" i="84"/>
  <c r="D1579" i="84"/>
  <c r="G1578" i="84"/>
  <c r="F1578" i="84"/>
  <c r="E1578" i="84"/>
  <c r="D1578" i="84"/>
  <c r="G1577" i="84"/>
  <c r="F1577" i="84"/>
  <c r="E1577" i="84"/>
  <c r="D1577" i="84"/>
  <c r="G1576" i="84"/>
  <c r="F1576" i="84"/>
  <c r="E1576" i="84"/>
  <c r="D1576" i="84"/>
  <c r="G1575" i="84"/>
  <c r="F1575" i="84"/>
  <c r="E1575" i="84"/>
  <c r="D1575" i="84"/>
  <c r="G1574" i="84"/>
  <c r="F1574" i="84"/>
  <c r="E1574" i="84"/>
  <c r="D1574" i="84"/>
  <c r="G1573" i="84"/>
  <c r="F1573" i="84"/>
  <c r="E1573" i="84"/>
  <c r="D1573" i="84"/>
  <c r="G1572" i="84"/>
  <c r="F1572" i="84"/>
  <c r="E1572" i="84"/>
  <c r="D1572" i="84"/>
  <c r="G1571" i="84"/>
  <c r="F1571" i="84"/>
  <c r="E1571" i="84"/>
  <c r="D1571" i="84"/>
  <c r="G1570" i="84"/>
  <c r="F1570" i="84"/>
  <c r="E1570" i="84"/>
  <c r="D1570" i="84"/>
  <c r="G1569" i="84"/>
  <c r="F1569" i="84"/>
  <c r="E1569" i="84"/>
  <c r="D1569" i="84"/>
  <c r="G1568" i="84"/>
  <c r="F1568" i="84"/>
  <c r="E1568" i="84"/>
  <c r="D1568" i="84"/>
  <c r="G1567" i="84"/>
  <c r="F1567" i="84"/>
  <c r="E1567" i="84"/>
  <c r="D1567" i="84"/>
  <c r="G1566" i="84"/>
  <c r="F1566" i="84"/>
  <c r="E1566" i="84"/>
  <c r="D1566" i="84"/>
  <c r="G1565" i="84"/>
  <c r="F1565" i="84"/>
  <c r="E1565" i="84"/>
  <c r="D1565" i="84"/>
  <c r="G1564" i="84"/>
  <c r="F1564" i="84"/>
  <c r="E1564" i="84"/>
  <c r="D1564" i="84"/>
  <c r="G1563" i="84"/>
  <c r="F1563" i="84"/>
  <c r="E1563" i="84"/>
  <c r="D1563" i="84"/>
  <c r="G1562" i="84"/>
  <c r="F1562" i="84"/>
  <c r="E1562" i="84"/>
  <c r="D1562" i="84"/>
  <c r="G1561" i="84"/>
  <c r="F1561" i="84"/>
  <c r="E1561" i="84"/>
  <c r="D1561" i="84"/>
  <c r="G1560" i="84"/>
  <c r="F1560" i="84"/>
  <c r="E1560" i="84"/>
  <c r="D1560" i="84"/>
  <c r="G1559" i="84"/>
  <c r="F1559" i="84"/>
  <c r="E1559" i="84"/>
  <c r="D1559" i="84"/>
  <c r="G1558" i="84"/>
  <c r="F1558" i="84"/>
  <c r="E1558" i="84"/>
  <c r="D1558" i="84"/>
  <c r="G1557" i="84"/>
  <c r="F1557" i="84"/>
  <c r="E1557" i="84"/>
  <c r="D1557" i="84"/>
  <c r="G1556" i="84"/>
  <c r="F1556" i="84"/>
  <c r="E1556" i="84"/>
  <c r="D1556" i="84"/>
  <c r="G1555" i="84"/>
  <c r="F1555" i="84"/>
  <c r="E1555" i="84"/>
  <c r="D1555" i="84"/>
  <c r="G1554" i="84"/>
  <c r="F1554" i="84"/>
  <c r="E1554" i="84"/>
  <c r="D1554" i="84"/>
  <c r="G1553" i="84"/>
  <c r="F1553" i="84"/>
  <c r="E1553" i="84"/>
  <c r="D1553" i="84"/>
  <c r="G1552" i="84"/>
  <c r="F1552" i="84"/>
  <c r="E1552" i="84"/>
  <c r="D1552" i="84"/>
  <c r="G1551" i="84"/>
  <c r="F1551" i="84"/>
  <c r="E1551" i="84"/>
  <c r="D1551" i="84"/>
  <c r="G1550" i="84"/>
  <c r="F1550" i="84"/>
  <c r="E1550" i="84"/>
  <c r="D1550" i="84"/>
  <c r="G1549" i="84"/>
  <c r="F1549" i="84"/>
  <c r="E1549" i="84"/>
  <c r="D1549" i="84"/>
  <c r="G1548" i="84"/>
  <c r="F1548" i="84"/>
  <c r="E1548" i="84"/>
  <c r="D1548" i="84"/>
  <c r="G1547" i="84"/>
  <c r="F1547" i="84"/>
  <c r="E1547" i="84"/>
  <c r="D1547" i="84"/>
  <c r="G1546" i="84"/>
  <c r="F1546" i="84"/>
  <c r="E1546" i="84"/>
  <c r="D1546" i="84"/>
  <c r="G1545" i="84"/>
  <c r="F1545" i="84"/>
  <c r="E1545" i="84"/>
  <c r="D1545" i="84"/>
  <c r="G1544" i="84"/>
  <c r="F1544" i="84"/>
  <c r="E1544" i="84"/>
  <c r="D1544" i="84"/>
  <c r="G1543" i="84"/>
  <c r="F1543" i="84"/>
  <c r="E1543" i="84"/>
  <c r="D1543" i="84"/>
  <c r="G1542" i="84"/>
  <c r="F1542" i="84"/>
  <c r="E1542" i="84"/>
  <c r="D1542" i="84"/>
  <c r="G1541" i="84"/>
  <c r="F1541" i="84"/>
  <c r="E1541" i="84"/>
  <c r="D1541" i="84"/>
  <c r="G1540" i="84"/>
  <c r="F1540" i="84"/>
  <c r="E1540" i="84"/>
  <c r="D1540" i="84"/>
  <c r="G1539" i="84"/>
  <c r="F1539" i="84"/>
  <c r="E1539" i="84"/>
  <c r="D1539" i="84"/>
  <c r="G1538" i="84"/>
  <c r="F1538" i="84"/>
  <c r="E1538" i="84"/>
  <c r="D1538" i="84"/>
  <c r="G1537" i="84"/>
  <c r="F1537" i="84"/>
  <c r="E1537" i="84"/>
  <c r="D1537" i="84"/>
  <c r="G1536" i="84"/>
  <c r="F1536" i="84"/>
  <c r="E1536" i="84"/>
  <c r="D1536" i="84"/>
  <c r="G1535" i="84"/>
  <c r="F1535" i="84"/>
  <c r="E1535" i="84"/>
  <c r="D1535" i="84"/>
  <c r="G1534" i="84"/>
  <c r="F1534" i="84"/>
  <c r="E1534" i="84"/>
  <c r="D1534" i="84"/>
  <c r="G1533" i="84"/>
  <c r="F1533" i="84"/>
  <c r="E1533" i="84"/>
  <c r="D1533" i="84"/>
  <c r="G1532" i="84"/>
  <c r="F1532" i="84"/>
  <c r="E1532" i="84"/>
  <c r="D1532" i="84"/>
  <c r="G1531" i="84"/>
  <c r="F1531" i="84"/>
  <c r="E1531" i="84"/>
  <c r="D1531" i="84"/>
  <c r="G1530" i="84"/>
  <c r="F1530" i="84"/>
  <c r="E1530" i="84"/>
  <c r="D1530" i="84"/>
  <c r="G1529" i="84"/>
  <c r="F1529" i="84"/>
  <c r="E1529" i="84"/>
  <c r="D1529" i="84"/>
  <c r="G1528" i="84"/>
  <c r="F1528" i="84"/>
  <c r="E1528" i="84"/>
  <c r="D1528" i="84"/>
  <c r="G1527" i="84"/>
  <c r="F1527" i="84"/>
  <c r="E1527" i="84"/>
  <c r="D1527" i="84"/>
  <c r="G1526" i="84"/>
  <c r="F1526" i="84"/>
  <c r="E1526" i="84"/>
  <c r="D1526" i="84"/>
  <c r="G1525" i="84"/>
  <c r="F1525" i="84"/>
  <c r="E1525" i="84"/>
  <c r="D1525" i="84"/>
  <c r="G1524" i="84"/>
  <c r="F1524" i="84"/>
  <c r="E1524" i="84"/>
  <c r="D1524" i="84"/>
  <c r="G1523" i="84"/>
  <c r="F1523" i="84"/>
  <c r="E1523" i="84"/>
  <c r="D1523" i="84"/>
  <c r="G1522" i="84"/>
  <c r="F1522" i="84"/>
  <c r="E1522" i="84"/>
  <c r="D1522" i="84"/>
  <c r="G1521" i="84"/>
  <c r="F1521" i="84"/>
  <c r="E1521" i="84"/>
  <c r="D1521" i="84"/>
  <c r="G1520" i="84"/>
  <c r="F1520" i="84"/>
  <c r="E1520" i="84"/>
  <c r="D1520" i="84"/>
  <c r="G1519" i="84"/>
  <c r="F1519" i="84"/>
  <c r="E1519" i="84"/>
  <c r="D1519" i="84"/>
  <c r="G1518" i="84"/>
  <c r="F1518" i="84"/>
  <c r="E1518" i="84"/>
  <c r="D1518" i="84"/>
  <c r="G1517" i="84"/>
  <c r="F1517" i="84"/>
  <c r="E1517" i="84"/>
  <c r="D1517" i="84"/>
  <c r="G1516" i="84"/>
  <c r="F1516" i="84"/>
  <c r="E1516" i="84"/>
  <c r="D1516" i="84"/>
  <c r="G1515" i="84"/>
  <c r="F1515" i="84"/>
  <c r="E1515" i="84"/>
  <c r="D1515" i="84"/>
  <c r="G1514" i="84"/>
  <c r="F1514" i="84"/>
  <c r="E1514" i="84"/>
  <c r="D1514" i="84"/>
  <c r="G1513" i="84"/>
  <c r="F1513" i="84"/>
  <c r="E1513" i="84"/>
  <c r="D1513" i="84"/>
  <c r="G1512" i="84"/>
  <c r="F1512" i="84"/>
  <c r="E1512" i="84"/>
  <c r="D1512" i="84"/>
  <c r="G1511" i="84"/>
  <c r="F1511" i="84"/>
  <c r="E1511" i="84"/>
  <c r="D1511" i="84"/>
  <c r="G1510" i="84"/>
  <c r="F1510" i="84"/>
  <c r="E1510" i="84"/>
  <c r="D1510" i="84"/>
  <c r="G1509" i="84"/>
  <c r="F1509" i="84"/>
  <c r="E1509" i="84"/>
  <c r="D1509" i="84"/>
  <c r="G1508" i="84"/>
  <c r="F1508" i="84"/>
  <c r="E1508" i="84"/>
  <c r="D1508" i="84"/>
  <c r="G1507" i="84"/>
  <c r="F1507" i="84"/>
  <c r="E1507" i="84"/>
  <c r="D1507" i="84"/>
  <c r="G1506" i="84"/>
  <c r="F1506" i="84"/>
  <c r="E1506" i="84"/>
  <c r="D1506" i="84"/>
  <c r="G1505" i="84"/>
  <c r="F1505" i="84"/>
  <c r="E1505" i="84"/>
  <c r="D1505" i="84"/>
  <c r="G1504" i="84"/>
  <c r="F1504" i="84"/>
  <c r="E1504" i="84"/>
  <c r="D1504" i="84"/>
  <c r="G1503" i="84"/>
  <c r="F1503" i="84"/>
  <c r="E1503" i="84"/>
  <c r="D1503" i="84"/>
  <c r="G1502" i="84"/>
  <c r="F1502" i="84"/>
  <c r="E1502" i="84"/>
  <c r="D1502" i="84"/>
  <c r="G1501" i="84"/>
  <c r="F1501" i="84"/>
  <c r="E1501" i="84"/>
  <c r="D1501" i="84"/>
  <c r="G1500" i="84"/>
  <c r="F1500" i="84"/>
  <c r="E1500" i="84"/>
  <c r="D1500" i="84"/>
  <c r="G1499" i="84"/>
  <c r="F1499" i="84"/>
  <c r="E1499" i="84"/>
  <c r="D1499" i="84"/>
  <c r="G1498" i="84"/>
  <c r="F1498" i="84"/>
  <c r="E1498" i="84"/>
  <c r="D1498" i="84"/>
  <c r="G1497" i="84"/>
  <c r="F1497" i="84"/>
  <c r="E1497" i="84"/>
  <c r="D1497" i="84"/>
  <c r="G1496" i="84"/>
  <c r="F1496" i="84"/>
  <c r="E1496" i="84"/>
  <c r="D1496" i="84"/>
  <c r="G1495" i="84"/>
  <c r="F1495" i="84"/>
  <c r="E1495" i="84"/>
  <c r="D1495" i="84"/>
  <c r="G1494" i="84"/>
  <c r="F1494" i="84"/>
  <c r="E1494" i="84"/>
  <c r="D1494" i="84"/>
  <c r="G1493" i="84"/>
  <c r="F1493" i="84"/>
  <c r="E1493" i="84"/>
  <c r="D1493" i="84"/>
  <c r="G1492" i="84"/>
  <c r="F1492" i="84"/>
  <c r="E1492" i="84"/>
  <c r="D1492" i="84"/>
  <c r="G1491" i="84"/>
  <c r="F1491" i="84"/>
  <c r="E1491" i="84"/>
  <c r="D1491" i="84"/>
  <c r="G1490" i="84"/>
  <c r="F1490" i="84"/>
  <c r="E1490" i="84"/>
  <c r="D1490" i="84"/>
  <c r="G1489" i="84"/>
  <c r="F1489" i="84"/>
  <c r="E1489" i="84"/>
  <c r="D1489" i="84"/>
  <c r="G1488" i="84"/>
  <c r="F1488" i="84"/>
  <c r="E1488" i="84"/>
  <c r="D1488" i="84"/>
  <c r="G1487" i="84"/>
  <c r="F1487" i="84"/>
  <c r="E1487" i="84"/>
  <c r="D1487" i="84"/>
  <c r="G1486" i="84"/>
  <c r="F1486" i="84"/>
  <c r="E1486" i="84"/>
  <c r="D1486" i="84"/>
  <c r="G1485" i="84"/>
  <c r="F1485" i="84"/>
  <c r="E1485" i="84"/>
  <c r="D1485" i="84"/>
  <c r="G1484" i="84"/>
  <c r="F1484" i="84"/>
  <c r="E1484" i="84"/>
  <c r="D1484" i="84"/>
  <c r="G1483" i="84"/>
  <c r="F1483" i="84"/>
  <c r="E1483" i="84"/>
  <c r="D1483" i="84"/>
  <c r="G1482" i="84"/>
  <c r="F1482" i="84"/>
  <c r="E1482" i="84"/>
  <c r="D1482" i="84"/>
  <c r="G1481" i="84"/>
  <c r="F1481" i="84"/>
  <c r="E1481" i="84"/>
  <c r="D1481" i="84"/>
  <c r="G1480" i="84"/>
  <c r="F1480" i="84"/>
  <c r="E1480" i="84"/>
  <c r="D1480" i="84"/>
  <c r="G1479" i="84"/>
  <c r="F1479" i="84"/>
  <c r="E1479" i="84"/>
  <c r="D1479" i="84"/>
  <c r="G1478" i="84"/>
  <c r="F1478" i="84"/>
  <c r="E1478" i="84"/>
  <c r="D1478" i="84"/>
  <c r="G1477" i="84"/>
  <c r="F1477" i="84"/>
  <c r="E1477" i="84"/>
  <c r="D1477" i="84"/>
  <c r="G1476" i="84"/>
  <c r="F1476" i="84"/>
  <c r="E1476" i="84"/>
  <c r="D1476" i="84"/>
  <c r="G1475" i="84"/>
  <c r="F1475" i="84"/>
  <c r="E1475" i="84"/>
  <c r="D1475" i="84"/>
  <c r="G1474" i="84"/>
  <c r="F1474" i="84"/>
  <c r="E1474" i="84"/>
  <c r="D1474" i="84"/>
  <c r="G1473" i="84"/>
  <c r="F1473" i="84"/>
  <c r="E1473" i="84"/>
  <c r="D1473" i="84"/>
  <c r="G1472" i="84"/>
  <c r="F1472" i="84"/>
  <c r="E1472" i="84"/>
  <c r="D1472" i="84"/>
  <c r="G1471" i="84"/>
  <c r="F1471" i="84"/>
  <c r="E1471" i="84"/>
  <c r="D1471" i="84"/>
  <c r="G1470" i="84"/>
  <c r="F1470" i="84"/>
  <c r="E1470" i="84"/>
  <c r="D1470" i="84"/>
  <c r="G1469" i="84"/>
  <c r="F1469" i="84"/>
  <c r="E1469" i="84"/>
  <c r="D1469" i="84"/>
  <c r="G1468" i="84"/>
  <c r="F1468" i="84"/>
  <c r="E1468" i="84"/>
  <c r="D1468" i="84"/>
  <c r="G1467" i="84"/>
  <c r="F1467" i="84"/>
  <c r="E1467" i="84"/>
  <c r="D1467" i="84"/>
  <c r="G1466" i="84"/>
  <c r="F1466" i="84"/>
  <c r="E1466" i="84"/>
  <c r="D1466" i="84"/>
  <c r="G1465" i="84"/>
  <c r="F1465" i="84"/>
  <c r="E1465" i="84"/>
  <c r="D1465" i="84"/>
  <c r="G1464" i="84"/>
  <c r="F1464" i="84"/>
  <c r="E1464" i="84"/>
  <c r="D1464" i="84"/>
  <c r="G1463" i="84"/>
  <c r="F1463" i="84"/>
  <c r="E1463" i="84"/>
  <c r="D1463" i="84"/>
  <c r="G1462" i="84"/>
  <c r="F1462" i="84"/>
  <c r="E1462" i="84"/>
  <c r="D1462" i="84"/>
  <c r="G1461" i="84"/>
  <c r="F1461" i="84"/>
  <c r="E1461" i="84"/>
  <c r="D1461" i="84"/>
  <c r="G1460" i="84"/>
  <c r="F1460" i="84"/>
  <c r="E1460" i="84"/>
  <c r="D1460" i="84"/>
  <c r="G1459" i="84"/>
  <c r="F1459" i="84"/>
  <c r="E1459" i="84"/>
  <c r="D1459" i="84"/>
  <c r="G1458" i="84"/>
  <c r="F1458" i="84"/>
  <c r="E1458" i="84"/>
  <c r="D1458" i="84"/>
  <c r="G1457" i="84"/>
  <c r="F1457" i="84"/>
  <c r="E1457" i="84"/>
  <c r="D1457" i="84"/>
  <c r="G1456" i="84"/>
  <c r="F1456" i="84"/>
  <c r="E1456" i="84"/>
  <c r="D1456" i="84"/>
  <c r="G1455" i="84"/>
  <c r="F1455" i="84"/>
  <c r="E1455" i="84"/>
  <c r="D1455" i="84"/>
  <c r="G1454" i="84"/>
  <c r="F1454" i="84"/>
  <c r="E1454" i="84"/>
  <c r="D1454" i="84"/>
  <c r="G1453" i="84"/>
  <c r="F1453" i="84"/>
  <c r="E1453" i="84"/>
  <c r="D1453" i="84"/>
  <c r="G1452" i="84"/>
  <c r="F1452" i="84"/>
  <c r="E1452" i="84"/>
  <c r="D1452" i="84"/>
  <c r="G1451" i="84"/>
  <c r="F1451" i="84"/>
  <c r="E1451" i="84"/>
  <c r="D1451" i="84"/>
  <c r="G1450" i="84"/>
  <c r="F1450" i="84"/>
  <c r="E1450" i="84"/>
  <c r="D1450" i="84"/>
  <c r="G1449" i="84"/>
  <c r="F1449" i="84"/>
  <c r="E1449" i="84"/>
  <c r="D1449" i="84"/>
  <c r="G1448" i="84"/>
  <c r="F1448" i="84"/>
  <c r="E1448" i="84"/>
  <c r="D1448" i="84"/>
  <c r="G1447" i="84"/>
  <c r="F1447" i="84"/>
  <c r="E1447" i="84"/>
  <c r="D1447" i="84"/>
  <c r="G1446" i="84"/>
  <c r="F1446" i="84"/>
  <c r="E1446" i="84"/>
  <c r="D1446" i="84"/>
  <c r="G1445" i="84"/>
  <c r="F1445" i="84"/>
  <c r="E1445" i="84"/>
  <c r="D1445" i="84"/>
  <c r="G1444" i="84"/>
  <c r="F1444" i="84"/>
  <c r="E1444" i="84"/>
  <c r="D1444" i="84"/>
  <c r="G1443" i="84"/>
  <c r="F1443" i="84"/>
  <c r="E1443" i="84"/>
  <c r="D1443" i="84"/>
  <c r="G1442" i="84"/>
  <c r="F1442" i="84"/>
  <c r="E1442" i="84"/>
  <c r="D1442" i="84"/>
  <c r="G1441" i="84"/>
  <c r="F1441" i="84"/>
  <c r="E1441" i="84"/>
  <c r="D1441" i="84"/>
  <c r="G1440" i="84"/>
  <c r="F1440" i="84"/>
  <c r="E1440" i="84"/>
  <c r="D1440" i="84"/>
  <c r="G1439" i="84"/>
  <c r="F1439" i="84"/>
  <c r="E1439" i="84"/>
  <c r="D1439" i="84"/>
  <c r="G1438" i="84"/>
  <c r="F1438" i="84"/>
  <c r="E1438" i="84"/>
  <c r="D1438" i="84"/>
  <c r="G1437" i="84"/>
  <c r="F1437" i="84"/>
  <c r="E1437" i="84"/>
  <c r="D1437" i="84"/>
  <c r="G1436" i="84"/>
  <c r="F1436" i="84"/>
  <c r="E1436" i="84"/>
  <c r="D1436" i="84"/>
  <c r="G1435" i="84"/>
  <c r="F1435" i="84"/>
  <c r="E1435" i="84"/>
  <c r="D1435" i="84"/>
  <c r="G1434" i="84"/>
  <c r="F1434" i="84"/>
  <c r="E1434" i="84"/>
  <c r="D1434" i="84"/>
  <c r="G1433" i="84"/>
  <c r="F1433" i="84"/>
  <c r="E1433" i="84"/>
  <c r="D1433" i="84"/>
  <c r="G1432" i="84"/>
  <c r="F1432" i="84"/>
  <c r="E1432" i="84"/>
  <c r="D1432" i="84"/>
  <c r="G1431" i="84"/>
  <c r="F1431" i="84"/>
  <c r="E1431" i="84"/>
  <c r="D1431" i="84"/>
  <c r="G1430" i="84"/>
  <c r="F1430" i="84"/>
  <c r="E1430" i="84"/>
  <c r="D1430" i="84"/>
  <c r="G1429" i="84"/>
  <c r="F1429" i="84"/>
  <c r="E1429" i="84"/>
  <c r="D1429" i="84"/>
  <c r="G1428" i="84"/>
  <c r="F1428" i="84"/>
  <c r="E1428" i="84"/>
  <c r="D1428" i="84"/>
  <c r="G1427" i="84"/>
  <c r="F1427" i="84"/>
  <c r="E1427" i="84"/>
  <c r="D1427" i="84"/>
  <c r="G1426" i="84"/>
  <c r="F1426" i="84"/>
  <c r="E1426" i="84"/>
  <c r="D1426" i="84"/>
  <c r="G1425" i="84"/>
  <c r="F1425" i="84"/>
  <c r="E1425" i="84"/>
  <c r="D1425" i="84"/>
  <c r="G1424" i="84"/>
  <c r="F1424" i="84"/>
  <c r="E1424" i="84"/>
  <c r="D1424" i="84"/>
  <c r="G1423" i="84"/>
  <c r="F1423" i="84"/>
  <c r="E1423" i="84"/>
  <c r="D1423" i="84"/>
  <c r="G1422" i="84"/>
  <c r="F1422" i="84"/>
  <c r="E1422" i="84"/>
  <c r="D1422" i="84"/>
  <c r="G1421" i="84"/>
  <c r="F1421" i="84"/>
  <c r="E1421" i="84"/>
  <c r="D1421" i="84"/>
  <c r="G1420" i="84"/>
  <c r="F1420" i="84"/>
  <c r="E1420" i="84"/>
  <c r="D1420" i="84"/>
  <c r="G1419" i="84"/>
  <c r="F1419" i="84"/>
  <c r="E1419" i="84"/>
  <c r="D1419" i="84"/>
  <c r="G1418" i="84"/>
  <c r="F1418" i="84"/>
  <c r="E1418" i="84"/>
  <c r="D1418" i="84"/>
  <c r="G1417" i="84"/>
  <c r="F1417" i="84"/>
  <c r="E1417" i="84"/>
  <c r="D1417" i="84"/>
  <c r="G1416" i="84"/>
  <c r="F1416" i="84"/>
  <c r="E1416" i="84"/>
  <c r="D1416" i="84"/>
  <c r="G1415" i="84"/>
  <c r="F1415" i="84"/>
  <c r="E1415" i="84"/>
  <c r="D1415" i="84"/>
  <c r="G1414" i="84"/>
  <c r="F1414" i="84"/>
  <c r="E1414" i="84"/>
  <c r="D1414" i="84"/>
  <c r="G1413" i="84"/>
  <c r="F1413" i="84"/>
  <c r="E1413" i="84"/>
  <c r="D1413" i="84"/>
  <c r="G1412" i="84"/>
  <c r="F1412" i="84"/>
  <c r="E1412" i="84"/>
  <c r="D1412" i="84"/>
  <c r="G1411" i="84"/>
  <c r="F1411" i="84"/>
  <c r="E1411" i="84"/>
  <c r="D1411" i="84"/>
  <c r="G1410" i="84"/>
  <c r="F1410" i="84"/>
  <c r="E1410" i="84"/>
  <c r="D1410" i="84"/>
  <c r="G1409" i="84"/>
  <c r="F1409" i="84"/>
  <c r="E1409" i="84"/>
  <c r="D1409" i="84"/>
  <c r="G1408" i="84"/>
  <c r="F1408" i="84"/>
  <c r="E1408" i="84"/>
  <c r="D1408" i="84"/>
  <c r="G1407" i="84"/>
  <c r="F1407" i="84"/>
  <c r="E1407" i="84"/>
  <c r="D1407" i="84"/>
  <c r="G1406" i="84"/>
  <c r="F1406" i="84"/>
  <c r="E1406" i="84"/>
  <c r="D1406" i="84"/>
  <c r="G1405" i="84"/>
  <c r="F1405" i="84"/>
  <c r="E1405" i="84"/>
  <c r="D1405" i="84"/>
  <c r="G1404" i="84"/>
  <c r="F1404" i="84"/>
  <c r="E1404" i="84"/>
  <c r="D1404" i="84"/>
  <c r="G1403" i="84"/>
  <c r="F1403" i="84"/>
  <c r="E1403" i="84"/>
  <c r="D1403" i="84"/>
  <c r="G1402" i="84"/>
  <c r="F1402" i="84"/>
  <c r="E1402" i="84"/>
  <c r="D1402" i="84"/>
  <c r="G1401" i="84"/>
  <c r="F1401" i="84"/>
  <c r="E1401" i="84"/>
  <c r="D1401" i="84"/>
  <c r="G1400" i="84"/>
  <c r="F1400" i="84"/>
  <c r="E1400" i="84"/>
  <c r="D1400" i="84"/>
  <c r="G1399" i="84"/>
  <c r="F1399" i="84"/>
  <c r="E1399" i="84"/>
  <c r="D1399" i="84"/>
  <c r="G1398" i="84"/>
  <c r="F1398" i="84"/>
  <c r="E1398" i="84"/>
  <c r="D1398" i="84"/>
  <c r="G1397" i="84"/>
  <c r="F1397" i="84"/>
  <c r="E1397" i="84"/>
  <c r="D1397" i="84"/>
  <c r="G1396" i="84"/>
  <c r="F1396" i="84"/>
  <c r="E1396" i="84"/>
  <c r="D1396" i="84"/>
  <c r="G1395" i="84"/>
  <c r="F1395" i="84"/>
  <c r="E1395" i="84"/>
  <c r="D1395" i="84"/>
  <c r="G1394" i="84"/>
  <c r="F1394" i="84"/>
  <c r="E1394" i="84"/>
  <c r="D1394" i="84"/>
  <c r="G1393" i="84"/>
  <c r="F1393" i="84"/>
  <c r="E1393" i="84"/>
  <c r="D1393" i="84"/>
  <c r="G1392" i="84"/>
  <c r="F1392" i="84"/>
  <c r="E1392" i="84"/>
  <c r="D1392" i="84"/>
  <c r="G1391" i="84"/>
  <c r="F1391" i="84"/>
  <c r="E1391" i="84"/>
  <c r="D1391" i="84"/>
  <c r="G1390" i="84"/>
  <c r="F1390" i="84"/>
  <c r="E1390" i="84"/>
  <c r="D1390" i="84"/>
  <c r="G1389" i="84"/>
  <c r="F1389" i="84"/>
  <c r="E1389" i="84"/>
  <c r="D1389" i="84"/>
  <c r="G1388" i="84"/>
  <c r="F1388" i="84"/>
  <c r="E1388" i="84"/>
  <c r="D1388" i="84"/>
  <c r="G1387" i="84"/>
  <c r="F1387" i="84"/>
  <c r="E1387" i="84"/>
  <c r="D1387" i="84"/>
  <c r="G1386" i="84"/>
  <c r="F1386" i="84"/>
  <c r="E1386" i="84"/>
  <c r="D1386" i="84"/>
  <c r="G1385" i="84"/>
  <c r="F1385" i="84"/>
  <c r="E1385" i="84"/>
  <c r="D1385" i="84"/>
  <c r="G1384" i="84"/>
  <c r="F1384" i="84"/>
  <c r="E1384" i="84"/>
  <c r="D1384" i="84"/>
  <c r="G1383" i="84"/>
  <c r="F1383" i="84"/>
  <c r="E1383" i="84"/>
  <c r="D1383" i="84"/>
  <c r="G1382" i="84"/>
  <c r="F1382" i="84"/>
  <c r="E1382" i="84"/>
  <c r="D1382" i="84"/>
  <c r="G1381" i="84"/>
  <c r="F1381" i="84"/>
  <c r="E1381" i="84"/>
  <c r="D1381" i="84"/>
  <c r="G1380" i="84"/>
  <c r="F1380" i="84"/>
  <c r="E1380" i="84"/>
  <c r="D1380" i="84"/>
  <c r="G1379" i="84"/>
  <c r="F1379" i="84"/>
  <c r="E1379" i="84"/>
  <c r="D1379" i="84"/>
  <c r="G1378" i="84"/>
  <c r="F1378" i="84"/>
  <c r="E1378" i="84"/>
  <c r="D1378" i="84"/>
  <c r="G1377" i="84"/>
  <c r="F1377" i="84"/>
  <c r="E1377" i="84"/>
  <c r="D1377" i="84"/>
  <c r="G1376" i="84"/>
  <c r="F1376" i="84"/>
  <c r="E1376" i="84"/>
  <c r="D1376" i="84"/>
  <c r="G1375" i="84"/>
  <c r="F1375" i="84"/>
  <c r="E1375" i="84"/>
  <c r="D1375" i="84"/>
  <c r="G1374" i="84"/>
  <c r="F1374" i="84"/>
  <c r="E1374" i="84"/>
  <c r="D1374" i="84"/>
  <c r="G1373" i="84"/>
  <c r="F1373" i="84"/>
  <c r="E1373" i="84"/>
  <c r="D1373" i="84"/>
  <c r="G1372" i="84"/>
  <c r="F1372" i="84"/>
  <c r="E1372" i="84"/>
  <c r="D1372" i="84"/>
  <c r="G1371" i="84"/>
  <c r="F1371" i="84"/>
  <c r="E1371" i="84"/>
  <c r="D1371" i="84"/>
  <c r="G1370" i="84"/>
  <c r="F1370" i="84"/>
  <c r="E1370" i="84"/>
  <c r="D1370" i="84"/>
  <c r="G1369" i="84"/>
  <c r="F1369" i="84"/>
  <c r="E1369" i="84"/>
  <c r="D1369" i="84"/>
  <c r="G1368" i="84"/>
  <c r="F1368" i="84"/>
  <c r="E1368" i="84"/>
  <c r="D1368" i="84"/>
  <c r="G1367" i="84"/>
  <c r="F1367" i="84"/>
  <c r="E1367" i="84"/>
  <c r="D1367" i="84"/>
  <c r="G1366" i="84"/>
  <c r="F1366" i="84"/>
  <c r="E1366" i="84"/>
  <c r="D1366" i="84"/>
  <c r="G1365" i="84"/>
  <c r="F1365" i="84"/>
  <c r="E1365" i="84"/>
  <c r="D1365" i="84"/>
  <c r="G1364" i="84"/>
  <c r="F1364" i="84"/>
  <c r="E1364" i="84"/>
  <c r="D1364" i="84"/>
  <c r="G1363" i="84"/>
  <c r="F1363" i="84"/>
  <c r="E1363" i="84"/>
  <c r="D1363" i="84"/>
  <c r="G1362" i="84"/>
  <c r="F1362" i="84"/>
  <c r="E1362" i="84"/>
  <c r="D1362" i="84"/>
  <c r="G1361" i="84"/>
  <c r="F1361" i="84"/>
  <c r="E1361" i="84"/>
  <c r="D1361" i="84"/>
  <c r="G1360" i="84"/>
  <c r="F1360" i="84"/>
  <c r="E1360" i="84"/>
  <c r="D1360" i="84"/>
  <c r="G1359" i="84"/>
  <c r="F1359" i="84"/>
  <c r="E1359" i="84"/>
  <c r="D1359" i="84"/>
  <c r="G1358" i="84"/>
  <c r="F1358" i="84"/>
  <c r="E1358" i="84"/>
  <c r="D1358" i="84"/>
  <c r="G1357" i="84"/>
  <c r="F1357" i="84"/>
  <c r="E1357" i="84"/>
  <c r="D1357" i="84"/>
  <c r="G1356" i="84"/>
  <c r="F1356" i="84"/>
  <c r="E1356" i="84"/>
  <c r="D1356" i="84"/>
  <c r="G1355" i="84"/>
  <c r="F1355" i="84"/>
  <c r="E1355" i="84"/>
  <c r="D1355" i="84"/>
  <c r="G1354" i="84"/>
  <c r="F1354" i="84"/>
  <c r="E1354" i="84"/>
  <c r="D1354" i="84"/>
  <c r="G1353" i="84"/>
  <c r="F1353" i="84"/>
  <c r="E1353" i="84"/>
  <c r="D1353" i="84"/>
  <c r="G1352" i="84"/>
  <c r="F1352" i="84"/>
  <c r="E1352" i="84"/>
  <c r="D1352" i="84"/>
  <c r="G1351" i="84"/>
  <c r="F1351" i="84"/>
  <c r="E1351" i="84"/>
  <c r="D1351" i="84"/>
  <c r="G1350" i="84"/>
  <c r="F1350" i="84"/>
  <c r="E1350" i="84"/>
  <c r="D1350" i="84"/>
  <c r="G1349" i="84"/>
  <c r="F1349" i="84"/>
  <c r="E1349" i="84"/>
  <c r="D1349" i="84"/>
  <c r="G1348" i="84"/>
  <c r="F1348" i="84"/>
  <c r="E1348" i="84"/>
  <c r="D1348" i="84"/>
  <c r="G1347" i="84"/>
  <c r="F1347" i="84"/>
  <c r="E1347" i="84"/>
  <c r="D1347" i="84"/>
  <c r="G1346" i="84"/>
  <c r="F1346" i="84"/>
  <c r="E1346" i="84"/>
  <c r="D1346" i="84"/>
  <c r="G1345" i="84"/>
  <c r="F1345" i="84"/>
  <c r="E1345" i="84"/>
  <c r="D1345" i="84"/>
  <c r="G1344" i="84"/>
  <c r="F1344" i="84"/>
  <c r="E1344" i="84"/>
  <c r="D1344" i="84"/>
  <c r="G1343" i="84"/>
  <c r="F1343" i="84"/>
  <c r="E1343" i="84"/>
  <c r="D1343" i="84"/>
  <c r="G1342" i="84"/>
  <c r="F1342" i="84"/>
  <c r="E1342" i="84"/>
  <c r="D1342" i="84"/>
  <c r="G1341" i="84"/>
  <c r="F1341" i="84"/>
  <c r="E1341" i="84"/>
  <c r="D1341" i="84"/>
  <c r="G1340" i="84"/>
  <c r="F1340" i="84"/>
  <c r="E1340" i="84"/>
  <c r="D1340" i="84"/>
  <c r="G1339" i="84"/>
  <c r="F1339" i="84"/>
  <c r="E1339" i="84"/>
  <c r="D1339" i="84"/>
  <c r="G1338" i="84"/>
  <c r="F1338" i="84"/>
  <c r="E1338" i="84"/>
  <c r="D1338" i="84"/>
  <c r="G1337" i="84"/>
  <c r="F1337" i="84"/>
  <c r="E1337" i="84"/>
  <c r="D1337" i="84"/>
  <c r="G1336" i="84"/>
  <c r="F1336" i="84"/>
  <c r="E1336" i="84"/>
  <c r="D1336" i="84"/>
  <c r="G1335" i="84"/>
  <c r="F1335" i="84"/>
  <c r="E1335" i="84"/>
  <c r="D1335" i="84"/>
  <c r="G1334" i="84"/>
  <c r="F1334" i="84"/>
  <c r="E1334" i="84"/>
  <c r="D1334" i="84"/>
  <c r="G1333" i="84"/>
  <c r="F1333" i="84"/>
  <c r="E1333" i="84"/>
  <c r="D1333" i="84"/>
  <c r="G1332" i="84"/>
  <c r="F1332" i="84"/>
  <c r="E1332" i="84"/>
  <c r="D1332" i="84"/>
  <c r="G1331" i="84"/>
  <c r="F1331" i="84"/>
  <c r="E1331" i="84"/>
  <c r="D1331" i="84"/>
  <c r="G1330" i="84"/>
  <c r="F1330" i="84"/>
  <c r="E1330" i="84"/>
  <c r="D1330" i="84"/>
  <c r="G1329" i="84"/>
  <c r="F1329" i="84"/>
  <c r="E1329" i="84"/>
  <c r="D1329" i="84"/>
  <c r="G1328" i="84"/>
  <c r="F1328" i="84"/>
  <c r="E1328" i="84"/>
  <c r="D1328" i="84"/>
  <c r="G1327" i="84"/>
  <c r="F1327" i="84"/>
  <c r="E1327" i="84"/>
  <c r="D1327" i="84"/>
  <c r="G1326" i="84"/>
  <c r="F1326" i="84"/>
  <c r="E1326" i="84"/>
  <c r="D1326" i="84"/>
  <c r="G1325" i="84"/>
  <c r="F1325" i="84"/>
  <c r="E1325" i="84"/>
  <c r="D1325" i="84"/>
  <c r="G1324" i="84"/>
  <c r="F1324" i="84"/>
  <c r="E1324" i="84"/>
  <c r="D1324" i="84"/>
  <c r="G1323" i="84"/>
  <c r="F1323" i="84"/>
  <c r="E1323" i="84"/>
  <c r="D1323" i="84"/>
  <c r="G1322" i="84"/>
  <c r="F1322" i="84"/>
  <c r="E1322" i="84"/>
  <c r="D1322" i="84"/>
  <c r="G1321" i="84"/>
  <c r="F1321" i="84"/>
  <c r="E1321" i="84"/>
  <c r="D1321" i="84"/>
  <c r="G1320" i="84"/>
  <c r="F1320" i="84"/>
  <c r="E1320" i="84"/>
  <c r="D1320" i="84"/>
  <c r="G1319" i="84"/>
  <c r="F1319" i="84"/>
  <c r="E1319" i="84"/>
  <c r="D1319" i="84"/>
  <c r="G1318" i="84"/>
  <c r="F1318" i="84"/>
  <c r="E1318" i="84"/>
  <c r="D1318" i="84"/>
  <c r="G1317" i="84"/>
  <c r="F1317" i="84"/>
  <c r="E1317" i="84"/>
  <c r="D1317" i="84"/>
  <c r="G1316" i="84"/>
  <c r="F1316" i="84"/>
  <c r="E1316" i="84"/>
  <c r="D1316" i="84"/>
  <c r="G1315" i="84"/>
  <c r="F1315" i="84"/>
  <c r="E1315" i="84"/>
  <c r="D1315" i="84"/>
  <c r="G1314" i="84"/>
  <c r="F1314" i="84"/>
  <c r="E1314" i="84"/>
  <c r="D1314" i="84"/>
  <c r="G1313" i="84"/>
  <c r="F1313" i="84"/>
  <c r="E1313" i="84"/>
  <c r="D1313" i="84"/>
  <c r="G1312" i="84"/>
  <c r="F1312" i="84"/>
  <c r="E1312" i="84"/>
  <c r="D1312" i="84"/>
  <c r="G1311" i="84"/>
  <c r="F1311" i="84"/>
  <c r="E1311" i="84"/>
  <c r="D1311" i="84"/>
  <c r="G1310" i="84"/>
  <c r="F1310" i="84"/>
  <c r="E1310" i="84"/>
  <c r="D1310" i="84"/>
  <c r="G1309" i="84"/>
  <c r="F1309" i="84"/>
  <c r="E1309" i="84"/>
  <c r="D1309" i="84"/>
  <c r="G1308" i="84"/>
  <c r="F1308" i="84"/>
  <c r="E1308" i="84"/>
  <c r="D1308" i="84"/>
  <c r="G1307" i="84"/>
  <c r="F1307" i="84"/>
  <c r="E1307" i="84"/>
  <c r="D1307" i="84"/>
  <c r="G1306" i="84"/>
  <c r="F1306" i="84"/>
  <c r="E1306" i="84"/>
  <c r="D1306" i="84"/>
  <c r="G1305" i="84"/>
  <c r="F1305" i="84"/>
  <c r="E1305" i="84"/>
  <c r="D1305" i="84"/>
  <c r="G1304" i="84"/>
  <c r="F1304" i="84"/>
  <c r="E1304" i="84"/>
  <c r="D1304" i="84"/>
  <c r="G1303" i="84"/>
  <c r="F1303" i="84"/>
  <c r="E1303" i="84"/>
  <c r="D1303" i="84"/>
  <c r="G1302" i="84"/>
  <c r="F1302" i="84"/>
  <c r="E1302" i="84"/>
  <c r="D1302" i="84"/>
  <c r="G1301" i="84"/>
  <c r="F1301" i="84"/>
  <c r="E1301" i="84"/>
  <c r="D1301" i="84"/>
  <c r="G1300" i="84"/>
  <c r="F1300" i="84"/>
  <c r="E1300" i="84"/>
  <c r="D1300" i="84"/>
  <c r="G1299" i="84"/>
  <c r="F1299" i="84"/>
  <c r="E1299" i="84"/>
  <c r="D1299" i="84"/>
  <c r="G1298" i="84"/>
  <c r="F1298" i="84"/>
  <c r="E1298" i="84"/>
  <c r="D1298" i="84"/>
  <c r="G1297" i="84"/>
  <c r="F1297" i="84"/>
  <c r="E1297" i="84"/>
  <c r="D1297" i="84"/>
  <c r="G1296" i="84"/>
  <c r="F1296" i="84"/>
  <c r="E1296" i="84"/>
  <c r="D1296" i="84"/>
  <c r="G1295" i="84"/>
  <c r="F1295" i="84"/>
  <c r="E1295" i="84"/>
  <c r="D1295" i="84"/>
  <c r="G1294" i="84"/>
  <c r="F1294" i="84"/>
  <c r="E1294" i="84"/>
  <c r="D1294" i="84"/>
  <c r="G1293" i="84"/>
  <c r="F1293" i="84"/>
  <c r="E1293" i="84"/>
  <c r="D1293" i="84"/>
  <c r="G1292" i="84"/>
  <c r="F1292" i="84"/>
  <c r="E1292" i="84"/>
  <c r="D1292" i="84"/>
  <c r="G1291" i="84"/>
  <c r="F1291" i="84"/>
  <c r="E1291" i="84"/>
  <c r="D1291" i="84"/>
  <c r="G1290" i="84"/>
  <c r="F1290" i="84"/>
  <c r="E1290" i="84"/>
  <c r="D1290" i="84"/>
  <c r="G1289" i="84"/>
  <c r="F1289" i="84"/>
  <c r="E1289" i="84"/>
  <c r="D1289" i="84"/>
  <c r="G1288" i="84"/>
  <c r="F1288" i="84"/>
  <c r="E1288" i="84"/>
  <c r="D1288" i="84"/>
  <c r="G1287" i="84"/>
  <c r="F1287" i="84"/>
  <c r="E1287" i="84"/>
  <c r="D1287" i="84"/>
  <c r="G1286" i="84"/>
  <c r="F1286" i="84"/>
  <c r="E1286" i="84"/>
  <c r="D1286" i="84"/>
  <c r="G1285" i="84"/>
  <c r="F1285" i="84"/>
  <c r="E1285" i="84"/>
  <c r="D1285" i="84"/>
  <c r="G1284" i="84"/>
  <c r="F1284" i="84"/>
  <c r="E1284" i="84"/>
  <c r="D1284" i="84"/>
  <c r="G1283" i="84"/>
  <c r="F1283" i="84"/>
  <c r="E1283" i="84"/>
  <c r="D1283" i="84"/>
  <c r="G1282" i="84"/>
  <c r="F1282" i="84"/>
  <c r="E1282" i="84"/>
  <c r="D1282" i="84"/>
  <c r="G1281" i="84"/>
  <c r="F1281" i="84"/>
  <c r="E1281" i="84"/>
  <c r="D1281" i="84"/>
  <c r="G1280" i="84"/>
  <c r="F1280" i="84"/>
  <c r="E1280" i="84"/>
  <c r="D1280" i="84"/>
  <c r="G1279" i="84"/>
  <c r="F1279" i="84"/>
  <c r="E1279" i="84"/>
  <c r="D1279" i="84"/>
  <c r="G1278" i="84"/>
  <c r="F1278" i="84"/>
  <c r="E1278" i="84"/>
  <c r="D1278" i="84"/>
  <c r="G1277" i="84"/>
  <c r="F1277" i="84"/>
  <c r="E1277" i="84"/>
  <c r="D1277" i="84"/>
  <c r="G1276" i="84"/>
  <c r="F1276" i="84"/>
  <c r="E1276" i="84"/>
  <c r="D1276" i="84"/>
  <c r="G1275" i="84"/>
  <c r="F1275" i="84"/>
  <c r="E1275" i="84"/>
  <c r="D1275" i="84"/>
  <c r="G1274" i="84"/>
  <c r="F1274" i="84"/>
  <c r="E1274" i="84"/>
  <c r="D1274" i="84"/>
  <c r="G1273" i="84"/>
  <c r="F1273" i="84"/>
  <c r="E1273" i="84"/>
  <c r="D1273" i="84"/>
  <c r="G1272" i="84"/>
  <c r="F1272" i="84"/>
  <c r="E1272" i="84"/>
  <c r="D1272" i="84"/>
  <c r="G1271" i="84"/>
  <c r="F1271" i="84"/>
  <c r="E1271" i="84"/>
  <c r="D1271" i="84"/>
  <c r="G1270" i="84"/>
  <c r="F1270" i="84"/>
  <c r="E1270" i="84"/>
  <c r="D1270" i="84"/>
  <c r="G1269" i="84"/>
  <c r="F1269" i="84"/>
  <c r="E1269" i="84"/>
  <c r="D1269" i="84"/>
  <c r="G1268" i="84"/>
  <c r="F1268" i="84"/>
  <c r="E1268" i="84"/>
  <c r="D1268" i="84"/>
  <c r="G1267" i="84"/>
  <c r="F1267" i="84"/>
  <c r="E1267" i="84"/>
  <c r="D1267" i="84"/>
  <c r="G1266" i="84"/>
  <c r="F1266" i="84"/>
  <c r="E1266" i="84"/>
  <c r="D1266" i="84"/>
  <c r="G1265" i="84"/>
  <c r="F1265" i="84"/>
  <c r="E1265" i="84"/>
  <c r="D1265" i="84"/>
  <c r="G1264" i="84"/>
  <c r="F1264" i="84"/>
  <c r="E1264" i="84"/>
  <c r="D1264" i="84"/>
  <c r="G1263" i="84"/>
  <c r="F1263" i="84"/>
  <c r="E1263" i="84"/>
  <c r="D1263" i="84"/>
  <c r="G1262" i="84"/>
  <c r="F1262" i="84"/>
  <c r="E1262" i="84"/>
  <c r="D1262" i="84"/>
  <c r="G1261" i="84"/>
  <c r="F1261" i="84"/>
  <c r="E1261" i="84"/>
  <c r="D1261" i="84"/>
  <c r="G1260" i="84"/>
  <c r="F1260" i="84"/>
  <c r="E1260" i="84"/>
  <c r="D1260" i="84"/>
  <c r="G1259" i="84"/>
  <c r="F1259" i="84"/>
  <c r="E1259" i="84"/>
  <c r="D1259" i="84"/>
  <c r="G1258" i="84"/>
  <c r="F1258" i="84"/>
  <c r="E1258" i="84"/>
  <c r="D1258" i="84"/>
  <c r="G1257" i="84"/>
  <c r="F1257" i="84"/>
  <c r="E1257" i="84"/>
  <c r="D1257" i="84"/>
  <c r="G1256" i="84"/>
  <c r="F1256" i="84"/>
  <c r="E1256" i="84"/>
  <c r="D1256" i="84"/>
  <c r="G1255" i="84"/>
  <c r="F1255" i="84"/>
  <c r="E1255" i="84"/>
  <c r="D1255" i="84"/>
  <c r="G1254" i="84"/>
  <c r="F1254" i="84"/>
  <c r="E1254" i="84"/>
  <c r="D1254" i="84"/>
  <c r="G1253" i="84"/>
  <c r="F1253" i="84"/>
  <c r="E1253" i="84"/>
  <c r="D1253" i="84"/>
  <c r="G1252" i="84"/>
  <c r="F1252" i="84"/>
  <c r="E1252" i="84"/>
  <c r="D1252" i="84"/>
  <c r="G1251" i="84"/>
  <c r="F1251" i="84"/>
  <c r="E1251" i="84"/>
  <c r="D1251" i="84"/>
  <c r="G1250" i="84"/>
  <c r="F1250" i="84"/>
  <c r="E1250" i="84"/>
  <c r="D1250" i="84"/>
  <c r="G1249" i="84"/>
  <c r="F1249" i="84"/>
  <c r="E1249" i="84"/>
  <c r="D1249" i="84"/>
  <c r="G1248" i="84"/>
  <c r="F1248" i="84"/>
  <c r="E1248" i="84"/>
  <c r="D1248" i="84"/>
  <c r="G1247" i="84"/>
  <c r="F1247" i="84"/>
  <c r="E1247" i="84"/>
  <c r="D1247" i="84"/>
  <c r="G1246" i="84"/>
  <c r="F1246" i="84"/>
  <c r="E1246" i="84"/>
  <c r="D1246" i="84"/>
  <c r="G1245" i="84"/>
  <c r="F1245" i="84"/>
  <c r="E1245" i="84"/>
  <c r="D1245" i="84"/>
  <c r="G1244" i="84"/>
  <c r="F1244" i="84"/>
  <c r="E1244" i="84"/>
  <c r="D1244" i="84"/>
  <c r="G1243" i="84"/>
  <c r="F1243" i="84"/>
  <c r="E1243" i="84"/>
  <c r="D1243" i="84"/>
  <c r="G1242" i="84"/>
  <c r="F1242" i="84"/>
  <c r="E1242" i="84"/>
  <c r="D1242" i="84"/>
  <c r="G1241" i="84"/>
  <c r="F1241" i="84"/>
  <c r="E1241" i="84"/>
  <c r="D1241" i="84"/>
  <c r="G1240" i="84"/>
  <c r="F1240" i="84"/>
  <c r="E1240" i="84"/>
  <c r="D1240" i="84"/>
  <c r="G1239" i="84"/>
  <c r="F1239" i="84"/>
  <c r="E1239" i="84"/>
  <c r="D1239" i="84"/>
  <c r="G1238" i="84"/>
  <c r="F1238" i="84"/>
  <c r="E1238" i="84"/>
  <c r="D1238" i="84"/>
  <c r="G1237" i="84"/>
  <c r="F1237" i="84"/>
  <c r="E1237" i="84"/>
  <c r="D1237" i="84"/>
  <c r="G1236" i="84"/>
  <c r="F1236" i="84"/>
  <c r="E1236" i="84"/>
  <c r="D1236" i="84"/>
  <c r="G1235" i="84"/>
  <c r="F1235" i="84"/>
  <c r="E1235" i="84"/>
  <c r="D1235" i="84"/>
  <c r="G1234" i="84"/>
  <c r="F1234" i="84"/>
  <c r="E1234" i="84"/>
  <c r="D1234" i="84"/>
  <c r="G1233" i="84"/>
  <c r="F1233" i="84"/>
  <c r="E1233" i="84"/>
  <c r="D1233" i="84"/>
  <c r="G1232" i="84"/>
  <c r="F1232" i="84"/>
  <c r="E1232" i="84"/>
  <c r="D1232" i="84"/>
  <c r="G1231" i="84"/>
  <c r="F1231" i="84"/>
  <c r="E1231" i="84"/>
  <c r="D1231" i="84"/>
  <c r="G1230" i="84"/>
  <c r="F1230" i="84"/>
  <c r="E1230" i="84"/>
  <c r="D1230" i="84"/>
  <c r="G1229" i="84"/>
  <c r="F1229" i="84"/>
  <c r="E1229" i="84"/>
  <c r="D1229" i="84"/>
  <c r="G1228" i="84"/>
  <c r="F1228" i="84"/>
  <c r="E1228" i="84"/>
  <c r="D1228" i="84"/>
  <c r="G1227" i="84"/>
  <c r="F1227" i="84"/>
  <c r="E1227" i="84"/>
  <c r="D1227" i="84"/>
  <c r="G1226" i="84"/>
  <c r="F1226" i="84"/>
  <c r="E1226" i="84"/>
  <c r="D1226" i="84"/>
  <c r="G1225" i="84"/>
  <c r="F1225" i="84"/>
  <c r="E1225" i="84"/>
  <c r="D1225" i="84"/>
  <c r="G1224" i="84"/>
  <c r="F1224" i="84"/>
  <c r="E1224" i="84"/>
  <c r="D1224" i="84"/>
  <c r="G1223" i="84"/>
  <c r="F1223" i="84"/>
  <c r="E1223" i="84"/>
  <c r="D1223" i="84"/>
  <c r="G1222" i="84"/>
  <c r="F1222" i="84"/>
  <c r="E1222" i="84"/>
  <c r="D1222" i="84"/>
  <c r="G1221" i="84"/>
  <c r="F1221" i="84"/>
  <c r="E1221" i="84"/>
  <c r="D1221" i="84"/>
  <c r="G1220" i="84"/>
  <c r="F1220" i="84"/>
  <c r="E1220" i="84"/>
  <c r="D1220" i="84"/>
  <c r="G1219" i="84"/>
  <c r="F1219" i="84"/>
  <c r="E1219" i="84"/>
  <c r="D1219" i="84"/>
  <c r="G1218" i="84"/>
  <c r="F1218" i="84"/>
  <c r="E1218" i="84"/>
  <c r="D1218" i="84"/>
  <c r="G1217" i="84"/>
  <c r="F1217" i="84"/>
  <c r="E1217" i="84"/>
  <c r="D1217" i="84"/>
  <c r="G1216" i="84"/>
  <c r="F1216" i="84"/>
  <c r="E1216" i="84"/>
  <c r="D1216" i="84"/>
  <c r="G1215" i="84"/>
  <c r="F1215" i="84"/>
  <c r="E1215" i="84"/>
  <c r="D1215" i="84"/>
  <c r="G1214" i="84"/>
  <c r="F1214" i="84"/>
  <c r="E1214" i="84"/>
  <c r="D1214" i="84"/>
  <c r="G1213" i="84"/>
  <c r="F1213" i="84"/>
  <c r="E1213" i="84"/>
  <c r="D1213" i="84"/>
  <c r="G1212" i="84"/>
  <c r="F1212" i="84"/>
  <c r="E1212" i="84"/>
  <c r="D1212" i="84"/>
  <c r="G1211" i="84"/>
  <c r="F1211" i="84"/>
  <c r="E1211" i="84"/>
  <c r="D1211" i="84"/>
  <c r="G1210" i="84"/>
  <c r="F1210" i="84"/>
  <c r="E1210" i="84"/>
  <c r="D1210" i="84"/>
  <c r="G1209" i="84"/>
  <c r="F1209" i="84"/>
  <c r="E1209" i="84"/>
  <c r="D1209" i="84"/>
  <c r="G1208" i="84"/>
  <c r="F1208" i="84"/>
  <c r="E1208" i="84"/>
  <c r="D1208" i="84"/>
  <c r="G1207" i="84"/>
  <c r="F1207" i="84"/>
  <c r="E1207" i="84"/>
  <c r="D1207" i="84"/>
  <c r="G1206" i="84"/>
  <c r="F1206" i="84"/>
  <c r="E1206" i="84"/>
  <c r="D1206" i="84"/>
  <c r="G1205" i="84"/>
  <c r="F1205" i="84"/>
  <c r="E1205" i="84"/>
  <c r="D1205" i="84"/>
  <c r="G1204" i="84"/>
  <c r="F1204" i="84"/>
  <c r="E1204" i="84"/>
  <c r="D1204" i="84"/>
  <c r="G1203" i="84"/>
  <c r="F1203" i="84"/>
  <c r="E1203" i="84"/>
  <c r="D1203" i="84"/>
  <c r="G1202" i="84"/>
  <c r="F1202" i="84"/>
  <c r="E1202" i="84"/>
  <c r="D1202" i="84"/>
  <c r="G1201" i="84"/>
  <c r="F1201" i="84"/>
  <c r="E1201" i="84"/>
  <c r="D1201" i="84"/>
  <c r="G1200" i="84"/>
  <c r="F1200" i="84"/>
  <c r="E1200" i="84"/>
  <c r="D1200" i="84"/>
  <c r="G1199" i="84"/>
  <c r="F1199" i="84"/>
  <c r="E1199" i="84"/>
  <c r="D1199" i="84"/>
  <c r="G1198" i="84"/>
  <c r="F1198" i="84"/>
  <c r="E1198" i="84"/>
  <c r="D1198" i="84"/>
  <c r="G1197" i="84"/>
  <c r="F1197" i="84"/>
  <c r="E1197" i="84"/>
  <c r="D1197" i="84"/>
  <c r="G1196" i="84"/>
  <c r="F1196" i="84"/>
  <c r="E1196" i="84"/>
  <c r="D1196" i="84"/>
  <c r="G1195" i="84"/>
  <c r="F1195" i="84"/>
  <c r="E1195" i="84"/>
  <c r="D1195" i="84"/>
  <c r="G1194" i="84"/>
  <c r="F1194" i="84"/>
  <c r="E1194" i="84"/>
  <c r="D1194" i="84"/>
  <c r="G1193" i="84"/>
  <c r="F1193" i="84"/>
  <c r="E1193" i="84"/>
  <c r="D1193" i="84"/>
  <c r="G1192" i="84"/>
  <c r="F1192" i="84"/>
  <c r="E1192" i="84"/>
  <c r="D1192" i="84"/>
  <c r="G1191" i="84"/>
  <c r="F1191" i="84"/>
  <c r="E1191" i="84"/>
  <c r="D1191" i="84"/>
  <c r="G1190" i="84"/>
  <c r="F1190" i="84"/>
  <c r="E1190" i="84"/>
  <c r="D1190" i="84"/>
  <c r="G1189" i="84"/>
  <c r="F1189" i="84"/>
  <c r="E1189" i="84"/>
  <c r="D1189" i="84"/>
  <c r="G1188" i="84"/>
  <c r="F1188" i="84"/>
  <c r="E1188" i="84"/>
  <c r="D1188" i="84"/>
  <c r="G1187" i="84"/>
  <c r="F1187" i="84"/>
  <c r="E1187" i="84"/>
  <c r="D1187" i="84"/>
  <c r="G1186" i="84"/>
  <c r="F1186" i="84"/>
  <c r="E1186" i="84"/>
  <c r="D1186" i="84"/>
  <c r="G1185" i="84"/>
  <c r="F1185" i="84"/>
  <c r="E1185" i="84"/>
  <c r="D1185" i="84"/>
  <c r="G1184" i="84"/>
  <c r="F1184" i="84"/>
  <c r="E1184" i="84"/>
  <c r="D1184" i="84"/>
  <c r="G1183" i="84"/>
  <c r="F1183" i="84"/>
  <c r="E1183" i="84"/>
  <c r="D1183" i="84"/>
  <c r="G1182" i="84"/>
  <c r="F1182" i="84"/>
  <c r="E1182" i="84"/>
  <c r="D1182" i="84"/>
  <c r="G1181" i="84"/>
  <c r="F1181" i="84"/>
  <c r="E1181" i="84"/>
  <c r="D1181" i="84"/>
  <c r="G1180" i="84"/>
  <c r="F1180" i="84"/>
  <c r="E1180" i="84"/>
  <c r="D1180" i="84"/>
  <c r="G1179" i="84"/>
  <c r="F1179" i="84"/>
  <c r="E1179" i="84"/>
  <c r="D1179" i="84"/>
  <c r="G1178" i="84"/>
  <c r="F1178" i="84"/>
  <c r="E1178" i="84"/>
  <c r="D1178" i="84"/>
  <c r="G1177" i="84"/>
  <c r="F1177" i="84"/>
  <c r="E1177" i="84"/>
  <c r="D1177" i="84"/>
  <c r="G1176" i="84"/>
  <c r="F1176" i="84"/>
  <c r="E1176" i="84"/>
  <c r="D1176" i="84"/>
  <c r="G1175" i="84"/>
  <c r="F1175" i="84"/>
  <c r="E1175" i="84"/>
  <c r="D1175" i="84"/>
  <c r="G1174" i="84"/>
  <c r="F1174" i="84"/>
  <c r="E1174" i="84"/>
  <c r="D1174" i="84"/>
  <c r="G1173" i="84"/>
  <c r="F1173" i="84"/>
  <c r="E1173" i="84"/>
  <c r="D1173" i="84"/>
  <c r="G1172" i="84"/>
  <c r="F1172" i="84"/>
  <c r="E1172" i="84"/>
  <c r="D1172" i="84"/>
  <c r="G1171" i="84"/>
  <c r="F1171" i="84"/>
  <c r="E1171" i="84"/>
  <c r="D1171" i="84"/>
  <c r="G1170" i="84"/>
  <c r="F1170" i="84"/>
  <c r="E1170" i="84"/>
  <c r="D1170" i="84"/>
  <c r="G1169" i="84"/>
  <c r="F1169" i="84"/>
  <c r="E1169" i="84"/>
  <c r="D1169" i="84"/>
  <c r="G1168" i="84"/>
  <c r="F1168" i="84"/>
  <c r="E1168" i="84"/>
  <c r="D1168" i="84"/>
  <c r="G1167" i="84"/>
  <c r="F1167" i="84"/>
  <c r="E1167" i="84"/>
  <c r="D1167" i="84"/>
  <c r="G1166" i="84"/>
  <c r="F1166" i="84"/>
  <c r="E1166" i="84"/>
  <c r="D1166" i="84"/>
  <c r="G1165" i="84"/>
  <c r="F1165" i="84"/>
  <c r="E1165" i="84"/>
  <c r="D1165" i="84"/>
  <c r="G1164" i="84"/>
  <c r="F1164" i="84"/>
  <c r="E1164" i="84"/>
  <c r="D1164" i="84"/>
  <c r="G1163" i="84"/>
  <c r="F1163" i="84"/>
  <c r="E1163" i="84"/>
  <c r="D1163" i="84"/>
  <c r="G1162" i="84"/>
  <c r="F1162" i="84"/>
  <c r="E1162" i="84"/>
  <c r="D1162" i="84"/>
  <c r="G1161" i="84"/>
  <c r="F1161" i="84"/>
  <c r="E1161" i="84"/>
  <c r="D1161" i="84"/>
  <c r="G1160" i="84"/>
  <c r="F1160" i="84"/>
  <c r="E1160" i="84"/>
  <c r="D1160" i="84"/>
  <c r="G1159" i="84"/>
  <c r="F1159" i="84"/>
  <c r="E1159" i="84"/>
  <c r="D1159" i="84"/>
  <c r="G1158" i="84"/>
  <c r="F1158" i="84"/>
  <c r="E1158" i="84"/>
  <c r="D1158" i="84"/>
  <c r="G1157" i="84"/>
  <c r="F1157" i="84"/>
  <c r="E1157" i="84"/>
  <c r="D1157" i="84"/>
  <c r="G1156" i="84"/>
  <c r="F1156" i="84"/>
  <c r="E1156" i="84"/>
  <c r="D1156" i="84"/>
  <c r="G1155" i="84"/>
  <c r="F1155" i="84"/>
  <c r="E1155" i="84"/>
  <c r="D1155" i="84"/>
  <c r="G1154" i="84"/>
  <c r="F1154" i="84"/>
  <c r="E1154" i="84"/>
  <c r="D1154" i="84"/>
  <c r="G1153" i="84"/>
  <c r="F1153" i="84"/>
  <c r="E1153" i="84"/>
  <c r="D1153" i="84"/>
  <c r="G1152" i="84"/>
  <c r="F1152" i="84"/>
  <c r="E1152" i="84"/>
  <c r="D1152" i="84"/>
  <c r="G1151" i="84"/>
  <c r="F1151" i="84"/>
  <c r="E1151" i="84"/>
  <c r="D1151" i="84"/>
  <c r="G1150" i="84"/>
  <c r="F1150" i="84"/>
  <c r="E1150" i="84"/>
  <c r="D1150" i="84"/>
  <c r="G1149" i="84"/>
  <c r="F1149" i="84"/>
  <c r="E1149" i="84"/>
  <c r="D1149" i="84"/>
  <c r="G1148" i="84"/>
  <c r="F1148" i="84"/>
  <c r="E1148" i="84"/>
  <c r="D1148" i="84"/>
  <c r="G1147" i="84"/>
  <c r="F1147" i="84"/>
  <c r="E1147" i="84"/>
  <c r="D1147" i="84"/>
  <c r="G1146" i="84"/>
  <c r="F1146" i="84"/>
  <c r="E1146" i="84"/>
  <c r="D1146" i="84"/>
  <c r="G1145" i="84"/>
  <c r="F1145" i="84"/>
  <c r="E1145" i="84"/>
  <c r="D1145" i="84"/>
  <c r="G1144" i="84"/>
  <c r="F1144" i="84"/>
  <c r="E1144" i="84"/>
  <c r="D1144" i="84"/>
  <c r="G1143" i="84"/>
  <c r="F1143" i="84"/>
  <c r="E1143" i="84"/>
  <c r="D1143" i="84"/>
  <c r="G1142" i="84"/>
  <c r="F1142" i="84"/>
  <c r="E1142" i="84"/>
  <c r="D1142" i="84"/>
  <c r="G1141" i="84"/>
  <c r="F1141" i="84"/>
  <c r="E1141" i="84"/>
  <c r="D1141" i="84"/>
  <c r="G1140" i="84"/>
  <c r="F1140" i="84"/>
  <c r="E1140" i="84"/>
  <c r="D1140" i="84"/>
  <c r="G1139" i="84"/>
  <c r="F1139" i="84"/>
  <c r="E1139" i="84"/>
  <c r="D1139" i="84"/>
  <c r="G1138" i="84"/>
  <c r="F1138" i="84"/>
  <c r="E1138" i="84"/>
  <c r="D1138" i="84"/>
  <c r="G1137" i="84"/>
  <c r="F1137" i="84"/>
  <c r="E1137" i="84"/>
  <c r="D1137" i="84"/>
  <c r="G1136" i="84"/>
  <c r="F1136" i="84"/>
  <c r="E1136" i="84"/>
  <c r="D1136" i="84"/>
  <c r="G1135" i="84"/>
  <c r="F1135" i="84"/>
  <c r="E1135" i="84"/>
  <c r="D1135" i="84"/>
  <c r="G1134" i="84"/>
  <c r="F1134" i="84"/>
  <c r="E1134" i="84"/>
  <c r="D1134" i="84"/>
  <c r="G1133" i="84"/>
  <c r="F1133" i="84"/>
  <c r="E1133" i="84"/>
  <c r="D1133" i="84"/>
  <c r="G1132" i="84"/>
  <c r="F1132" i="84"/>
  <c r="E1132" i="84"/>
  <c r="D1132" i="84"/>
  <c r="G1131" i="84"/>
  <c r="F1131" i="84"/>
  <c r="E1131" i="84"/>
  <c r="D1131" i="84"/>
  <c r="G1130" i="84"/>
  <c r="F1130" i="84"/>
  <c r="E1130" i="84"/>
  <c r="D1130" i="84"/>
  <c r="G1129" i="84"/>
  <c r="F1129" i="84"/>
  <c r="E1129" i="84"/>
  <c r="D1129" i="84"/>
  <c r="G1128" i="84"/>
  <c r="F1128" i="84"/>
  <c r="E1128" i="84"/>
  <c r="D1128" i="84"/>
  <c r="G1127" i="84"/>
  <c r="F1127" i="84"/>
  <c r="E1127" i="84"/>
  <c r="D1127" i="84"/>
  <c r="G1126" i="84"/>
  <c r="F1126" i="84"/>
  <c r="E1126" i="84"/>
  <c r="D1126" i="84"/>
  <c r="G1125" i="84"/>
  <c r="F1125" i="84"/>
  <c r="E1125" i="84"/>
  <c r="D1125" i="84"/>
  <c r="G1124" i="84"/>
  <c r="F1124" i="84"/>
  <c r="E1124" i="84"/>
  <c r="D1124" i="84"/>
  <c r="G1123" i="84"/>
  <c r="F1123" i="84"/>
  <c r="E1123" i="84"/>
  <c r="D1123" i="84"/>
  <c r="G1122" i="84"/>
  <c r="F1122" i="84"/>
  <c r="E1122" i="84"/>
  <c r="D1122" i="84"/>
  <c r="G1121" i="84"/>
  <c r="F1121" i="84"/>
  <c r="E1121" i="84"/>
  <c r="D1121" i="84"/>
  <c r="G1120" i="84"/>
  <c r="F1120" i="84"/>
  <c r="E1120" i="84"/>
  <c r="D1120" i="84"/>
  <c r="G1119" i="84"/>
  <c r="F1119" i="84"/>
  <c r="E1119" i="84"/>
  <c r="D1119" i="84"/>
  <c r="G1118" i="84"/>
  <c r="F1118" i="84"/>
  <c r="E1118" i="84"/>
  <c r="D1118" i="84"/>
  <c r="G1117" i="84"/>
  <c r="F1117" i="84"/>
  <c r="E1117" i="84"/>
  <c r="D1117" i="84"/>
  <c r="G1116" i="84"/>
  <c r="F1116" i="84"/>
  <c r="E1116" i="84"/>
  <c r="D1116" i="84"/>
  <c r="G1115" i="84"/>
  <c r="F1115" i="84"/>
  <c r="E1115" i="84"/>
  <c r="D1115" i="84"/>
  <c r="G1114" i="84"/>
  <c r="F1114" i="84"/>
  <c r="E1114" i="84"/>
  <c r="D1114" i="84"/>
  <c r="G1113" i="84"/>
  <c r="F1113" i="84"/>
  <c r="E1113" i="84"/>
  <c r="D1113" i="84"/>
  <c r="G1112" i="84"/>
  <c r="F1112" i="84"/>
  <c r="E1112" i="84"/>
  <c r="D1112" i="84"/>
  <c r="G1111" i="84"/>
  <c r="F1111" i="84"/>
  <c r="E1111" i="84"/>
  <c r="D1111" i="84"/>
  <c r="G1110" i="84"/>
  <c r="F1110" i="84"/>
  <c r="E1110" i="84"/>
  <c r="D1110" i="84"/>
  <c r="G1109" i="84"/>
  <c r="F1109" i="84"/>
  <c r="E1109" i="84"/>
  <c r="D1109" i="84"/>
  <c r="G1108" i="84"/>
  <c r="F1108" i="84"/>
  <c r="E1108" i="84"/>
  <c r="D1108" i="84"/>
  <c r="G1107" i="84"/>
  <c r="F1107" i="84"/>
  <c r="E1107" i="84"/>
  <c r="D1107" i="84"/>
  <c r="G1106" i="84"/>
  <c r="F1106" i="84"/>
  <c r="E1106" i="84"/>
  <c r="D1106" i="84"/>
  <c r="G1105" i="84"/>
  <c r="F1105" i="84"/>
  <c r="E1105" i="84"/>
  <c r="D1105" i="84"/>
  <c r="G1104" i="84"/>
  <c r="F1104" i="84"/>
  <c r="E1104" i="84"/>
  <c r="D1104" i="84"/>
  <c r="G1103" i="84"/>
  <c r="F1103" i="84"/>
  <c r="E1103" i="84"/>
  <c r="D1103" i="84"/>
  <c r="G1102" i="84"/>
  <c r="F1102" i="84"/>
  <c r="E1102" i="84"/>
  <c r="D1102" i="84"/>
  <c r="G1101" i="84"/>
  <c r="F1101" i="84"/>
  <c r="E1101" i="84"/>
  <c r="D1101" i="84"/>
  <c r="G1100" i="84"/>
  <c r="F1100" i="84"/>
  <c r="E1100" i="84"/>
  <c r="D1100" i="84"/>
  <c r="G1099" i="84"/>
  <c r="F1099" i="84"/>
  <c r="E1099" i="84"/>
  <c r="D1099" i="84"/>
  <c r="G1098" i="84"/>
  <c r="F1098" i="84"/>
  <c r="E1098" i="84"/>
  <c r="D1098" i="84"/>
  <c r="G1097" i="84"/>
  <c r="F1097" i="84"/>
  <c r="E1097" i="84"/>
  <c r="D1097" i="84"/>
  <c r="G1096" i="84"/>
  <c r="F1096" i="84"/>
  <c r="E1096" i="84"/>
  <c r="D1096" i="84"/>
  <c r="G1095" i="84"/>
  <c r="F1095" i="84"/>
  <c r="E1095" i="84"/>
  <c r="D1095" i="84"/>
  <c r="G1094" i="84"/>
  <c r="F1094" i="84"/>
  <c r="E1094" i="84"/>
  <c r="D1094" i="84"/>
  <c r="G1093" i="84"/>
  <c r="F1093" i="84"/>
  <c r="E1093" i="84"/>
  <c r="D1093" i="84"/>
  <c r="G1092" i="84"/>
  <c r="F1092" i="84"/>
  <c r="E1092" i="84"/>
  <c r="D1092" i="84"/>
  <c r="G1091" i="84"/>
  <c r="F1091" i="84"/>
  <c r="E1091" i="84"/>
  <c r="D1091" i="84"/>
  <c r="G1090" i="84"/>
  <c r="F1090" i="84"/>
  <c r="E1090" i="84"/>
  <c r="D1090" i="84"/>
  <c r="G1089" i="84"/>
  <c r="F1089" i="84"/>
  <c r="E1089" i="84"/>
  <c r="D1089" i="84"/>
  <c r="G1088" i="84"/>
  <c r="F1088" i="84"/>
  <c r="E1088" i="84"/>
  <c r="D1088" i="84"/>
  <c r="G1087" i="84"/>
  <c r="F1087" i="84"/>
  <c r="E1087" i="84"/>
  <c r="D1087" i="84"/>
  <c r="G1086" i="84"/>
  <c r="F1086" i="84"/>
  <c r="E1086" i="84"/>
  <c r="D1086" i="84"/>
  <c r="G1085" i="84"/>
  <c r="F1085" i="84"/>
  <c r="E1085" i="84"/>
  <c r="D1085" i="84"/>
  <c r="G1084" i="84"/>
  <c r="F1084" i="84"/>
  <c r="E1084" i="84"/>
  <c r="D1084" i="84"/>
  <c r="G1083" i="84"/>
  <c r="F1083" i="84"/>
  <c r="E1083" i="84"/>
  <c r="D1083" i="84"/>
  <c r="G1082" i="84"/>
  <c r="F1082" i="84"/>
  <c r="E1082" i="84"/>
  <c r="D1082" i="84"/>
  <c r="G1081" i="84"/>
  <c r="F1081" i="84"/>
  <c r="E1081" i="84"/>
  <c r="D1081" i="84"/>
  <c r="G1080" i="84"/>
  <c r="F1080" i="84"/>
  <c r="E1080" i="84"/>
  <c r="D1080" i="84"/>
  <c r="G1079" i="84"/>
  <c r="F1079" i="84"/>
  <c r="E1079" i="84"/>
  <c r="D1079" i="84"/>
  <c r="G1078" i="84"/>
  <c r="F1078" i="84"/>
  <c r="E1078" i="84"/>
  <c r="D1078" i="84"/>
  <c r="G1077" i="84"/>
  <c r="F1077" i="84"/>
  <c r="E1077" i="84"/>
  <c r="D1077" i="84"/>
  <c r="G1076" i="84"/>
  <c r="F1076" i="84"/>
  <c r="E1076" i="84"/>
  <c r="D1076" i="84"/>
  <c r="G1075" i="84"/>
  <c r="F1075" i="84"/>
  <c r="E1075" i="84"/>
  <c r="D1075" i="84"/>
  <c r="G1074" i="84"/>
  <c r="F1074" i="84"/>
  <c r="E1074" i="84"/>
  <c r="D1074" i="84"/>
  <c r="G1073" i="84"/>
  <c r="F1073" i="84"/>
  <c r="E1073" i="84"/>
  <c r="D1073" i="84"/>
  <c r="G1072" i="84"/>
  <c r="F1072" i="84"/>
  <c r="E1072" i="84"/>
  <c r="D1072" i="84"/>
  <c r="G1071" i="84"/>
  <c r="F1071" i="84"/>
  <c r="E1071" i="84"/>
  <c r="D1071" i="84"/>
  <c r="G1070" i="84"/>
  <c r="F1070" i="84"/>
  <c r="E1070" i="84"/>
  <c r="D1070" i="84"/>
  <c r="G1069" i="84"/>
  <c r="F1069" i="84"/>
  <c r="E1069" i="84"/>
  <c r="D1069" i="84"/>
  <c r="G1068" i="84"/>
  <c r="F1068" i="84"/>
  <c r="E1068" i="84"/>
  <c r="D1068" i="84"/>
  <c r="G1067" i="84"/>
  <c r="F1067" i="84"/>
  <c r="E1067" i="84"/>
  <c r="D1067" i="84"/>
  <c r="G1066" i="84"/>
  <c r="F1066" i="84"/>
  <c r="E1066" i="84"/>
  <c r="D1066" i="84"/>
  <c r="G1065" i="84"/>
  <c r="F1065" i="84"/>
  <c r="E1065" i="84"/>
  <c r="D1065" i="84"/>
  <c r="G1064" i="84"/>
  <c r="F1064" i="84"/>
  <c r="E1064" i="84"/>
  <c r="D1064" i="84"/>
  <c r="G1063" i="84"/>
  <c r="F1063" i="84"/>
  <c r="E1063" i="84"/>
  <c r="D1063" i="84"/>
  <c r="G1062" i="84"/>
  <c r="F1062" i="84"/>
  <c r="E1062" i="84"/>
  <c r="D1062" i="84"/>
  <c r="G1061" i="84"/>
  <c r="F1061" i="84"/>
  <c r="E1061" i="84"/>
  <c r="D1061" i="84"/>
  <c r="G1060" i="84"/>
  <c r="F1060" i="84"/>
  <c r="E1060" i="84"/>
  <c r="D1060" i="84"/>
  <c r="G1059" i="84"/>
  <c r="F1059" i="84"/>
  <c r="E1059" i="84"/>
  <c r="D1059" i="84"/>
  <c r="G1058" i="84"/>
  <c r="F1058" i="84"/>
  <c r="E1058" i="84"/>
  <c r="D1058" i="84"/>
  <c r="G1057" i="84"/>
  <c r="F1057" i="84"/>
  <c r="E1057" i="84"/>
  <c r="D1057" i="84"/>
  <c r="G1056" i="84"/>
  <c r="F1056" i="84"/>
  <c r="E1056" i="84"/>
  <c r="D1056" i="84"/>
  <c r="G1055" i="84"/>
  <c r="F1055" i="84"/>
  <c r="E1055" i="84"/>
  <c r="D1055" i="84"/>
  <c r="G1054" i="84"/>
  <c r="F1054" i="84"/>
  <c r="E1054" i="84"/>
  <c r="D1054" i="84"/>
  <c r="G1053" i="84"/>
  <c r="F1053" i="84"/>
  <c r="E1053" i="84"/>
  <c r="D1053" i="84"/>
  <c r="G1052" i="84"/>
  <c r="F1052" i="84"/>
  <c r="E1052" i="84"/>
  <c r="D1052" i="84"/>
  <c r="G1051" i="84"/>
  <c r="F1051" i="84"/>
  <c r="E1051" i="84"/>
  <c r="D1051" i="84"/>
  <c r="G1050" i="84"/>
  <c r="F1050" i="84"/>
  <c r="E1050" i="84"/>
  <c r="D1050" i="84"/>
  <c r="G1049" i="84"/>
  <c r="F1049" i="84"/>
  <c r="E1049" i="84"/>
  <c r="D1049" i="84"/>
  <c r="G1048" i="84"/>
  <c r="F1048" i="84"/>
  <c r="E1048" i="84"/>
  <c r="D1048" i="84"/>
  <c r="G1047" i="84"/>
  <c r="F1047" i="84"/>
  <c r="E1047" i="84"/>
  <c r="D1047" i="84"/>
  <c r="G1046" i="84"/>
  <c r="F1046" i="84"/>
  <c r="E1046" i="84"/>
  <c r="D1046" i="84"/>
  <c r="G1045" i="84"/>
  <c r="F1045" i="84"/>
  <c r="E1045" i="84"/>
  <c r="D1045" i="84"/>
  <c r="G1044" i="84"/>
  <c r="F1044" i="84"/>
  <c r="E1044" i="84"/>
  <c r="D1044" i="84"/>
  <c r="G1043" i="84"/>
  <c r="F1043" i="84"/>
  <c r="E1043" i="84"/>
  <c r="D1043" i="84"/>
  <c r="G1042" i="84"/>
  <c r="F1042" i="84"/>
  <c r="E1042" i="84"/>
  <c r="D1042" i="84"/>
  <c r="G1041" i="84"/>
  <c r="F1041" i="84"/>
  <c r="E1041" i="84"/>
  <c r="D1041" i="84"/>
  <c r="G1040" i="84"/>
  <c r="F1040" i="84"/>
  <c r="E1040" i="84"/>
  <c r="D1040" i="84"/>
  <c r="G1039" i="84"/>
  <c r="F1039" i="84"/>
  <c r="E1039" i="84"/>
  <c r="D1039" i="84"/>
  <c r="G1038" i="84"/>
  <c r="F1038" i="84"/>
  <c r="E1038" i="84"/>
  <c r="D1038" i="84"/>
  <c r="G1037" i="84"/>
  <c r="F1037" i="84"/>
  <c r="E1037" i="84"/>
  <c r="D1037" i="84"/>
  <c r="G1036" i="84"/>
  <c r="F1036" i="84"/>
  <c r="E1036" i="84"/>
  <c r="D1036" i="84"/>
  <c r="G1035" i="84"/>
  <c r="F1035" i="84"/>
  <c r="E1035" i="84"/>
  <c r="D1035" i="84"/>
  <c r="G1034" i="84"/>
  <c r="F1034" i="84"/>
  <c r="E1034" i="84"/>
  <c r="D1034" i="84"/>
  <c r="G1033" i="84"/>
  <c r="F1033" i="84"/>
  <c r="E1033" i="84"/>
  <c r="D1033" i="84"/>
  <c r="G1032" i="84"/>
  <c r="F1032" i="84"/>
  <c r="E1032" i="84"/>
  <c r="D1032" i="84"/>
  <c r="G1031" i="84"/>
  <c r="F1031" i="84"/>
  <c r="E1031" i="84"/>
  <c r="D1031" i="84"/>
  <c r="G1030" i="84"/>
  <c r="F1030" i="84"/>
  <c r="E1030" i="84"/>
  <c r="D1030" i="84"/>
  <c r="G1029" i="84"/>
  <c r="F1029" i="84"/>
  <c r="E1029" i="84"/>
  <c r="D1029" i="84"/>
  <c r="G1028" i="84"/>
  <c r="F1028" i="84"/>
  <c r="E1028" i="84"/>
  <c r="D1028" i="84"/>
  <c r="G1027" i="84"/>
  <c r="F1027" i="84"/>
  <c r="E1027" i="84"/>
  <c r="D1027" i="84"/>
  <c r="G1026" i="84"/>
  <c r="F1026" i="84"/>
  <c r="E1026" i="84"/>
  <c r="D1026" i="84"/>
  <c r="G1025" i="84"/>
  <c r="F1025" i="84"/>
  <c r="E1025" i="84"/>
  <c r="D1025" i="84"/>
  <c r="G1024" i="84"/>
  <c r="F1024" i="84"/>
  <c r="E1024" i="84"/>
  <c r="D1024" i="84"/>
  <c r="G1023" i="84"/>
  <c r="F1023" i="84"/>
  <c r="E1023" i="84"/>
  <c r="D1023" i="84"/>
  <c r="G1022" i="84"/>
  <c r="F1022" i="84"/>
  <c r="E1022" i="84"/>
  <c r="D1022" i="84"/>
  <c r="G1021" i="84"/>
  <c r="F1021" i="84"/>
  <c r="E1021" i="84"/>
  <c r="D1021" i="84"/>
  <c r="G1020" i="84"/>
  <c r="F1020" i="84"/>
  <c r="E1020" i="84"/>
  <c r="D1020" i="84"/>
  <c r="G1019" i="84"/>
  <c r="F1019" i="84"/>
  <c r="E1019" i="84"/>
  <c r="D1019" i="84"/>
  <c r="G1018" i="84"/>
  <c r="F1018" i="84"/>
  <c r="E1018" i="84"/>
  <c r="D1018" i="84"/>
  <c r="G1017" i="84"/>
  <c r="F1017" i="84"/>
  <c r="E1017" i="84"/>
  <c r="D1017" i="84"/>
  <c r="G1016" i="84"/>
  <c r="F1016" i="84"/>
  <c r="E1016" i="84"/>
  <c r="D1016" i="84"/>
  <c r="G1015" i="84"/>
  <c r="F1015" i="84"/>
  <c r="E1015" i="84"/>
  <c r="D1015" i="84"/>
  <c r="G1014" i="84"/>
  <c r="F1014" i="84"/>
  <c r="E1014" i="84"/>
  <c r="D1014" i="84"/>
  <c r="G1013" i="84"/>
  <c r="F1013" i="84"/>
  <c r="E1013" i="84"/>
  <c r="D1013" i="84"/>
  <c r="G1012" i="84"/>
  <c r="F1012" i="84"/>
  <c r="E1012" i="84"/>
  <c r="D1012" i="84"/>
  <c r="G1011" i="84"/>
  <c r="F1011" i="84"/>
  <c r="E1011" i="84"/>
  <c r="D1011" i="84"/>
  <c r="G1010" i="84"/>
  <c r="F1010" i="84"/>
  <c r="E1010" i="84"/>
  <c r="D1010" i="84"/>
  <c r="G1009" i="84"/>
  <c r="F1009" i="84"/>
  <c r="E1009" i="84"/>
  <c r="D1009" i="84"/>
  <c r="G1008" i="84"/>
  <c r="F1008" i="84"/>
  <c r="E1008" i="84"/>
  <c r="D1008" i="84"/>
  <c r="G1007" i="84"/>
  <c r="F1007" i="84"/>
  <c r="E1007" i="84"/>
  <c r="D1007" i="84"/>
  <c r="G1006" i="84"/>
  <c r="F1006" i="84"/>
  <c r="E1006" i="84"/>
  <c r="D1006" i="84"/>
  <c r="G1005" i="84"/>
  <c r="F1005" i="84"/>
  <c r="E1005" i="84"/>
  <c r="D1005" i="84"/>
  <c r="G1004" i="84"/>
  <c r="F1004" i="84"/>
  <c r="E1004" i="84"/>
  <c r="D1004" i="84"/>
  <c r="G1003" i="84"/>
  <c r="F1003" i="84"/>
  <c r="E1003" i="84"/>
  <c r="D1003" i="84"/>
  <c r="G1002" i="84"/>
  <c r="F1002" i="84"/>
  <c r="E1002" i="84"/>
  <c r="D1002" i="84"/>
  <c r="G1001" i="84"/>
  <c r="F1001" i="84"/>
  <c r="E1001" i="84"/>
  <c r="D1001" i="84"/>
  <c r="G1000" i="84"/>
  <c r="F1000" i="84"/>
  <c r="E1000" i="84"/>
  <c r="D1000" i="84"/>
  <c r="G999" i="84"/>
  <c r="F999" i="84"/>
  <c r="E999" i="84"/>
  <c r="D999" i="84"/>
  <c r="G998" i="84"/>
  <c r="F998" i="84"/>
  <c r="E998" i="84"/>
  <c r="D998" i="84"/>
  <c r="G997" i="84"/>
  <c r="F997" i="84"/>
  <c r="E997" i="84"/>
  <c r="D997" i="84"/>
  <c r="G996" i="84"/>
  <c r="F996" i="84"/>
  <c r="E996" i="84"/>
  <c r="D996" i="84"/>
  <c r="G995" i="84"/>
  <c r="F995" i="84"/>
  <c r="E995" i="84"/>
  <c r="D995" i="84"/>
  <c r="G994" i="84"/>
  <c r="F994" i="84"/>
  <c r="E994" i="84"/>
  <c r="D994" i="84"/>
  <c r="G993" i="84"/>
  <c r="F993" i="84"/>
  <c r="E993" i="84"/>
  <c r="D993" i="84"/>
  <c r="G992" i="84"/>
  <c r="F992" i="84"/>
  <c r="E992" i="84"/>
  <c r="D992" i="84"/>
  <c r="G991" i="84"/>
  <c r="F991" i="84"/>
  <c r="E991" i="84"/>
  <c r="D991" i="84"/>
  <c r="G990" i="84"/>
  <c r="F990" i="84"/>
  <c r="E990" i="84"/>
  <c r="D990" i="84"/>
  <c r="G989" i="84"/>
  <c r="F989" i="84"/>
  <c r="E989" i="84"/>
  <c r="D989" i="84"/>
  <c r="G988" i="84"/>
  <c r="F988" i="84"/>
  <c r="E988" i="84"/>
  <c r="D988" i="84"/>
  <c r="G987" i="84"/>
  <c r="F987" i="84"/>
  <c r="E987" i="84"/>
  <c r="D987" i="84"/>
  <c r="G986" i="84"/>
  <c r="F986" i="84"/>
  <c r="E986" i="84"/>
  <c r="D986" i="84"/>
  <c r="G985" i="84"/>
  <c r="F985" i="84"/>
  <c r="E985" i="84"/>
  <c r="D985" i="84"/>
  <c r="G984" i="84"/>
  <c r="F984" i="84"/>
  <c r="E984" i="84"/>
  <c r="D984" i="84"/>
  <c r="G983" i="84"/>
  <c r="F983" i="84"/>
  <c r="E983" i="84"/>
  <c r="D983" i="84"/>
  <c r="G982" i="84"/>
  <c r="F982" i="84"/>
  <c r="E982" i="84"/>
  <c r="D982" i="84"/>
  <c r="G981" i="84"/>
  <c r="F981" i="84"/>
  <c r="E981" i="84"/>
  <c r="D981" i="84"/>
  <c r="G980" i="84"/>
  <c r="F980" i="84"/>
  <c r="E980" i="84"/>
  <c r="D980" i="84"/>
  <c r="G979" i="84"/>
  <c r="F979" i="84"/>
  <c r="E979" i="84"/>
  <c r="D979" i="84"/>
  <c r="G978" i="84"/>
  <c r="F978" i="84"/>
  <c r="E978" i="84"/>
  <c r="D978" i="84"/>
  <c r="G977" i="84"/>
  <c r="F977" i="84"/>
  <c r="E977" i="84"/>
  <c r="D977" i="84"/>
  <c r="G976" i="84"/>
  <c r="F976" i="84"/>
  <c r="E976" i="84"/>
  <c r="D976" i="84"/>
  <c r="G975" i="84"/>
  <c r="F975" i="84"/>
  <c r="E975" i="84"/>
  <c r="D975" i="84"/>
  <c r="G974" i="84"/>
  <c r="F974" i="84"/>
  <c r="E974" i="84"/>
  <c r="D974" i="84"/>
  <c r="G973" i="84"/>
  <c r="F973" i="84"/>
  <c r="E973" i="84"/>
  <c r="D973" i="84"/>
  <c r="G972" i="84"/>
  <c r="F972" i="84"/>
  <c r="E972" i="84"/>
  <c r="D972" i="84"/>
  <c r="G971" i="84"/>
  <c r="F971" i="84"/>
  <c r="E971" i="84"/>
  <c r="D971" i="84"/>
  <c r="G970" i="84"/>
  <c r="F970" i="84"/>
  <c r="E970" i="84"/>
  <c r="D970" i="84"/>
  <c r="G969" i="84"/>
  <c r="F969" i="84"/>
  <c r="E969" i="84"/>
  <c r="D969" i="84"/>
  <c r="G968" i="84"/>
  <c r="F968" i="84"/>
  <c r="E968" i="84"/>
  <c r="D968" i="84"/>
  <c r="G967" i="84"/>
  <c r="F967" i="84"/>
  <c r="E967" i="84"/>
  <c r="D967" i="84"/>
  <c r="G966" i="84"/>
  <c r="F966" i="84"/>
  <c r="E966" i="84"/>
  <c r="D966" i="84"/>
  <c r="G965" i="84"/>
  <c r="F965" i="84"/>
  <c r="E965" i="84"/>
  <c r="D965" i="84"/>
  <c r="G964" i="84"/>
  <c r="F964" i="84"/>
  <c r="E964" i="84"/>
  <c r="D964" i="84"/>
  <c r="G963" i="84"/>
  <c r="F963" i="84"/>
  <c r="E963" i="84"/>
  <c r="D963" i="84"/>
  <c r="G962" i="84"/>
  <c r="F962" i="84"/>
  <c r="E962" i="84"/>
  <c r="D962" i="84"/>
  <c r="G961" i="84"/>
  <c r="F961" i="84"/>
  <c r="E961" i="84"/>
  <c r="D961" i="84"/>
  <c r="G960" i="84"/>
  <c r="F960" i="84"/>
  <c r="E960" i="84"/>
  <c r="D960" i="84"/>
  <c r="G959" i="84"/>
  <c r="F959" i="84"/>
  <c r="E959" i="84"/>
  <c r="D959" i="84"/>
  <c r="G958" i="84"/>
  <c r="F958" i="84"/>
  <c r="E958" i="84"/>
  <c r="D958" i="84"/>
  <c r="G957" i="84"/>
  <c r="F957" i="84"/>
  <c r="E957" i="84"/>
  <c r="D957" i="84"/>
  <c r="G956" i="84"/>
  <c r="F956" i="84"/>
  <c r="E956" i="84"/>
  <c r="D956" i="84"/>
  <c r="G955" i="84"/>
  <c r="F955" i="84"/>
  <c r="E955" i="84"/>
  <c r="D955" i="84"/>
  <c r="G954" i="84"/>
  <c r="F954" i="84"/>
  <c r="E954" i="84"/>
  <c r="D954" i="84"/>
  <c r="G953" i="84"/>
  <c r="F953" i="84"/>
  <c r="E953" i="84"/>
  <c r="D953" i="84"/>
  <c r="G952" i="84"/>
  <c r="F952" i="84"/>
  <c r="E952" i="84"/>
  <c r="D952" i="84"/>
  <c r="G951" i="84"/>
  <c r="F951" i="84"/>
  <c r="E951" i="84"/>
  <c r="D951" i="84"/>
  <c r="G950" i="84"/>
  <c r="F950" i="84"/>
  <c r="E950" i="84"/>
  <c r="D950" i="84"/>
  <c r="G949" i="84"/>
  <c r="F949" i="84"/>
  <c r="E949" i="84"/>
  <c r="D949" i="84"/>
  <c r="G948" i="84"/>
  <c r="F948" i="84"/>
  <c r="E948" i="84"/>
  <c r="D948" i="84"/>
  <c r="G947" i="84"/>
  <c r="F947" i="84"/>
  <c r="E947" i="84"/>
  <c r="D947" i="84"/>
  <c r="G946" i="84"/>
  <c r="F946" i="84"/>
  <c r="E946" i="84"/>
  <c r="D946" i="84"/>
  <c r="G945" i="84"/>
  <c r="F945" i="84"/>
  <c r="E945" i="84"/>
  <c r="D945" i="84"/>
  <c r="G944" i="84"/>
  <c r="F944" i="84"/>
  <c r="E944" i="84"/>
  <c r="D944" i="84"/>
  <c r="G943" i="84"/>
  <c r="F943" i="84"/>
  <c r="E943" i="84"/>
  <c r="D943" i="84"/>
  <c r="G942" i="84"/>
  <c r="F942" i="84"/>
  <c r="E942" i="84"/>
  <c r="D942" i="84"/>
  <c r="G941" i="84"/>
  <c r="F941" i="84"/>
  <c r="E941" i="84"/>
  <c r="D941" i="84"/>
  <c r="G940" i="84"/>
  <c r="F940" i="84"/>
  <c r="E940" i="84"/>
  <c r="D940" i="84"/>
  <c r="G939" i="84"/>
  <c r="F939" i="84"/>
  <c r="E939" i="84"/>
  <c r="D939" i="84"/>
  <c r="G938" i="84"/>
  <c r="F938" i="84"/>
  <c r="E938" i="84"/>
  <c r="D938" i="84"/>
  <c r="G937" i="84"/>
  <c r="F937" i="84"/>
  <c r="E937" i="84"/>
  <c r="D937" i="84"/>
  <c r="G936" i="84"/>
  <c r="F936" i="84"/>
  <c r="E936" i="84"/>
  <c r="D936" i="84"/>
  <c r="G935" i="84"/>
  <c r="F935" i="84"/>
  <c r="E935" i="84"/>
  <c r="D935" i="84"/>
  <c r="G934" i="84"/>
  <c r="F934" i="84"/>
  <c r="E934" i="84"/>
  <c r="D934" i="84"/>
  <c r="G933" i="84"/>
  <c r="F933" i="84"/>
  <c r="E933" i="84"/>
  <c r="D933" i="84"/>
  <c r="G932" i="84"/>
  <c r="F932" i="84"/>
  <c r="E932" i="84"/>
  <c r="D932" i="84"/>
  <c r="G931" i="84"/>
  <c r="F931" i="84"/>
  <c r="E931" i="84"/>
  <c r="D931" i="84"/>
  <c r="G930" i="84"/>
  <c r="F930" i="84"/>
  <c r="E930" i="84"/>
  <c r="D930" i="84"/>
  <c r="G929" i="84"/>
  <c r="F929" i="84"/>
  <c r="E929" i="84"/>
  <c r="D929" i="84"/>
  <c r="G928" i="84"/>
  <c r="F928" i="84"/>
  <c r="E928" i="84"/>
  <c r="D928" i="84"/>
  <c r="G927" i="84"/>
  <c r="F927" i="84"/>
  <c r="E927" i="84"/>
  <c r="D927" i="84"/>
  <c r="G926" i="84"/>
  <c r="F926" i="84"/>
  <c r="E926" i="84"/>
  <c r="D926" i="84"/>
  <c r="G925" i="84"/>
  <c r="F925" i="84"/>
  <c r="E925" i="84"/>
  <c r="D925" i="84"/>
  <c r="G924" i="84"/>
  <c r="F924" i="84"/>
  <c r="E924" i="84"/>
  <c r="D924" i="84"/>
  <c r="G923" i="84"/>
  <c r="F923" i="84"/>
  <c r="E923" i="84"/>
  <c r="D923" i="84"/>
  <c r="G922" i="84"/>
  <c r="F922" i="84"/>
  <c r="E922" i="84"/>
  <c r="D922" i="84"/>
  <c r="G921" i="84"/>
  <c r="F921" i="84"/>
  <c r="E921" i="84"/>
  <c r="D921" i="84"/>
  <c r="G920" i="84"/>
  <c r="F920" i="84"/>
  <c r="E920" i="84"/>
  <c r="D920" i="84"/>
  <c r="G919" i="84"/>
  <c r="F919" i="84"/>
  <c r="E919" i="84"/>
  <c r="D919" i="84"/>
  <c r="G918" i="84"/>
  <c r="F918" i="84"/>
  <c r="E918" i="84"/>
  <c r="D918" i="84"/>
  <c r="G917" i="84"/>
  <c r="F917" i="84"/>
  <c r="E917" i="84"/>
  <c r="D917" i="84"/>
  <c r="G916" i="84"/>
  <c r="F916" i="84"/>
  <c r="E916" i="84"/>
  <c r="D916" i="84"/>
  <c r="G915" i="84"/>
  <c r="F915" i="84"/>
  <c r="E915" i="84"/>
  <c r="D915" i="84"/>
  <c r="G914" i="84"/>
  <c r="F914" i="84"/>
  <c r="E914" i="84"/>
  <c r="D914" i="84"/>
  <c r="G913" i="84"/>
  <c r="F913" i="84"/>
  <c r="E913" i="84"/>
  <c r="D913" i="84"/>
  <c r="G912" i="84"/>
  <c r="F912" i="84"/>
  <c r="E912" i="84"/>
  <c r="D912" i="84"/>
  <c r="G911" i="84"/>
  <c r="F911" i="84"/>
  <c r="E911" i="84"/>
  <c r="D911" i="84"/>
  <c r="G910" i="84"/>
  <c r="F910" i="84"/>
  <c r="E910" i="84"/>
  <c r="D910" i="84"/>
  <c r="G909" i="84"/>
  <c r="F909" i="84"/>
  <c r="E909" i="84"/>
  <c r="D909" i="84"/>
  <c r="G908" i="84"/>
  <c r="F908" i="84"/>
  <c r="E908" i="84"/>
  <c r="D908" i="84"/>
  <c r="G907" i="84"/>
  <c r="F907" i="84"/>
  <c r="E907" i="84"/>
  <c r="D907" i="84"/>
  <c r="G906" i="84"/>
  <c r="F906" i="84"/>
  <c r="E906" i="84"/>
  <c r="D906" i="84"/>
  <c r="G905" i="84"/>
  <c r="F905" i="84"/>
  <c r="E905" i="84"/>
  <c r="D905" i="84"/>
  <c r="G904" i="84"/>
  <c r="F904" i="84"/>
  <c r="E904" i="84"/>
  <c r="D904" i="84"/>
  <c r="G903" i="84"/>
  <c r="F903" i="84"/>
  <c r="E903" i="84"/>
  <c r="D903" i="84"/>
  <c r="G902" i="84"/>
  <c r="F902" i="84"/>
  <c r="E902" i="84"/>
  <c r="D902" i="84"/>
  <c r="G901" i="84"/>
  <c r="F901" i="84"/>
  <c r="E901" i="84"/>
  <c r="D901" i="84"/>
  <c r="G900" i="84"/>
  <c r="F900" i="84"/>
  <c r="E900" i="84"/>
  <c r="D900" i="84"/>
  <c r="G899" i="84"/>
  <c r="F899" i="84"/>
  <c r="E899" i="84"/>
  <c r="D899" i="84"/>
  <c r="G898" i="84"/>
  <c r="F898" i="84"/>
  <c r="E898" i="84"/>
  <c r="D898" i="84"/>
  <c r="G897" i="84"/>
  <c r="F897" i="84"/>
  <c r="E897" i="84"/>
  <c r="D897" i="84"/>
  <c r="G896" i="84"/>
  <c r="F896" i="84"/>
  <c r="E896" i="84"/>
  <c r="D896" i="84"/>
  <c r="G895" i="84"/>
  <c r="F895" i="84"/>
  <c r="E895" i="84"/>
  <c r="D895" i="84"/>
  <c r="G894" i="84"/>
  <c r="F894" i="84"/>
  <c r="E894" i="84"/>
  <c r="D894" i="84"/>
  <c r="G893" i="84"/>
  <c r="F893" i="84"/>
  <c r="E893" i="84"/>
  <c r="D893" i="84"/>
  <c r="G892" i="84"/>
  <c r="F892" i="84"/>
  <c r="E892" i="84"/>
  <c r="D892" i="84"/>
  <c r="G891" i="84"/>
  <c r="F891" i="84"/>
  <c r="E891" i="84"/>
  <c r="D891" i="84"/>
  <c r="G890" i="84"/>
  <c r="F890" i="84"/>
  <c r="E890" i="84"/>
  <c r="D890" i="84"/>
  <c r="G889" i="84"/>
  <c r="F889" i="84"/>
  <c r="E889" i="84"/>
  <c r="D889" i="84"/>
  <c r="G888" i="84"/>
  <c r="F888" i="84"/>
  <c r="E888" i="84"/>
  <c r="D888" i="84"/>
  <c r="G887" i="84"/>
  <c r="F887" i="84"/>
  <c r="E887" i="84"/>
  <c r="D887" i="84"/>
  <c r="G886" i="84"/>
  <c r="F886" i="84"/>
  <c r="E886" i="84"/>
  <c r="D886" i="84"/>
  <c r="G885" i="84"/>
  <c r="F885" i="84"/>
  <c r="E885" i="84"/>
  <c r="D885" i="84"/>
  <c r="G884" i="84"/>
  <c r="F884" i="84"/>
  <c r="E884" i="84"/>
  <c r="D884" i="84"/>
  <c r="G883" i="84"/>
  <c r="F883" i="84"/>
  <c r="E883" i="84"/>
  <c r="D883" i="84"/>
  <c r="G882" i="84"/>
  <c r="F882" i="84"/>
  <c r="E882" i="84"/>
  <c r="D882" i="84"/>
  <c r="G881" i="84"/>
  <c r="F881" i="84"/>
  <c r="E881" i="84"/>
  <c r="D881" i="84"/>
  <c r="G880" i="84"/>
  <c r="F880" i="84"/>
  <c r="E880" i="84"/>
  <c r="D880" i="84"/>
  <c r="G879" i="84"/>
  <c r="F879" i="84"/>
  <c r="E879" i="84"/>
  <c r="D879" i="84"/>
  <c r="G878" i="84"/>
  <c r="F878" i="84"/>
  <c r="E878" i="84"/>
  <c r="D878" i="84"/>
  <c r="G877" i="84"/>
  <c r="F877" i="84"/>
  <c r="E877" i="84"/>
  <c r="D877" i="84"/>
  <c r="G876" i="84"/>
  <c r="F876" i="84"/>
  <c r="E876" i="84"/>
  <c r="D876" i="84"/>
  <c r="G875" i="84"/>
  <c r="F875" i="84"/>
  <c r="E875" i="84"/>
  <c r="D875" i="84"/>
  <c r="G874" i="84"/>
  <c r="F874" i="84"/>
  <c r="E874" i="84"/>
  <c r="D874" i="84"/>
  <c r="G873" i="84"/>
  <c r="F873" i="84"/>
  <c r="E873" i="84"/>
  <c r="D873" i="84"/>
  <c r="G872" i="84"/>
  <c r="F872" i="84"/>
  <c r="E872" i="84"/>
  <c r="D872" i="84"/>
  <c r="G871" i="84"/>
  <c r="F871" i="84"/>
  <c r="E871" i="84"/>
  <c r="D871" i="84"/>
  <c r="G870" i="84"/>
  <c r="F870" i="84"/>
  <c r="E870" i="84"/>
  <c r="D870" i="84"/>
  <c r="G869" i="84"/>
  <c r="F869" i="84"/>
  <c r="E869" i="84"/>
  <c r="D869" i="84"/>
  <c r="G868" i="84"/>
  <c r="F868" i="84"/>
  <c r="E868" i="84"/>
  <c r="D868" i="84"/>
  <c r="G867" i="84"/>
  <c r="F867" i="84"/>
  <c r="E867" i="84"/>
  <c r="D867" i="84"/>
  <c r="G866" i="84"/>
  <c r="F866" i="84"/>
  <c r="E866" i="84"/>
  <c r="D866" i="84"/>
  <c r="G865" i="84"/>
  <c r="F865" i="84"/>
  <c r="E865" i="84"/>
  <c r="D865" i="84"/>
  <c r="G864" i="84"/>
  <c r="F864" i="84"/>
  <c r="E864" i="84"/>
  <c r="D864" i="84"/>
  <c r="G863" i="84"/>
  <c r="F863" i="84"/>
  <c r="E863" i="84"/>
  <c r="D863" i="84"/>
  <c r="G862" i="84"/>
  <c r="F862" i="84"/>
  <c r="E862" i="84"/>
  <c r="D862" i="84"/>
  <c r="G861" i="84"/>
  <c r="F861" i="84"/>
  <c r="E861" i="84"/>
  <c r="D861" i="84"/>
  <c r="G860" i="84"/>
  <c r="F860" i="84"/>
  <c r="E860" i="84"/>
  <c r="D860" i="84"/>
  <c r="G859" i="84"/>
  <c r="F859" i="84"/>
  <c r="E859" i="84"/>
  <c r="D859" i="84"/>
  <c r="G858" i="84"/>
  <c r="F858" i="84"/>
  <c r="E858" i="84"/>
  <c r="D858" i="84"/>
  <c r="G857" i="84"/>
  <c r="F857" i="84"/>
  <c r="E857" i="84"/>
  <c r="D857" i="84"/>
  <c r="G856" i="84"/>
  <c r="F856" i="84"/>
  <c r="E856" i="84"/>
  <c r="D856" i="84"/>
  <c r="G855" i="84"/>
  <c r="F855" i="84"/>
  <c r="E855" i="84"/>
  <c r="D855" i="84"/>
  <c r="G854" i="84"/>
  <c r="F854" i="84"/>
  <c r="E854" i="84"/>
  <c r="D854" i="84"/>
  <c r="G853" i="84"/>
  <c r="F853" i="84"/>
  <c r="E853" i="84"/>
  <c r="D853" i="84"/>
  <c r="G852" i="84"/>
  <c r="F852" i="84"/>
  <c r="E852" i="84"/>
  <c r="D852" i="84"/>
  <c r="G851" i="84"/>
  <c r="F851" i="84"/>
  <c r="E851" i="84"/>
  <c r="D851" i="84"/>
  <c r="G850" i="84"/>
  <c r="F850" i="84"/>
  <c r="E850" i="84"/>
  <c r="D850" i="84"/>
  <c r="G849" i="84"/>
  <c r="F849" i="84"/>
  <c r="E849" i="84"/>
  <c r="D849" i="84"/>
  <c r="G848" i="84"/>
  <c r="F848" i="84"/>
  <c r="E848" i="84"/>
  <c r="D848" i="84"/>
  <c r="G847" i="84"/>
  <c r="F847" i="84"/>
  <c r="E847" i="84"/>
  <c r="D847" i="84"/>
  <c r="G846" i="84"/>
  <c r="F846" i="84"/>
  <c r="E846" i="84"/>
  <c r="D846" i="84"/>
  <c r="G845" i="84"/>
  <c r="F845" i="84"/>
  <c r="E845" i="84"/>
  <c r="D845" i="84"/>
  <c r="G844" i="84"/>
  <c r="F844" i="84"/>
  <c r="E844" i="84"/>
  <c r="D844" i="84"/>
  <c r="G843" i="84"/>
  <c r="F843" i="84"/>
  <c r="E843" i="84"/>
  <c r="D843" i="84"/>
  <c r="G842" i="84"/>
  <c r="F842" i="84"/>
  <c r="E842" i="84"/>
  <c r="D842" i="84"/>
  <c r="G841" i="84"/>
  <c r="F841" i="84"/>
  <c r="E841" i="84"/>
  <c r="D841" i="84"/>
  <c r="G840" i="84"/>
  <c r="F840" i="84"/>
  <c r="E840" i="84"/>
  <c r="D840" i="84"/>
  <c r="G839" i="84"/>
  <c r="F839" i="84"/>
  <c r="E839" i="84"/>
  <c r="D839" i="84"/>
  <c r="G838" i="84"/>
  <c r="F838" i="84"/>
  <c r="E838" i="84"/>
  <c r="D838" i="84"/>
  <c r="G837" i="84"/>
  <c r="F837" i="84"/>
  <c r="E837" i="84"/>
  <c r="D837" i="84"/>
  <c r="G836" i="84"/>
  <c r="F836" i="84"/>
  <c r="E836" i="84"/>
  <c r="D836" i="84"/>
  <c r="G835" i="84"/>
  <c r="F835" i="84"/>
  <c r="E835" i="84"/>
  <c r="D835" i="84"/>
  <c r="G834" i="84"/>
  <c r="F834" i="84"/>
  <c r="E834" i="84"/>
  <c r="D834" i="84"/>
  <c r="G833" i="84"/>
  <c r="F833" i="84"/>
  <c r="E833" i="84"/>
  <c r="D833" i="84"/>
  <c r="G832" i="84"/>
  <c r="F832" i="84"/>
  <c r="E832" i="84"/>
  <c r="D832" i="84"/>
  <c r="G831" i="84"/>
  <c r="F831" i="84"/>
  <c r="E831" i="84"/>
  <c r="D831" i="84"/>
  <c r="G830" i="84"/>
  <c r="F830" i="84"/>
  <c r="E830" i="84"/>
  <c r="D830" i="84"/>
  <c r="G829" i="84"/>
  <c r="F829" i="84"/>
  <c r="E829" i="84"/>
  <c r="D829" i="84"/>
  <c r="G828" i="84"/>
  <c r="F828" i="84"/>
  <c r="E828" i="84"/>
  <c r="D828" i="84"/>
  <c r="G827" i="84"/>
  <c r="F827" i="84"/>
  <c r="E827" i="84"/>
  <c r="D827" i="84"/>
  <c r="G826" i="84"/>
  <c r="F826" i="84"/>
  <c r="E826" i="84"/>
  <c r="D826" i="84"/>
  <c r="G825" i="84"/>
  <c r="F825" i="84"/>
  <c r="E825" i="84"/>
  <c r="D825" i="84"/>
  <c r="G824" i="84"/>
  <c r="F824" i="84"/>
  <c r="E824" i="84"/>
  <c r="D824" i="84"/>
  <c r="G823" i="84"/>
  <c r="F823" i="84"/>
  <c r="E823" i="84"/>
  <c r="D823" i="84"/>
  <c r="G822" i="84"/>
  <c r="F822" i="84"/>
  <c r="E822" i="84"/>
  <c r="D822" i="84"/>
  <c r="G821" i="84"/>
  <c r="F821" i="84"/>
  <c r="E821" i="84"/>
  <c r="D821" i="84"/>
  <c r="G820" i="84"/>
  <c r="F820" i="84"/>
  <c r="E820" i="84"/>
  <c r="D820" i="84"/>
  <c r="G819" i="84"/>
  <c r="F819" i="84"/>
  <c r="E819" i="84"/>
  <c r="D819" i="84"/>
  <c r="G818" i="84"/>
  <c r="F818" i="84"/>
  <c r="E818" i="84"/>
  <c r="D818" i="84"/>
  <c r="G817" i="84"/>
  <c r="F817" i="84"/>
  <c r="E817" i="84"/>
  <c r="D817" i="84"/>
  <c r="G816" i="84"/>
  <c r="F816" i="84"/>
  <c r="E816" i="84"/>
  <c r="D816" i="84"/>
  <c r="G815" i="84"/>
  <c r="F815" i="84"/>
  <c r="E815" i="84"/>
  <c r="D815" i="84"/>
  <c r="G814" i="84"/>
  <c r="F814" i="84"/>
  <c r="E814" i="84"/>
  <c r="D814" i="84"/>
  <c r="G813" i="84"/>
  <c r="F813" i="84"/>
  <c r="E813" i="84"/>
  <c r="D813" i="84"/>
  <c r="G812" i="84"/>
  <c r="F812" i="84"/>
  <c r="E812" i="84"/>
  <c r="D812" i="84"/>
  <c r="G811" i="84"/>
  <c r="F811" i="84"/>
  <c r="E811" i="84"/>
  <c r="D811" i="84"/>
  <c r="G810" i="84"/>
  <c r="F810" i="84"/>
  <c r="E810" i="84"/>
  <c r="D810" i="84"/>
  <c r="G809" i="84"/>
  <c r="F809" i="84"/>
  <c r="E809" i="84"/>
  <c r="D809" i="84"/>
  <c r="G808" i="84"/>
  <c r="F808" i="84"/>
  <c r="E808" i="84"/>
  <c r="D808" i="84"/>
  <c r="G807" i="84"/>
  <c r="F807" i="84"/>
  <c r="E807" i="84"/>
  <c r="D807" i="84"/>
  <c r="G806" i="84"/>
  <c r="F806" i="84"/>
  <c r="E806" i="84"/>
  <c r="D806" i="84"/>
  <c r="G805" i="84"/>
  <c r="F805" i="84"/>
  <c r="E805" i="84"/>
  <c r="D805" i="84"/>
  <c r="G804" i="84"/>
  <c r="F804" i="84"/>
  <c r="E804" i="84"/>
  <c r="D804" i="84"/>
  <c r="G803" i="84"/>
  <c r="F803" i="84"/>
  <c r="E803" i="84"/>
  <c r="D803" i="84"/>
  <c r="G802" i="84"/>
  <c r="F802" i="84"/>
  <c r="E802" i="84"/>
  <c r="D802" i="84"/>
  <c r="G801" i="84"/>
  <c r="F801" i="84"/>
  <c r="E801" i="84"/>
  <c r="D801" i="84"/>
  <c r="G800" i="84"/>
  <c r="F800" i="84"/>
  <c r="E800" i="84"/>
  <c r="D800" i="84"/>
  <c r="G799" i="84"/>
  <c r="F799" i="84"/>
  <c r="E799" i="84"/>
  <c r="D799" i="84"/>
  <c r="G798" i="84"/>
  <c r="F798" i="84"/>
  <c r="E798" i="84"/>
  <c r="D798" i="84"/>
  <c r="G797" i="84"/>
  <c r="F797" i="84"/>
  <c r="E797" i="84"/>
  <c r="D797" i="84"/>
  <c r="G796" i="84"/>
  <c r="F796" i="84"/>
  <c r="E796" i="84"/>
  <c r="D796" i="84"/>
  <c r="G795" i="84"/>
  <c r="F795" i="84"/>
  <c r="E795" i="84"/>
  <c r="D795" i="84"/>
  <c r="G794" i="84"/>
  <c r="F794" i="84"/>
  <c r="E794" i="84"/>
  <c r="D794" i="84"/>
  <c r="G793" i="84"/>
  <c r="F793" i="84"/>
  <c r="E793" i="84"/>
  <c r="D793" i="84"/>
  <c r="G792" i="84"/>
  <c r="F792" i="84"/>
  <c r="E792" i="84"/>
  <c r="D792" i="84"/>
  <c r="G791" i="84"/>
  <c r="F791" i="84"/>
  <c r="E791" i="84"/>
  <c r="D791" i="84"/>
  <c r="G790" i="84"/>
  <c r="F790" i="84"/>
  <c r="E790" i="84"/>
  <c r="D790" i="84"/>
  <c r="G789" i="84"/>
  <c r="F789" i="84"/>
  <c r="E789" i="84"/>
  <c r="D789" i="84"/>
  <c r="G788" i="84"/>
  <c r="F788" i="84"/>
  <c r="E788" i="84"/>
  <c r="D788" i="84"/>
  <c r="G787" i="84"/>
  <c r="F787" i="84"/>
  <c r="E787" i="84"/>
  <c r="D787" i="84"/>
  <c r="G786" i="84"/>
  <c r="F786" i="84"/>
  <c r="E786" i="84"/>
  <c r="D786" i="84"/>
  <c r="G785" i="84"/>
  <c r="F785" i="84"/>
  <c r="E785" i="84"/>
  <c r="D785" i="84"/>
  <c r="G784" i="84"/>
  <c r="F784" i="84"/>
  <c r="E784" i="84"/>
  <c r="D784" i="84"/>
  <c r="G783" i="84"/>
  <c r="F783" i="84"/>
  <c r="E783" i="84"/>
  <c r="D783" i="84"/>
  <c r="G782" i="84"/>
  <c r="F782" i="84"/>
  <c r="E782" i="84"/>
  <c r="D782" i="84"/>
  <c r="G781" i="84"/>
  <c r="F781" i="84"/>
  <c r="E781" i="84"/>
  <c r="D781" i="84"/>
  <c r="G780" i="84"/>
  <c r="F780" i="84"/>
  <c r="E780" i="84"/>
  <c r="D780" i="84"/>
  <c r="G779" i="84"/>
  <c r="F779" i="84"/>
  <c r="E779" i="84"/>
  <c r="D779" i="84"/>
  <c r="G778" i="84"/>
  <c r="F778" i="84"/>
  <c r="E778" i="84"/>
  <c r="D778" i="84"/>
  <c r="G777" i="84"/>
  <c r="F777" i="84"/>
  <c r="E777" i="84"/>
  <c r="D777" i="84"/>
  <c r="G776" i="84"/>
  <c r="F776" i="84"/>
  <c r="E776" i="84"/>
  <c r="D776" i="84"/>
  <c r="G775" i="84"/>
  <c r="F775" i="84"/>
  <c r="E775" i="84"/>
  <c r="D775" i="84"/>
  <c r="G774" i="84"/>
  <c r="F774" i="84"/>
  <c r="E774" i="84"/>
  <c r="D774" i="84"/>
  <c r="G773" i="84"/>
  <c r="F773" i="84"/>
  <c r="E773" i="84"/>
  <c r="D773" i="84"/>
  <c r="G772" i="84"/>
  <c r="F772" i="84"/>
  <c r="E772" i="84"/>
  <c r="D772" i="84"/>
  <c r="G771" i="84"/>
  <c r="F771" i="84"/>
  <c r="E771" i="84"/>
  <c r="D771" i="84"/>
  <c r="G770" i="84"/>
  <c r="F770" i="84"/>
  <c r="E770" i="84"/>
  <c r="D770" i="84"/>
  <c r="G769" i="84"/>
  <c r="F769" i="84"/>
  <c r="E769" i="84"/>
  <c r="D769" i="84"/>
  <c r="G768" i="84"/>
  <c r="F768" i="84"/>
  <c r="E768" i="84"/>
  <c r="D768" i="84"/>
  <c r="G767" i="84"/>
  <c r="F767" i="84"/>
  <c r="E767" i="84"/>
  <c r="D767" i="84"/>
  <c r="G766" i="84"/>
  <c r="F766" i="84"/>
  <c r="E766" i="84"/>
  <c r="D766" i="84"/>
  <c r="G765" i="84"/>
  <c r="F765" i="84"/>
  <c r="E765" i="84"/>
  <c r="D765" i="84"/>
  <c r="G764" i="84"/>
  <c r="F764" i="84"/>
  <c r="E764" i="84"/>
  <c r="D764" i="84"/>
  <c r="G763" i="84"/>
  <c r="F763" i="84"/>
  <c r="E763" i="84"/>
  <c r="D763" i="84"/>
  <c r="G762" i="84"/>
  <c r="F762" i="84"/>
  <c r="E762" i="84"/>
  <c r="D762" i="84"/>
  <c r="G761" i="84"/>
  <c r="F761" i="84"/>
  <c r="E761" i="84"/>
  <c r="D761" i="84"/>
  <c r="G760" i="84"/>
  <c r="F760" i="84"/>
  <c r="E760" i="84"/>
  <c r="D760" i="84"/>
  <c r="G759" i="84"/>
  <c r="F759" i="84"/>
  <c r="E759" i="84"/>
  <c r="D759" i="84"/>
  <c r="G758" i="84"/>
  <c r="F758" i="84"/>
  <c r="E758" i="84"/>
  <c r="D758" i="84"/>
  <c r="G757" i="84"/>
  <c r="F757" i="84"/>
  <c r="E757" i="84"/>
  <c r="D757" i="84"/>
  <c r="G756" i="84"/>
  <c r="F756" i="84"/>
  <c r="E756" i="84"/>
  <c r="D756" i="84"/>
  <c r="G755" i="84"/>
  <c r="F755" i="84"/>
  <c r="E755" i="84"/>
  <c r="D755" i="84"/>
  <c r="G754" i="84"/>
  <c r="F754" i="84"/>
  <c r="E754" i="84"/>
  <c r="D754" i="84"/>
  <c r="G753" i="84"/>
  <c r="F753" i="84"/>
  <c r="E753" i="84"/>
  <c r="D753" i="84"/>
  <c r="G752" i="84"/>
  <c r="F752" i="84"/>
  <c r="E752" i="84"/>
  <c r="D752" i="84"/>
  <c r="G751" i="84"/>
  <c r="F751" i="84"/>
  <c r="E751" i="84"/>
  <c r="D751" i="84"/>
  <c r="G750" i="84"/>
  <c r="F750" i="84"/>
  <c r="E750" i="84"/>
  <c r="D750" i="84"/>
  <c r="G749" i="84"/>
  <c r="F749" i="84"/>
  <c r="E749" i="84"/>
  <c r="D749" i="84"/>
  <c r="G748" i="84"/>
  <c r="F748" i="84"/>
  <c r="E748" i="84"/>
  <c r="D748" i="84"/>
  <c r="G747" i="84"/>
  <c r="F747" i="84"/>
  <c r="E747" i="84"/>
  <c r="D747" i="84"/>
  <c r="G746" i="84"/>
  <c r="F746" i="84"/>
  <c r="E746" i="84"/>
  <c r="D746" i="84"/>
  <c r="G745" i="84"/>
  <c r="F745" i="84"/>
  <c r="E745" i="84"/>
  <c r="D745" i="84"/>
  <c r="G744" i="84"/>
  <c r="F744" i="84"/>
  <c r="E744" i="84"/>
  <c r="D744" i="84"/>
  <c r="G743" i="84"/>
  <c r="F743" i="84"/>
  <c r="E743" i="84"/>
  <c r="D743" i="84"/>
  <c r="G742" i="84"/>
  <c r="F742" i="84"/>
  <c r="E742" i="84"/>
  <c r="D742" i="84"/>
  <c r="G741" i="84"/>
  <c r="F741" i="84"/>
  <c r="E741" i="84"/>
  <c r="D741" i="84"/>
  <c r="G740" i="84"/>
  <c r="F740" i="84"/>
  <c r="E740" i="84"/>
  <c r="D740" i="84"/>
  <c r="G739" i="84"/>
  <c r="F739" i="84"/>
  <c r="E739" i="84"/>
  <c r="D739" i="84"/>
  <c r="G738" i="84"/>
  <c r="F738" i="84"/>
  <c r="E738" i="84"/>
  <c r="D738" i="84"/>
  <c r="G737" i="84"/>
  <c r="F737" i="84"/>
  <c r="E737" i="84"/>
  <c r="D737" i="84"/>
  <c r="G736" i="84"/>
  <c r="F736" i="84"/>
  <c r="E736" i="84"/>
  <c r="D736" i="84"/>
  <c r="G735" i="84"/>
  <c r="F735" i="84"/>
  <c r="E735" i="84"/>
  <c r="D735" i="84"/>
  <c r="G734" i="84"/>
  <c r="F734" i="84"/>
  <c r="E734" i="84"/>
  <c r="D734" i="84"/>
  <c r="G733" i="84"/>
  <c r="F733" i="84"/>
  <c r="E733" i="84"/>
  <c r="D733" i="84"/>
  <c r="G732" i="84"/>
  <c r="F732" i="84"/>
  <c r="E732" i="84"/>
  <c r="D732" i="84"/>
  <c r="G731" i="84"/>
  <c r="F731" i="84"/>
  <c r="E731" i="84"/>
  <c r="D731" i="84"/>
  <c r="G730" i="84"/>
  <c r="F730" i="84"/>
  <c r="E730" i="84"/>
  <c r="D730" i="84"/>
  <c r="G729" i="84"/>
  <c r="F729" i="84"/>
  <c r="E729" i="84"/>
  <c r="D729" i="84"/>
  <c r="G728" i="84"/>
  <c r="F728" i="84"/>
  <c r="E728" i="84"/>
  <c r="D728" i="84"/>
  <c r="G727" i="84"/>
  <c r="F727" i="84"/>
  <c r="E727" i="84"/>
  <c r="D727" i="84"/>
  <c r="G726" i="84"/>
  <c r="F726" i="84"/>
  <c r="E726" i="84"/>
  <c r="D726" i="84"/>
  <c r="G725" i="84"/>
  <c r="F725" i="84"/>
  <c r="E725" i="84"/>
  <c r="D725" i="84"/>
  <c r="G724" i="84"/>
  <c r="F724" i="84"/>
  <c r="E724" i="84"/>
  <c r="D724" i="84"/>
  <c r="G723" i="84"/>
  <c r="F723" i="84"/>
  <c r="E723" i="84"/>
  <c r="D723" i="84"/>
  <c r="G722" i="84"/>
  <c r="F722" i="84"/>
  <c r="E722" i="84"/>
  <c r="D722" i="84"/>
  <c r="G721" i="84"/>
  <c r="F721" i="84"/>
  <c r="E721" i="84"/>
  <c r="D721" i="84"/>
  <c r="G720" i="84"/>
  <c r="F720" i="84"/>
  <c r="E720" i="84"/>
  <c r="D720" i="84"/>
  <c r="G719" i="84"/>
  <c r="F719" i="84"/>
  <c r="E719" i="84"/>
  <c r="D719" i="84"/>
  <c r="G718" i="84"/>
  <c r="F718" i="84"/>
  <c r="E718" i="84"/>
  <c r="D718" i="84"/>
  <c r="G717" i="84"/>
  <c r="F717" i="84"/>
  <c r="E717" i="84"/>
  <c r="D717" i="84"/>
  <c r="G716" i="84"/>
  <c r="F716" i="84"/>
  <c r="E716" i="84"/>
  <c r="D716" i="84"/>
  <c r="G715" i="84"/>
  <c r="F715" i="84"/>
  <c r="E715" i="84"/>
  <c r="D715" i="84"/>
  <c r="G714" i="84"/>
  <c r="F714" i="84"/>
  <c r="E714" i="84"/>
  <c r="D714" i="84"/>
  <c r="G713" i="84"/>
  <c r="F713" i="84"/>
  <c r="E713" i="84"/>
  <c r="D713" i="84"/>
  <c r="G712" i="84"/>
  <c r="F712" i="84"/>
  <c r="E712" i="84"/>
  <c r="D712" i="84"/>
  <c r="G711" i="84"/>
  <c r="F711" i="84"/>
  <c r="E711" i="84"/>
  <c r="D711" i="84"/>
  <c r="G710" i="84"/>
  <c r="F710" i="84"/>
  <c r="E710" i="84"/>
  <c r="D710" i="84"/>
  <c r="G709" i="84"/>
  <c r="F709" i="84"/>
  <c r="E709" i="84"/>
  <c r="D709" i="84"/>
  <c r="G708" i="84"/>
  <c r="F708" i="84"/>
  <c r="E708" i="84"/>
  <c r="D708" i="84"/>
  <c r="G707" i="84"/>
  <c r="F707" i="84"/>
  <c r="E707" i="84"/>
  <c r="D707" i="84"/>
  <c r="G706" i="84"/>
  <c r="F706" i="84"/>
  <c r="E706" i="84"/>
  <c r="D706" i="84"/>
  <c r="G705" i="84"/>
  <c r="F705" i="84"/>
  <c r="E705" i="84"/>
  <c r="D705" i="84"/>
  <c r="G704" i="84"/>
  <c r="F704" i="84"/>
  <c r="E704" i="84"/>
  <c r="D704" i="84"/>
  <c r="G703" i="84"/>
  <c r="F703" i="84"/>
  <c r="E703" i="84"/>
  <c r="D703" i="84"/>
  <c r="G702" i="84"/>
  <c r="F702" i="84"/>
  <c r="E702" i="84"/>
  <c r="D702" i="84"/>
  <c r="G701" i="84"/>
  <c r="F701" i="84"/>
  <c r="E701" i="84"/>
  <c r="D701" i="84"/>
  <c r="G700" i="84"/>
  <c r="F700" i="84"/>
  <c r="E700" i="84"/>
  <c r="D700" i="84"/>
  <c r="G699" i="84"/>
  <c r="F699" i="84"/>
  <c r="E699" i="84"/>
  <c r="D699" i="84"/>
  <c r="G698" i="84"/>
  <c r="F698" i="84"/>
  <c r="E698" i="84"/>
  <c r="D698" i="84"/>
  <c r="G697" i="84"/>
  <c r="F697" i="84"/>
  <c r="E697" i="84"/>
  <c r="D697" i="84"/>
  <c r="G696" i="84"/>
  <c r="F696" i="84"/>
  <c r="E696" i="84"/>
  <c r="D696" i="84"/>
  <c r="G695" i="84"/>
  <c r="F695" i="84"/>
  <c r="E695" i="84"/>
  <c r="D695" i="84"/>
  <c r="G694" i="84"/>
  <c r="F694" i="84"/>
  <c r="E694" i="84"/>
  <c r="D694" i="84"/>
  <c r="G693" i="84"/>
  <c r="F693" i="84"/>
  <c r="E693" i="84"/>
  <c r="D693" i="84"/>
  <c r="G692" i="84"/>
  <c r="F692" i="84"/>
  <c r="E692" i="84"/>
  <c r="D692" i="84"/>
  <c r="G691" i="84"/>
  <c r="F691" i="84"/>
  <c r="E691" i="84"/>
  <c r="D691" i="84"/>
  <c r="G690" i="84"/>
  <c r="F690" i="84"/>
  <c r="E690" i="84"/>
  <c r="D690" i="84"/>
  <c r="G689" i="84"/>
  <c r="F689" i="84"/>
  <c r="E689" i="84"/>
  <c r="D689" i="84"/>
  <c r="G688" i="84"/>
  <c r="F688" i="84"/>
  <c r="E688" i="84"/>
  <c r="D688" i="84"/>
  <c r="G687" i="84"/>
  <c r="F687" i="84"/>
  <c r="E687" i="84"/>
  <c r="D687" i="84"/>
  <c r="G686" i="84"/>
  <c r="F686" i="84"/>
  <c r="E686" i="84"/>
  <c r="D686" i="84"/>
  <c r="G685" i="84"/>
  <c r="F685" i="84"/>
  <c r="E685" i="84"/>
  <c r="D685" i="84"/>
  <c r="G684" i="84"/>
  <c r="F684" i="84"/>
  <c r="E684" i="84"/>
  <c r="D684" i="84"/>
  <c r="G683" i="84"/>
  <c r="F683" i="84"/>
  <c r="E683" i="84"/>
  <c r="D683" i="84"/>
  <c r="G682" i="84"/>
  <c r="F682" i="84"/>
  <c r="E682" i="84"/>
  <c r="D682" i="84"/>
  <c r="G681" i="84"/>
  <c r="F681" i="84"/>
  <c r="E681" i="84"/>
  <c r="D681" i="84"/>
  <c r="G680" i="84"/>
  <c r="F680" i="84"/>
  <c r="E680" i="84"/>
  <c r="D680" i="84"/>
  <c r="G679" i="84"/>
  <c r="F679" i="84"/>
  <c r="E679" i="84"/>
  <c r="D679" i="84"/>
  <c r="G678" i="84"/>
  <c r="F678" i="84"/>
  <c r="E678" i="84"/>
  <c r="D678" i="84"/>
  <c r="G677" i="84"/>
  <c r="F677" i="84"/>
  <c r="E677" i="84"/>
  <c r="D677" i="84"/>
  <c r="G676" i="84"/>
  <c r="F676" i="84"/>
  <c r="E676" i="84"/>
  <c r="D676" i="84"/>
  <c r="G675" i="84"/>
  <c r="F675" i="84"/>
  <c r="E675" i="84"/>
  <c r="D675" i="84"/>
  <c r="G674" i="84"/>
  <c r="F674" i="84"/>
  <c r="E674" i="84"/>
  <c r="D674" i="84"/>
  <c r="G673" i="84"/>
  <c r="F673" i="84"/>
  <c r="E673" i="84"/>
  <c r="D673" i="84"/>
  <c r="G672" i="84"/>
  <c r="F672" i="84"/>
  <c r="E672" i="84"/>
  <c r="D672" i="84"/>
  <c r="G671" i="84"/>
  <c r="F671" i="84"/>
  <c r="E671" i="84"/>
  <c r="D671" i="84"/>
  <c r="G670" i="84"/>
  <c r="F670" i="84"/>
  <c r="E670" i="84"/>
  <c r="D670" i="84"/>
  <c r="G669" i="84"/>
  <c r="F669" i="84"/>
  <c r="E669" i="84"/>
  <c r="D669" i="84"/>
  <c r="G668" i="84"/>
  <c r="F668" i="84"/>
  <c r="E668" i="84"/>
  <c r="D668" i="84"/>
  <c r="G667" i="84"/>
  <c r="F667" i="84"/>
  <c r="E667" i="84"/>
  <c r="D667" i="84"/>
  <c r="G666" i="84"/>
  <c r="F666" i="84"/>
  <c r="E666" i="84"/>
  <c r="D666" i="84"/>
  <c r="G665" i="84"/>
  <c r="F665" i="84"/>
  <c r="E665" i="84"/>
  <c r="D665" i="84"/>
  <c r="G664" i="84"/>
  <c r="F664" i="84"/>
  <c r="E664" i="84"/>
  <c r="D664" i="84"/>
  <c r="G663" i="84"/>
  <c r="F663" i="84"/>
  <c r="E663" i="84"/>
  <c r="D663" i="84"/>
  <c r="G662" i="84"/>
  <c r="F662" i="84"/>
  <c r="E662" i="84"/>
  <c r="D662" i="84"/>
  <c r="G661" i="84"/>
  <c r="F661" i="84"/>
  <c r="E661" i="84"/>
  <c r="D661" i="84"/>
  <c r="G660" i="84"/>
  <c r="F660" i="84"/>
  <c r="E660" i="84"/>
  <c r="D660" i="84"/>
  <c r="G659" i="84"/>
  <c r="F659" i="84"/>
  <c r="E659" i="84"/>
  <c r="D659" i="84"/>
  <c r="G658" i="84"/>
  <c r="F658" i="84"/>
  <c r="E658" i="84"/>
  <c r="D658" i="84"/>
  <c r="G657" i="84"/>
  <c r="F657" i="84"/>
  <c r="E657" i="84"/>
  <c r="D657" i="84"/>
  <c r="G656" i="84"/>
  <c r="F656" i="84"/>
  <c r="E656" i="84"/>
  <c r="D656" i="84"/>
  <c r="G655" i="84"/>
  <c r="F655" i="84"/>
  <c r="E655" i="84"/>
  <c r="D655" i="84"/>
  <c r="G654" i="84"/>
  <c r="F654" i="84"/>
  <c r="E654" i="84"/>
  <c r="D654" i="84"/>
  <c r="G653" i="84"/>
  <c r="F653" i="84"/>
  <c r="E653" i="84"/>
  <c r="D653" i="84"/>
  <c r="G652" i="84"/>
  <c r="F652" i="84"/>
  <c r="E652" i="84"/>
  <c r="D652" i="84"/>
  <c r="G651" i="84"/>
  <c r="F651" i="84"/>
  <c r="E651" i="84"/>
  <c r="D651" i="84"/>
  <c r="G650" i="84"/>
  <c r="F650" i="84"/>
  <c r="E650" i="84"/>
  <c r="D650" i="84"/>
  <c r="G649" i="84"/>
  <c r="F649" i="84"/>
  <c r="E649" i="84"/>
  <c r="D649" i="84"/>
  <c r="G648" i="84"/>
  <c r="F648" i="84"/>
  <c r="E648" i="84"/>
  <c r="D648" i="84"/>
  <c r="G647" i="84"/>
  <c r="F647" i="84"/>
  <c r="E647" i="84"/>
  <c r="D647" i="84"/>
  <c r="G646" i="84"/>
  <c r="F646" i="84"/>
  <c r="E646" i="84"/>
  <c r="D646" i="84"/>
  <c r="G645" i="84"/>
  <c r="F645" i="84"/>
  <c r="E645" i="84"/>
  <c r="D645" i="84"/>
  <c r="G644" i="84"/>
  <c r="F644" i="84"/>
  <c r="E644" i="84"/>
  <c r="D644" i="84"/>
  <c r="G643" i="84"/>
  <c r="F643" i="84"/>
  <c r="E643" i="84"/>
  <c r="D643" i="84"/>
  <c r="G642" i="84"/>
  <c r="F642" i="84"/>
  <c r="E642" i="84"/>
  <c r="D642" i="84"/>
  <c r="G641" i="84"/>
  <c r="F641" i="84"/>
  <c r="E641" i="84"/>
  <c r="D641" i="84"/>
  <c r="G640" i="84"/>
  <c r="F640" i="84"/>
  <c r="E640" i="84"/>
  <c r="D640" i="84"/>
  <c r="G639" i="84"/>
  <c r="F639" i="84"/>
  <c r="E639" i="84"/>
  <c r="D639" i="84"/>
  <c r="G638" i="84"/>
  <c r="F638" i="84"/>
  <c r="E638" i="84"/>
  <c r="D638" i="84"/>
  <c r="G637" i="84"/>
  <c r="F637" i="84"/>
  <c r="E637" i="84"/>
  <c r="D637" i="84"/>
  <c r="G636" i="84"/>
  <c r="F636" i="84"/>
  <c r="E636" i="84"/>
  <c r="D636" i="84"/>
  <c r="G635" i="84"/>
  <c r="F635" i="84"/>
  <c r="E635" i="84"/>
  <c r="D635" i="84"/>
  <c r="G634" i="84"/>
  <c r="F634" i="84"/>
  <c r="E634" i="84"/>
  <c r="D634" i="84"/>
  <c r="G633" i="84"/>
  <c r="F633" i="84"/>
  <c r="E633" i="84"/>
  <c r="D633" i="84"/>
  <c r="G632" i="84"/>
  <c r="F632" i="84"/>
  <c r="E632" i="84"/>
  <c r="D632" i="84"/>
  <c r="G631" i="84"/>
  <c r="F631" i="84"/>
  <c r="E631" i="84"/>
  <c r="D631" i="84"/>
  <c r="G630" i="84"/>
  <c r="F630" i="84"/>
  <c r="E630" i="84"/>
  <c r="D630" i="84"/>
  <c r="G629" i="84"/>
  <c r="F629" i="84"/>
  <c r="E629" i="84"/>
  <c r="D629" i="84"/>
  <c r="G628" i="84"/>
  <c r="F628" i="84"/>
  <c r="E628" i="84"/>
  <c r="D628" i="84"/>
  <c r="G627" i="84"/>
  <c r="F627" i="84"/>
  <c r="E627" i="84"/>
  <c r="D627" i="84"/>
  <c r="G626" i="84"/>
  <c r="F626" i="84"/>
  <c r="E626" i="84"/>
  <c r="D626" i="84"/>
  <c r="G625" i="84"/>
  <c r="F625" i="84"/>
  <c r="E625" i="84"/>
  <c r="D625" i="84"/>
  <c r="G624" i="84"/>
  <c r="F624" i="84"/>
  <c r="E624" i="84"/>
  <c r="D624" i="84"/>
  <c r="G623" i="84"/>
  <c r="F623" i="84"/>
  <c r="E623" i="84"/>
  <c r="D623" i="84"/>
  <c r="G622" i="84"/>
  <c r="F622" i="84"/>
  <c r="E622" i="84"/>
  <c r="D622" i="84"/>
  <c r="G621" i="84"/>
  <c r="F621" i="84"/>
  <c r="E621" i="84"/>
  <c r="D621" i="84"/>
  <c r="G620" i="84"/>
  <c r="F620" i="84"/>
  <c r="E620" i="84"/>
  <c r="D620" i="84"/>
  <c r="G619" i="84"/>
  <c r="F619" i="84"/>
  <c r="E619" i="84"/>
  <c r="D619" i="84"/>
  <c r="G618" i="84"/>
  <c r="F618" i="84"/>
  <c r="E618" i="84"/>
  <c r="D618" i="84"/>
  <c r="G617" i="84"/>
  <c r="F617" i="84"/>
  <c r="E617" i="84"/>
  <c r="D617" i="84"/>
  <c r="G616" i="84"/>
  <c r="F616" i="84"/>
  <c r="E616" i="84"/>
  <c r="D616" i="84"/>
  <c r="G615" i="84"/>
  <c r="F615" i="84"/>
  <c r="E615" i="84"/>
  <c r="D615" i="84"/>
  <c r="G614" i="84"/>
  <c r="F614" i="84"/>
  <c r="E614" i="84"/>
  <c r="D614" i="84"/>
  <c r="G613" i="84"/>
  <c r="F613" i="84"/>
  <c r="E613" i="84"/>
  <c r="D613" i="84"/>
  <c r="G612" i="84"/>
  <c r="F612" i="84"/>
  <c r="E612" i="84"/>
  <c r="D612" i="84"/>
  <c r="G611" i="84"/>
  <c r="F611" i="84"/>
  <c r="E611" i="84"/>
  <c r="D611" i="84"/>
  <c r="G610" i="84"/>
  <c r="F610" i="84"/>
  <c r="E610" i="84"/>
  <c r="D610" i="84"/>
  <c r="G609" i="84"/>
  <c r="F609" i="84"/>
  <c r="E609" i="84"/>
  <c r="D609" i="84"/>
  <c r="G608" i="84"/>
  <c r="F608" i="84"/>
  <c r="E608" i="84"/>
  <c r="D608" i="84"/>
  <c r="G607" i="84"/>
  <c r="F607" i="84"/>
  <c r="E607" i="84"/>
  <c r="D607" i="84"/>
  <c r="G606" i="84"/>
  <c r="F606" i="84"/>
  <c r="E606" i="84"/>
  <c r="D606" i="84"/>
  <c r="G605" i="84"/>
  <c r="F605" i="84"/>
  <c r="E605" i="84"/>
  <c r="D605" i="84"/>
  <c r="G604" i="84"/>
  <c r="F604" i="84"/>
  <c r="E604" i="84"/>
  <c r="D604" i="84"/>
  <c r="G603" i="84"/>
  <c r="F603" i="84"/>
  <c r="E603" i="84"/>
  <c r="D603" i="84"/>
  <c r="G602" i="84"/>
  <c r="F602" i="84"/>
  <c r="E602" i="84"/>
  <c r="D602" i="84"/>
  <c r="G601" i="84"/>
  <c r="F601" i="84"/>
  <c r="E601" i="84"/>
  <c r="D601" i="84"/>
  <c r="G600" i="84"/>
  <c r="F600" i="84"/>
  <c r="E600" i="84"/>
  <c r="D600" i="84"/>
  <c r="G599" i="84"/>
  <c r="F599" i="84"/>
  <c r="E599" i="84"/>
  <c r="D599" i="84"/>
  <c r="G598" i="84"/>
  <c r="F598" i="84"/>
  <c r="E598" i="84"/>
  <c r="D598" i="84"/>
  <c r="G597" i="84"/>
  <c r="F597" i="84"/>
  <c r="E597" i="84"/>
  <c r="D597" i="84"/>
  <c r="G596" i="84"/>
  <c r="F596" i="84"/>
  <c r="E596" i="84"/>
  <c r="D596" i="84"/>
  <c r="G595" i="84"/>
  <c r="F595" i="84"/>
  <c r="E595" i="84"/>
  <c r="D595" i="84"/>
  <c r="G594" i="84"/>
  <c r="F594" i="84"/>
  <c r="E594" i="84"/>
  <c r="D594" i="84"/>
  <c r="G593" i="84"/>
  <c r="F593" i="84"/>
  <c r="E593" i="84"/>
  <c r="D593" i="84"/>
  <c r="G592" i="84"/>
  <c r="F592" i="84"/>
  <c r="E592" i="84"/>
  <c r="D592" i="84"/>
  <c r="G591" i="84"/>
  <c r="F591" i="84"/>
  <c r="E591" i="84"/>
  <c r="D591" i="84"/>
  <c r="G590" i="84"/>
  <c r="F590" i="84"/>
  <c r="E590" i="84"/>
  <c r="D590" i="84"/>
  <c r="G589" i="84"/>
  <c r="F589" i="84"/>
  <c r="E589" i="84"/>
  <c r="D589" i="84"/>
  <c r="G588" i="84"/>
  <c r="F588" i="84"/>
  <c r="E588" i="84"/>
  <c r="D588" i="84"/>
  <c r="G587" i="84"/>
  <c r="F587" i="84"/>
  <c r="E587" i="84"/>
  <c r="D587" i="84"/>
  <c r="G586" i="84"/>
  <c r="F586" i="84"/>
  <c r="E586" i="84"/>
  <c r="D586" i="84"/>
  <c r="G585" i="84"/>
  <c r="F585" i="84"/>
  <c r="E585" i="84"/>
  <c r="D585" i="84"/>
  <c r="G584" i="84"/>
  <c r="F584" i="84"/>
  <c r="E584" i="84"/>
  <c r="D584" i="84"/>
  <c r="G583" i="84"/>
  <c r="F583" i="84"/>
  <c r="E583" i="84"/>
  <c r="D583" i="84"/>
  <c r="G582" i="84"/>
  <c r="F582" i="84"/>
  <c r="E582" i="84"/>
  <c r="D582" i="84"/>
  <c r="G581" i="84"/>
  <c r="F581" i="84"/>
  <c r="E581" i="84"/>
  <c r="D581" i="84"/>
  <c r="G580" i="84"/>
  <c r="F580" i="84"/>
  <c r="E580" i="84"/>
  <c r="D580" i="84"/>
  <c r="G579" i="84"/>
  <c r="F579" i="84"/>
  <c r="E579" i="84"/>
  <c r="D579" i="84"/>
  <c r="G578" i="84"/>
  <c r="F578" i="84"/>
  <c r="E578" i="84"/>
  <c r="D578" i="84"/>
  <c r="G577" i="84"/>
  <c r="F577" i="84"/>
  <c r="E577" i="84"/>
  <c r="D577" i="84"/>
  <c r="G576" i="84"/>
  <c r="F576" i="84"/>
  <c r="E576" i="84"/>
  <c r="D576" i="84"/>
  <c r="G575" i="84"/>
  <c r="F575" i="84"/>
  <c r="E575" i="84"/>
  <c r="D575" i="84"/>
  <c r="G574" i="84"/>
  <c r="F574" i="84"/>
  <c r="E574" i="84"/>
  <c r="D574" i="84"/>
  <c r="G573" i="84"/>
  <c r="F573" i="84"/>
  <c r="E573" i="84"/>
  <c r="D573" i="84"/>
  <c r="G572" i="84"/>
  <c r="F572" i="84"/>
  <c r="E572" i="84"/>
  <c r="D572" i="84"/>
  <c r="G571" i="84"/>
  <c r="F571" i="84"/>
  <c r="E571" i="84"/>
  <c r="D571" i="84"/>
  <c r="G570" i="84"/>
  <c r="F570" i="84"/>
  <c r="E570" i="84"/>
  <c r="D570" i="84"/>
  <c r="G569" i="84"/>
  <c r="F569" i="84"/>
  <c r="E569" i="84"/>
  <c r="D569" i="84"/>
  <c r="G568" i="84"/>
  <c r="F568" i="84"/>
  <c r="E568" i="84"/>
  <c r="D568" i="84"/>
  <c r="G567" i="84"/>
  <c r="F567" i="84"/>
  <c r="E567" i="84"/>
  <c r="D567" i="84"/>
  <c r="G566" i="84"/>
  <c r="F566" i="84"/>
  <c r="E566" i="84"/>
  <c r="D566" i="84"/>
  <c r="G565" i="84"/>
  <c r="F565" i="84"/>
  <c r="E565" i="84"/>
  <c r="D565" i="84"/>
  <c r="G564" i="84"/>
  <c r="F564" i="84"/>
  <c r="E564" i="84"/>
  <c r="D564" i="84"/>
  <c r="G563" i="84"/>
  <c r="F563" i="84"/>
  <c r="E563" i="84"/>
  <c r="D563" i="84"/>
  <c r="G562" i="84"/>
  <c r="F562" i="84"/>
  <c r="E562" i="84"/>
  <c r="D562" i="84"/>
  <c r="G561" i="84"/>
  <c r="F561" i="84"/>
  <c r="E561" i="84"/>
  <c r="D561" i="84"/>
  <c r="G560" i="84"/>
  <c r="F560" i="84"/>
  <c r="E560" i="84"/>
  <c r="D560" i="84"/>
  <c r="G559" i="84"/>
  <c r="F559" i="84"/>
  <c r="E559" i="84"/>
  <c r="D559" i="84"/>
  <c r="G558" i="84"/>
  <c r="F558" i="84"/>
  <c r="E558" i="84"/>
  <c r="D558" i="84"/>
  <c r="G557" i="84"/>
  <c r="F557" i="84"/>
  <c r="E557" i="84"/>
  <c r="D557" i="84"/>
  <c r="G556" i="84"/>
  <c r="F556" i="84"/>
  <c r="E556" i="84"/>
  <c r="D556" i="84"/>
  <c r="G555" i="84"/>
  <c r="F555" i="84"/>
  <c r="E555" i="84"/>
  <c r="D555" i="84"/>
  <c r="G554" i="84"/>
  <c r="F554" i="84"/>
  <c r="E554" i="84"/>
  <c r="D554" i="84"/>
  <c r="G553" i="84"/>
  <c r="F553" i="84"/>
  <c r="E553" i="84"/>
  <c r="D553" i="84"/>
  <c r="G552" i="84"/>
  <c r="F552" i="84"/>
  <c r="E552" i="84"/>
  <c r="D552" i="84"/>
  <c r="G551" i="84"/>
  <c r="F551" i="84"/>
  <c r="E551" i="84"/>
  <c r="D551" i="84"/>
  <c r="G550" i="84"/>
  <c r="F550" i="84"/>
  <c r="E550" i="84"/>
  <c r="D550" i="84"/>
  <c r="G549" i="84"/>
  <c r="F549" i="84"/>
  <c r="E549" i="84"/>
  <c r="D549" i="84"/>
  <c r="G548" i="84"/>
  <c r="F548" i="84"/>
  <c r="E548" i="84"/>
  <c r="D548" i="84"/>
  <c r="G547" i="84"/>
  <c r="F547" i="84"/>
  <c r="E547" i="84"/>
  <c r="D547" i="84"/>
  <c r="G546" i="84"/>
  <c r="F546" i="84"/>
  <c r="E546" i="84"/>
  <c r="D546" i="84"/>
  <c r="G545" i="84"/>
  <c r="F545" i="84"/>
  <c r="E545" i="84"/>
  <c r="D545" i="84"/>
  <c r="G544" i="84"/>
  <c r="F544" i="84"/>
  <c r="E544" i="84"/>
  <c r="D544" i="84"/>
  <c r="G543" i="84"/>
  <c r="F543" i="84"/>
  <c r="E543" i="84"/>
  <c r="D543" i="84"/>
  <c r="G542" i="84"/>
  <c r="F542" i="84"/>
  <c r="E542" i="84"/>
  <c r="D542" i="84"/>
  <c r="G541" i="84"/>
  <c r="F541" i="84"/>
  <c r="E541" i="84"/>
  <c r="D541" i="84"/>
  <c r="G540" i="84"/>
  <c r="F540" i="84"/>
  <c r="E540" i="84"/>
  <c r="D540" i="84"/>
  <c r="G539" i="84"/>
  <c r="F539" i="84"/>
  <c r="E539" i="84"/>
  <c r="D539" i="84"/>
  <c r="G538" i="84"/>
  <c r="F538" i="84"/>
  <c r="E538" i="84"/>
  <c r="D538" i="84"/>
  <c r="G537" i="84"/>
  <c r="F537" i="84"/>
  <c r="E537" i="84"/>
  <c r="D537" i="84"/>
  <c r="G536" i="84"/>
  <c r="F536" i="84"/>
  <c r="E536" i="84"/>
  <c r="D536" i="84"/>
  <c r="G535" i="84"/>
  <c r="F535" i="84"/>
  <c r="E535" i="84"/>
  <c r="D535" i="84"/>
  <c r="G534" i="84"/>
  <c r="F534" i="84"/>
  <c r="E534" i="84"/>
  <c r="D534" i="84"/>
  <c r="G533" i="84"/>
  <c r="F533" i="84"/>
  <c r="E533" i="84"/>
  <c r="D533" i="84"/>
  <c r="G532" i="84"/>
  <c r="F532" i="84"/>
  <c r="E532" i="84"/>
  <c r="D532" i="84"/>
  <c r="G531" i="84"/>
  <c r="F531" i="84"/>
  <c r="E531" i="84"/>
  <c r="D531" i="84"/>
  <c r="G530" i="84"/>
  <c r="F530" i="84"/>
  <c r="E530" i="84"/>
  <c r="D530" i="84"/>
  <c r="G529" i="84"/>
  <c r="F529" i="84"/>
  <c r="E529" i="84"/>
  <c r="D529" i="84"/>
  <c r="G528" i="84"/>
  <c r="F528" i="84"/>
  <c r="E528" i="84"/>
  <c r="D528" i="84"/>
  <c r="G527" i="84"/>
  <c r="F527" i="84"/>
  <c r="E527" i="84"/>
  <c r="D527" i="84"/>
  <c r="G526" i="84"/>
  <c r="F526" i="84"/>
  <c r="E526" i="84"/>
  <c r="D526" i="84"/>
  <c r="G525" i="84"/>
  <c r="F525" i="84"/>
  <c r="E525" i="84"/>
  <c r="D525" i="84"/>
  <c r="G524" i="84"/>
  <c r="F524" i="84"/>
  <c r="E524" i="84"/>
  <c r="D524" i="84"/>
  <c r="G523" i="84"/>
  <c r="F523" i="84"/>
  <c r="E523" i="84"/>
  <c r="D523" i="84"/>
  <c r="G522" i="84"/>
  <c r="F522" i="84"/>
  <c r="E522" i="84"/>
  <c r="D522" i="84"/>
  <c r="G521" i="84"/>
  <c r="F521" i="84"/>
  <c r="E521" i="84"/>
  <c r="D521" i="84"/>
  <c r="G520" i="84"/>
  <c r="F520" i="84"/>
  <c r="E520" i="84"/>
  <c r="D520" i="84"/>
  <c r="G519" i="84"/>
  <c r="F519" i="84"/>
  <c r="E519" i="84"/>
  <c r="D519" i="84"/>
  <c r="G518" i="84"/>
  <c r="F518" i="84"/>
  <c r="E518" i="84"/>
  <c r="D518" i="84"/>
  <c r="G517" i="84"/>
  <c r="F517" i="84"/>
  <c r="E517" i="84"/>
  <c r="D517" i="84"/>
  <c r="G516" i="84"/>
  <c r="F516" i="84"/>
  <c r="E516" i="84"/>
  <c r="D516" i="84"/>
  <c r="G515" i="84"/>
  <c r="F515" i="84"/>
  <c r="E515" i="84"/>
  <c r="D515" i="84"/>
  <c r="G514" i="84"/>
  <c r="F514" i="84"/>
  <c r="E514" i="84"/>
  <c r="D514" i="84"/>
  <c r="G513" i="84"/>
  <c r="F513" i="84"/>
  <c r="E513" i="84"/>
  <c r="D513" i="84"/>
  <c r="G512" i="84"/>
  <c r="F512" i="84"/>
  <c r="E512" i="84"/>
  <c r="D512" i="84"/>
  <c r="G511" i="84"/>
  <c r="F511" i="84"/>
  <c r="E511" i="84"/>
  <c r="D511" i="84"/>
  <c r="G510" i="84"/>
  <c r="F510" i="84"/>
  <c r="E510" i="84"/>
  <c r="D510" i="84"/>
  <c r="G509" i="84"/>
  <c r="F509" i="84"/>
  <c r="E509" i="84"/>
  <c r="D509" i="84"/>
  <c r="G508" i="84"/>
  <c r="F508" i="84"/>
  <c r="E508" i="84"/>
  <c r="D508" i="84"/>
  <c r="G507" i="84"/>
  <c r="F507" i="84"/>
  <c r="E507" i="84"/>
  <c r="D507" i="84"/>
  <c r="G506" i="84"/>
  <c r="F506" i="84"/>
  <c r="E506" i="84"/>
  <c r="D506" i="84"/>
  <c r="G505" i="84"/>
  <c r="F505" i="84"/>
  <c r="E505" i="84"/>
  <c r="D505" i="84"/>
  <c r="G504" i="84"/>
  <c r="F504" i="84"/>
  <c r="E504" i="84"/>
  <c r="D504" i="84"/>
  <c r="G503" i="84"/>
  <c r="F503" i="84"/>
  <c r="E503" i="84"/>
  <c r="D503" i="84"/>
  <c r="G502" i="84"/>
  <c r="F502" i="84"/>
  <c r="E502" i="84"/>
  <c r="D502" i="84"/>
  <c r="G501" i="84"/>
  <c r="F501" i="84"/>
  <c r="E501" i="84"/>
  <c r="D501" i="84"/>
  <c r="G500" i="84"/>
  <c r="F500" i="84"/>
  <c r="E500" i="84"/>
  <c r="D500" i="84"/>
  <c r="G499" i="84"/>
  <c r="F499" i="84"/>
  <c r="E499" i="84"/>
  <c r="D499" i="84"/>
  <c r="G498" i="84"/>
  <c r="F498" i="84"/>
  <c r="E498" i="84"/>
  <c r="D498" i="84"/>
  <c r="G497" i="84"/>
  <c r="F497" i="84"/>
  <c r="E497" i="84"/>
  <c r="D497" i="84"/>
  <c r="G496" i="84"/>
  <c r="F496" i="84"/>
  <c r="E496" i="84"/>
  <c r="D496" i="84"/>
  <c r="G495" i="84"/>
  <c r="F495" i="84"/>
  <c r="E495" i="84"/>
  <c r="D495" i="84"/>
  <c r="G494" i="84"/>
  <c r="F494" i="84"/>
  <c r="E494" i="84"/>
  <c r="D494" i="84"/>
  <c r="G493" i="84"/>
  <c r="F493" i="84"/>
  <c r="E493" i="84"/>
  <c r="D493" i="84"/>
  <c r="G492" i="84"/>
  <c r="F492" i="84"/>
  <c r="E492" i="84"/>
  <c r="D492" i="84"/>
  <c r="G491" i="84"/>
  <c r="F491" i="84"/>
  <c r="E491" i="84"/>
  <c r="D491" i="84"/>
  <c r="G490" i="84"/>
  <c r="F490" i="84"/>
  <c r="E490" i="84"/>
  <c r="D490" i="84"/>
  <c r="G489" i="84"/>
  <c r="F489" i="84"/>
  <c r="E489" i="84"/>
  <c r="D489" i="84"/>
  <c r="G488" i="84"/>
  <c r="F488" i="84"/>
  <c r="E488" i="84"/>
  <c r="D488" i="84"/>
  <c r="G487" i="84"/>
  <c r="F487" i="84"/>
  <c r="E487" i="84"/>
  <c r="D487" i="84"/>
  <c r="G486" i="84"/>
  <c r="F486" i="84"/>
  <c r="E486" i="84"/>
  <c r="D486" i="84"/>
  <c r="G485" i="84"/>
  <c r="F485" i="84"/>
  <c r="E485" i="84"/>
  <c r="D485" i="84"/>
  <c r="G484" i="84"/>
  <c r="F484" i="84"/>
  <c r="E484" i="84"/>
  <c r="D484" i="84"/>
  <c r="G483" i="84"/>
  <c r="F483" i="84"/>
  <c r="E483" i="84"/>
  <c r="D483" i="84"/>
  <c r="G482" i="84"/>
  <c r="F482" i="84"/>
  <c r="E482" i="84"/>
  <c r="D482" i="84"/>
  <c r="G481" i="84"/>
  <c r="F481" i="84"/>
  <c r="E481" i="84"/>
  <c r="D481" i="84"/>
  <c r="G480" i="84"/>
  <c r="F480" i="84"/>
  <c r="E480" i="84"/>
  <c r="D480" i="84"/>
  <c r="G479" i="84"/>
  <c r="F479" i="84"/>
  <c r="E479" i="84"/>
  <c r="D479" i="84"/>
  <c r="G478" i="84"/>
  <c r="F478" i="84"/>
  <c r="E478" i="84"/>
  <c r="D478" i="84"/>
  <c r="G477" i="84"/>
  <c r="F477" i="84"/>
  <c r="E477" i="84"/>
  <c r="D477" i="84"/>
  <c r="G476" i="84"/>
  <c r="F476" i="84"/>
  <c r="E476" i="84"/>
  <c r="D476" i="84"/>
  <c r="G475" i="84"/>
  <c r="F475" i="84"/>
  <c r="E475" i="84"/>
  <c r="D475" i="84"/>
  <c r="G474" i="84"/>
  <c r="F474" i="84"/>
  <c r="E474" i="84"/>
  <c r="D474" i="84"/>
  <c r="G473" i="84"/>
  <c r="F473" i="84"/>
  <c r="E473" i="84"/>
  <c r="D473" i="84"/>
  <c r="G472" i="84"/>
  <c r="F472" i="84"/>
  <c r="E472" i="84"/>
  <c r="D472" i="84"/>
  <c r="G471" i="84"/>
  <c r="F471" i="84"/>
  <c r="E471" i="84"/>
  <c r="D471" i="84"/>
  <c r="G470" i="84"/>
  <c r="F470" i="84"/>
  <c r="E470" i="84"/>
  <c r="D470" i="84"/>
  <c r="G469" i="84"/>
  <c r="F469" i="84"/>
  <c r="E469" i="84"/>
  <c r="D469" i="84"/>
  <c r="G468" i="84"/>
  <c r="F468" i="84"/>
  <c r="E468" i="84"/>
  <c r="D468" i="84"/>
  <c r="G467" i="84"/>
  <c r="F467" i="84"/>
  <c r="E467" i="84"/>
  <c r="D467" i="84"/>
  <c r="G466" i="84"/>
  <c r="F466" i="84"/>
  <c r="E466" i="84"/>
  <c r="D466" i="84"/>
  <c r="G465" i="84"/>
  <c r="F465" i="84"/>
  <c r="E465" i="84"/>
  <c r="D465" i="84"/>
  <c r="G464" i="84"/>
  <c r="F464" i="84"/>
  <c r="E464" i="84"/>
  <c r="D464" i="84"/>
  <c r="G463" i="84"/>
  <c r="F463" i="84"/>
  <c r="E463" i="84"/>
  <c r="D463" i="84"/>
  <c r="G462" i="84"/>
  <c r="F462" i="84"/>
  <c r="E462" i="84"/>
  <c r="D462" i="84"/>
  <c r="G461" i="84"/>
  <c r="F461" i="84"/>
  <c r="E461" i="84"/>
  <c r="D461" i="84"/>
  <c r="G460" i="84"/>
  <c r="F460" i="84"/>
  <c r="E460" i="84"/>
  <c r="D460" i="84"/>
  <c r="G459" i="84"/>
  <c r="F459" i="84"/>
  <c r="E459" i="84"/>
  <c r="D459" i="84"/>
  <c r="G458" i="84"/>
  <c r="F458" i="84"/>
  <c r="E458" i="84"/>
  <c r="D458" i="84"/>
  <c r="G457" i="84"/>
  <c r="F457" i="84"/>
  <c r="E457" i="84"/>
  <c r="D457" i="84"/>
  <c r="G456" i="84"/>
  <c r="F456" i="84"/>
  <c r="E456" i="84"/>
  <c r="D456" i="84"/>
  <c r="G455" i="84"/>
  <c r="F455" i="84"/>
  <c r="E455" i="84"/>
  <c r="D455" i="84"/>
  <c r="G454" i="84"/>
  <c r="F454" i="84"/>
  <c r="E454" i="84"/>
  <c r="D454" i="84"/>
  <c r="G453" i="84"/>
  <c r="F453" i="84"/>
  <c r="E453" i="84"/>
  <c r="D453" i="84"/>
  <c r="G452" i="84"/>
  <c r="F452" i="84"/>
  <c r="E452" i="84"/>
  <c r="D452" i="84"/>
  <c r="G451" i="84"/>
  <c r="F451" i="84"/>
  <c r="E451" i="84"/>
  <c r="D451" i="84"/>
  <c r="G450" i="84"/>
  <c r="F450" i="84"/>
  <c r="E450" i="84"/>
  <c r="D450" i="84"/>
  <c r="G449" i="84"/>
  <c r="F449" i="84"/>
  <c r="E449" i="84"/>
  <c r="D449" i="84"/>
  <c r="G448" i="84"/>
  <c r="F448" i="84"/>
  <c r="E448" i="84"/>
  <c r="D448" i="84"/>
  <c r="G447" i="84"/>
  <c r="F447" i="84"/>
  <c r="E447" i="84"/>
  <c r="D447" i="84"/>
  <c r="G446" i="84"/>
  <c r="F446" i="84"/>
  <c r="E446" i="84"/>
  <c r="D446" i="84"/>
  <c r="G445" i="84"/>
  <c r="F445" i="84"/>
  <c r="E445" i="84"/>
  <c r="D445" i="84"/>
  <c r="G444" i="84"/>
  <c r="F444" i="84"/>
  <c r="E444" i="84"/>
  <c r="D444" i="84"/>
  <c r="G443" i="84"/>
  <c r="F443" i="84"/>
  <c r="E443" i="84"/>
  <c r="D443" i="84"/>
  <c r="G442" i="84"/>
  <c r="F442" i="84"/>
  <c r="E442" i="84"/>
  <c r="D442" i="84"/>
  <c r="G441" i="84"/>
  <c r="F441" i="84"/>
  <c r="E441" i="84"/>
  <c r="D441" i="84"/>
  <c r="G440" i="84"/>
  <c r="F440" i="84"/>
  <c r="E440" i="84"/>
  <c r="D440" i="84"/>
  <c r="G439" i="84"/>
  <c r="F439" i="84"/>
  <c r="E439" i="84"/>
  <c r="D439" i="84"/>
  <c r="G438" i="84"/>
  <c r="F438" i="84"/>
  <c r="E438" i="84"/>
  <c r="D438" i="84"/>
  <c r="G437" i="84"/>
  <c r="F437" i="84"/>
  <c r="E437" i="84"/>
  <c r="D437" i="84"/>
  <c r="G436" i="84"/>
  <c r="F436" i="84"/>
  <c r="E436" i="84"/>
  <c r="D436" i="84"/>
  <c r="G435" i="84"/>
  <c r="F435" i="84"/>
  <c r="E435" i="84"/>
  <c r="D435" i="84"/>
  <c r="G434" i="84"/>
  <c r="F434" i="84"/>
  <c r="E434" i="84"/>
  <c r="D434" i="84"/>
  <c r="G433" i="84"/>
  <c r="F433" i="84"/>
  <c r="E433" i="84"/>
  <c r="D433" i="84"/>
  <c r="G432" i="84"/>
  <c r="F432" i="84"/>
  <c r="E432" i="84"/>
  <c r="D432" i="84"/>
  <c r="G431" i="84"/>
  <c r="F431" i="84"/>
  <c r="E431" i="84"/>
  <c r="D431" i="84"/>
  <c r="G430" i="84"/>
  <c r="F430" i="84"/>
  <c r="E430" i="84"/>
  <c r="D430" i="84"/>
  <c r="G429" i="84"/>
  <c r="F429" i="84"/>
  <c r="E429" i="84"/>
  <c r="D429" i="84"/>
  <c r="G428" i="84"/>
  <c r="F428" i="84"/>
  <c r="E428" i="84"/>
  <c r="D428" i="84"/>
  <c r="G427" i="84"/>
  <c r="F427" i="84"/>
  <c r="E427" i="84"/>
  <c r="D427" i="84"/>
  <c r="G426" i="84"/>
  <c r="F426" i="84"/>
  <c r="E426" i="84"/>
  <c r="D426" i="84"/>
  <c r="G425" i="84"/>
  <c r="F425" i="84"/>
  <c r="E425" i="84"/>
  <c r="D425" i="84"/>
  <c r="G424" i="84"/>
  <c r="F424" i="84"/>
  <c r="E424" i="84"/>
  <c r="D424" i="84"/>
  <c r="G423" i="84"/>
  <c r="F423" i="84"/>
  <c r="E423" i="84"/>
  <c r="D423" i="84"/>
  <c r="G422" i="84"/>
  <c r="F422" i="84"/>
  <c r="E422" i="84"/>
  <c r="D422" i="84"/>
  <c r="G421" i="84"/>
  <c r="F421" i="84"/>
  <c r="E421" i="84"/>
  <c r="D421" i="84"/>
  <c r="G420" i="84"/>
  <c r="F420" i="84"/>
  <c r="E420" i="84"/>
  <c r="D420" i="84"/>
  <c r="G419" i="84"/>
  <c r="F419" i="84"/>
  <c r="E419" i="84"/>
  <c r="D419" i="84"/>
  <c r="G418" i="84"/>
  <c r="F418" i="84"/>
  <c r="E418" i="84"/>
  <c r="D418" i="84"/>
  <c r="G417" i="84"/>
  <c r="F417" i="84"/>
  <c r="E417" i="84"/>
  <c r="D417" i="84"/>
  <c r="G416" i="84"/>
  <c r="F416" i="84"/>
  <c r="E416" i="84"/>
  <c r="D416" i="84"/>
  <c r="G415" i="84"/>
  <c r="F415" i="84"/>
  <c r="E415" i="84"/>
  <c r="D415" i="84"/>
  <c r="G414" i="84"/>
  <c r="F414" i="84"/>
  <c r="E414" i="84"/>
  <c r="D414" i="84"/>
  <c r="G413" i="84"/>
  <c r="F413" i="84"/>
  <c r="E413" i="84"/>
  <c r="D413" i="84"/>
  <c r="G412" i="84"/>
  <c r="F412" i="84"/>
  <c r="E412" i="84"/>
  <c r="D412" i="84"/>
  <c r="G411" i="84"/>
  <c r="F411" i="84"/>
  <c r="E411" i="84"/>
  <c r="D411" i="84"/>
  <c r="G410" i="84"/>
  <c r="F410" i="84"/>
  <c r="E410" i="84"/>
  <c r="D410" i="84"/>
  <c r="G409" i="84"/>
  <c r="F409" i="84"/>
  <c r="E409" i="84"/>
  <c r="D409" i="84"/>
  <c r="G408" i="84"/>
  <c r="F408" i="84"/>
  <c r="E408" i="84"/>
  <c r="D408" i="84"/>
  <c r="G407" i="84"/>
  <c r="F407" i="84"/>
  <c r="E407" i="84"/>
  <c r="D407" i="84"/>
  <c r="G406" i="84"/>
  <c r="F406" i="84"/>
  <c r="E406" i="84"/>
  <c r="D406" i="84"/>
  <c r="G405" i="84"/>
  <c r="F405" i="84"/>
  <c r="E405" i="84"/>
  <c r="D405" i="84"/>
  <c r="G404" i="84"/>
  <c r="F404" i="84"/>
  <c r="E404" i="84"/>
  <c r="D404" i="84"/>
  <c r="G403" i="84"/>
  <c r="F403" i="84"/>
  <c r="E403" i="84"/>
  <c r="D403" i="84"/>
  <c r="G402" i="84"/>
  <c r="F402" i="84"/>
  <c r="E402" i="84"/>
  <c r="D402" i="84"/>
  <c r="G401" i="84"/>
  <c r="F401" i="84"/>
  <c r="E401" i="84"/>
  <c r="D401" i="84"/>
  <c r="G400" i="84"/>
  <c r="F400" i="84"/>
  <c r="E400" i="84"/>
  <c r="D400" i="84"/>
  <c r="G399" i="84"/>
  <c r="F399" i="84"/>
  <c r="E399" i="84"/>
  <c r="D399" i="84"/>
  <c r="G398" i="84"/>
  <c r="F398" i="84"/>
  <c r="E398" i="84"/>
  <c r="D398" i="84"/>
  <c r="G397" i="84"/>
  <c r="F397" i="84"/>
  <c r="E397" i="84"/>
  <c r="D397" i="84"/>
  <c r="G396" i="84"/>
  <c r="F396" i="84"/>
  <c r="E396" i="84"/>
  <c r="D396" i="84"/>
  <c r="G395" i="84"/>
  <c r="F395" i="84"/>
  <c r="E395" i="84"/>
  <c r="D395" i="84"/>
  <c r="G394" i="84"/>
  <c r="F394" i="84"/>
  <c r="E394" i="84"/>
  <c r="D394" i="84"/>
  <c r="G393" i="84"/>
  <c r="F393" i="84"/>
  <c r="E393" i="84"/>
  <c r="D393" i="84"/>
  <c r="G392" i="84"/>
  <c r="F392" i="84"/>
  <c r="E392" i="84"/>
  <c r="D392" i="84"/>
  <c r="G391" i="84"/>
  <c r="F391" i="84"/>
  <c r="E391" i="84"/>
  <c r="D391" i="84"/>
  <c r="G390" i="84"/>
  <c r="F390" i="84"/>
  <c r="E390" i="84"/>
  <c r="D390" i="84"/>
  <c r="G389" i="84"/>
  <c r="F389" i="84"/>
  <c r="E389" i="84"/>
  <c r="D389" i="84"/>
  <c r="G388" i="84"/>
  <c r="F388" i="84"/>
  <c r="E388" i="84"/>
  <c r="D388" i="84"/>
  <c r="G387" i="84"/>
  <c r="F387" i="84"/>
  <c r="E387" i="84"/>
  <c r="D387" i="84"/>
  <c r="G386" i="84"/>
  <c r="F386" i="84"/>
  <c r="E386" i="84"/>
  <c r="D386" i="84"/>
  <c r="G385" i="84"/>
  <c r="F385" i="84"/>
  <c r="E385" i="84"/>
  <c r="D385" i="84"/>
  <c r="G384" i="84"/>
  <c r="F384" i="84"/>
  <c r="E384" i="84"/>
  <c r="D384" i="84"/>
  <c r="G383" i="84"/>
  <c r="F383" i="84"/>
  <c r="E383" i="84"/>
  <c r="D383" i="84"/>
  <c r="G382" i="84"/>
  <c r="F382" i="84"/>
  <c r="E382" i="84"/>
  <c r="D382" i="84"/>
  <c r="G381" i="84"/>
  <c r="F381" i="84"/>
  <c r="E381" i="84"/>
  <c r="D381" i="84"/>
  <c r="G380" i="84"/>
  <c r="F380" i="84"/>
  <c r="E380" i="84"/>
  <c r="D380" i="84"/>
  <c r="G379" i="84"/>
  <c r="F379" i="84"/>
  <c r="E379" i="84"/>
  <c r="D379" i="84"/>
  <c r="G378" i="84"/>
  <c r="F378" i="84"/>
  <c r="E378" i="84"/>
  <c r="D378" i="84"/>
  <c r="G377" i="84"/>
  <c r="F377" i="84"/>
  <c r="E377" i="84"/>
  <c r="D377" i="84"/>
  <c r="G376" i="84"/>
  <c r="F376" i="84"/>
  <c r="E376" i="84"/>
  <c r="D376" i="84"/>
  <c r="G375" i="84"/>
  <c r="F375" i="84"/>
  <c r="E375" i="84"/>
  <c r="D375" i="84"/>
  <c r="G374" i="84"/>
  <c r="F374" i="84"/>
  <c r="E374" i="84"/>
  <c r="D374" i="84"/>
  <c r="G373" i="84"/>
  <c r="F373" i="84"/>
  <c r="E373" i="84"/>
  <c r="D373" i="84"/>
  <c r="G372" i="84"/>
  <c r="F372" i="84"/>
  <c r="E372" i="84"/>
  <c r="D372" i="84"/>
  <c r="G371" i="84"/>
  <c r="F371" i="84"/>
  <c r="E371" i="84"/>
  <c r="D371" i="84"/>
  <c r="G370" i="84"/>
  <c r="F370" i="84"/>
  <c r="E370" i="84"/>
  <c r="D370" i="84"/>
  <c r="G369" i="84"/>
  <c r="F369" i="84"/>
  <c r="E369" i="84"/>
  <c r="D369" i="84"/>
  <c r="G368" i="84"/>
  <c r="F368" i="84"/>
  <c r="E368" i="84"/>
  <c r="D368" i="84"/>
  <c r="G367" i="84"/>
  <c r="F367" i="84"/>
  <c r="E367" i="84"/>
  <c r="D367" i="84"/>
  <c r="G366" i="84"/>
  <c r="F366" i="84"/>
  <c r="E366" i="84"/>
  <c r="D366" i="84"/>
  <c r="G365" i="84"/>
  <c r="F365" i="84"/>
  <c r="E365" i="84"/>
  <c r="D365" i="84"/>
  <c r="G364" i="84"/>
  <c r="F364" i="84"/>
  <c r="E364" i="84"/>
  <c r="D364" i="84"/>
  <c r="G363" i="84"/>
  <c r="F363" i="84"/>
  <c r="E363" i="84"/>
  <c r="D363" i="84"/>
  <c r="G362" i="84"/>
  <c r="F362" i="84"/>
  <c r="E362" i="84"/>
  <c r="D362" i="84"/>
  <c r="G361" i="84"/>
  <c r="F361" i="84"/>
  <c r="E361" i="84"/>
  <c r="D361" i="84"/>
  <c r="G360" i="84"/>
  <c r="F360" i="84"/>
  <c r="E360" i="84"/>
  <c r="D360" i="84"/>
  <c r="G359" i="84"/>
  <c r="F359" i="84"/>
  <c r="E359" i="84"/>
  <c r="D359" i="84"/>
  <c r="G358" i="84"/>
  <c r="F358" i="84"/>
  <c r="E358" i="84"/>
  <c r="D358" i="84"/>
  <c r="G357" i="84"/>
  <c r="F357" i="84"/>
  <c r="E357" i="84"/>
  <c r="D357" i="84"/>
  <c r="G356" i="84"/>
  <c r="F356" i="84"/>
  <c r="E356" i="84"/>
  <c r="D356" i="84"/>
  <c r="G355" i="84"/>
  <c r="F355" i="84"/>
  <c r="E355" i="84"/>
  <c r="D355" i="84"/>
  <c r="G354" i="84"/>
  <c r="F354" i="84"/>
  <c r="E354" i="84"/>
  <c r="D354" i="84"/>
  <c r="G353" i="84"/>
  <c r="F353" i="84"/>
  <c r="E353" i="84"/>
  <c r="D353" i="84"/>
  <c r="G352" i="84"/>
  <c r="F352" i="84"/>
  <c r="E352" i="84"/>
  <c r="D352" i="84"/>
  <c r="G351" i="84"/>
  <c r="F351" i="84"/>
  <c r="E351" i="84"/>
  <c r="D351" i="84"/>
  <c r="G350" i="84"/>
  <c r="F350" i="84"/>
  <c r="E350" i="84"/>
  <c r="D350" i="84"/>
  <c r="G349" i="84"/>
  <c r="F349" i="84"/>
  <c r="E349" i="84"/>
  <c r="D349" i="84"/>
  <c r="G348" i="84"/>
  <c r="F348" i="84"/>
  <c r="E348" i="84"/>
  <c r="D348" i="84"/>
  <c r="G347" i="84"/>
  <c r="F347" i="84"/>
  <c r="E347" i="84"/>
  <c r="D347" i="84"/>
  <c r="G346" i="84"/>
  <c r="F346" i="84"/>
  <c r="E346" i="84"/>
  <c r="D346" i="84"/>
  <c r="G345" i="84"/>
  <c r="F345" i="84"/>
  <c r="E345" i="84"/>
  <c r="D345" i="84"/>
  <c r="G344" i="84"/>
  <c r="F344" i="84"/>
  <c r="E344" i="84"/>
  <c r="D344" i="84"/>
  <c r="G343" i="84"/>
  <c r="F343" i="84"/>
  <c r="E343" i="84"/>
  <c r="D343" i="84"/>
  <c r="G342" i="84"/>
  <c r="F342" i="84"/>
  <c r="E342" i="84"/>
  <c r="D342" i="84"/>
  <c r="G341" i="84"/>
  <c r="F341" i="84"/>
  <c r="E341" i="84"/>
  <c r="D341" i="84"/>
  <c r="G340" i="84"/>
  <c r="F340" i="84"/>
  <c r="E340" i="84"/>
  <c r="D340" i="84"/>
  <c r="G339" i="84"/>
  <c r="F339" i="84"/>
  <c r="E339" i="84"/>
  <c r="D339" i="84"/>
  <c r="G338" i="84"/>
  <c r="F338" i="84"/>
  <c r="E338" i="84"/>
  <c r="D338" i="84"/>
  <c r="G337" i="84"/>
  <c r="F337" i="84"/>
  <c r="E337" i="84"/>
  <c r="D337" i="84"/>
  <c r="G336" i="84"/>
  <c r="F336" i="84"/>
  <c r="E336" i="84"/>
  <c r="D336" i="84"/>
  <c r="G335" i="84"/>
  <c r="F335" i="84"/>
  <c r="E335" i="84"/>
  <c r="D335" i="84"/>
  <c r="G334" i="84"/>
  <c r="F334" i="84"/>
  <c r="E334" i="84"/>
  <c r="D334" i="84"/>
  <c r="G333" i="84"/>
  <c r="F333" i="84"/>
  <c r="E333" i="84"/>
  <c r="D333" i="84"/>
  <c r="G332" i="84"/>
  <c r="F332" i="84"/>
  <c r="E332" i="84"/>
  <c r="D332" i="84"/>
  <c r="G331" i="84"/>
  <c r="F331" i="84"/>
  <c r="E331" i="84"/>
  <c r="D331" i="84"/>
  <c r="G330" i="84"/>
  <c r="F330" i="84"/>
  <c r="E330" i="84"/>
  <c r="D330" i="84"/>
  <c r="G329" i="84"/>
  <c r="F329" i="84"/>
  <c r="E329" i="84"/>
  <c r="D329" i="84"/>
  <c r="G328" i="84"/>
  <c r="F328" i="84"/>
  <c r="E328" i="84"/>
  <c r="D328" i="84"/>
  <c r="G327" i="84"/>
  <c r="F327" i="84"/>
  <c r="E327" i="84"/>
  <c r="D327" i="84"/>
  <c r="G326" i="84"/>
  <c r="F326" i="84"/>
  <c r="E326" i="84"/>
  <c r="D326" i="84"/>
  <c r="G325" i="84"/>
  <c r="F325" i="84"/>
  <c r="E325" i="84"/>
  <c r="D325" i="84"/>
  <c r="G324" i="84"/>
  <c r="F324" i="84"/>
  <c r="E324" i="84"/>
  <c r="D324" i="84"/>
  <c r="G323" i="84"/>
  <c r="F323" i="84"/>
  <c r="E323" i="84"/>
  <c r="D323" i="84"/>
  <c r="G322" i="84"/>
  <c r="F322" i="84"/>
  <c r="E322" i="84"/>
  <c r="D322" i="84"/>
  <c r="G321" i="84"/>
  <c r="F321" i="84"/>
  <c r="E321" i="84"/>
  <c r="D321" i="84"/>
  <c r="G320" i="84"/>
  <c r="F320" i="84"/>
  <c r="E320" i="84"/>
  <c r="D320" i="84"/>
  <c r="G319" i="84"/>
  <c r="F319" i="84"/>
  <c r="E319" i="84"/>
  <c r="D319" i="84"/>
  <c r="G318" i="84"/>
  <c r="F318" i="84"/>
  <c r="E318" i="84"/>
  <c r="D318" i="84"/>
  <c r="G317" i="84"/>
  <c r="F317" i="84"/>
  <c r="E317" i="84"/>
  <c r="D317" i="84"/>
  <c r="G316" i="84"/>
  <c r="F316" i="84"/>
  <c r="E316" i="84"/>
  <c r="D316" i="84"/>
  <c r="G315" i="84"/>
  <c r="F315" i="84"/>
  <c r="E315" i="84"/>
  <c r="D315" i="84"/>
  <c r="G314" i="84"/>
  <c r="F314" i="84"/>
  <c r="E314" i="84"/>
  <c r="D314" i="84"/>
  <c r="G313" i="84"/>
  <c r="F313" i="84"/>
  <c r="E313" i="84"/>
  <c r="D313" i="84"/>
  <c r="G312" i="84"/>
  <c r="F312" i="84"/>
  <c r="E312" i="84"/>
  <c r="D312" i="84"/>
  <c r="G311" i="84"/>
  <c r="F311" i="84"/>
  <c r="E311" i="84"/>
  <c r="D311" i="84"/>
  <c r="G310" i="84"/>
  <c r="F310" i="84"/>
  <c r="E310" i="84"/>
  <c r="D310" i="84"/>
  <c r="G309" i="84"/>
  <c r="F309" i="84"/>
  <c r="E309" i="84"/>
  <c r="D309" i="84"/>
  <c r="G308" i="84"/>
  <c r="F308" i="84"/>
  <c r="E308" i="84"/>
  <c r="D308" i="84"/>
  <c r="G307" i="84"/>
  <c r="F307" i="84"/>
  <c r="E307" i="84"/>
  <c r="D307" i="84"/>
  <c r="G306" i="84"/>
  <c r="F306" i="84"/>
  <c r="E306" i="84"/>
  <c r="D306" i="84"/>
  <c r="G305" i="84"/>
  <c r="F305" i="84"/>
  <c r="E305" i="84"/>
  <c r="D305" i="84"/>
  <c r="G304" i="84"/>
  <c r="F304" i="84"/>
  <c r="E304" i="84"/>
  <c r="D304" i="84"/>
  <c r="G303" i="84"/>
  <c r="F303" i="84"/>
  <c r="E303" i="84"/>
  <c r="D303" i="84"/>
  <c r="G302" i="84"/>
  <c r="F302" i="84"/>
  <c r="E302" i="84"/>
  <c r="D302" i="84"/>
  <c r="G301" i="84"/>
  <c r="F301" i="84"/>
  <c r="E301" i="84"/>
  <c r="D301" i="84"/>
  <c r="G300" i="84"/>
  <c r="F300" i="84"/>
  <c r="E300" i="84"/>
  <c r="D300" i="84"/>
  <c r="G299" i="84"/>
  <c r="F299" i="84"/>
  <c r="E299" i="84"/>
  <c r="D299" i="84"/>
  <c r="G298" i="84"/>
  <c r="F298" i="84"/>
  <c r="E298" i="84"/>
  <c r="D298" i="84"/>
  <c r="G297" i="84"/>
  <c r="F297" i="84"/>
  <c r="E297" i="84"/>
  <c r="D297" i="84"/>
  <c r="G296" i="84"/>
  <c r="F296" i="84"/>
  <c r="E296" i="84"/>
  <c r="D296" i="84"/>
  <c r="G295" i="84"/>
  <c r="F295" i="84"/>
  <c r="E295" i="84"/>
  <c r="D295" i="84"/>
  <c r="G294" i="84"/>
  <c r="F294" i="84"/>
  <c r="E294" i="84"/>
  <c r="D294" i="84"/>
  <c r="G293" i="84"/>
  <c r="F293" i="84"/>
  <c r="E293" i="84"/>
  <c r="D293" i="84"/>
  <c r="G292" i="84"/>
  <c r="F292" i="84"/>
  <c r="E292" i="84"/>
  <c r="D292" i="84"/>
  <c r="G291" i="84"/>
  <c r="F291" i="84"/>
  <c r="E291" i="84"/>
  <c r="D291" i="84"/>
  <c r="G290" i="84"/>
  <c r="F290" i="84"/>
  <c r="E290" i="84"/>
  <c r="D290" i="84"/>
  <c r="G289" i="84"/>
  <c r="F289" i="84"/>
  <c r="E289" i="84"/>
  <c r="D289" i="84"/>
  <c r="G288" i="84"/>
  <c r="F288" i="84"/>
  <c r="E288" i="84"/>
  <c r="D288" i="84"/>
  <c r="G287" i="84"/>
  <c r="F287" i="84"/>
  <c r="E287" i="84"/>
  <c r="D287" i="84"/>
  <c r="G286" i="84"/>
  <c r="F286" i="84"/>
  <c r="E286" i="84"/>
  <c r="D286" i="84"/>
  <c r="G285" i="84"/>
  <c r="F285" i="84"/>
  <c r="E285" i="84"/>
  <c r="D285" i="84"/>
  <c r="G284" i="84"/>
  <c r="F284" i="84"/>
  <c r="E284" i="84"/>
  <c r="D284" i="84"/>
  <c r="G283" i="84"/>
  <c r="F283" i="84"/>
  <c r="E283" i="84"/>
  <c r="D283" i="84"/>
  <c r="G282" i="84"/>
  <c r="F282" i="84"/>
  <c r="E282" i="84"/>
  <c r="D282" i="84"/>
  <c r="G281" i="84"/>
  <c r="F281" i="84"/>
  <c r="E281" i="84"/>
  <c r="D281" i="84"/>
  <c r="G280" i="84"/>
  <c r="F280" i="84"/>
  <c r="E280" i="84"/>
  <c r="D280" i="84"/>
  <c r="G279" i="84"/>
  <c r="F279" i="84"/>
  <c r="E279" i="84"/>
  <c r="D279" i="84"/>
  <c r="G278" i="84"/>
  <c r="F278" i="84"/>
  <c r="E278" i="84"/>
  <c r="D278" i="84"/>
  <c r="G277" i="84"/>
  <c r="F277" i="84"/>
  <c r="E277" i="84"/>
  <c r="D277" i="84"/>
  <c r="G276" i="84"/>
  <c r="F276" i="84"/>
  <c r="E276" i="84"/>
  <c r="D276" i="84"/>
  <c r="G275" i="84"/>
  <c r="F275" i="84"/>
  <c r="E275" i="84"/>
  <c r="D275" i="84"/>
  <c r="G274" i="84"/>
  <c r="F274" i="84"/>
  <c r="E274" i="84"/>
  <c r="D274" i="84"/>
  <c r="G273" i="84"/>
  <c r="F273" i="84"/>
  <c r="E273" i="84"/>
  <c r="D273" i="84"/>
  <c r="G272" i="84"/>
  <c r="F272" i="84"/>
  <c r="E272" i="84"/>
  <c r="D272" i="84"/>
  <c r="G271" i="84"/>
  <c r="F271" i="84"/>
  <c r="E271" i="84"/>
  <c r="D271" i="84"/>
  <c r="G270" i="84"/>
  <c r="F270" i="84"/>
  <c r="E270" i="84"/>
  <c r="D270" i="84"/>
  <c r="G269" i="84"/>
  <c r="F269" i="84"/>
  <c r="E269" i="84"/>
  <c r="D269" i="84"/>
  <c r="G268" i="84"/>
  <c r="F268" i="84"/>
  <c r="E268" i="84"/>
  <c r="D268" i="84"/>
  <c r="G267" i="84"/>
  <c r="F267" i="84"/>
  <c r="E267" i="84"/>
  <c r="D267" i="84"/>
  <c r="G266" i="84"/>
  <c r="F266" i="84"/>
  <c r="E266" i="84"/>
  <c r="D266" i="84"/>
  <c r="G265" i="84"/>
  <c r="F265" i="84"/>
  <c r="E265" i="84"/>
  <c r="D265" i="84"/>
  <c r="G264" i="84"/>
  <c r="F264" i="84"/>
  <c r="E264" i="84"/>
  <c r="D264" i="84"/>
  <c r="G263" i="84"/>
  <c r="F263" i="84"/>
  <c r="E263" i="84"/>
  <c r="D263" i="84"/>
  <c r="G262" i="84"/>
  <c r="F262" i="84"/>
  <c r="E262" i="84"/>
  <c r="D262" i="84"/>
  <c r="G261" i="84"/>
  <c r="F261" i="84"/>
  <c r="E261" i="84"/>
  <c r="D261" i="84"/>
  <c r="G260" i="84"/>
  <c r="F260" i="84"/>
  <c r="E260" i="84"/>
  <c r="D260" i="84"/>
  <c r="G259" i="84"/>
  <c r="F259" i="84"/>
  <c r="E259" i="84"/>
  <c r="D259" i="84"/>
  <c r="G258" i="84"/>
  <c r="F258" i="84"/>
  <c r="E258" i="84"/>
  <c r="D258" i="84"/>
  <c r="G257" i="84"/>
  <c r="F257" i="84"/>
  <c r="E257" i="84"/>
  <c r="D257" i="84"/>
  <c r="G256" i="84"/>
  <c r="F256" i="84"/>
  <c r="E256" i="84"/>
  <c r="D256" i="84"/>
  <c r="G255" i="84"/>
  <c r="F255" i="84"/>
  <c r="E255" i="84"/>
  <c r="D255" i="84"/>
  <c r="G254" i="84"/>
  <c r="F254" i="84"/>
  <c r="E254" i="84"/>
  <c r="D254" i="84"/>
  <c r="G253" i="84"/>
  <c r="F253" i="84"/>
  <c r="E253" i="84"/>
  <c r="D253" i="84"/>
  <c r="G252" i="84"/>
  <c r="F252" i="84"/>
  <c r="E252" i="84"/>
  <c r="D252" i="84"/>
  <c r="G251" i="84"/>
  <c r="F251" i="84"/>
  <c r="E251" i="84"/>
  <c r="D251" i="84"/>
  <c r="G250" i="84"/>
  <c r="F250" i="84"/>
  <c r="E250" i="84"/>
  <c r="D250" i="84"/>
  <c r="G249" i="84"/>
  <c r="F249" i="84"/>
  <c r="E249" i="84"/>
  <c r="D249" i="84"/>
  <c r="G248" i="84"/>
  <c r="F248" i="84"/>
  <c r="E248" i="84"/>
  <c r="D248" i="84"/>
  <c r="G247" i="84"/>
  <c r="F247" i="84"/>
  <c r="E247" i="84"/>
  <c r="D247" i="84"/>
  <c r="G246" i="84"/>
  <c r="F246" i="84"/>
  <c r="E246" i="84"/>
  <c r="D246" i="84"/>
  <c r="G245" i="84"/>
  <c r="F245" i="84"/>
  <c r="E245" i="84"/>
  <c r="D245" i="84"/>
  <c r="G244" i="84"/>
  <c r="F244" i="84"/>
  <c r="E244" i="84"/>
  <c r="D244" i="84"/>
  <c r="G243" i="84"/>
  <c r="F243" i="84"/>
  <c r="E243" i="84"/>
  <c r="D243" i="84"/>
  <c r="G242" i="84"/>
  <c r="F242" i="84"/>
  <c r="E242" i="84"/>
  <c r="D242" i="84"/>
  <c r="G241" i="84"/>
  <c r="F241" i="84"/>
  <c r="E241" i="84"/>
  <c r="D241" i="84"/>
  <c r="G240" i="84"/>
  <c r="F240" i="84"/>
  <c r="E240" i="84"/>
  <c r="D240" i="84"/>
  <c r="G239" i="84"/>
  <c r="F239" i="84"/>
  <c r="E239" i="84"/>
  <c r="D239" i="84"/>
  <c r="G238" i="84"/>
  <c r="F238" i="84"/>
  <c r="E238" i="84"/>
  <c r="D238" i="84"/>
  <c r="G237" i="84"/>
  <c r="F237" i="84"/>
  <c r="E237" i="84"/>
  <c r="D237" i="84"/>
  <c r="G236" i="84"/>
  <c r="F236" i="84"/>
  <c r="E236" i="84"/>
  <c r="D236" i="84"/>
  <c r="G235" i="84"/>
  <c r="F235" i="84"/>
  <c r="E235" i="84"/>
  <c r="D235" i="84"/>
  <c r="G234" i="84"/>
  <c r="F234" i="84"/>
  <c r="E234" i="84"/>
  <c r="D234" i="84"/>
  <c r="G233" i="84"/>
  <c r="F233" i="84"/>
  <c r="E233" i="84"/>
  <c r="D233" i="84"/>
  <c r="G232" i="84"/>
  <c r="F232" i="84"/>
  <c r="E232" i="84"/>
  <c r="D232" i="84"/>
  <c r="G231" i="84"/>
  <c r="F231" i="84"/>
  <c r="E231" i="84"/>
  <c r="D231" i="84"/>
  <c r="G230" i="84"/>
  <c r="F230" i="84"/>
  <c r="E230" i="84"/>
  <c r="D230" i="84"/>
  <c r="G229" i="84"/>
  <c r="F229" i="84"/>
  <c r="E229" i="84"/>
  <c r="D229" i="84"/>
  <c r="G228" i="84"/>
  <c r="F228" i="84"/>
  <c r="E228" i="84"/>
  <c r="D228" i="84"/>
  <c r="G227" i="84"/>
  <c r="F227" i="84"/>
  <c r="E227" i="84"/>
  <c r="D227" i="84"/>
  <c r="G226" i="84"/>
  <c r="F226" i="84"/>
  <c r="E226" i="84"/>
  <c r="D226" i="84"/>
  <c r="G225" i="84"/>
  <c r="F225" i="84"/>
  <c r="E225" i="84"/>
  <c r="D225" i="84"/>
  <c r="G224" i="84"/>
  <c r="F224" i="84"/>
  <c r="E224" i="84"/>
  <c r="D224" i="84"/>
  <c r="G223" i="84"/>
  <c r="F223" i="84"/>
  <c r="E223" i="84"/>
  <c r="D223" i="84"/>
  <c r="G222" i="84"/>
  <c r="F222" i="84"/>
  <c r="E222" i="84"/>
  <c r="D222" i="84"/>
  <c r="G221" i="84"/>
  <c r="F221" i="84"/>
  <c r="E221" i="84"/>
  <c r="D221" i="84"/>
  <c r="G220" i="84"/>
  <c r="F220" i="84"/>
  <c r="E220" i="84"/>
  <c r="D220" i="84"/>
  <c r="G219" i="84"/>
  <c r="F219" i="84"/>
  <c r="E219" i="84"/>
  <c r="D219" i="84"/>
  <c r="G218" i="84"/>
  <c r="F218" i="84"/>
  <c r="E218" i="84"/>
  <c r="D218" i="84"/>
  <c r="G217" i="84"/>
  <c r="F217" i="84"/>
  <c r="E217" i="84"/>
  <c r="D217" i="84"/>
  <c r="G216" i="84"/>
  <c r="F216" i="84"/>
  <c r="E216" i="84"/>
  <c r="D216" i="84"/>
  <c r="G215" i="84"/>
  <c r="F215" i="84"/>
  <c r="E215" i="84"/>
  <c r="D215" i="84"/>
  <c r="G214" i="84"/>
  <c r="F214" i="84"/>
  <c r="E214" i="84"/>
  <c r="D214" i="84"/>
  <c r="G213" i="84"/>
  <c r="F213" i="84"/>
  <c r="E213" i="84"/>
  <c r="D213" i="84"/>
  <c r="G212" i="84"/>
  <c r="F212" i="84"/>
  <c r="E212" i="84"/>
  <c r="D212" i="84"/>
  <c r="G211" i="84"/>
  <c r="F211" i="84"/>
  <c r="E211" i="84"/>
  <c r="D211" i="84"/>
  <c r="G210" i="84"/>
  <c r="F210" i="84"/>
  <c r="E210" i="84"/>
  <c r="D210" i="84"/>
  <c r="G209" i="84"/>
  <c r="F209" i="84"/>
  <c r="E209" i="84"/>
  <c r="D209" i="84"/>
  <c r="G208" i="84"/>
  <c r="F208" i="84"/>
  <c r="E208" i="84"/>
  <c r="D208" i="84"/>
  <c r="G207" i="84"/>
  <c r="F207" i="84"/>
  <c r="E207" i="84"/>
  <c r="D207" i="84"/>
  <c r="G206" i="84"/>
  <c r="F206" i="84"/>
  <c r="E206" i="84"/>
  <c r="D206" i="84"/>
  <c r="G205" i="84"/>
  <c r="F205" i="84"/>
  <c r="E205" i="84"/>
  <c r="D205" i="84"/>
  <c r="G204" i="84"/>
  <c r="F204" i="84"/>
  <c r="E204" i="84"/>
  <c r="D204" i="84"/>
  <c r="G203" i="84"/>
  <c r="F203" i="84"/>
  <c r="E203" i="84"/>
  <c r="D203" i="84"/>
  <c r="G202" i="84"/>
  <c r="F202" i="84"/>
  <c r="E202" i="84"/>
  <c r="D202" i="84"/>
  <c r="G201" i="84"/>
  <c r="F201" i="84"/>
  <c r="E201" i="84"/>
  <c r="D201" i="84"/>
  <c r="G200" i="84"/>
  <c r="F200" i="84"/>
  <c r="E200" i="84"/>
  <c r="D200" i="84"/>
  <c r="G199" i="84"/>
  <c r="F199" i="84"/>
  <c r="E199" i="84"/>
  <c r="D199" i="84"/>
  <c r="G198" i="84"/>
  <c r="F198" i="84"/>
  <c r="E198" i="84"/>
  <c r="D198" i="84"/>
  <c r="G197" i="84"/>
  <c r="F197" i="84"/>
  <c r="E197" i="84"/>
  <c r="D197" i="84"/>
  <c r="G196" i="84"/>
  <c r="F196" i="84"/>
  <c r="E196" i="84"/>
  <c r="D196" i="84"/>
  <c r="G195" i="84"/>
  <c r="F195" i="84"/>
  <c r="E195" i="84"/>
  <c r="D195" i="84"/>
  <c r="G194" i="84"/>
  <c r="F194" i="84"/>
  <c r="E194" i="84"/>
  <c r="D194" i="84"/>
  <c r="G193" i="84"/>
  <c r="F193" i="84"/>
  <c r="E193" i="84"/>
  <c r="D193" i="84"/>
  <c r="G192" i="84"/>
  <c r="F192" i="84"/>
  <c r="E192" i="84"/>
  <c r="D192" i="84"/>
  <c r="G191" i="84"/>
  <c r="F191" i="84"/>
  <c r="E191" i="84"/>
  <c r="D191" i="84"/>
  <c r="G190" i="84"/>
  <c r="F190" i="84"/>
  <c r="E190" i="84"/>
  <c r="D190" i="84"/>
  <c r="G189" i="84"/>
  <c r="F189" i="84"/>
  <c r="E189" i="84"/>
  <c r="D189" i="84"/>
  <c r="G188" i="84"/>
  <c r="F188" i="84"/>
  <c r="E188" i="84"/>
  <c r="D188" i="84"/>
  <c r="G187" i="84"/>
  <c r="F187" i="84"/>
  <c r="E187" i="84"/>
  <c r="D187" i="84"/>
  <c r="G186" i="84"/>
  <c r="F186" i="84"/>
  <c r="E186" i="84"/>
  <c r="D186" i="84"/>
  <c r="G185" i="84"/>
  <c r="F185" i="84"/>
  <c r="E185" i="84"/>
  <c r="D185" i="84"/>
  <c r="G184" i="84"/>
  <c r="F184" i="84"/>
  <c r="E184" i="84"/>
  <c r="D184" i="84"/>
  <c r="G183" i="84"/>
  <c r="F183" i="84"/>
  <c r="E183" i="84"/>
  <c r="D183" i="84"/>
  <c r="G182" i="84"/>
  <c r="F182" i="84"/>
  <c r="E182" i="84"/>
  <c r="D182" i="84"/>
  <c r="G181" i="84"/>
  <c r="F181" i="84"/>
  <c r="E181" i="84"/>
  <c r="D181" i="84"/>
  <c r="G180" i="84"/>
  <c r="F180" i="84"/>
  <c r="E180" i="84"/>
  <c r="D180" i="84"/>
  <c r="G179" i="84"/>
  <c r="F179" i="84"/>
  <c r="E179" i="84"/>
  <c r="D179" i="84"/>
  <c r="G178" i="84"/>
  <c r="F178" i="84"/>
  <c r="E178" i="84"/>
  <c r="D178" i="84"/>
  <c r="G177" i="84"/>
  <c r="F177" i="84"/>
  <c r="E177" i="84"/>
  <c r="D177" i="84"/>
  <c r="G176" i="84"/>
  <c r="F176" i="84"/>
  <c r="E176" i="84"/>
  <c r="D176" i="84"/>
  <c r="G175" i="84"/>
  <c r="F175" i="84"/>
  <c r="E175" i="84"/>
  <c r="D175" i="84"/>
  <c r="G174" i="84"/>
  <c r="F174" i="84"/>
  <c r="E174" i="84"/>
  <c r="D174" i="84"/>
  <c r="G173" i="84"/>
  <c r="F173" i="84"/>
  <c r="E173" i="84"/>
  <c r="D173" i="84"/>
  <c r="G172" i="84"/>
  <c r="F172" i="84"/>
  <c r="E172" i="84"/>
  <c r="D172" i="84"/>
  <c r="G171" i="84"/>
  <c r="F171" i="84"/>
  <c r="E171" i="84"/>
  <c r="D171" i="84"/>
  <c r="G170" i="84"/>
  <c r="F170" i="84"/>
  <c r="E170" i="84"/>
  <c r="D170" i="84"/>
  <c r="G169" i="84"/>
  <c r="F169" i="84"/>
  <c r="E169" i="84"/>
  <c r="D169" i="84"/>
  <c r="G168" i="84"/>
  <c r="F168" i="84"/>
  <c r="E168" i="84"/>
  <c r="D168" i="84"/>
  <c r="G167" i="84"/>
  <c r="F167" i="84"/>
  <c r="E167" i="84"/>
  <c r="D167" i="84"/>
  <c r="G166" i="84"/>
  <c r="F166" i="84"/>
  <c r="E166" i="84"/>
  <c r="D166" i="84"/>
  <c r="G165" i="84"/>
  <c r="F165" i="84"/>
  <c r="E165" i="84"/>
  <c r="D165" i="84"/>
  <c r="G164" i="84"/>
  <c r="F164" i="84"/>
  <c r="E164" i="84"/>
  <c r="D164" i="84"/>
  <c r="G163" i="84"/>
  <c r="F163" i="84"/>
  <c r="E163" i="84"/>
  <c r="D163" i="84"/>
  <c r="G162" i="84"/>
  <c r="F162" i="84"/>
  <c r="E162" i="84"/>
  <c r="D162" i="84"/>
  <c r="G161" i="84"/>
  <c r="F161" i="84"/>
  <c r="E161" i="84"/>
  <c r="D161" i="84"/>
  <c r="G160" i="84"/>
  <c r="F160" i="84"/>
  <c r="E160" i="84"/>
  <c r="D160" i="84"/>
  <c r="G159" i="84"/>
  <c r="F159" i="84"/>
  <c r="E159" i="84"/>
  <c r="D159" i="84"/>
  <c r="G158" i="84"/>
  <c r="F158" i="84"/>
  <c r="E158" i="84"/>
  <c r="D158" i="84"/>
  <c r="G157" i="84"/>
  <c r="F157" i="84"/>
  <c r="E157" i="84"/>
  <c r="D157" i="84"/>
  <c r="G156" i="84"/>
  <c r="F156" i="84"/>
  <c r="E156" i="84"/>
  <c r="D156" i="84"/>
  <c r="G155" i="84"/>
  <c r="F155" i="84"/>
  <c r="E155" i="84"/>
  <c r="D155" i="84"/>
  <c r="G154" i="84"/>
  <c r="F154" i="84"/>
  <c r="E154" i="84"/>
  <c r="D154" i="84"/>
  <c r="G153" i="84"/>
  <c r="F153" i="84"/>
  <c r="E153" i="84"/>
  <c r="D153" i="84"/>
  <c r="G152" i="84"/>
  <c r="F152" i="84"/>
  <c r="E152" i="84"/>
  <c r="D152" i="84"/>
  <c r="G151" i="84"/>
  <c r="F151" i="84"/>
  <c r="E151" i="84"/>
  <c r="D151" i="84"/>
  <c r="G150" i="84"/>
  <c r="F150" i="84"/>
  <c r="E150" i="84"/>
  <c r="D150" i="84"/>
  <c r="G149" i="84"/>
  <c r="F149" i="84"/>
  <c r="E149" i="84"/>
  <c r="D149" i="84"/>
  <c r="G148" i="84"/>
  <c r="F148" i="84"/>
  <c r="E148" i="84"/>
  <c r="D148" i="84"/>
  <c r="G147" i="84"/>
  <c r="F147" i="84"/>
  <c r="E147" i="84"/>
  <c r="D147" i="84"/>
  <c r="G146" i="84"/>
  <c r="F146" i="84"/>
  <c r="E146" i="84"/>
  <c r="D146" i="84"/>
  <c r="G145" i="84"/>
  <c r="F145" i="84"/>
  <c r="E145" i="84"/>
  <c r="D145" i="84"/>
  <c r="G144" i="84"/>
  <c r="F144" i="84"/>
  <c r="E144" i="84"/>
  <c r="D144" i="84"/>
  <c r="G143" i="84"/>
  <c r="F143" i="84"/>
  <c r="E143" i="84"/>
  <c r="D143" i="84"/>
  <c r="G142" i="84"/>
  <c r="F142" i="84"/>
  <c r="E142" i="84"/>
  <c r="D142" i="84"/>
  <c r="G141" i="84"/>
  <c r="F141" i="84"/>
  <c r="E141" i="84"/>
  <c r="D141" i="84"/>
  <c r="G140" i="84"/>
  <c r="F140" i="84"/>
  <c r="E140" i="84"/>
  <c r="D140" i="84"/>
  <c r="G139" i="84"/>
  <c r="F139" i="84"/>
  <c r="E139" i="84"/>
  <c r="D139" i="84"/>
  <c r="G138" i="84"/>
  <c r="F138" i="84"/>
  <c r="E138" i="84"/>
  <c r="D138" i="84"/>
  <c r="G137" i="84"/>
  <c r="F137" i="84"/>
  <c r="E137" i="84"/>
  <c r="D137" i="84"/>
  <c r="G136" i="84"/>
  <c r="F136" i="84"/>
  <c r="E136" i="84"/>
  <c r="D136" i="84"/>
  <c r="G135" i="84"/>
  <c r="F135" i="84"/>
  <c r="E135" i="84"/>
  <c r="D135" i="84"/>
  <c r="G134" i="84"/>
  <c r="F134" i="84"/>
  <c r="E134" i="84"/>
  <c r="D134" i="84"/>
  <c r="G133" i="84"/>
  <c r="F133" i="84"/>
  <c r="E133" i="84"/>
  <c r="D133" i="84"/>
  <c r="G132" i="84"/>
  <c r="F132" i="84"/>
  <c r="E132" i="84"/>
  <c r="D132" i="84"/>
  <c r="G131" i="84"/>
  <c r="F131" i="84"/>
  <c r="E131" i="84"/>
  <c r="D131" i="84"/>
  <c r="G130" i="84"/>
  <c r="F130" i="84"/>
  <c r="E130" i="84"/>
  <c r="D130" i="84"/>
  <c r="G129" i="84"/>
  <c r="F129" i="84"/>
  <c r="E129" i="84"/>
  <c r="D129" i="84"/>
  <c r="G128" i="84"/>
  <c r="F128" i="84"/>
  <c r="E128" i="84"/>
  <c r="D128" i="84"/>
  <c r="G127" i="84"/>
  <c r="F127" i="84"/>
  <c r="E127" i="84"/>
  <c r="D127" i="84"/>
  <c r="G126" i="84"/>
  <c r="F126" i="84"/>
  <c r="E126" i="84"/>
  <c r="D126" i="84"/>
  <c r="G125" i="84"/>
  <c r="F125" i="84"/>
  <c r="E125" i="84"/>
  <c r="D125" i="84"/>
  <c r="G124" i="84"/>
  <c r="F124" i="84"/>
  <c r="E124" i="84"/>
  <c r="D124" i="84"/>
  <c r="G123" i="84"/>
  <c r="F123" i="84"/>
  <c r="E123" i="84"/>
  <c r="D123" i="84"/>
  <c r="G122" i="84"/>
  <c r="F122" i="84"/>
  <c r="E122" i="84"/>
  <c r="D122" i="84"/>
  <c r="G121" i="84"/>
  <c r="F121" i="84"/>
  <c r="E121" i="84"/>
  <c r="D121" i="84"/>
  <c r="G120" i="84"/>
  <c r="F120" i="84"/>
  <c r="E120" i="84"/>
  <c r="D120" i="84"/>
  <c r="G119" i="84"/>
  <c r="F119" i="84"/>
  <c r="E119" i="84"/>
  <c r="D119" i="84"/>
  <c r="G118" i="84"/>
  <c r="F118" i="84"/>
  <c r="E118" i="84"/>
  <c r="D118" i="84"/>
  <c r="G117" i="84"/>
  <c r="F117" i="84"/>
  <c r="E117" i="84"/>
  <c r="D117" i="84"/>
  <c r="G116" i="84"/>
  <c r="F116" i="84"/>
  <c r="E116" i="84"/>
  <c r="D116" i="84"/>
  <c r="G115" i="84"/>
  <c r="F115" i="84"/>
  <c r="E115" i="84"/>
  <c r="D115" i="84"/>
  <c r="G114" i="84"/>
  <c r="F114" i="84"/>
  <c r="E114" i="84"/>
  <c r="D114" i="84"/>
  <c r="G113" i="84"/>
  <c r="F113" i="84"/>
  <c r="E113" i="84"/>
  <c r="D113" i="84"/>
  <c r="G112" i="84"/>
  <c r="F112" i="84"/>
  <c r="E112" i="84"/>
  <c r="D112" i="84"/>
  <c r="G111" i="84"/>
  <c r="F111" i="84"/>
  <c r="E111" i="84"/>
  <c r="D111" i="84"/>
  <c r="G110" i="84"/>
  <c r="F110" i="84"/>
  <c r="E110" i="84"/>
  <c r="D110" i="84"/>
  <c r="G109" i="84"/>
  <c r="F109" i="84"/>
  <c r="E109" i="84"/>
  <c r="D109" i="84"/>
  <c r="G108" i="84"/>
  <c r="F108" i="84"/>
  <c r="E108" i="84"/>
  <c r="D108" i="84"/>
  <c r="G107" i="84"/>
  <c r="F107" i="84"/>
  <c r="E107" i="84"/>
  <c r="D107" i="84"/>
  <c r="G106" i="84"/>
  <c r="F106" i="84"/>
  <c r="E106" i="84"/>
  <c r="D106" i="84"/>
  <c r="G105" i="84"/>
  <c r="F105" i="84"/>
  <c r="E105" i="84"/>
  <c r="D105" i="84"/>
  <c r="G104" i="84"/>
  <c r="F104" i="84"/>
  <c r="E104" i="84"/>
  <c r="D104" i="84"/>
  <c r="G103" i="84"/>
  <c r="F103" i="84"/>
  <c r="E103" i="84"/>
  <c r="D103" i="84"/>
  <c r="G102" i="84"/>
  <c r="F102" i="84"/>
  <c r="E102" i="84"/>
  <c r="D102" i="84"/>
  <c r="G101" i="84"/>
  <c r="F101" i="84"/>
  <c r="E101" i="84"/>
  <c r="D101" i="84"/>
  <c r="G100" i="84"/>
  <c r="F100" i="84"/>
  <c r="E100" i="84"/>
  <c r="D100" i="84"/>
  <c r="G99" i="84"/>
  <c r="F99" i="84"/>
  <c r="E99" i="84"/>
  <c r="D99" i="84"/>
  <c r="G98" i="84"/>
  <c r="F98" i="84"/>
  <c r="E98" i="84"/>
  <c r="D98" i="84"/>
  <c r="G97" i="84"/>
  <c r="F97" i="84"/>
  <c r="E97" i="84"/>
  <c r="D97" i="84"/>
  <c r="G96" i="84"/>
  <c r="F96" i="84"/>
  <c r="E96" i="84"/>
  <c r="D96" i="84"/>
  <c r="G95" i="84"/>
  <c r="F95" i="84"/>
  <c r="E95" i="84"/>
  <c r="D95" i="84"/>
  <c r="G94" i="84"/>
  <c r="F94" i="84"/>
  <c r="E94" i="84"/>
  <c r="D94" i="84"/>
  <c r="G93" i="84"/>
  <c r="F93" i="84"/>
  <c r="E93" i="84"/>
  <c r="D93" i="84"/>
  <c r="G92" i="84"/>
  <c r="F92" i="84"/>
  <c r="E92" i="84"/>
  <c r="D92" i="84"/>
  <c r="G91" i="84"/>
  <c r="F91" i="84"/>
  <c r="E91" i="84"/>
  <c r="D91" i="84"/>
  <c r="G90" i="84"/>
  <c r="F90" i="84"/>
  <c r="E90" i="84"/>
  <c r="D90" i="84"/>
  <c r="G89" i="84"/>
  <c r="F89" i="84"/>
  <c r="E89" i="84"/>
  <c r="D89" i="84"/>
  <c r="G88" i="84"/>
  <c r="F88" i="84"/>
  <c r="E88" i="84"/>
  <c r="D88" i="84"/>
  <c r="G87" i="84"/>
  <c r="F87" i="84"/>
  <c r="E87" i="84"/>
  <c r="D87" i="84"/>
  <c r="G86" i="84"/>
  <c r="F86" i="84"/>
  <c r="E86" i="84"/>
  <c r="D86" i="84"/>
  <c r="G85" i="84"/>
  <c r="F85" i="84"/>
  <c r="E85" i="84"/>
  <c r="D85" i="84"/>
  <c r="G84" i="84"/>
  <c r="F84" i="84"/>
  <c r="E84" i="84"/>
  <c r="D84" i="84"/>
  <c r="G83" i="84"/>
  <c r="F83" i="84"/>
  <c r="E83" i="84"/>
  <c r="D83" i="84"/>
  <c r="G82" i="84"/>
  <c r="F82" i="84"/>
  <c r="E82" i="84"/>
  <c r="D82" i="84"/>
  <c r="G81" i="84"/>
  <c r="F81" i="84"/>
  <c r="E81" i="84"/>
  <c r="D81" i="84"/>
  <c r="G80" i="84"/>
  <c r="F80" i="84"/>
  <c r="E80" i="84"/>
  <c r="D80" i="84"/>
  <c r="G79" i="84"/>
  <c r="F79" i="84"/>
  <c r="E79" i="84"/>
  <c r="D79" i="84"/>
  <c r="G78" i="84"/>
  <c r="F78" i="84"/>
  <c r="E78" i="84"/>
  <c r="D78" i="84"/>
  <c r="G77" i="84"/>
  <c r="F77" i="84"/>
  <c r="E77" i="84"/>
  <c r="D77" i="84"/>
  <c r="G76" i="84"/>
  <c r="F76" i="84"/>
  <c r="E76" i="84"/>
  <c r="D76" i="84"/>
  <c r="G75" i="84"/>
  <c r="F75" i="84"/>
  <c r="E75" i="84"/>
  <c r="D75" i="84"/>
  <c r="G74" i="84"/>
  <c r="F74" i="84"/>
  <c r="E74" i="84"/>
  <c r="D74" i="84"/>
  <c r="G73" i="84"/>
  <c r="F73" i="84"/>
  <c r="E73" i="84"/>
  <c r="D73" i="84"/>
  <c r="G72" i="84"/>
  <c r="F72" i="84"/>
  <c r="E72" i="84"/>
  <c r="D72" i="84"/>
  <c r="G71" i="84"/>
  <c r="F71" i="84"/>
  <c r="E71" i="84"/>
  <c r="D71" i="84"/>
  <c r="G70" i="84"/>
  <c r="F70" i="84"/>
  <c r="E70" i="84"/>
  <c r="D70" i="84"/>
  <c r="G69" i="84"/>
  <c r="F69" i="84"/>
  <c r="E69" i="84"/>
  <c r="D69" i="84"/>
  <c r="G68" i="84"/>
  <c r="F68" i="84"/>
  <c r="E68" i="84"/>
  <c r="D68" i="84"/>
  <c r="G67" i="84"/>
  <c r="F67" i="84"/>
  <c r="E67" i="84"/>
  <c r="D67" i="84"/>
  <c r="G66" i="84"/>
  <c r="F66" i="84"/>
  <c r="E66" i="84"/>
  <c r="D66" i="84"/>
  <c r="G65" i="84"/>
  <c r="F65" i="84"/>
  <c r="E65" i="84"/>
  <c r="D65" i="84"/>
  <c r="G64" i="84"/>
  <c r="F64" i="84"/>
  <c r="E64" i="84"/>
  <c r="D64" i="84"/>
  <c r="G63" i="84"/>
  <c r="F63" i="84"/>
  <c r="E63" i="84"/>
  <c r="D63" i="84"/>
  <c r="G62" i="84"/>
  <c r="F62" i="84"/>
  <c r="E62" i="84"/>
  <c r="D62" i="84"/>
  <c r="G61" i="84"/>
  <c r="F61" i="84"/>
  <c r="E61" i="84"/>
  <c r="D61" i="84"/>
  <c r="G60" i="84"/>
  <c r="F60" i="84"/>
  <c r="E60" i="84"/>
  <c r="D60" i="84"/>
  <c r="G59" i="84"/>
  <c r="F59" i="84"/>
  <c r="E59" i="84"/>
  <c r="D59" i="84"/>
  <c r="G58" i="84"/>
  <c r="F58" i="84"/>
  <c r="E58" i="84"/>
  <c r="D58" i="84"/>
  <c r="G57" i="84"/>
  <c r="F57" i="84"/>
  <c r="E57" i="84"/>
  <c r="D57" i="84"/>
  <c r="G56" i="84"/>
  <c r="F56" i="84"/>
  <c r="E56" i="84"/>
  <c r="D56" i="84"/>
  <c r="G55" i="84"/>
  <c r="F55" i="84"/>
  <c r="E55" i="84"/>
  <c r="D55" i="84"/>
  <c r="G54" i="84"/>
  <c r="F54" i="84"/>
  <c r="E54" i="84"/>
  <c r="D54" i="84"/>
  <c r="G53" i="84"/>
  <c r="F53" i="84"/>
  <c r="E53" i="84"/>
  <c r="D53" i="84"/>
  <c r="G52" i="84"/>
  <c r="F52" i="84"/>
  <c r="E52" i="84"/>
  <c r="D52" i="84"/>
  <c r="G51" i="84"/>
  <c r="F51" i="84"/>
  <c r="E51" i="84"/>
  <c r="D51" i="84"/>
  <c r="G50" i="84"/>
  <c r="F50" i="84"/>
  <c r="E50" i="84"/>
  <c r="D50" i="84"/>
  <c r="G49" i="84"/>
  <c r="F49" i="84"/>
  <c r="E49" i="84"/>
  <c r="D49" i="84"/>
  <c r="G48" i="84"/>
  <c r="F48" i="84"/>
  <c r="E48" i="84"/>
  <c r="D48" i="84"/>
  <c r="G47" i="84"/>
  <c r="F47" i="84"/>
  <c r="E47" i="84"/>
  <c r="D47" i="84"/>
  <c r="G46" i="84"/>
  <c r="F46" i="84"/>
  <c r="E46" i="84"/>
  <c r="D46" i="84"/>
  <c r="G45" i="84"/>
  <c r="F45" i="84"/>
  <c r="E45" i="84"/>
  <c r="D45" i="84"/>
  <c r="G44" i="84"/>
  <c r="F44" i="84"/>
  <c r="E44" i="84"/>
  <c r="D44" i="84"/>
  <c r="G43" i="84"/>
  <c r="F43" i="84"/>
  <c r="E43" i="84"/>
  <c r="D43" i="84"/>
  <c r="G42" i="84"/>
  <c r="F42" i="84"/>
  <c r="E42" i="84"/>
  <c r="D42" i="84"/>
  <c r="G41" i="84"/>
  <c r="F41" i="84"/>
  <c r="E41" i="84"/>
  <c r="D41" i="84"/>
  <c r="G40" i="84"/>
  <c r="F40" i="84"/>
  <c r="E40" i="84"/>
  <c r="D40" i="84"/>
  <c r="G39" i="84"/>
  <c r="F39" i="84"/>
  <c r="E39" i="84"/>
  <c r="D39" i="84"/>
  <c r="G38" i="84"/>
  <c r="F38" i="84"/>
  <c r="E38" i="84"/>
  <c r="D38" i="84"/>
  <c r="G37" i="84"/>
  <c r="F37" i="84"/>
  <c r="E37" i="84"/>
  <c r="D37" i="84"/>
  <c r="G36" i="84"/>
  <c r="F36" i="84"/>
  <c r="E36" i="84"/>
  <c r="D36" i="84"/>
  <c r="G35" i="84"/>
  <c r="F35" i="84"/>
  <c r="E35" i="84"/>
  <c r="D35" i="84"/>
  <c r="G34" i="84"/>
  <c r="F34" i="84"/>
  <c r="E34" i="84"/>
  <c r="D34" i="84"/>
  <c r="G33" i="84"/>
  <c r="F33" i="84"/>
  <c r="E33" i="84"/>
  <c r="D33" i="84"/>
  <c r="G32" i="84"/>
  <c r="F32" i="84"/>
  <c r="E32" i="84"/>
  <c r="D32" i="84"/>
  <c r="G31" i="84"/>
  <c r="F31" i="84"/>
  <c r="E31" i="84"/>
  <c r="D31" i="84"/>
  <c r="G30" i="84"/>
  <c r="F30" i="84"/>
  <c r="E30" i="84"/>
  <c r="D30" i="84"/>
  <c r="G29" i="84"/>
  <c r="F29" i="84"/>
  <c r="E29" i="84"/>
  <c r="D29" i="84"/>
  <c r="G28" i="84"/>
  <c r="F28" i="84"/>
  <c r="E28" i="84"/>
  <c r="D28" i="84"/>
  <c r="G27" i="84"/>
  <c r="F27" i="84"/>
  <c r="E27" i="84"/>
  <c r="D27" i="84"/>
  <c r="G26" i="84"/>
  <c r="F26" i="84"/>
  <c r="E26" i="84"/>
  <c r="D26" i="84"/>
  <c r="G25" i="84"/>
  <c r="F25" i="84"/>
  <c r="E25" i="84"/>
  <c r="D25" i="84"/>
  <c r="G24" i="84"/>
  <c r="F24" i="84"/>
  <c r="E24" i="84"/>
  <c r="D24" i="84"/>
  <c r="G23" i="84"/>
  <c r="F23" i="84"/>
  <c r="E23" i="84"/>
  <c r="D23" i="84"/>
  <c r="G22" i="84"/>
  <c r="F22" i="84"/>
  <c r="E22" i="84"/>
  <c r="D22" i="84"/>
  <c r="G21" i="84"/>
  <c r="F21" i="84"/>
  <c r="E21" i="84"/>
  <c r="D21" i="84"/>
  <c r="G20" i="84"/>
  <c r="F20" i="84"/>
  <c r="E20" i="84"/>
  <c r="D20" i="84"/>
  <c r="G19" i="84"/>
  <c r="F19" i="84"/>
  <c r="E19" i="84"/>
  <c r="D19" i="84"/>
  <c r="G18" i="84"/>
  <c r="F18" i="84"/>
  <c r="E18" i="84"/>
  <c r="D18" i="84"/>
  <c r="G17" i="84"/>
  <c r="F17" i="84"/>
  <c r="E17" i="84"/>
  <c r="D17" i="84"/>
  <c r="G16" i="84"/>
  <c r="F16" i="84"/>
  <c r="E16" i="84"/>
  <c r="D16" i="84"/>
  <c r="G15" i="84"/>
  <c r="F15" i="84"/>
  <c r="E15" i="84"/>
  <c r="D15" i="84"/>
  <c r="G14" i="84"/>
  <c r="F14" i="84"/>
  <c r="E14" i="84"/>
  <c r="D14" i="84"/>
  <c r="G13" i="84"/>
  <c r="F13" i="84"/>
  <c r="E13" i="84"/>
  <c r="D13" i="84"/>
  <c r="G12" i="84"/>
  <c r="F12" i="84"/>
  <c r="E12" i="84"/>
  <c r="D12" i="84"/>
  <c r="G11" i="84"/>
  <c r="F11" i="84"/>
  <c r="E11" i="84"/>
  <c r="D11" i="84"/>
  <c r="G10" i="84"/>
  <c r="F10" i="84"/>
  <c r="E10" i="84"/>
  <c r="D10" i="84"/>
  <c r="G9" i="84"/>
  <c r="F9" i="84"/>
  <c r="E9" i="84"/>
  <c r="D9" i="84"/>
  <c r="G8" i="84"/>
  <c r="F8" i="84"/>
  <c r="E8" i="84"/>
  <c r="D8" i="84"/>
  <c r="G7" i="84"/>
  <c r="F7" i="84"/>
  <c r="E7" i="84"/>
  <c r="D7" i="84"/>
  <c r="G6" i="84"/>
  <c r="F6" i="84"/>
  <c r="E6" i="84"/>
  <c r="D6" i="84"/>
  <c r="G5" i="84"/>
  <c r="F5" i="84"/>
  <c r="E5" i="84"/>
  <c r="D5" i="84"/>
  <c r="G4" i="84"/>
  <c r="F4" i="84"/>
  <c r="E4" i="84"/>
  <c r="D4" i="84"/>
  <c r="G3" i="84"/>
  <c r="F3" i="84"/>
  <c r="E3" i="84"/>
  <c r="D3" i="84"/>
  <c r="G2" i="84"/>
  <c r="F2" i="84"/>
  <c r="E2" i="84"/>
  <c r="D2" i="84"/>
  <c r="L673" i="68" l="1"/>
  <c r="L523" i="68"/>
  <c r="L43" i="68"/>
  <c r="L313" i="68"/>
  <c r="L668" i="68"/>
  <c r="L554" i="68"/>
  <c r="L416" i="68"/>
  <c r="L344" i="68"/>
  <c r="L266" i="68"/>
  <c r="L194" i="68"/>
  <c r="L259" i="68"/>
  <c r="L674" i="68"/>
  <c r="L518" i="68"/>
  <c r="L457" i="68"/>
  <c r="L729" i="68"/>
  <c r="L519" i="68"/>
  <c r="L447" i="68"/>
  <c r="L375" i="68"/>
  <c r="L699" i="68"/>
  <c r="L712" i="68"/>
  <c r="L640" i="68"/>
  <c r="L568" i="68"/>
  <c r="L496" i="68"/>
  <c r="L591" i="68"/>
  <c r="L103" i="68"/>
  <c r="L641" i="68"/>
  <c r="L545" i="68"/>
  <c r="L473" i="68"/>
  <c r="L401" i="68"/>
  <c r="L379" i="68"/>
  <c r="L549" i="68"/>
  <c r="L727" i="68"/>
  <c r="L319" i="68"/>
  <c r="L645" i="68"/>
  <c r="L738" i="68"/>
  <c r="L666" i="68"/>
  <c r="L594" i="68"/>
  <c r="L522" i="68"/>
  <c r="L110" i="68"/>
  <c r="L38" i="68"/>
  <c r="L333" i="68"/>
  <c r="L261" i="68"/>
  <c r="L189" i="68"/>
  <c r="L117" i="68"/>
  <c r="L45" i="68"/>
  <c r="L442" i="68"/>
  <c r="L370" i="68"/>
  <c r="L298" i="68"/>
  <c r="L226" i="68"/>
  <c r="L154" i="68"/>
  <c r="L82" i="68"/>
  <c r="L10" i="68"/>
  <c r="L305" i="68"/>
  <c r="L233" i="68"/>
  <c r="L161" i="68"/>
  <c r="L89" i="68"/>
  <c r="L17" i="68"/>
  <c r="L456" i="68"/>
  <c r="L384" i="68"/>
  <c r="L312" i="68"/>
  <c r="L240" i="68"/>
  <c r="L168" i="68"/>
  <c r="L96" i="68"/>
  <c r="L24" i="68"/>
  <c r="L299" i="68"/>
  <c r="L155" i="68"/>
  <c r="L11" i="68"/>
  <c r="L378" i="68"/>
  <c r="L234" i="68"/>
  <c r="L90" i="68"/>
  <c r="L18" i="68"/>
  <c r="L84" i="68"/>
  <c r="L294" i="68"/>
  <c r="L78" i="68"/>
  <c r="L268" i="68"/>
  <c r="L347" i="68"/>
  <c r="L59" i="68"/>
  <c r="L210" i="68"/>
  <c r="L253" i="68"/>
  <c r="L380" i="68"/>
  <c r="L302" i="68"/>
  <c r="L230" i="68"/>
  <c r="L596" i="68"/>
  <c r="L561" i="68"/>
  <c r="L511" i="68"/>
  <c r="L532" i="68"/>
  <c r="L581" i="68"/>
  <c r="L747" i="68"/>
  <c r="L630" i="68"/>
  <c r="L146" i="68"/>
  <c r="L225" i="68"/>
  <c r="L334" i="68"/>
  <c r="L341" i="68"/>
  <c r="L125" i="68"/>
  <c r="L348" i="68"/>
  <c r="L679" i="68"/>
  <c r="L741" i="68"/>
  <c r="L127" i="68"/>
  <c r="L331" i="68"/>
  <c r="L339" i="68"/>
  <c r="L232" i="68"/>
  <c r="L607" i="68"/>
  <c r="L463" i="68"/>
  <c r="L25" i="68"/>
  <c r="L241" i="68"/>
  <c r="L662" i="68"/>
  <c r="L536" i="68"/>
  <c r="L410" i="68"/>
  <c r="L332" i="68"/>
  <c r="L260" i="68"/>
  <c r="L188" i="68"/>
  <c r="L139" i="68"/>
  <c r="L656" i="68"/>
  <c r="L506" i="68"/>
  <c r="L433" i="68"/>
  <c r="L633" i="68"/>
  <c r="L513" i="68"/>
  <c r="L441" i="68"/>
  <c r="L2" i="68"/>
  <c r="L663" i="68"/>
  <c r="L706" i="68"/>
  <c r="L634" i="68"/>
  <c r="L562" i="68"/>
  <c r="L490" i="68"/>
  <c r="L733" i="68"/>
  <c r="L705" i="68"/>
  <c r="L635" i="68"/>
  <c r="L539" i="68"/>
  <c r="L467" i="68"/>
  <c r="L395" i="68"/>
  <c r="L295" i="68"/>
  <c r="L749" i="68"/>
  <c r="L667" i="68"/>
  <c r="L289" i="68"/>
  <c r="L627" i="68"/>
  <c r="L732" i="68"/>
  <c r="L660" i="68"/>
  <c r="L588" i="68"/>
  <c r="L516" i="68"/>
  <c r="L104" i="68"/>
  <c r="L32" i="68"/>
  <c r="L327" i="68"/>
  <c r="L255" i="68"/>
  <c r="L183" i="68"/>
  <c r="L111" i="68"/>
  <c r="L39" i="68"/>
  <c r="L436" i="68"/>
  <c r="L364" i="68"/>
  <c r="L292" i="68"/>
  <c r="L220" i="68"/>
  <c r="L148" i="68"/>
  <c r="L76" i="68"/>
  <c r="L4" i="68"/>
  <c r="L227" i="68"/>
  <c r="L83" i="68"/>
  <c r="L450" i="68"/>
  <c r="L306" i="68"/>
  <c r="L162" i="68"/>
  <c r="L12" i="68"/>
  <c r="L222" i="68"/>
  <c r="L15" i="68"/>
  <c r="L52" i="68"/>
  <c r="L498" i="68"/>
  <c r="L138" i="68"/>
  <c r="L746" i="68"/>
  <c r="L740" i="68"/>
  <c r="L483" i="68"/>
  <c r="L604" i="68"/>
  <c r="L509" i="68"/>
  <c r="L659" i="68"/>
  <c r="L558" i="68"/>
  <c r="L153" i="68"/>
  <c r="L190" i="68"/>
  <c r="L269" i="68"/>
  <c r="L276" i="68"/>
  <c r="L680" i="68"/>
  <c r="L325" i="68"/>
  <c r="L525" i="68"/>
  <c r="L681" i="68"/>
  <c r="L657" i="68"/>
  <c r="L195" i="68"/>
  <c r="L16" i="68"/>
  <c r="L577" i="68"/>
  <c r="L415" i="68"/>
  <c r="L19" i="68"/>
  <c r="L115" i="68"/>
  <c r="L650" i="68"/>
  <c r="L512" i="68"/>
  <c r="L404" i="68"/>
  <c r="L326" i="68"/>
  <c r="L254" i="68"/>
  <c r="L182" i="68"/>
  <c r="L91" i="68"/>
  <c r="L638" i="68"/>
  <c r="L500" i="68"/>
  <c r="L409" i="68"/>
  <c r="L597" i="68"/>
  <c r="L507" i="68"/>
  <c r="L435" i="68"/>
  <c r="L751" i="68"/>
  <c r="L621" i="68"/>
  <c r="L700" i="68"/>
  <c r="L628" i="68"/>
  <c r="L556" i="68"/>
  <c r="L484" i="68"/>
  <c r="L703" i="68"/>
  <c r="L693" i="68"/>
  <c r="L617" i="68"/>
  <c r="L533" i="68"/>
  <c r="L461" i="68"/>
  <c r="L389" i="68"/>
  <c r="L217" i="68"/>
  <c r="L731" i="68"/>
  <c r="L631" i="68"/>
  <c r="L229" i="68"/>
  <c r="L755" i="68"/>
  <c r="L726" i="68"/>
  <c r="L654" i="68"/>
  <c r="L582" i="68"/>
  <c r="L170" i="68"/>
  <c r="L98" i="68"/>
  <c r="L26" i="68"/>
  <c r="L321" i="68"/>
  <c r="L249" i="68"/>
  <c r="L177" i="68"/>
  <c r="L105" i="68"/>
  <c r="L33" i="68"/>
  <c r="L430" i="68"/>
  <c r="L358" i="68"/>
  <c r="L286" i="68"/>
  <c r="L214" i="68"/>
  <c r="L142" i="68"/>
  <c r="L70" i="68"/>
  <c r="L365" i="68"/>
  <c r="L293" i="68"/>
  <c r="L221" i="68"/>
  <c r="L149" i="68"/>
  <c r="L77" i="68"/>
  <c r="L5" i="68"/>
  <c r="L444" i="68"/>
  <c r="L372" i="68"/>
  <c r="L300" i="68"/>
  <c r="L228" i="68"/>
  <c r="L156" i="68"/>
  <c r="L150" i="68"/>
  <c r="L87" i="68"/>
  <c r="L203" i="68"/>
  <c r="L282" i="68"/>
  <c r="L223" i="68"/>
  <c r="L446" i="68"/>
  <c r="L676" i="68"/>
  <c r="L469" i="68"/>
  <c r="L745" i="68"/>
  <c r="L702" i="68"/>
  <c r="L74" i="68"/>
  <c r="L81" i="68"/>
  <c r="L118" i="68"/>
  <c r="L53" i="68"/>
  <c r="L60" i="68"/>
  <c r="L422" i="68"/>
  <c r="L524" i="68"/>
  <c r="L646" i="68"/>
  <c r="L407" i="68"/>
  <c r="L600" i="68"/>
  <c r="L51" i="68"/>
  <c r="L529" i="68"/>
  <c r="L385" i="68"/>
  <c r="L13" i="68"/>
  <c r="L61" i="68"/>
  <c r="L644" i="68"/>
  <c r="L488" i="68"/>
  <c r="L398" i="68"/>
  <c r="L320" i="68"/>
  <c r="L248" i="68"/>
  <c r="L176" i="68"/>
  <c r="L67" i="68"/>
  <c r="L632" i="68"/>
  <c r="L494" i="68"/>
  <c r="L391" i="68"/>
  <c r="L579" i="68"/>
  <c r="L501" i="68"/>
  <c r="L429" i="68"/>
  <c r="L697" i="68"/>
  <c r="L585" i="68"/>
  <c r="L694" i="68"/>
  <c r="L622" i="68"/>
  <c r="L550" i="68"/>
  <c r="L478" i="68"/>
  <c r="L661" i="68"/>
  <c r="L651" i="68"/>
  <c r="L611" i="68"/>
  <c r="L527" i="68"/>
  <c r="L455" i="68"/>
  <c r="L383" i="68"/>
  <c r="L199" i="68"/>
  <c r="L707" i="68"/>
  <c r="L601" i="68"/>
  <c r="L175" i="68"/>
  <c r="L743" i="68"/>
  <c r="L720" i="68"/>
  <c r="L648" i="68"/>
  <c r="L576" i="68"/>
  <c r="L164" i="68"/>
  <c r="L92" i="68"/>
  <c r="L20" i="68"/>
  <c r="L315" i="68"/>
  <c r="L243" i="68"/>
  <c r="L171" i="68"/>
  <c r="L99" i="68"/>
  <c r="L27" i="68"/>
  <c r="L424" i="68"/>
  <c r="L352" i="68"/>
  <c r="L280" i="68"/>
  <c r="L208" i="68"/>
  <c r="L136" i="68"/>
  <c r="L64" i="68"/>
  <c r="L359" i="68"/>
  <c r="L287" i="68"/>
  <c r="L215" i="68"/>
  <c r="L143" i="68"/>
  <c r="L71" i="68"/>
  <c r="L510" i="68"/>
  <c r="L438" i="68"/>
  <c r="L366" i="68"/>
  <c r="L6" i="68"/>
  <c r="L196" i="68"/>
  <c r="L354" i="68"/>
  <c r="L709" i="68"/>
  <c r="L411" i="68"/>
  <c r="L85" i="68"/>
  <c r="L297" i="68"/>
  <c r="L262" i="68"/>
  <c r="L197" i="68"/>
  <c r="L204" i="68"/>
  <c r="L200" i="68"/>
  <c r="L574" i="68"/>
  <c r="L609" i="68"/>
  <c r="L267" i="68"/>
  <c r="L475" i="68"/>
  <c r="L337" i="68"/>
  <c r="L7" i="68"/>
  <c r="L37" i="68"/>
  <c r="L626" i="68"/>
  <c r="L476" i="68"/>
  <c r="L392" i="68"/>
  <c r="L314" i="68"/>
  <c r="L242" i="68"/>
  <c r="L715" i="68"/>
  <c r="L49" i="68"/>
  <c r="L620" i="68"/>
  <c r="L482" i="68"/>
  <c r="L301" i="68"/>
  <c r="L573" i="68"/>
  <c r="L495" i="68"/>
  <c r="L423" i="68"/>
  <c r="L637" i="68"/>
  <c r="L688" i="68"/>
  <c r="L616" i="68"/>
  <c r="L544" i="68"/>
  <c r="L472" i="68"/>
  <c r="L541" i="68"/>
  <c r="L615" i="68"/>
  <c r="L599" i="68"/>
  <c r="L521" i="68"/>
  <c r="L449" i="68"/>
  <c r="L377" i="68"/>
  <c r="L181" i="68"/>
  <c r="L683" i="68"/>
  <c r="L589" i="68"/>
  <c r="L157" i="68"/>
  <c r="L713" i="68"/>
  <c r="L714" i="68"/>
  <c r="L642" i="68"/>
  <c r="L570" i="68"/>
  <c r="L158" i="68"/>
  <c r="L86" i="68"/>
  <c r="L14" i="68"/>
  <c r="L309" i="68"/>
  <c r="L237" i="68"/>
  <c r="L165" i="68"/>
  <c r="L93" i="68"/>
  <c r="L21" i="68"/>
  <c r="L418" i="68"/>
  <c r="L346" i="68"/>
  <c r="L274" i="68"/>
  <c r="L202" i="68"/>
  <c r="L130" i="68"/>
  <c r="L58" i="68"/>
  <c r="L353" i="68"/>
  <c r="L281" i="68"/>
  <c r="L209" i="68"/>
  <c r="L137" i="68"/>
  <c r="L65" i="68"/>
  <c r="L504" i="68"/>
  <c r="L432" i="68"/>
  <c r="L360" i="68"/>
  <c r="L288" i="68"/>
  <c r="L216" i="68"/>
  <c r="L144" i="68"/>
  <c r="L72" i="68"/>
  <c r="L340" i="68"/>
  <c r="L275" i="68"/>
  <c r="L426" i="68"/>
  <c r="L66" i="68"/>
  <c r="L602" i="68"/>
  <c r="L625" i="68"/>
  <c r="L187" i="68"/>
  <c r="L748" i="68"/>
  <c r="L595" i="68"/>
  <c r="L437" i="68"/>
  <c r="L689" i="68"/>
  <c r="L369" i="68"/>
  <c r="L9" i="68"/>
  <c r="L46" i="68"/>
  <c r="L492" i="68"/>
  <c r="L132" i="68"/>
  <c r="L566" i="68"/>
  <c r="L686" i="68"/>
  <c r="L753" i="68"/>
  <c r="L551" i="68"/>
  <c r="L672" i="68"/>
  <c r="L123" i="68"/>
  <c r="L343" i="68"/>
  <c r="L271" i="68"/>
  <c r="L739" i="68"/>
  <c r="L758" i="68"/>
  <c r="N758" i="68" s="1"/>
  <c r="L614" i="68"/>
  <c r="L470" i="68"/>
  <c r="L386" i="68"/>
  <c r="L308" i="68"/>
  <c r="L236" i="68"/>
  <c r="L643" i="68"/>
  <c r="L752" i="68"/>
  <c r="L608" i="68"/>
  <c r="L464" i="68"/>
  <c r="L283" i="68"/>
  <c r="L567" i="68"/>
  <c r="L489" i="68"/>
  <c r="L417" i="68"/>
  <c r="L565" i="68"/>
  <c r="L754" i="68"/>
  <c r="L682" i="68"/>
  <c r="L610" i="68"/>
  <c r="L538" i="68"/>
  <c r="L757" i="68"/>
  <c r="L487" i="68"/>
  <c r="L603" i="68"/>
  <c r="L593" i="68"/>
  <c r="L515" i="68"/>
  <c r="L443" i="68"/>
  <c r="L371" i="68"/>
  <c r="L97" i="68"/>
  <c r="L671" i="68"/>
  <c r="L553" i="68"/>
  <c r="L109" i="68"/>
  <c r="L695" i="68"/>
  <c r="L708" i="68"/>
  <c r="L636" i="68"/>
  <c r="L564" i="68"/>
  <c r="L152" i="68"/>
  <c r="L80" i="68"/>
  <c r="L8" i="68"/>
  <c r="L303" i="68"/>
  <c r="L231" i="68"/>
  <c r="L159" i="68"/>
  <c r="L412" i="68"/>
  <c r="L124" i="68"/>
  <c r="L131" i="68"/>
  <c r="L458" i="68"/>
  <c r="L535" i="68"/>
  <c r="L406" i="68"/>
  <c r="L420" i="68"/>
  <c r="L272" i="68"/>
  <c r="L502" i="68"/>
  <c r="L744" i="68"/>
  <c r="L160" i="68"/>
  <c r="L193" i="68"/>
  <c r="L205" i="68"/>
  <c r="L649" i="68"/>
  <c r="L734" i="68"/>
  <c r="L590" i="68"/>
  <c r="L452" i="68"/>
  <c r="L374" i="68"/>
  <c r="L296" i="68"/>
  <c r="L224" i="68"/>
  <c r="L571" i="68"/>
  <c r="L728" i="68"/>
  <c r="L560" i="68"/>
  <c r="L338" i="68"/>
  <c r="L169" i="68"/>
  <c r="L555" i="68"/>
  <c r="L477" i="68"/>
  <c r="L405" i="68"/>
  <c r="L481" i="68"/>
  <c r="L742" i="68"/>
  <c r="L670" i="68"/>
  <c r="L598" i="68"/>
  <c r="L526" i="68"/>
  <c r="L493" i="68"/>
  <c r="L421" i="68"/>
  <c r="L737" i="68"/>
  <c r="L575" i="68"/>
  <c r="L503" i="68"/>
  <c r="L431" i="68"/>
  <c r="L691" i="68"/>
  <c r="L735" i="68"/>
  <c r="L653" i="68"/>
  <c r="L445" i="68"/>
  <c r="L677" i="68"/>
  <c r="L696" i="68"/>
  <c r="L624" i="68"/>
  <c r="L552" i="68"/>
  <c r="L140" i="68"/>
  <c r="L68" i="68"/>
  <c r="L363" i="68"/>
  <c r="L291" i="68"/>
  <c r="L219" i="68"/>
  <c r="L147" i="68"/>
  <c r="L75" i="68"/>
  <c r="L3" i="68"/>
  <c r="L400" i="68"/>
  <c r="L328" i="68"/>
  <c r="L256" i="68"/>
  <c r="L184" i="68"/>
  <c r="L112" i="68"/>
  <c r="L40" i="68"/>
  <c r="L335" i="68"/>
  <c r="L263" i="68"/>
  <c r="L191" i="68"/>
  <c r="L119" i="68"/>
  <c r="L47" i="68"/>
  <c r="L486" i="68"/>
  <c r="L414" i="68"/>
  <c r="L342" i="68"/>
  <c r="L270" i="68"/>
  <c r="L198" i="68"/>
  <c r="L126" i="68"/>
  <c r="L54" i="68"/>
  <c r="L517" i="68"/>
  <c r="L508" i="68"/>
  <c r="L557" i="68"/>
  <c r="L413" i="68"/>
  <c r="L349" i="68"/>
  <c r="L678" i="68"/>
  <c r="L122" i="68"/>
  <c r="L201" i="68"/>
  <c r="L382" i="68"/>
  <c r="L238" i="68"/>
  <c r="L317" i="68"/>
  <c r="L29" i="68"/>
  <c r="L324" i="68"/>
  <c r="L108" i="68"/>
  <c r="L355" i="68"/>
  <c r="L381" i="68"/>
  <c r="L397" i="68"/>
  <c r="L116" i="68"/>
  <c r="L304" i="68"/>
  <c r="L133" i="68"/>
  <c r="L163" i="68"/>
  <c r="L619" i="68"/>
  <c r="L716" i="68"/>
  <c r="L584" i="68"/>
  <c r="L440" i="68"/>
  <c r="L368" i="68"/>
  <c r="L290" i="68"/>
  <c r="L218" i="68"/>
  <c r="L547" i="68"/>
  <c r="L722" i="68"/>
  <c r="L548" i="68"/>
  <c r="L685" i="68"/>
  <c r="L151" i="68"/>
  <c r="L543" i="68"/>
  <c r="L471" i="68"/>
  <c r="L399" i="68"/>
  <c r="L451" i="68"/>
  <c r="L736" i="68"/>
  <c r="L664" i="68"/>
  <c r="L592" i="68"/>
  <c r="L520" i="68"/>
  <c r="L307" i="68"/>
  <c r="L361" i="68"/>
  <c r="L725" i="68"/>
  <c r="L569" i="68"/>
  <c r="L497" i="68"/>
  <c r="L425" i="68"/>
  <c r="L655" i="68"/>
  <c r="L687" i="68"/>
  <c r="L629" i="68"/>
  <c r="L427" i="68"/>
  <c r="L717" i="68"/>
  <c r="L665" i="68"/>
  <c r="L690" i="68"/>
  <c r="L618" i="68"/>
  <c r="L546" i="68"/>
  <c r="L134" i="68"/>
  <c r="L62" i="68"/>
  <c r="L357" i="68"/>
  <c r="L285" i="68"/>
  <c r="L213" i="68"/>
  <c r="L141" i="68"/>
  <c r="L69" i="68"/>
  <c r="L466" i="68"/>
  <c r="L394" i="68"/>
  <c r="L322" i="68"/>
  <c r="L250" i="68"/>
  <c r="L178" i="68"/>
  <c r="L106" i="68"/>
  <c r="L34" i="68"/>
  <c r="L329" i="68"/>
  <c r="L257" i="68"/>
  <c r="L185" i="68"/>
  <c r="L113" i="68"/>
  <c r="L41" i="68"/>
  <c r="L480" i="68"/>
  <c r="L408" i="68"/>
  <c r="L336" i="68"/>
  <c r="L264" i="68"/>
  <c r="L192" i="68"/>
  <c r="L120" i="68"/>
  <c r="L48" i="68"/>
  <c r="L530" i="68"/>
  <c r="L580" i="68"/>
  <c r="L701" i="68"/>
  <c r="L559" i="68"/>
  <c r="L669" i="68"/>
  <c r="L606" i="68"/>
  <c r="L50" i="68"/>
  <c r="L273" i="68"/>
  <c r="L454" i="68"/>
  <c r="L166" i="68"/>
  <c r="L22" i="68"/>
  <c r="L101" i="68"/>
  <c r="L396" i="68"/>
  <c r="L180" i="68"/>
  <c r="L55" i="68"/>
  <c r="L453" i="68"/>
  <c r="L479" i="68"/>
  <c r="L528" i="68"/>
  <c r="L376" i="68"/>
  <c r="L31" i="68"/>
  <c r="L145" i="68"/>
  <c r="L505" i="68"/>
  <c r="L704" i="68"/>
  <c r="L578" i="68"/>
  <c r="L434" i="68"/>
  <c r="L362" i="68"/>
  <c r="L284" i="68"/>
  <c r="L212" i="68"/>
  <c r="L439" i="68"/>
  <c r="L710" i="68"/>
  <c r="L542" i="68"/>
  <c r="L613" i="68"/>
  <c r="L121" i="68"/>
  <c r="L537" i="68"/>
  <c r="L465" i="68"/>
  <c r="L393" i="68"/>
  <c r="L265" i="68"/>
  <c r="L730" i="68"/>
  <c r="L658" i="68"/>
  <c r="L586" i="68"/>
  <c r="L514" i="68"/>
  <c r="L211" i="68"/>
  <c r="L277" i="68"/>
  <c r="L719" i="68"/>
  <c r="L563" i="68"/>
  <c r="L491" i="68"/>
  <c r="L419" i="68"/>
  <c r="L583" i="68"/>
  <c r="L675" i="68"/>
  <c r="L623" i="68"/>
  <c r="L373" i="68"/>
  <c r="L711" i="68"/>
  <c r="L756" i="68"/>
  <c r="L684" i="68"/>
  <c r="L612" i="68"/>
  <c r="L540" i="68"/>
  <c r="L128" i="68"/>
  <c r="L56" i="68"/>
  <c r="L351" i="68"/>
  <c r="L279" i="68"/>
  <c r="L207" i="68"/>
  <c r="L135" i="68"/>
  <c r="L63" i="68"/>
  <c r="L460" i="68"/>
  <c r="L388" i="68"/>
  <c r="L316" i="68"/>
  <c r="L244" i="68"/>
  <c r="L172" i="68"/>
  <c r="L100" i="68"/>
  <c r="L28" i="68"/>
  <c r="L323" i="68"/>
  <c r="L251" i="68"/>
  <c r="L179" i="68"/>
  <c r="L107" i="68"/>
  <c r="L35" i="68"/>
  <c r="L474" i="68"/>
  <c r="L402" i="68"/>
  <c r="L330" i="68"/>
  <c r="L258" i="68"/>
  <c r="L186" i="68"/>
  <c r="L114" i="68"/>
  <c r="L42" i="68"/>
  <c r="L721" i="68"/>
  <c r="L79" i="68"/>
  <c r="L367" i="68"/>
  <c r="L692" i="68"/>
  <c r="L572" i="68"/>
  <c r="L428" i="68"/>
  <c r="L356" i="68"/>
  <c r="L278" i="68"/>
  <c r="L206" i="68"/>
  <c r="L403" i="68"/>
  <c r="L698" i="68"/>
  <c r="L73" i="68"/>
  <c r="L531" i="68"/>
  <c r="L459" i="68"/>
  <c r="L387" i="68"/>
  <c r="L235" i="68"/>
  <c r="L724" i="68"/>
  <c r="L652" i="68"/>
  <c r="L723" i="68"/>
  <c r="L247" i="68"/>
  <c r="L485" i="68"/>
  <c r="L639" i="68"/>
  <c r="L605" i="68"/>
  <c r="L750" i="68"/>
  <c r="L534" i="68"/>
  <c r="L345" i="68"/>
  <c r="L129" i="68"/>
  <c r="L57" i="68"/>
  <c r="L310" i="68"/>
  <c r="L94" i="68"/>
  <c r="L245" i="68"/>
  <c r="L173" i="68"/>
  <c r="L468" i="68"/>
  <c r="L252" i="68"/>
  <c r="L36" i="68"/>
  <c r="L350" i="68"/>
  <c r="L499" i="68"/>
  <c r="L718" i="68"/>
  <c r="L647" i="68"/>
  <c r="L587" i="68"/>
  <c r="L44" i="68"/>
  <c r="L448" i="68"/>
  <c r="L88" i="68"/>
  <c r="L311" i="68"/>
  <c r="L462" i="68"/>
  <c r="L318" i="68"/>
  <c r="L246" i="68"/>
  <c r="L102" i="68"/>
  <c r="L239" i="68"/>
  <c r="L95" i="68"/>
  <c r="L23" i="68"/>
  <c r="L167" i="68"/>
  <c r="L390" i="68"/>
  <c r="L174" i="68"/>
  <c r="L30" i="68"/>
  <c r="I16" i="71"/>
  <c r="I14" i="17"/>
  <c r="I11" i="30"/>
  <c r="I33" i="21"/>
  <c r="I12" i="23"/>
  <c r="I8" i="25"/>
  <c r="I11" i="17"/>
  <c r="I24" i="22"/>
  <c r="I33" i="22"/>
  <c r="I4" i="26"/>
  <c r="I15" i="20"/>
  <c r="I10" i="22"/>
  <c r="I44" i="22"/>
  <c r="I17" i="21"/>
  <c r="I7" i="19"/>
  <c r="I5" i="71"/>
  <c r="I10" i="21"/>
  <c r="I47" i="22"/>
  <c r="I2" i="91"/>
  <c r="I3" i="19"/>
  <c r="I26" i="22"/>
  <c r="I75" i="4"/>
  <c r="I15" i="21"/>
  <c r="I37" i="22"/>
  <c r="I38" i="21"/>
  <c r="I13" i="20"/>
  <c r="I24" i="17"/>
  <c r="I11" i="26"/>
  <c r="I36" i="22"/>
  <c r="I52" i="22"/>
  <c r="I12" i="17"/>
  <c r="I14" i="30"/>
  <c r="I20" i="21"/>
  <c r="I35" i="22"/>
  <c r="I49" i="22"/>
  <c r="I8" i="30"/>
  <c r="I30" i="21"/>
  <c r="I9" i="23"/>
  <c r="I5" i="25"/>
  <c r="I13" i="22"/>
  <c r="I18" i="22"/>
  <c r="I27" i="22"/>
  <c r="I34" i="21"/>
  <c r="I7" i="26"/>
  <c r="I9" i="20"/>
  <c r="I32" i="22"/>
  <c r="I14" i="21"/>
  <c r="I4" i="19"/>
  <c r="I3" i="70"/>
  <c r="I7" i="23"/>
  <c r="I38" i="22"/>
  <c r="I20" i="17"/>
  <c r="I9" i="25"/>
  <c r="I20" i="22"/>
  <c r="I3" i="25"/>
  <c r="I9" i="22"/>
  <c r="I14" i="23"/>
  <c r="I20" i="26"/>
  <c r="I5" i="20"/>
  <c r="I28" i="21"/>
  <c r="I5" i="90"/>
  <c r="I10" i="19"/>
  <c r="I29" i="21"/>
  <c r="I4" i="73"/>
  <c r="I5" i="30"/>
  <c r="I27" i="21"/>
  <c r="I6" i="23"/>
  <c r="I15" i="71"/>
  <c r="I5" i="70"/>
  <c r="I12" i="22"/>
  <c r="I21" i="22"/>
  <c r="I16" i="23"/>
  <c r="I31" i="21"/>
  <c r="I3" i="30"/>
  <c r="I5" i="22"/>
  <c r="I11" i="21"/>
  <c r="I6" i="29"/>
  <c r="I17" i="17"/>
  <c r="I9" i="19"/>
  <c r="I29" i="22"/>
  <c r="I5" i="17"/>
  <c r="I17" i="22"/>
  <c r="I13" i="17"/>
  <c r="I6" i="20"/>
  <c r="I19" i="26"/>
  <c r="I13" i="26"/>
  <c r="I51" i="22"/>
  <c r="I21" i="26"/>
  <c r="I24" i="21"/>
  <c r="I14" i="19"/>
  <c r="I12" i="71"/>
  <c r="I73" i="4"/>
  <c r="I11" i="20"/>
  <c r="I3" i="22"/>
  <c r="I13" i="23"/>
  <c r="I16" i="21"/>
  <c r="I37" i="21"/>
  <c r="I10" i="20"/>
  <c r="I8" i="21"/>
  <c r="I3" i="29"/>
  <c r="I40" i="22"/>
  <c r="I5" i="29"/>
  <c r="I23" i="22"/>
  <c r="I43" i="22"/>
  <c r="I10" i="71"/>
  <c r="I8" i="22"/>
  <c r="I3" i="71"/>
  <c r="I6" i="25"/>
  <c r="I12" i="20"/>
  <c r="I10" i="30"/>
  <c r="I10" i="26"/>
  <c r="I39" i="21"/>
  <c r="I13" i="19"/>
  <c r="I5" i="26"/>
  <c r="I30" i="22"/>
  <c r="I8" i="71"/>
  <c r="I39" i="22"/>
  <c r="I18" i="26"/>
  <c r="I21" i="21"/>
  <c r="I11" i="19"/>
  <c r="I9" i="71"/>
  <c r="I25" i="17"/>
  <c r="I23" i="17"/>
  <c r="I8" i="17"/>
  <c r="I12" i="19"/>
  <c r="I4" i="21"/>
  <c r="I22" i="21"/>
  <c r="I7" i="30"/>
  <c r="I5" i="21"/>
  <c r="I16" i="25"/>
  <c r="I22" i="22"/>
  <c r="I13" i="71"/>
  <c r="I14" i="22"/>
  <c r="I34" i="22"/>
  <c r="I4" i="71"/>
  <c r="I16" i="20"/>
  <c r="I5" i="19"/>
  <c r="I18" i="25"/>
  <c r="I10" i="25"/>
  <c r="I4" i="70"/>
  <c r="I21" i="17"/>
  <c r="I3" i="21"/>
  <c r="I11" i="71"/>
  <c r="I42" i="22"/>
  <c r="I19" i="21"/>
  <c r="I15" i="22"/>
  <c r="I15" i="26"/>
  <c r="I18" i="21"/>
  <c r="I8" i="19"/>
  <c r="I6" i="71"/>
  <c r="I19" i="17"/>
  <c r="I25" i="22"/>
  <c r="I46" i="22"/>
  <c r="I15" i="25"/>
  <c r="I4" i="23"/>
  <c r="I7" i="21"/>
  <c r="I8" i="26"/>
  <c r="I17" i="23"/>
  <c r="I13" i="25"/>
  <c r="I7" i="22"/>
  <c r="I7" i="71"/>
  <c r="I11" i="22"/>
  <c r="I4" i="22"/>
  <c r="I3" i="73"/>
  <c r="I7" i="20"/>
  <c r="I12" i="26"/>
  <c r="I28" i="17"/>
  <c r="I6" i="19"/>
  <c r="I5" i="73"/>
  <c r="I26" i="21"/>
  <c r="I3" i="17"/>
  <c r="I4" i="17"/>
  <c r="I4" i="90"/>
  <c r="I14" i="26"/>
  <c r="I36" i="21"/>
  <c r="I19" i="22"/>
  <c r="I6" i="17"/>
  <c r="I6" i="22"/>
  <c r="I9" i="26"/>
  <c r="I12" i="21"/>
  <c r="I7" i="29"/>
  <c r="I6" i="70"/>
  <c r="I7" i="17"/>
  <c r="I22" i="17"/>
  <c r="I28" i="22"/>
  <c r="I2" i="70"/>
  <c r="I2" i="90"/>
  <c r="I12" i="25"/>
  <c r="I35" i="21"/>
  <c r="I11" i="23"/>
  <c r="I7" i="25"/>
  <c r="I12" i="30"/>
  <c r="I2" i="73"/>
  <c r="I4" i="20"/>
  <c r="I6" i="30"/>
  <c r="I18" i="17"/>
  <c r="I4" i="30"/>
  <c r="I3" i="26"/>
  <c r="I17" i="25"/>
  <c r="I45" i="22"/>
  <c r="I9" i="30"/>
  <c r="I26" i="17"/>
  <c r="I14" i="71"/>
  <c r="I14" i="25"/>
  <c r="I23" i="21"/>
  <c r="I41" i="22"/>
  <c r="I11" i="25"/>
  <c r="I50" i="22"/>
  <c r="I10" i="23"/>
  <c r="I14" i="20"/>
  <c r="I6" i="26"/>
  <c r="I9" i="21"/>
  <c r="I4" i="29"/>
  <c r="I16" i="22"/>
  <c r="I48" i="22"/>
  <c r="I16" i="17"/>
  <c r="I3" i="20"/>
  <c r="I2" i="92"/>
  <c r="I42" i="9"/>
  <c r="I41" i="9"/>
  <c r="I32" i="21"/>
  <c r="I8" i="23"/>
  <c r="I4" i="25"/>
  <c r="I16" i="26"/>
  <c r="I27" i="17"/>
  <c r="I13" i="30"/>
  <c r="I40" i="21"/>
  <c r="I9" i="17"/>
  <c r="I17" i="26"/>
  <c r="I8" i="20"/>
  <c r="I6" i="21"/>
  <c r="I74" i="4"/>
  <c r="I10" i="17"/>
  <c r="I43" i="9"/>
  <c r="I5" i="23"/>
  <c r="I25" i="21"/>
  <c r="I3" i="90"/>
  <c r="I15" i="17"/>
  <c r="I13" i="21"/>
  <c r="I15" i="23"/>
  <c r="I31" i="22"/>
  <c r="I41" i="21"/>
  <c r="I93" i="6"/>
  <c r="I94" i="6"/>
  <c r="I92" i="6"/>
  <c r="I95" i="6"/>
  <c r="I2" i="19"/>
  <c r="I8" i="13"/>
  <c r="I5" i="11"/>
  <c r="I4" i="27"/>
  <c r="I36" i="7"/>
  <c r="I39" i="11"/>
  <c r="I2" i="67"/>
  <c r="I48" i="4"/>
  <c r="I14" i="16"/>
  <c r="I35" i="7"/>
  <c r="I14" i="4"/>
  <c r="I3" i="28"/>
  <c r="I2" i="23"/>
  <c r="I52" i="7"/>
  <c r="I10" i="7"/>
  <c r="I13" i="24"/>
  <c r="I3" i="16"/>
  <c r="I26" i="4"/>
  <c r="I5" i="15"/>
  <c r="I23" i="16"/>
  <c r="I39" i="7"/>
  <c r="I59" i="4"/>
  <c r="I35" i="4"/>
  <c r="I11" i="4"/>
  <c r="I2" i="30"/>
  <c r="I34" i="11"/>
  <c r="I6" i="11"/>
  <c r="I3" i="13"/>
  <c r="I71" i="4"/>
  <c r="I33" i="11"/>
  <c r="I9" i="15"/>
  <c r="I6" i="13"/>
  <c r="I19" i="11"/>
  <c r="I30" i="7"/>
  <c r="I27" i="11"/>
  <c r="I2" i="25"/>
  <c r="I38" i="4"/>
  <c r="I5" i="16"/>
  <c r="I23" i="7"/>
  <c r="I63" i="7"/>
  <c r="I17" i="16"/>
  <c r="I2" i="27"/>
  <c r="I49" i="7"/>
  <c r="I7" i="7"/>
  <c r="I10" i="24"/>
  <c r="I9" i="27"/>
  <c r="I8" i="4"/>
  <c r="I2" i="24"/>
  <c r="I2" i="7"/>
  <c r="I6" i="7"/>
  <c r="I57" i="4"/>
  <c r="I33" i="4"/>
  <c r="I9" i="4"/>
  <c r="I18" i="24"/>
  <c r="I32" i="7"/>
  <c r="I21" i="11"/>
  <c r="I36" i="11"/>
  <c r="I2" i="72"/>
  <c r="I18" i="15"/>
  <c r="I24" i="7"/>
  <c r="I15" i="11"/>
  <c r="I9" i="11"/>
  <c r="I28" i="4"/>
  <c r="I8" i="27"/>
  <c r="I5" i="7"/>
  <c r="I48" i="7"/>
  <c r="I11" i="16"/>
  <c r="I46" i="7"/>
  <c r="I4" i="7"/>
  <c r="I7" i="24"/>
  <c r="I6" i="27"/>
  <c r="I58" i="7"/>
  <c r="I2" i="28"/>
  <c r="I12" i="15"/>
  <c r="I64" i="7"/>
  <c r="I55" i="4"/>
  <c r="I31" i="4"/>
  <c r="I7" i="4"/>
  <c r="I44" i="4"/>
  <c r="I59" i="7"/>
  <c r="I24" i="11"/>
  <c r="I53" i="7"/>
  <c r="I3" i="15"/>
  <c r="I18" i="7"/>
  <c r="I3" i="11"/>
  <c r="I62" i="7"/>
  <c r="I18" i="4"/>
  <c r="I44" i="11"/>
  <c r="I5" i="24"/>
  <c r="I33" i="7"/>
  <c r="I24" i="16"/>
  <c r="I41" i="7"/>
  <c r="I37" i="7"/>
  <c r="I42" i="11"/>
  <c r="I4" i="24"/>
  <c r="I3" i="27"/>
  <c r="I40" i="7"/>
  <c r="I2" i="26"/>
  <c r="I62" i="4"/>
  <c r="I55" i="7"/>
  <c r="I53" i="4"/>
  <c r="I29" i="4"/>
  <c r="I5" i="4"/>
  <c r="I38" i="7"/>
  <c r="I26" i="7"/>
  <c r="I54" i="4"/>
  <c r="I57" i="7"/>
  <c r="I20" i="11"/>
  <c r="I9" i="7"/>
  <c r="I31" i="11"/>
  <c r="I18" i="11"/>
  <c r="I38" i="11"/>
  <c r="I56" i="7"/>
  <c r="I2" i="4"/>
  <c r="I25" i="4"/>
  <c r="I8" i="7"/>
  <c r="I15" i="15"/>
  <c r="I28" i="7"/>
  <c r="I21" i="16"/>
  <c r="I32" i="4"/>
  <c r="I50" i="7"/>
  <c r="I12" i="11"/>
  <c r="I44" i="7"/>
  <c r="I64" i="4"/>
  <c r="I12" i="7"/>
  <c r="I4" i="13"/>
  <c r="I29" i="7"/>
  <c r="I4" i="4"/>
  <c r="I32" i="11"/>
  <c r="I19" i="16"/>
  <c r="I27" i="7"/>
  <c r="I5" i="27"/>
  <c r="I17" i="24"/>
  <c r="I34" i="7"/>
  <c r="I30" i="11"/>
  <c r="I7" i="28"/>
  <c r="I10" i="13"/>
  <c r="I35" i="11"/>
  <c r="I2" i="13"/>
  <c r="I52" i="4"/>
  <c r="I43" i="7"/>
  <c r="I51" i="4"/>
  <c r="I27" i="4"/>
  <c r="I3" i="4"/>
  <c r="I13" i="13"/>
  <c r="I22" i="11"/>
  <c r="I14" i="7"/>
  <c r="I7" i="16"/>
  <c r="I37" i="11"/>
  <c r="I31" i="7"/>
  <c r="I4" i="28"/>
  <c r="I23" i="11"/>
  <c r="I42" i="4"/>
  <c r="I49" i="4"/>
  <c r="I40" i="11"/>
  <c r="I17" i="7"/>
  <c r="I8" i="11"/>
  <c r="I25" i="11"/>
  <c r="I6" i="15"/>
  <c r="I11" i="11"/>
  <c r="I47" i="4"/>
  <c r="I6" i="72"/>
  <c r="I2" i="16"/>
  <c r="I26" i="11"/>
  <c r="I34" i="4"/>
  <c r="I12" i="24"/>
  <c r="I13" i="15"/>
  <c r="I14" i="24"/>
  <c r="I21" i="7"/>
  <c r="I9" i="13"/>
  <c r="I66" i="4"/>
  <c r="I11" i="13"/>
  <c r="I13" i="11"/>
  <c r="I68" i="4"/>
  <c r="I25" i="7"/>
  <c r="I7" i="13"/>
  <c r="I18" i="16"/>
  <c r="I13" i="16"/>
  <c r="I12" i="13"/>
  <c r="I20" i="7"/>
  <c r="I24" i="4"/>
  <c r="I69" i="4"/>
  <c r="I45" i="4"/>
  <c r="I21" i="4"/>
  <c r="I16" i="11"/>
  <c r="I4" i="16"/>
  <c r="I20" i="16"/>
  <c r="I10" i="11"/>
  <c r="I9" i="24"/>
  <c r="I16" i="7"/>
  <c r="I58" i="4"/>
  <c r="I60" i="7"/>
  <c r="I2" i="29"/>
  <c r="I17" i="11"/>
  <c r="I8" i="16"/>
  <c r="I4" i="72"/>
  <c r="I3" i="24"/>
  <c r="I13" i="7"/>
  <c r="I40" i="4"/>
  <c r="I51" i="7"/>
  <c r="I13" i="4"/>
  <c r="I9" i="72"/>
  <c r="I5" i="28"/>
  <c r="I3" i="23"/>
  <c r="I3" i="72"/>
  <c r="I20" i="4"/>
  <c r="I6" i="24"/>
  <c r="I10" i="15"/>
  <c r="I7" i="27"/>
  <c r="I15" i="7"/>
  <c r="I2" i="22"/>
  <c r="I56" i="4"/>
  <c r="I7" i="72"/>
  <c r="I14" i="13"/>
  <c r="I50" i="4"/>
  <c r="I22" i="7"/>
  <c r="I8" i="72"/>
  <c r="I15" i="16"/>
  <c r="I2" i="17"/>
  <c r="I17" i="15"/>
  <c r="I11" i="7"/>
  <c r="I16" i="4"/>
  <c r="I67" i="4"/>
  <c r="I43" i="4"/>
  <c r="I19" i="4"/>
  <c r="I4" i="11"/>
  <c r="I8" i="28"/>
  <c r="I54" i="7"/>
  <c r="I70" i="4"/>
  <c r="I36" i="4"/>
  <c r="I10" i="4"/>
  <c r="I19" i="24"/>
  <c r="I11" i="15"/>
  <c r="I63" i="4"/>
  <c r="I15" i="4"/>
  <c r="I43" i="11"/>
  <c r="I45" i="7"/>
  <c r="I60" i="4"/>
  <c r="I22" i="4"/>
  <c r="I61" i="7"/>
  <c r="I16" i="24"/>
  <c r="I8" i="15"/>
  <c r="I61" i="4"/>
  <c r="I16" i="15"/>
  <c r="I28" i="11"/>
  <c r="I22" i="16"/>
  <c r="I41" i="11"/>
  <c r="I11" i="24"/>
  <c r="I12" i="4"/>
  <c r="I6" i="28"/>
  <c r="I7" i="15"/>
  <c r="I7" i="11"/>
  <c r="I3" i="7"/>
  <c r="I2" i="20"/>
  <c r="I46" i="4"/>
  <c r="I15" i="24"/>
  <c r="I2" i="15"/>
  <c r="I30" i="4"/>
  <c r="I19" i="7"/>
  <c r="I5" i="72"/>
  <c r="I12" i="16"/>
  <c r="I72" i="4"/>
  <c r="I14" i="15"/>
  <c r="I14" i="11"/>
  <c r="I6" i="4"/>
  <c r="I65" i="4"/>
  <c r="I41" i="4"/>
  <c r="I17" i="4"/>
  <c r="I5" i="13"/>
  <c r="I29" i="11"/>
  <c r="I4" i="15"/>
  <c r="I2" i="11"/>
  <c r="I2" i="32"/>
  <c r="I9" i="16"/>
  <c r="I8" i="24"/>
  <c r="I39" i="4"/>
  <c r="I16" i="16"/>
  <c r="I3" i="32"/>
  <c r="I47" i="7"/>
  <c r="I2" i="21"/>
  <c r="I6" i="16"/>
  <c r="I10" i="16"/>
  <c r="I37" i="4"/>
  <c r="I42" i="7"/>
  <c r="I23" i="4"/>
  <c r="I19" i="14"/>
  <c r="I3" i="9"/>
  <c r="I29" i="1"/>
  <c r="I4" i="12"/>
  <c r="I63" i="1"/>
  <c r="I31" i="9"/>
  <c r="I9" i="1"/>
  <c r="I29" i="9"/>
  <c r="I55" i="1"/>
  <c r="I19" i="1"/>
  <c r="I19" i="9"/>
  <c r="I2" i="14"/>
  <c r="I16" i="9"/>
  <c r="I38" i="9"/>
  <c r="I61" i="1"/>
  <c r="I32" i="1"/>
  <c r="I22" i="1"/>
  <c r="I13" i="14"/>
  <c r="I62" i="1"/>
  <c r="I26" i="1"/>
  <c r="I36" i="9"/>
  <c r="I45" i="1"/>
  <c r="I10" i="9"/>
  <c r="I3" i="1"/>
  <c r="I26" i="9"/>
  <c r="I52" i="1"/>
  <c r="I16" i="1"/>
  <c r="I13" i="9"/>
  <c r="I2" i="31"/>
  <c r="I37" i="9"/>
  <c r="I4" i="14"/>
  <c r="I59" i="1"/>
  <c r="I23" i="1"/>
  <c r="I30" i="9"/>
  <c r="I36" i="1"/>
  <c r="I4" i="9"/>
  <c r="I8" i="14"/>
  <c r="I23" i="9"/>
  <c r="I49" i="1"/>
  <c r="I13" i="1"/>
  <c r="I54" i="1"/>
  <c r="I2" i="66"/>
  <c r="I7" i="12"/>
  <c r="I18" i="14"/>
  <c r="I58" i="1"/>
  <c r="I39" i="9"/>
  <c r="I56" i="1"/>
  <c r="I20" i="1"/>
  <c r="I10" i="14"/>
  <c r="I33" i="1"/>
  <c r="I60" i="1"/>
  <c r="I40" i="9"/>
  <c r="I20" i="9"/>
  <c r="I46" i="1"/>
  <c r="I10" i="1"/>
  <c r="I21" i="14"/>
  <c r="I27" i="9"/>
  <c r="I53" i="1"/>
  <c r="I17" i="1"/>
  <c r="I18" i="1"/>
  <c r="I51" i="1"/>
  <c r="I22" i="9"/>
  <c r="I17" i="9"/>
  <c r="I43" i="1"/>
  <c r="I7" i="1"/>
  <c r="I9" i="9"/>
  <c r="I32" i="9"/>
  <c r="I12" i="1"/>
  <c r="I24" i="9"/>
  <c r="I50" i="1"/>
  <c r="I14" i="1"/>
  <c r="I33" i="9"/>
  <c r="I15" i="1"/>
  <c r="I48" i="1"/>
  <c r="I27" i="1"/>
  <c r="I14" i="9"/>
  <c r="I40" i="1"/>
  <c r="I4" i="1"/>
  <c r="I15" i="14"/>
  <c r="I21" i="9"/>
  <c r="I47" i="1"/>
  <c r="I11" i="1"/>
  <c r="I2" i="12"/>
  <c r="I6" i="1"/>
  <c r="I42" i="1"/>
  <c r="I5" i="12"/>
  <c r="I11" i="9"/>
  <c r="I37" i="1"/>
  <c r="I4" i="31"/>
  <c r="I9" i="14"/>
  <c r="I35" i="1"/>
  <c r="I21" i="1"/>
  <c r="I25" i="1"/>
  <c r="I6" i="12"/>
  <c r="I6" i="9"/>
  <c r="I28" i="9"/>
  <c r="I18" i="9"/>
  <c r="I44" i="1"/>
  <c r="I8" i="1"/>
  <c r="I20" i="14"/>
  <c r="I3" i="31"/>
  <c r="I39" i="1"/>
  <c r="I57" i="1"/>
  <c r="I8" i="9"/>
  <c r="I34" i="1"/>
  <c r="I14" i="14"/>
  <c r="I6" i="14"/>
  <c r="I38" i="1"/>
  <c r="I16" i="14"/>
  <c r="I25" i="9"/>
  <c r="I24" i="1"/>
  <c r="I3" i="12"/>
  <c r="I28" i="1"/>
  <c r="I8" i="12"/>
  <c r="I7" i="14"/>
  <c r="I34" i="9"/>
  <c r="I10" i="12"/>
  <c r="I35" i="9"/>
  <c r="I15" i="9"/>
  <c r="I41" i="1"/>
  <c r="I5" i="1"/>
  <c r="I11" i="12"/>
  <c r="I2" i="71"/>
  <c r="I30" i="1"/>
  <c r="I12" i="14"/>
  <c r="I5" i="9"/>
  <c r="I31" i="1"/>
  <c r="I5" i="14"/>
  <c r="I3" i="14"/>
  <c r="I12" i="9"/>
  <c r="I17" i="14"/>
  <c r="I9" i="12"/>
  <c r="I11" i="14"/>
  <c r="I7" i="9"/>
  <c r="I90" i="6"/>
  <c r="I75" i="6"/>
  <c r="I27" i="6"/>
  <c r="I73" i="6"/>
  <c r="I37" i="6"/>
  <c r="I2" i="6"/>
  <c r="I71" i="6"/>
  <c r="I35" i="6"/>
  <c r="I68" i="6"/>
  <c r="I69" i="6"/>
  <c r="I72" i="6"/>
  <c r="I21" i="6"/>
  <c r="I70" i="6"/>
  <c r="I34" i="6"/>
  <c r="I2" i="1"/>
  <c r="I32" i="6"/>
  <c r="I60" i="6"/>
  <c r="I59" i="6"/>
  <c r="I53" i="6"/>
  <c r="I46" i="6"/>
  <c r="I79" i="6"/>
  <c r="I77" i="6"/>
  <c r="I57" i="6"/>
  <c r="I66" i="6"/>
  <c r="I18" i="6"/>
  <c r="I67" i="6"/>
  <c r="I31" i="6"/>
  <c r="I74" i="6"/>
  <c r="I65" i="6"/>
  <c r="I29" i="6"/>
  <c r="I28" i="6"/>
  <c r="I62" i="6"/>
  <c r="I36" i="6"/>
  <c r="I61" i="6"/>
  <c r="I8" i="6"/>
  <c r="I84" i="6"/>
  <c r="I82" i="6"/>
  <c r="I81" i="6"/>
  <c r="I41" i="6"/>
  <c r="I4" i="6"/>
  <c r="I45" i="6"/>
  <c r="I63" i="6"/>
  <c r="I12" i="6"/>
  <c r="I64" i="6"/>
  <c r="I11" i="6"/>
  <c r="I26" i="6"/>
  <c r="I6" i="6"/>
  <c r="I25" i="6"/>
  <c r="I23" i="6"/>
  <c r="I39" i="6"/>
  <c r="I78" i="6"/>
  <c r="I24" i="6"/>
  <c r="I54" i="6"/>
  <c r="I3" i="6"/>
  <c r="I58" i="6"/>
  <c r="I22" i="6"/>
  <c r="I5" i="6"/>
  <c r="I56" i="6"/>
  <c r="I20" i="6"/>
  <c r="I15" i="6"/>
  <c r="I51" i="6"/>
  <c r="I91" i="6"/>
  <c r="I55" i="6"/>
  <c r="I19" i="6"/>
  <c r="I17" i="6"/>
  <c r="I10" i="6"/>
  <c r="I33" i="6"/>
  <c r="I80" i="6"/>
  <c r="I76" i="6"/>
  <c r="I9" i="6"/>
  <c r="I48" i="6"/>
  <c r="I88" i="6"/>
  <c r="I52" i="6"/>
  <c r="I16" i="6"/>
  <c r="I89" i="6"/>
  <c r="I50" i="6"/>
  <c r="I14" i="6"/>
  <c r="I86" i="6"/>
  <c r="I83" i="6"/>
  <c r="I43" i="6"/>
  <c r="I30" i="6"/>
  <c r="I38" i="6"/>
  <c r="I2" i="9"/>
  <c r="I42" i="6"/>
  <c r="I85" i="6"/>
  <c r="I49" i="6"/>
  <c r="I13" i="6"/>
  <c r="I47" i="6"/>
  <c r="I87" i="6"/>
  <c r="I44" i="6"/>
  <c r="I7" i="6"/>
  <c r="I40" i="6"/>
  <c r="L16" i="71" l="1"/>
  <c r="J16" i="71"/>
  <c r="E3" i="89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P3" i="88" l="1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J2" i="12" l="1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M404" i="68" l="1"/>
  <c r="N404" i="68"/>
  <c r="N418" i="68"/>
  <c r="M418" i="68"/>
  <c r="N359" i="68"/>
  <c r="M359" i="68"/>
  <c r="M78" i="68"/>
  <c r="N78" i="68"/>
  <c r="M492" i="68"/>
  <c r="N492" i="68"/>
  <c r="M355" i="68"/>
  <c r="N355" i="68"/>
  <c r="N456" i="68"/>
  <c r="M456" i="68"/>
  <c r="M737" i="68"/>
  <c r="N737" i="68"/>
  <c r="M717" i="68"/>
  <c r="N717" i="68"/>
  <c r="M389" i="68"/>
  <c r="N389" i="68"/>
  <c r="N343" i="68"/>
  <c r="M343" i="68"/>
  <c r="N590" i="68"/>
  <c r="M590" i="68"/>
  <c r="M13" i="68"/>
  <c r="N13" i="68"/>
  <c r="N697" i="68"/>
  <c r="M697" i="68"/>
  <c r="M166" i="68"/>
  <c r="N166" i="68"/>
  <c r="M182" i="68"/>
  <c r="N182" i="68"/>
  <c r="M239" i="68"/>
  <c r="N239" i="68"/>
  <c r="N506" i="68"/>
  <c r="M506" i="68"/>
  <c r="M738" i="68"/>
  <c r="N738" i="68"/>
  <c r="M23" i="68"/>
  <c r="N23" i="68"/>
  <c r="N319" i="68"/>
  <c r="M319" i="68"/>
  <c r="N570" i="68"/>
  <c r="M570" i="68"/>
  <c r="M277" i="68"/>
  <c r="N277" i="68"/>
  <c r="M636" i="68"/>
  <c r="N636" i="68"/>
  <c r="M334" i="68"/>
  <c r="N334" i="68"/>
  <c r="N252" i="68"/>
  <c r="M252" i="68"/>
  <c r="N244" i="68"/>
  <c r="M244" i="68"/>
  <c r="N140" i="68"/>
  <c r="M140" i="68"/>
  <c r="M519" i="68"/>
  <c r="N519" i="68"/>
  <c r="N431" i="68"/>
  <c r="M431" i="68"/>
  <c r="N619" i="68"/>
  <c r="M619" i="68"/>
  <c r="M247" i="68"/>
  <c r="N247" i="68"/>
  <c r="M629" i="68"/>
  <c r="N629" i="68"/>
  <c r="M562" i="68"/>
  <c r="N562" i="68"/>
  <c r="N748" i="68"/>
  <c r="M748" i="68"/>
  <c r="M713" i="68"/>
  <c r="N713" i="68"/>
  <c r="N171" i="68"/>
  <c r="M171" i="68"/>
  <c r="M27" i="68"/>
  <c r="N27" i="68"/>
  <c r="N705" i="68"/>
  <c r="M705" i="68"/>
  <c r="M526" i="68"/>
  <c r="N526" i="68"/>
  <c r="N711" i="68"/>
  <c r="M711" i="68"/>
  <c r="N548" i="68"/>
  <c r="M548" i="68"/>
  <c r="M10" i="68"/>
  <c r="N10" i="68"/>
  <c r="M407" i="68"/>
  <c r="N407" i="68"/>
  <c r="M531" i="68"/>
  <c r="N531" i="68"/>
  <c r="M363" i="68"/>
  <c r="N363" i="68"/>
  <c r="M388" i="68"/>
  <c r="N388" i="68"/>
  <c r="M331" i="68"/>
  <c r="N331" i="68"/>
  <c r="N302" i="68"/>
  <c r="M302" i="68"/>
  <c r="M669" i="68"/>
  <c r="N669" i="68"/>
  <c r="M243" i="68"/>
  <c r="N243" i="68"/>
  <c r="M336" i="68"/>
  <c r="N336" i="68"/>
  <c r="M192" i="68"/>
  <c r="N192" i="68"/>
  <c r="M241" i="68"/>
  <c r="N241" i="68"/>
  <c r="M53" i="68"/>
  <c r="N53" i="68"/>
  <c r="M86" i="68"/>
  <c r="N86" i="68"/>
  <c r="M670" i="68"/>
  <c r="N670" i="68"/>
  <c r="M66" i="68"/>
  <c r="N66" i="68"/>
  <c r="N218" i="68"/>
  <c r="M218" i="68"/>
  <c r="N546" i="68"/>
  <c r="M546" i="68"/>
  <c r="M551" i="68"/>
  <c r="N551" i="68"/>
  <c r="M235" i="68"/>
  <c r="N235" i="68"/>
  <c r="M560" i="68"/>
  <c r="N560" i="68"/>
  <c r="M644" i="68"/>
  <c r="N644" i="68"/>
  <c r="M667" i="68"/>
  <c r="N667" i="68"/>
  <c r="M709" i="68"/>
  <c r="N709" i="68"/>
  <c r="M99" i="68"/>
  <c r="N99" i="68"/>
  <c r="M367" i="68"/>
  <c r="N367" i="68"/>
  <c r="M744" i="68"/>
  <c r="N744" i="68"/>
  <c r="N281" i="68"/>
  <c r="M281" i="68"/>
  <c r="M299" i="68"/>
  <c r="N299" i="68"/>
  <c r="M93" i="68"/>
  <c r="N93" i="68"/>
  <c r="M278" i="68"/>
  <c r="N278" i="68"/>
  <c r="M219" i="68"/>
  <c r="N219" i="68"/>
  <c r="M428" i="68"/>
  <c r="N428" i="68"/>
  <c r="M32" i="68"/>
  <c r="N32" i="68"/>
  <c r="N33" i="68"/>
  <c r="M33" i="68"/>
  <c r="M120" i="68"/>
  <c r="N120" i="68"/>
  <c r="M159" i="68"/>
  <c r="N159" i="68"/>
  <c r="M103" i="68"/>
  <c r="N103" i="68"/>
  <c r="M577" i="68"/>
  <c r="N577" i="68"/>
  <c r="M236" i="68"/>
  <c r="N236" i="68"/>
  <c r="M306" i="68"/>
  <c r="N306" i="68"/>
  <c r="M617" i="68"/>
  <c r="N617" i="68"/>
  <c r="N566" i="68"/>
  <c r="M566" i="68"/>
  <c r="M371" i="68"/>
  <c r="N371" i="68"/>
  <c r="M714" i="68"/>
  <c r="N714" i="68"/>
  <c r="N514" i="68"/>
  <c r="M514" i="68"/>
  <c r="M507" i="68"/>
  <c r="N507" i="68"/>
  <c r="N309" i="68"/>
  <c r="M309" i="68"/>
  <c r="N224" i="68"/>
  <c r="M224" i="68"/>
  <c r="M695" i="68"/>
  <c r="N695" i="68"/>
  <c r="M734" i="68"/>
  <c r="N734" i="68"/>
  <c r="M329" i="68"/>
  <c r="N329" i="68"/>
  <c r="M76" i="68"/>
  <c r="N76" i="68"/>
  <c r="N268" i="68"/>
  <c r="M268" i="68"/>
  <c r="N333" i="68"/>
  <c r="M333" i="68"/>
  <c r="N652" i="68"/>
  <c r="M652" i="68"/>
  <c r="N537" i="68"/>
  <c r="M537" i="68"/>
  <c r="N215" i="68"/>
  <c r="M215" i="68"/>
  <c r="M43" i="68"/>
  <c r="N43" i="68"/>
  <c r="M502" i="68"/>
  <c r="N502" i="68"/>
  <c r="N497" i="68"/>
  <c r="M497" i="68"/>
  <c r="N301" i="68"/>
  <c r="M301" i="68"/>
  <c r="N267" i="68"/>
  <c r="M267" i="68"/>
  <c r="N664" i="68"/>
  <c r="M664" i="68"/>
  <c r="N579" i="68"/>
  <c r="M579" i="68"/>
  <c r="M320" i="68"/>
  <c r="N320" i="68"/>
  <c r="M131" i="68"/>
  <c r="N131" i="68"/>
  <c r="M503" i="68"/>
  <c r="N503" i="68"/>
  <c r="M289" i="68"/>
  <c r="N289" i="68"/>
  <c r="M97" i="68"/>
  <c r="N97" i="68"/>
  <c r="M432" i="68"/>
  <c r="N432" i="68"/>
  <c r="N556" i="68"/>
  <c r="M556" i="68"/>
  <c r="M541" i="68"/>
  <c r="N541" i="68"/>
  <c r="M471" i="68"/>
  <c r="N471" i="68"/>
  <c r="M628" i="68"/>
  <c r="N628" i="68"/>
  <c r="M482" i="68"/>
  <c r="N482" i="68"/>
  <c r="M480" i="68"/>
  <c r="N480" i="68"/>
  <c r="N134" i="68"/>
  <c r="M134" i="68"/>
  <c r="M188" i="68"/>
  <c r="N188" i="68"/>
  <c r="M199" i="68"/>
  <c r="N199" i="68"/>
  <c r="M157" i="68"/>
  <c r="N157" i="68"/>
  <c r="M719" i="68"/>
  <c r="N719" i="68"/>
  <c r="M155" i="68"/>
  <c r="N155" i="68"/>
  <c r="M510" i="68"/>
  <c r="N510" i="68"/>
  <c r="M254" i="68"/>
  <c r="N254" i="68"/>
  <c r="M77" i="68"/>
  <c r="N77" i="68"/>
  <c r="M117" i="68"/>
  <c r="N117" i="68"/>
  <c r="M641" i="68"/>
  <c r="N641" i="68"/>
  <c r="M212" i="68"/>
  <c r="N212" i="68"/>
  <c r="M567" i="68"/>
  <c r="N567" i="68"/>
  <c r="M610" i="68"/>
  <c r="N610" i="68"/>
  <c r="M364" i="68"/>
  <c r="N364" i="68"/>
  <c r="N392" i="68"/>
  <c r="M392" i="68"/>
  <c r="M31" i="68"/>
  <c r="N31" i="68"/>
  <c r="M3" i="68"/>
  <c r="N3" i="68"/>
  <c r="M22" i="68"/>
  <c r="N22" i="68"/>
  <c r="M671" i="68"/>
  <c r="N671" i="68"/>
  <c r="M398" i="68"/>
  <c r="N398" i="68"/>
  <c r="M265" i="68"/>
  <c r="N265" i="68"/>
  <c r="M376" i="68"/>
  <c r="N376" i="68"/>
  <c r="N342" i="68"/>
  <c r="M342" i="68"/>
  <c r="M461" i="68"/>
  <c r="N461" i="68"/>
  <c r="M657" i="68"/>
  <c r="N657" i="68"/>
  <c r="N75" i="68"/>
  <c r="M75" i="68"/>
  <c r="N660" i="68"/>
  <c r="M660" i="68"/>
  <c r="M511" i="68"/>
  <c r="N511" i="68"/>
  <c r="M349" i="68"/>
  <c r="N349" i="68"/>
  <c r="N385" i="68"/>
  <c r="M385" i="68"/>
  <c r="M286" i="68"/>
  <c r="N286" i="68"/>
  <c r="N668" i="68"/>
  <c r="M668" i="68"/>
  <c r="N21" i="68"/>
  <c r="M21" i="68"/>
  <c r="M583" i="68"/>
  <c r="N583" i="68"/>
  <c r="M351" i="68"/>
  <c r="N351" i="68"/>
  <c r="N736" i="68"/>
  <c r="M736" i="68"/>
  <c r="M587" i="68"/>
  <c r="N587" i="68"/>
  <c r="N296" i="68"/>
  <c r="M296" i="68"/>
  <c r="N678" i="68"/>
  <c r="M678" i="68"/>
  <c r="M90" i="68"/>
  <c r="N90" i="68"/>
  <c r="N135" i="68"/>
  <c r="M135" i="68"/>
  <c r="M689" i="68"/>
  <c r="N689" i="68"/>
  <c r="M255" i="68"/>
  <c r="N255" i="68"/>
  <c r="N403" i="68"/>
  <c r="M403" i="68"/>
  <c r="N49" i="68"/>
  <c r="M49" i="68"/>
  <c r="N646" i="68"/>
  <c r="M646" i="68"/>
  <c r="N180" i="68"/>
  <c r="M180" i="68"/>
  <c r="M582" i="68"/>
  <c r="N582" i="68"/>
  <c r="M410" i="68"/>
  <c r="N410" i="68"/>
  <c r="M230" i="68"/>
  <c r="N230" i="68"/>
  <c r="M138" i="68"/>
  <c r="N138" i="68"/>
  <c r="N283" i="68"/>
  <c r="M283" i="68"/>
  <c r="N118" i="68"/>
  <c r="M118" i="68"/>
  <c r="N350" i="68"/>
  <c r="M350" i="68"/>
  <c r="M727" i="68"/>
  <c r="N727" i="68"/>
  <c r="N411" i="68"/>
  <c r="M411" i="68"/>
  <c r="M406" i="68"/>
  <c r="N406" i="68"/>
  <c r="M163" i="68"/>
  <c r="N163" i="68"/>
  <c r="M573" i="68"/>
  <c r="N573" i="68"/>
  <c r="M216" i="68"/>
  <c r="N216" i="68"/>
  <c r="M310" i="68"/>
  <c r="N310" i="68"/>
  <c r="N87" i="68"/>
  <c r="M87" i="68"/>
  <c r="N395" i="68"/>
  <c r="M395" i="68"/>
  <c r="N755" i="68"/>
  <c r="M755" i="68"/>
  <c r="N290" i="68"/>
  <c r="M290" i="68"/>
  <c r="M113" i="68"/>
  <c r="N113" i="68"/>
  <c r="M525" i="68"/>
  <c r="N525" i="68"/>
  <c r="M291" i="68"/>
  <c r="N291" i="68"/>
  <c r="M29" i="68"/>
  <c r="N29" i="68"/>
  <c r="N105" i="68"/>
  <c r="M105" i="68"/>
  <c r="M639" i="68"/>
  <c r="N639" i="68"/>
  <c r="N220" i="68"/>
  <c r="M220" i="68"/>
  <c r="M491" i="68"/>
  <c r="N491" i="68"/>
  <c r="M148" i="68"/>
  <c r="N148" i="68"/>
  <c r="N9" i="68"/>
  <c r="M9" i="68"/>
  <c r="M708" i="68"/>
  <c r="N708" i="68"/>
  <c r="N516" i="68"/>
  <c r="M516" i="68"/>
  <c r="N757" i="68"/>
  <c r="M757" i="68"/>
  <c r="M67" i="68"/>
  <c r="N67" i="68"/>
  <c r="M647" i="68"/>
  <c r="N647" i="68"/>
  <c r="M676" i="68"/>
  <c r="N676" i="68"/>
  <c r="M80" i="68"/>
  <c r="N80" i="68"/>
  <c r="M250" i="68"/>
  <c r="N250" i="68"/>
  <c r="M458" i="68"/>
  <c r="N458" i="68"/>
  <c r="N595" i="68"/>
  <c r="M595" i="68"/>
  <c r="M555" i="68"/>
  <c r="N555" i="68"/>
  <c r="M486" i="68"/>
  <c r="N486" i="68"/>
  <c r="M414" i="68"/>
  <c r="N414" i="68"/>
  <c r="M145" i="68"/>
  <c r="N145" i="68"/>
  <c r="M584" i="68"/>
  <c r="N584" i="68"/>
  <c r="N232" i="68"/>
  <c r="M232" i="68"/>
  <c r="N558" i="68"/>
  <c r="M558" i="68"/>
  <c r="M681" i="68"/>
  <c r="N681" i="68"/>
  <c r="M245" i="68"/>
  <c r="N245" i="68"/>
  <c r="N752" i="68"/>
  <c r="M752" i="68"/>
  <c r="N535" i="68"/>
  <c r="M535" i="68"/>
  <c r="M478" i="68"/>
  <c r="N478" i="68"/>
  <c r="M223" i="68"/>
  <c r="N223" i="68"/>
  <c r="N211" i="68"/>
  <c r="M211" i="68"/>
  <c r="N304" i="68"/>
  <c r="M304" i="68"/>
  <c r="M246" i="68"/>
  <c r="N246" i="68"/>
  <c r="N648" i="68"/>
  <c r="M648" i="68"/>
  <c r="M82" i="68"/>
  <c r="N82" i="68"/>
  <c r="N465" i="68"/>
  <c r="M465" i="68"/>
  <c r="N718" i="68"/>
  <c r="M718" i="68"/>
  <c r="M253" i="68"/>
  <c r="N253" i="68"/>
  <c r="N357" i="68"/>
  <c r="M357" i="68"/>
  <c r="N298" i="68"/>
  <c r="M298" i="68"/>
  <c r="N475" i="68"/>
  <c r="M475" i="68"/>
  <c r="M621" i="68"/>
  <c r="N621" i="68"/>
  <c r="M146" i="68"/>
  <c r="N146" i="68"/>
  <c r="N153" i="68"/>
  <c r="M153" i="68"/>
  <c r="N285" i="68"/>
  <c r="M285" i="68"/>
  <c r="N412" i="68"/>
  <c r="M412" i="68"/>
  <c r="N447" i="68"/>
  <c r="M447" i="68"/>
  <c r="N183" i="68"/>
  <c r="M183" i="68"/>
  <c r="M716" i="68"/>
  <c r="N716" i="68"/>
  <c r="N673" i="68"/>
  <c r="M673" i="68"/>
  <c r="N71" i="68"/>
  <c r="M71" i="68"/>
  <c r="M460" i="68"/>
  <c r="N460" i="68"/>
  <c r="M344" i="68"/>
  <c r="N344" i="68"/>
  <c r="N189" i="68"/>
  <c r="M189" i="68"/>
  <c r="M724" i="68"/>
  <c r="N724" i="68"/>
  <c r="M654" i="68"/>
  <c r="N654" i="68"/>
  <c r="M554" i="68"/>
  <c r="N554" i="68"/>
  <c r="M598" i="68"/>
  <c r="N598" i="68"/>
  <c r="N260" i="68"/>
  <c r="M260" i="68"/>
  <c r="N213" i="68"/>
  <c r="M213" i="68"/>
  <c r="M20" i="68"/>
  <c r="N20" i="68"/>
  <c r="M451" i="68"/>
  <c r="N451" i="68"/>
  <c r="N611" i="68"/>
  <c r="M611" i="68"/>
  <c r="N200" i="68"/>
  <c r="M200" i="68"/>
  <c r="M91" i="68"/>
  <c r="N91" i="68"/>
  <c r="N586" i="68"/>
  <c r="M586" i="68"/>
  <c r="M561" i="68"/>
  <c r="N561" i="68"/>
  <c r="M237" i="68"/>
  <c r="N237" i="68"/>
  <c r="M474" i="68"/>
  <c r="N474" i="68"/>
  <c r="M101" i="68"/>
  <c r="N101" i="68"/>
  <c r="N63" i="68"/>
  <c r="M63" i="68"/>
  <c r="M39" i="68"/>
  <c r="N39" i="68"/>
  <c r="M563" i="68"/>
  <c r="N563" i="68"/>
  <c r="M698" i="68"/>
  <c r="N698" i="68"/>
  <c r="N40" i="68"/>
  <c r="M40" i="68"/>
  <c r="N630" i="68"/>
  <c r="M630" i="68"/>
  <c r="M489" i="68"/>
  <c r="N489" i="68"/>
  <c r="N568" i="68"/>
  <c r="M568" i="68"/>
  <c r="M104" i="68"/>
  <c r="N104" i="68"/>
  <c r="M429" i="68"/>
  <c r="N429" i="68"/>
  <c r="N44" i="68"/>
  <c r="M44" i="68"/>
  <c r="M642" i="68"/>
  <c r="N642" i="68"/>
  <c r="M151" i="68"/>
  <c r="N151" i="68"/>
  <c r="M434" i="68"/>
  <c r="N434" i="68"/>
  <c r="N682" i="68"/>
  <c r="M682" i="68"/>
  <c r="N324" i="68"/>
  <c r="M324" i="68"/>
  <c r="M625" i="68"/>
  <c r="N625" i="68"/>
  <c r="M317" i="68"/>
  <c r="N317" i="68"/>
  <c r="M700" i="68"/>
  <c r="N700" i="68"/>
  <c r="M476" i="68"/>
  <c r="N476" i="68"/>
  <c r="M114" i="68"/>
  <c r="N114" i="68"/>
  <c r="M508" i="68"/>
  <c r="N508" i="68"/>
  <c r="M202" i="68"/>
  <c r="N202" i="68"/>
  <c r="M500" i="68"/>
  <c r="N500" i="68"/>
  <c r="M127" i="68"/>
  <c r="N127" i="68"/>
  <c r="N2" i="68"/>
  <c r="M2" i="68"/>
  <c r="M593" i="68"/>
  <c r="N593" i="68"/>
  <c r="M181" i="68"/>
  <c r="N181" i="68"/>
  <c r="M729" i="68"/>
  <c r="N729" i="68"/>
  <c r="N4" i="68"/>
  <c r="M4" i="68"/>
  <c r="M635" i="68"/>
  <c r="N635" i="68"/>
  <c r="M553" i="68"/>
  <c r="N553" i="68"/>
  <c r="N5" i="68"/>
  <c r="M5" i="68"/>
  <c r="N167" i="68"/>
  <c r="M167" i="68"/>
  <c r="M259" i="68"/>
  <c r="N259" i="68"/>
  <c r="N83" i="68"/>
  <c r="M83" i="68"/>
  <c r="N94" i="68"/>
  <c r="M94" i="68"/>
  <c r="M261" i="68"/>
  <c r="N261" i="68"/>
  <c r="M238" i="68"/>
  <c r="N238" i="68"/>
  <c r="M694" i="68"/>
  <c r="N694" i="68"/>
  <c r="M262" i="68"/>
  <c r="N262" i="68"/>
  <c r="N435" i="68"/>
  <c r="M435" i="68"/>
  <c r="N321" i="68"/>
  <c r="M321" i="68"/>
  <c r="N143" i="68"/>
  <c r="M143" i="68"/>
  <c r="M437" i="68"/>
  <c r="N437" i="68"/>
  <c r="N7" i="68"/>
  <c r="M7" i="68"/>
  <c r="M356" i="68"/>
  <c r="N356" i="68"/>
  <c r="N305" i="68"/>
  <c r="M305" i="68"/>
  <c r="N743" i="68"/>
  <c r="M743" i="68"/>
  <c r="N522" i="68"/>
  <c r="M522" i="68"/>
  <c r="M490" i="68"/>
  <c r="N490" i="68"/>
  <c r="M366" i="68"/>
  <c r="N366" i="68"/>
  <c r="N276" i="68"/>
  <c r="M276" i="68"/>
  <c r="M340" i="68"/>
  <c r="N340" i="68"/>
  <c r="M651" i="68"/>
  <c r="N651" i="68"/>
  <c r="N674" i="68"/>
  <c r="M674" i="68"/>
  <c r="M634" i="68"/>
  <c r="N634" i="68"/>
  <c r="M746" i="68"/>
  <c r="N746" i="68"/>
  <c r="N740" i="68"/>
  <c r="M740" i="68"/>
  <c r="N477" i="68"/>
  <c r="M477" i="68"/>
  <c r="M327" i="68"/>
  <c r="N327" i="68"/>
  <c r="M420" i="68"/>
  <c r="N420" i="68"/>
  <c r="M158" i="68"/>
  <c r="N158" i="68"/>
  <c r="M128" i="68"/>
  <c r="N128" i="68"/>
  <c r="N536" i="68"/>
  <c r="M536" i="68"/>
  <c r="M62" i="68"/>
  <c r="N62" i="68"/>
  <c r="M184" i="68"/>
  <c r="N184" i="68"/>
  <c r="M499" i="68"/>
  <c r="N499" i="68"/>
  <c r="M231" i="68"/>
  <c r="N231" i="68"/>
  <c r="M47" i="68"/>
  <c r="N47" i="68"/>
  <c r="M362" i="68"/>
  <c r="N362" i="68"/>
  <c r="N614" i="68"/>
  <c r="M614" i="68"/>
  <c r="N413" i="68"/>
  <c r="M413" i="68"/>
  <c r="M17" i="68"/>
  <c r="N17" i="68"/>
  <c r="N468" i="68"/>
  <c r="M468" i="68"/>
  <c r="M307" i="68"/>
  <c r="N307" i="68"/>
  <c r="N488" i="68"/>
  <c r="M488" i="68"/>
  <c r="N16" i="68"/>
  <c r="M16" i="68"/>
  <c r="M154" i="68"/>
  <c r="N154" i="68"/>
  <c r="M193" i="68"/>
  <c r="N193" i="68"/>
  <c r="M186" i="68"/>
  <c r="N186" i="68"/>
  <c r="N348" i="68"/>
  <c r="M348" i="68"/>
  <c r="M699" i="68"/>
  <c r="N699" i="68"/>
  <c r="N353" i="68"/>
  <c r="M353" i="68"/>
  <c r="M225" i="68"/>
  <c r="N225" i="68"/>
  <c r="M133" i="68"/>
  <c r="N133" i="68"/>
  <c r="M60" i="68"/>
  <c r="N60" i="68"/>
  <c r="M421" i="68"/>
  <c r="N421" i="68"/>
  <c r="N605" i="68"/>
  <c r="M605" i="68"/>
  <c r="M473" i="68"/>
  <c r="N473" i="68"/>
  <c r="M256" i="68"/>
  <c r="N256" i="68"/>
  <c r="M369" i="68"/>
  <c r="N369" i="68"/>
  <c r="M222" i="68"/>
  <c r="N222" i="68"/>
  <c r="N532" i="68"/>
  <c r="M532" i="68"/>
  <c r="M386" i="68"/>
  <c r="N386" i="68"/>
  <c r="M56" i="68"/>
  <c r="N56" i="68"/>
  <c r="M441" i="68"/>
  <c r="N441" i="68"/>
  <c r="M152" i="68"/>
  <c r="N152" i="68"/>
  <c r="M122" i="68"/>
  <c r="N122" i="68"/>
  <c r="N401" i="68"/>
  <c r="M401" i="68"/>
  <c r="M339" i="68"/>
  <c r="N339" i="68"/>
  <c r="M687" i="68"/>
  <c r="N687" i="68"/>
  <c r="M15" i="68"/>
  <c r="N15" i="68"/>
  <c r="N111" i="68"/>
  <c r="M111" i="68"/>
  <c r="M723" i="68"/>
  <c r="N723" i="68"/>
  <c r="M637" i="68"/>
  <c r="N637" i="68"/>
  <c r="N210" i="68"/>
  <c r="M210" i="68"/>
  <c r="M227" i="68"/>
  <c r="N227" i="68"/>
  <c r="M601" i="68"/>
  <c r="N601" i="68"/>
  <c r="N185" i="68"/>
  <c r="M185" i="68"/>
  <c r="M330" i="68"/>
  <c r="N330" i="68"/>
  <c r="M731" i="68"/>
  <c r="N731" i="68"/>
  <c r="N481" i="68"/>
  <c r="M481" i="68"/>
  <c r="M106" i="68"/>
  <c r="N106" i="68"/>
  <c r="N692" i="68"/>
  <c r="M692" i="68"/>
  <c r="N288" i="68"/>
  <c r="M288" i="68"/>
  <c r="M527" i="68"/>
  <c r="N527" i="68"/>
  <c r="M726" i="68"/>
  <c r="N726" i="68"/>
  <c r="M165" i="68"/>
  <c r="N165" i="68"/>
  <c r="M520" i="68"/>
  <c r="N520" i="68"/>
  <c r="M400" i="68"/>
  <c r="N400" i="68"/>
  <c r="M89" i="68"/>
  <c r="N89" i="68"/>
  <c r="N130" i="68"/>
  <c r="M130" i="68"/>
  <c r="N287" i="68"/>
  <c r="M287" i="68"/>
  <c r="M169" i="68"/>
  <c r="N169" i="68"/>
  <c r="N600" i="68"/>
  <c r="M600" i="68"/>
  <c r="M549" i="68"/>
  <c r="N549" i="68"/>
  <c r="M444" i="68"/>
  <c r="N444" i="68"/>
  <c r="M234" i="68"/>
  <c r="N234" i="68"/>
  <c r="M534" i="68"/>
  <c r="N534" i="68"/>
  <c r="M132" i="68"/>
  <c r="N132" i="68"/>
  <c r="M57" i="68"/>
  <c r="N57" i="68"/>
  <c r="N715" i="68"/>
  <c r="M715" i="68"/>
  <c r="N739" i="68"/>
  <c r="M739" i="68"/>
  <c r="M450" i="68"/>
  <c r="N450" i="68"/>
  <c r="M377" i="68"/>
  <c r="N377" i="68"/>
  <c r="M438" i="68"/>
  <c r="N438" i="68"/>
  <c r="M84" i="68"/>
  <c r="N84" i="68"/>
  <c r="M572" i="68"/>
  <c r="N572" i="68"/>
  <c r="M322" i="68"/>
  <c r="N322" i="68"/>
  <c r="N613" i="68"/>
  <c r="M613" i="68"/>
  <c r="M448" i="68"/>
  <c r="N448" i="68"/>
  <c r="N569" i="68"/>
  <c r="M569" i="68"/>
  <c r="M397" i="68"/>
  <c r="N397" i="68"/>
  <c r="M466" i="68"/>
  <c r="N466" i="68"/>
  <c r="M533" i="68"/>
  <c r="N533" i="68"/>
  <c r="M483" i="68"/>
  <c r="N483" i="68"/>
  <c r="M365" i="68"/>
  <c r="N365" i="68"/>
  <c r="M41" i="68"/>
  <c r="N41" i="68"/>
  <c r="M391" i="68"/>
  <c r="N391" i="68"/>
  <c r="N655" i="68"/>
  <c r="M655" i="68"/>
  <c r="N303" i="68"/>
  <c r="M303" i="68"/>
  <c r="N547" i="68"/>
  <c r="M547" i="68"/>
  <c r="N81" i="68"/>
  <c r="M81" i="68"/>
  <c r="M649" i="68"/>
  <c r="N649" i="68"/>
  <c r="N578" i="68"/>
  <c r="M578" i="68"/>
  <c r="N433" i="68"/>
  <c r="M433" i="68"/>
  <c r="M55" i="68"/>
  <c r="N55" i="68"/>
  <c r="M417" i="68"/>
  <c r="N417" i="68"/>
  <c r="N754" i="68"/>
  <c r="M754" i="68"/>
  <c r="M38" i="68"/>
  <c r="N38" i="68"/>
  <c r="M258" i="68"/>
  <c r="N258" i="68"/>
  <c r="N643" i="68"/>
  <c r="M643" i="68"/>
  <c r="N622" i="68"/>
  <c r="M622" i="68"/>
  <c r="N313" i="68"/>
  <c r="M313" i="68"/>
  <c r="M706" i="68"/>
  <c r="N706" i="68"/>
  <c r="M408" i="68"/>
  <c r="N408" i="68"/>
  <c r="N606" i="68"/>
  <c r="M606" i="68"/>
  <c r="N284" i="68"/>
  <c r="M284" i="68"/>
  <c r="N574" i="68"/>
  <c r="M574" i="68"/>
  <c r="M517" i="68"/>
  <c r="N517" i="68"/>
  <c r="M543" i="68"/>
  <c r="N543" i="68"/>
  <c r="M176" i="68"/>
  <c r="N176" i="68"/>
  <c r="N728" i="68"/>
  <c r="M728" i="68"/>
  <c r="N162" i="68"/>
  <c r="M162" i="68"/>
  <c r="M292" i="68"/>
  <c r="N292" i="68"/>
  <c r="N85" i="68"/>
  <c r="M85" i="68"/>
  <c r="M187" i="68"/>
  <c r="N187" i="68"/>
  <c r="N565" i="68"/>
  <c r="M565" i="68"/>
  <c r="M515" i="68"/>
  <c r="N515" i="68"/>
  <c r="N571" i="68"/>
  <c r="M571" i="68"/>
  <c r="N375" i="68"/>
  <c r="M375" i="68"/>
  <c r="M24" i="68"/>
  <c r="N24" i="68"/>
  <c r="N504" i="68"/>
  <c r="M504" i="68"/>
  <c r="M594" i="68"/>
  <c r="N594" i="68"/>
  <c r="M378" i="68"/>
  <c r="N378" i="68"/>
  <c r="N28" i="68"/>
  <c r="M28" i="68"/>
  <c r="N251" i="68"/>
  <c r="M251" i="68"/>
  <c r="M115" i="68"/>
  <c r="N115" i="68"/>
  <c r="N137" i="68"/>
  <c r="M137" i="68"/>
  <c r="M30" i="68"/>
  <c r="N30" i="68"/>
  <c r="M229" i="68"/>
  <c r="N229" i="68"/>
  <c r="N665" i="68"/>
  <c r="M665" i="68"/>
  <c r="M529" i="68"/>
  <c r="N529" i="68"/>
  <c r="N129" i="68"/>
  <c r="M129" i="68"/>
  <c r="N164" i="68"/>
  <c r="M164" i="68"/>
  <c r="M347" i="68"/>
  <c r="N347" i="68"/>
  <c r="N469" i="68"/>
  <c r="M469" i="68"/>
  <c r="N8" i="68"/>
  <c r="M8" i="68"/>
  <c r="M390" i="68"/>
  <c r="N390" i="68"/>
  <c r="N121" i="68"/>
  <c r="M121" i="68"/>
  <c r="M758" i="68"/>
  <c r="N173" i="68"/>
  <c r="M173" i="68"/>
  <c r="M509" i="68"/>
  <c r="N509" i="68"/>
  <c r="N70" i="68"/>
  <c r="M70" i="68"/>
  <c r="M710" i="68"/>
  <c r="N710" i="68"/>
  <c r="M161" i="68"/>
  <c r="N161" i="68"/>
  <c r="M50" i="68"/>
  <c r="N50" i="68"/>
  <c r="M139" i="68"/>
  <c r="N139" i="68"/>
  <c r="M542" i="68"/>
  <c r="N542" i="68"/>
  <c r="N464" i="68"/>
  <c r="M464" i="68"/>
  <c r="M425" i="68"/>
  <c r="N425" i="68"/>
  <c r="N297" i="68"/>
  <c r="M297" i="68"/>
  <c r="M203" i="68"/>
  <c r="N203" i="68"/>
  <c r="M638" i="68"/>
  <c r="N638" i="68"/>
  <c r="M315" i="68"/>
  <c r="N315" i="68"/>
  <c r="N585" i="68"/>
  <c r="M585" i="68"/>
  <c r="N688" i="68"/>
  <c r="M688" i="68"/>
  <c r="M112" i="68"/>
  <c r="N112" i="68"/>
  <c r="N424" i="68"/>
  <c r="M424" i="68"/>
  <c r="M73" i="68"/>
  <c r="N73" i="68"/>
  <c r="M454" i="68"/>
  <c r="N454" i="68"/>
  <c r="M684" i="68"/>
  <c r="N684" i="68"/>
  <c r="M581" i="68"/>
  <c r="N581" i="68"/>
  <c r="M730" i="68"/>
  <c r="N730" i="68"/>
  <c r="M337" i="68"/>
  <c r="N337" i="68"/>
  <c r="N550" i="68"/>
  <c r="M550" i="68"/>
  <c r="M328" i="68"/>
  <c r="N328" i="68"/>
  <c r="N51" i="68"/>
  <c r="M51" i="68"/>
  <c r="N279" i="68"/>
  <c r="M279" i="68"/>
  <c r="N513" i="68"/>
  <c r="M513" i="68"/>
  <c r="M693" i="68"/>
  <c r="N693" i="68"/>
  <c r="N124" i="68"/>
  <c r="M124" i="68"/>
  <c r="M640" i="68"/>
  <c r="N640" i="68"/>
  <c r="M631" i="68"/>
  <c r="N631" i="68"/>
  <c r="M722" i="68"/>
  <c r="N722" i="68"/>
  <c r="M602" i="68"/>
  <c r="N602" i="68"/>
  <c r="N690" i="68"/>
  <c r="M690" i="68"/>
  <c r="M399" i="68"/>
  <c r="N399" i="68"/>
  <c r="M233" i="68"/>
  <c r="N233" i="68"/>
  <c r="M557" i="68"/>
  <c r="N557" i="68"/>
  <c r="M282" i="68"/>
  <c r="N282" i="68"/>
  <c r="M208" i="68"/>
  <c r="N208" i="68"/>
  <c r="N493" i="68"/>
  <c r="M493" i="68"/>
  <c r="N207" i="68"/>
  <c r="M207" i="68"/>
  <c r="M326" i="68"/>
  <c r="N326" i="68"/>
  <c r="M405" i="68"/>
  <c r="N405" i="68"/>
  <c r="N195" i="68"/>
  <c r="M195" i="68"/>
  <c r="N415" i="68"/>
  <c r="M415" i="68"/>
  <c r="N659" i="68"/>
  <c r="M659" i="68"/>
  <c r="M612" i="68"/>
  <c r="N612" i="68"/>
  <c r="M496" i="68"/>
  <c r="N496" i="68"/>
  <c r="M576" i="68"/>
  <c r="N576" i="68"/>
  <c r="N249" i="68"/>
  <c r="M249" i="68"/>
  <c r="N6" i="68"/>
  <c r="M6" i="68"/>
  <c r="M607" i="68"/>
  <c r="N607" i="68"/>
  <c r="N142" i="68"/>
  <c r="M142" i="68"/>
  <c r="N228" i="68"/>
  <c r="M228" i="68"/>
  <c r="M559" i="68"/>
  <c r="N559" i="68"/>
  <c r="N538" i="68"/>
  <c r="M538" i="68"/>
  <c r="M318" i="68"/>
  <c r="N318" i="68"/>
  <c r="N300" i="68"/>
  <c r="M300" i="68"/>
  <c r="N217" i="68"/>
  <c r="M217" i="68"/>
  <c r="N190" i="68"/>
  <c r="M190" i="68"/>
  <c r="N308" i="68"/>
  <c r="M308" i="68"/>
  <c r="N12" i="68"/>
  <c r="M12" i="68"/>
  <c r="M374" i="68"/>
  <c r="N374" i="68"/>
  <c r="M311" i="68"/>
  <c r="N311" i="68"/>
  <c r="M119" i="68"/>
  <c r="N119" i="68"/>
  <c r="N323" i="68"/>
  <c r="M323" i="68"/>
  <c r="N54" i="68"/>
  <c r="M54" i="68"/>
  <c r="M270" i="68"/>
  <c r="N270" i="68"/>
  <c r="M96" i="68"/>
  <c r="N96" i="68"/>
  <c r="M354" i="68"/>
  <c r="N354" i="68"/>
  <c r="M240" i="68"/>
  <c r="N240" i="68"/>
  <c r="M379" i="68"/>
  <c r="N379" i="68"/>
  <c r="M409" i="68"/>
  <c r="N409" i="68"/>
  <c r="M293" i="68"/>
  <c r="N293" i="68"/>
  <c r="M149" i="68"/>
  <c r="N149" i="68"/>
  <c r="N325" i="68"/>
  <c r="M325" i="68"/>
  <c r="M745" i="68"/>
  <c r="N745" i="68"/>
  <c r="M624" i="68"/>
  <c r="N624" i="68"/>
  <c r="N402" i="68"/>
  <c r="M402" i="68"/>
  <c r="M442" i="68"/>
  <c r="N442" i="68"/>
  <c r="M470" i="68"/>
  <c r="N470" i="68"/>
  <c r="M591" i="68"/>
  <c r="N591" i="68"/>
  <c r="M443" i="68"/>
  <c r="N443" i="68"/>
  <c r="N360" i="68"/>
  <c r="M360" i="68"/>
  <c r="N65" i="68"/>
  <c r="M65" i="68"/>
  <c r="N589" i="68"/>
  <c r="M589" i="68"/>
  <c r="M596" i="68"/>
  <c r="N596" i="68"/>
  <c r="N314" i="68"/>
  <c r="M314" i="68"/>
  <c r="M102" i="68"/>
  <c r="N102" i="68"/>
  <c r="M172" i="68"/>
  <c r="N172" i="68"/>
  <c r="M749" i="68"/>
  <c r="N749" i="68"/>
  <c r="M92" i="68"/>
  <c r="N92" i="68"/>
  <c r="M436" i="68"/>
  <c r="N436" i="68"/>
  <c r="N18" i="68"/>
  <c r="M18" i="68"/>
  <c r="M696" i="68"/>
  <c r="N696" i="68"/>
  <c r="M257" i="68"/>
  <c r="N257" i="68"/>
  <c r="M98" i="68"/>
  <c r="N98" i="68"/>
  <c r="M248" i="68"/>
  <c r="N248" i="68"/>
  <c r="N123" i="68"/>
  <c r="M123" i="68"/>
  <c r="M627" i="68"/>
  <c r="N627" i="68"/>
  <c r="M735" i="68"/>
  <c r="N735" i="68"/>
  <c r="M725" i="68"/>
  <c r="N725" i="68"/>
  <c r="M341" i="68"/>
  <c r="N341" i="68"/>
  <c r="M206" i="68"/>
  <c r="N206" i="68"/>
  <c r="M609" i="68"/>
  <c r="N609" i="68"/>
  <c r="M126" i="68"/>
  <c r="N126" i="68"/>
  <c r="M205" i="68"/>
  <c r="N205" i="68"/>
  <c r="M599" i="68"/>
  <c r="N599" i="68"/>
  <c r="M618" i="68"/>
  <c r="N618" i="68"/>
  <c r="M608" i="68"/>
  <c r="N608" i="68"/>
  <c r="M545" i="68"/>
  <c r="N545" i="68"/>
  <c r="M26" i="68"/>
  <c r="N26" i="68"/>
  <c r="M170" i="68"/>
  <c r="N170" i="68"/>
  <c r="M198" i="68"/>
  <c r="N198" i="68"/>
  <c r="M616" i="68"/>
  <c r="N616" i="68"/>
  <c r="M484" i="68"/>
  <c r="N484" i="68"/>
  <c r="M242" i="68"/>
  <c r="N242" i="68"/>
  <c r="N653" i="68"/>
  <c r="M653" i="68"/>
  <c r="N384" i="68"/>
  <c r="M384" i="68"/>
  <c r="M675" i="68"/>
  <c r="N675" i="68"/>
  <c r="M19" i="68"/>
  <c r="N19" i="68"/>
  <c r="N680" i="68"/>
  <c r="M680" i="68"/>
  <c r="M604" i="68"/>
  <c r="N604" i="68"/>
  <c r="N494" i="68"/>
  <c r="M494" i="68"/>
  <c r="N495" i="68"/>
  <c r="M495" i="68"/>
  <c r="M679" i="68"/>
  <c r="N679" i="68"/>
  <c r="M440" i="68"/>
  <c r="N440" i="68"/>
  <c r="M747" i="68"/>
  <c r="N747" i="68"/>
  <c r="N539" i="68"/>
  <c r="M539" i="68"/>
  <c r="M45" i="68"/>
  <c r="N45" i="68"/>
  <c r="M335" i="68"/>
  <c r="N335" i="68"/>
  <c r="M361" i="68"/>
  <c r="N361" i="68"/>
  <c r="M116" i="68"/>
  <c r="N116" i="68"/>
  <c r="M59" i="68"/>
  <c r="N59" i="68"/>
  <c r="M201" i="68"/>
  <c r="N201" i="68"/>
  <c r="M269" i="68"/>
  <c r="N269" i="68"/>
  <c r="N61" i="68"/>
  <c r="M61" i="68"/>
  <c r="N141" i="68"/>
  <c r="M141" i="68"/>
  <c r="M383" i="68"/>
  <c r="N383" i="68"/>
  <c r="M107" i="68"/>
  <c r="N107" i="68"/>
  <c r="M372" i="68"/>
  <c r="N372" i="68"/>
  <c r="N446" i="68"/>
  <c r="M446" i="68"/>
  <c r="N79" i="68"/>
  <c r="M79" i="68"/>
  <c r="M702" i="68"/>
  <c r="N702" i="68"/>
  <c r="M524" i="68"/>
  <c r="N524" i="68"/>
  <c r="N370" i="68"/>
  <c r="M370" i="68"/>
  <c r="N453" i="68"/>
  <c r="M453" i="68"/>
  <c r="M110" i="68"/>
  <c r="N110" i="68"/>
  <c r="N125" i="68"/>
  <c r="M125" i="68"/>
  <c r="M445" i="68"/>
  <c r="N445" i="68"/>
  <c r="N701" i="68"/>
  <c r="M701" i="68"/>
  <c r="N703" i="68"/>
  <c r="M703" i="68"/>
  <c r="M197" i="68"/>
  <c r="N197" i="68"/>
  <c r="M416" i="68"/>
  <c r="N416" i="68"/>
  <c r="M221" i="68"/>
  <c r="N221" i="68"/>
  <c r="M68" i="68"/>
  <c r="N68" i="68"/>
  <c r="N455" i="68"/>
  <c r="M455" i="68"/>
  <c r="M174" i="68"/>
  <c r="N174" i="68"/>
  <c r="M294" i="68"/>
  <c r="N294" i="68"/>
  <c r="M626" i="68"/>
  <c r="N626" i="68"/>
  <c r="M396" i="68"/>
  <c r="N396" i="68"/>
  <c r="M720" i="68"/>
  <c r="N720" i="68"/>
  <c r="M463" i="68"/>
  <c r="N463" i="68"/>
  <c r="N650" i="68"/>
  <c r="M650" i="68"/>
  <c r="N394" i="68"/>
  <c r="M394" i="68"/>
  <c r="M666" i="68"/>
  <c r="N666" i="68"/>
  <c r="M11" i="68"/>
  <c r="N11" i="68"/>
  <c r="M271" i="68"/>
  <c r="N271" i="68"/>
  <c r="M214" i="68"/>
  <c r="N214" i="68"/>
  <c r="M156" i="68"/>
  <c r="N156" i="68"/>
  <c r="M677" i="68"/>
  <c r="N677" i="68"/>
  <c r="N381" i="68"/>
  <c r="M381" i="68"/>
  <c r="M266" i="68"/>
  <c r="N266" i="68"/>
  <c r="M58" i="68"/>
  <c r="N58" i="68"/>
  <c r="N52" i="68"/>
  <c r="M52" i="68"/>
  <c r="N177" i="68"/>
  <c r="M177" i="68"/>
  <c r="N274" i="68"/>
  <c r="M274" i="68"/>
  <c r="N742" i="68"/>
  <c r="M742" i="68"/>
  <c r="N459" i="68"/>
  <c r="M459" i="68"/>
  <c r="N530" i="68"/>
  <c r="M530" i="68"/>
  <c r="N712" i="68"/>
  <c r="I28" i="74" s="1"/>
  <c r="M712" i="68"/>
  <c r="N46" i="68"/>
  <c r="M46" i="68"/>
  <c r="M35" i="68"/>
  <c r="N35" i="68"/>
  <c r="N387" i="68"/>
  <c r="M387" i="68"/>
  <c r="M175" i="68"/>
  <c r="N175" i="68"/>
  <c r="M467" i="68"/>
  <c r="N467" i="68"/>
  <c r="N661" i="68"/>
  <c r="M661" i="68"/>
  <c r="M501" i="68"/>
  <c r="N501" i="68"/>
  <c r="M597" i="68"/>
  <c r="N597" i="68"/>
  <c r="M505" i="68"/>
  <c r="N505" i="68"/>
  <c r="M95" i="68"/>
  <c r="N95" i="68"/>
  <c r="N209" i="68"/>
  <c r="M209" i="68"/>
  <c r="N168" i="68"/>
  <c r="M168" i="68"/>
  <c r="N691" i="68"/>
  <c r="M691" i="68"/>
  <c r="N280" i="68"/>
  <c r="M280" i="68"/>
  <c r="M191" i="68"/>
  <c r="N191" i="68"/>
  <c r="N332" i="68"/>
  <c r="M332" i="68"/>
  <c r="M88" i="68"/>
  <c r="N88" i="68"/>
  <c r="M346" i="68"/>
  <c r="N346" i="68"/>
  <c r="M196" i="68"/>
  <c r="N196" i="68"/>
  <c r="M423" i="68"/>
  <c r="N423" i="68"/>
  <c r="M588" i="68"/>
  <c r="N588" i="68"/>
  <c r="M686" i="68"/>
  <c r="N686" i="68"/>
  <c r="M564" i="68"/>
  <c r="N564" i="68"/>
  <c r="M393" i="68"/>
  <c r="N393" i="68"/>
  <c r="M462" i="68"/>
  <c r="N462" i="68"/>
  <c r="M544" i="68"/>
  <c r="N544" i="68"/>
  <c r="N528" i="68"/>
  <c r="M528" i="68"/>
  <c r="M14" i="68"/>
  <c r="N14" i="68"/>
  <c r="M623" i="68"/>
  <c r="N623" i="68"/>
  <c r="M316" i="68"/>
  <c r="N316" i="68"/>
  <c r="M704" i="68"/>
  <c r="N704" i="68"/>
  <c r="N751" i="68"/>
  <c r="M751" i="68"/>
  <c r="M683" i="68"/>
  <c r="N683" i="68"/>
  <c r="M457" i="68"/>
  <c r="N457" i="68"/>
  <c r="M382" i="68"/>
  <c r="N382" i="68"/>
  <c r="M194" i="68"/>
  <c r="N194" i="68"/>
  <c r="N427" i="68"/>
  <c r="M427" i="68"/>
  <c r="M733" i="68"/>
  <c r="N733" i="68"/>
  <c r="N632" i="68"/>
  <c r="M632" i="68"/>
  <c r="M707" i="68"/>
  <c r="N707" i="68"/>
  <c r="M663" i="68"/>
  <c r="N663" i="68"/>
  <c r="M338" i="68"/>
  <c r="N338" i="68"/>
  <c r="M264" i="68"/>
  <c r="N264" i="68"/>
  <c r="N295" i="68"/>
  <c r="M295" i="68"/>
  <c r="N449" i="68"/>
  <c r="M449" i="68"/>
  <c r="M430" i="68"/>
  <c r="N430" i="68"/>
  <c r="M263" i="68"/>
  <c r="N263" i="68"/>
  <c r="M439" i="68"/>
  <c r="N439" i="68"/>
  <c r="M368" i="68"/>
  <c r="N368" i="68"/>
  <c r="M658" i="68"/>
  <c r="N658" i="68"/>
  <c r="M144" i="68"/>
  <c r="N144" i="68"/>
  <c r="M521" i="68"/>
  <c r="N521" i="68"/>
  <c r="M69" i="68"/>
  <c r="N69" i="68"/>
  <c r="N226" i="68"/>
  <c r="M226" i="68"/>
  <c r="M518" i="68"/>
  <c r="N518" i="68"/>
  <c r="N620" i="68"/>
  <c r="M620" i="68"/>
  <c r="N352" i="68"/>
  <c r="M352" i="68"/>
  <c r="N472" i="68"/>
  <c r="M472" i="68"/>
  <c r="M36" i="68"/>
  <c r="N36" i="68"/>
  <c r="N204" i="68"/>
  <c r="M204" i="68"/>
  <c r="M672" i="68"/>
  <c r="N672" i="68"/>
  <c r="M426" i="68"/>
  <c r="N426" i="68"/>
  <c r="M741" i="68"/>
  <c r="N741" i="68"/>
  <c r="M25" i="68"/>
  <c r="N25" i="68"/>
  <c r="M422" i="68"/>
  <c r="N422" i="68"/>
  <c r="N662" i="68"/>
  <c r="M662" i="68"/>
  <c r="M108" i="68"/>
  <c r="N108" i="68"/>
  <c r="M540" i="68"/>
  <c r="N540" i="68"/>
  <c r="M109" i="68"/>
  <c r="N109" i="68"/>
  <c r="M645" i="68"/>
  <c r="N645" i="68"/>
  <c r="M750" i="68"/>
  <c r="N750" i="68"/>
  <c r="N64" i="68"/>
  <c r="M64" i="68"/>
  <c r="M37" i="68"/>
  <c r="N37" i="68"/>
  <c r="M479" i="68"/>
  <c r="N479" i="68"/>
  <c r="M147" i="68"/>
  <c r="N147" i="68"/>
  <c r="M380" i="68"/>
  <c r="N380" i="68"/>
  <c r="M312" i="68"/>
  <c r="N312" i="68"/>
  <c r="N656" i="68"/>
  <c r="M656" i="68"/>
  <c r="M732" i="68"/>
  <c r="N732" i="68"/>
  <c r="N74" i="68"/>
  <c r="M74" i="68"/>
  <c r="N373" i="68"/>
  <c r="M373" i="68"/>
  <c r="N34" i="68"/>
  <c r="M34" i="68"/>
  <c r="M160" i="68"/>
  <c r="N160" i="68"/>
  <c r="N753" i="68"/>
  <c r="M753" i="68"/>
  <c r="N523" i="68"/>
  <c r="M523" i="68"/>
  <c r="M136" i="68"/>
  <c r="N136" i="68"/>
  <c r="M273" i="68"/>
  <c r="N273" i="68"/>
  <c r="M498" i="68"/>
  <c r="N498" i="68"/>
  <c r="M452" i="68"/>
  <c r="N452" i="68"/>
  <c r="M615" i="68"/>
  <c r="N615" i="68"/>
  <c r="N272" i="68"/>
  <c r="M272" i="68"/>
  <c r="M275" i="68"/>
  <c r="N275" i="68"/>
  <c r="N575" i="68"/>
  <c r="M575" i="68"/>
  <c r="N552" i="68"/>
  <c r="M552" i="68"/>
  <c r="M358" i="68"/>
  <c r="N358" i="68"/>
  <c r="M100" i="68"/>
  <c r="N100" i="68"/>
  <c r="M179" i="68"/>
  <c r="N179" i="68"/>
  <c r="N756" i="68"/>
  <c r="M756" i="68"/>
  <c r="M72" i="68"/>
  <c r="N72" i="68"/>
  <c r="M592" i="68"/>
  <c r="N592" i="68"/>
  <c r="M150" i="68"/>
  <c r="N150" i="68"/>
  <c r="N485" i="68"/>
  <c r="M485" i="68"/>
  <c r="M580" i="68"/>
  <c r="N580" i="68"/>
  <c r="M487" i="68"/>
  <c r="N487" i="68"/>
  <c r="N721" i="68"/>
  <c r="M721" i="68"/>
  <c r="M48" i="68"/>
  <c r="N48" i="68"/>
  <c r="N42" i="68"/>
  <c r="M42" i="68"/>
  <c r="M685" i="68"/>
  <c r="N685" i="68"/>
  <c r="M345" i="68"/>
  <c r="N345" i="68"/>
  <c r="N512" i="68"/>
  <c r="M512" i="68"/>
  <c r="N633" i="68"/>
  <c r="M633" i="68"/>
  <c r="M419" i="68"/>
  <c r="N419" i="68"/>
  <c r="M603" i="68"/>
  <c r="N603" i="68"/>
  <c r="L31" i="22"/>
  <c r="J31" i="22"/>
  <c r="J29" i="22"/>
  <c r="L29" i="22"/>
  <c r="J10" i="25"/>
  <c r="L10" i="25"/>
  <c r="L20" i="17"/>
  <c r="J20" i="17"/>
  <c r="J49" i="22"/>
  <c r="L49" i="22"/>
  <c r="J9" i="17"/>
  <c r="L9" i="17"/>
  <c r="J26" i="22"/>
  <c r="L26" i="22"/>
  <c r="J8" i="30"/>
  <c r="L8" i="30"/>
  <c r="J7" i="71"/>
  <c r="L7" i="71"/>
  <c r="O1" i="92"/>
  <c r="AG1" i="92" s="1"/>
  <c r="P1" i="92"/>
  <c r="J2" i="92"/>
  <c r="L2" i="92"/>
  <c r="N1" i="92" s="1"/>
  <c r="L42" i="22"/>
  <c r="J42" i="22"/>
  <c r="J12" i="23"/>
  <c r="L12" i="23"/>
  <c r="J4" i="25"/>
  <c r="L4" i="25"/>
  <c r="L4" i="90"/>
  <c r="J4" i="90"/>
  <c r="J8" i="25"/>
  <c r="L8" i="25"/>
  <c r="J7" i="29"/>
  <c r="L7" i="29"/>
  <c r="L16" i="21"/>
  <c r="J16" i="21"/>
  <c r="J3" i="25"/>
  <c r="L3" i="25"/>
  <c r="J9" i="25"/>
  <c r="L9" i="25"/>
  <c r="J33" i="21"/>
  <c r="L33" i="21"/>
  <c r="J14" i="22"/>
  <c r="L14" i="22"/>
  <c r="J5" i="17"/>
  <c r="L5" i="17"/>
  <c r="J3" i="26"/>
  <c r="L3" i="26"/>
  <c r="J5" i="20"/>
  <c r="L5" i="20"/>
  <c r="J16" i="17"/>
  <c r="L16" i="17"/>
  <c r="J36" i="22"/>
  <c r="L36" i="22"/>
  <c r="L17" i="17"/>
  <c r="J17" i="17"/>
  <c r="J5" i="70"/>
  <c r="L5" i="70"/>
  <c r="J15" i="20"/>
  <c r="L15" i="20"/>
  <c r="J16" i="23"/>
  <c r="L16" i="23"/>
  <c r="L3" i="90"/>
  <c r="J3" i="90"/>
  <c r="J17" i="26"/>
  <c r="L17" i="26"/>
  <c r="J4" i="71"/>
  <c r="L4" i="71"/>
  <c r="L47" i="22"/>
  <c r="J47" i="22"/>
  <c r="J45" i="22"/>
  <c r="L45" i="22"/>
  <c r="J37" i="21"/>
  <c r="L37" i="21"/>
  <c r="J3" i="21"/>
  <c r="L3" i="21"/>
  <c r="J13" i="22"/>
  <c r="L13" i="22"/>
  <c r="L11" i="26"/>
  <c r="J11" i="26"/>
  <c r="J4" i="70"/>
  <c r="L4" i="70"/>
  <c r="P1" i="90"/>
  <c r="J2" i="90"/>
  <c r="O1" i="90"/>
  <c r="AG1" i="90" s="1"/>
  <c r="L2" i="90"/>
  <c r="L40" i="22"/>
  <c r="J40" i="22"/>
  <c r="L25" i="22"/>
  <c r="J25" i="22"/>
  <c r="J13" i="19"/>
  <c r="L13" i="19"/>
  <c r="L5" i="90"/>
  <c r="J5" i="90"/>
  <c r="L18" i="21"/>
  <c r="J18" i="21"/>
  <c r="L16" i="26"/>
  <c r="J16" i="26"/>
  <c r="J10" i="22"/>
  <c r="L10" i="22"/>
  <c r="J4" i="17"/>
  <c r="L4" i="17"/>
  <c r="J24" i="22"/>
  <c r="L24" i="22"/>
  <c r="L28" i="22"/>
  <c r="J28" i="22"/>
  <c r="J15" i="17"/>
  <c r="L15" i="17"/>
  <c r="J7" i="21"/>
  <c r="L7" i="21"/>
  <c r="L75" i="4"/>
  <c r="J75" i="4"/>
  <c r="J7" i="23"/>
  <c r="L7" i="23"/>
  <c r="J9" i="20"/>
  <c r="L9" i="20"/>
  <c r="J10" i="23"/>
  <c r="L10" i="23"/>
  <c r="J5" i="73"/>
  <c r="L5" i="73"/>
  <c r="J9" i="21"/>
  <c r="L9" i="21"/>
  <c r="L13" i="21"/>
  <c r="J13" i="21"/>
  <c r="L23" i="21"/>
  <c r="J23" i="21"/>
  <c r="J3" i="29"/>
  <c r="L3" i="29"/>
  <c r="J6" i="25"/>
  <c r="L6" i="25"/>
  <c r="J18" i="26"/>
  <c r="L18" i="26"/>
  <c r="J41" i="22"/>
  <c r="L41" i="22"/>
  <c r="L29" i="21"/>
  <c r="J29" i="21"/>
  <c r="J39" i="21"/>
  <c r="L39" i="21"/>
  <c r="J13" i="25"/>
  <c r="L13" i="25"/>
  <c r="J14" i="17"/>
  <c r="L14" i="17"/>
  <c r="J18" i="17"/>
  <c r="L18" i="17"/>
  <c r="J7" i="26"/>
  <c r="L7" i="26"/>
  <c r="J14" i="19"/>
  <c r="L14" i="19"/>
  <c r="J3" i="20"/>
  <c r="L3" i="20"/>
  <c r="J15" i="23"/>
  <c r="L15" i="23"/>
  <c r="J16" i="20"/>
  <c r="L16" i="20"/>
  <c r="J4" i="23"/>
  <c r="L4" i="23"/>
  <c r="J4" i="73"/>
  <c r="L4" i="73"/>
  <c r="J23" i="17"/>
  <c r="L23" i="17"/>
  <c r="J9" i="26"/>
  <c r="L9" i="26"/>
  <c r="J13" i="26"/>
  <c r="L13" i="26"/>
  <c r="J14" i="21"/>
  <c r="L14" i="21"/>
  <c r="L12" i="21"/>
  <c r="J12" i="21"/>
  <c r="J43" i="22"/>
  <c r="L43" i="22"/>
  <c r="J6" i="22"/>
  <c r="L6" i="22"/>
  <c r="J16" i="22"/>
  <c r="L16" i="22"/>
  <c r="J26" i="17"/>
  <c r="L26" i="17"/>
  <c r="J27" i="17"/>
  <c r="L27" i="17"/>
  <c r="J32" i="22"/>
  <c r="L32" i="22"/>
  <c r="J13" i="17"/>
  <c r="L13" i="17"/>
  <c r="J14" i="20"/>
  <c r="L14" i="20"/>
  <c r="J8" i="19"/>
  <c r="L8" i="19"/>
  <c r="J12" i="30"/>
  <c r="L12" i="30"/>
  <c r="J9" i="23"/>
  <c r="L9" i="23"/>
  <c r="J10" i="20"/>
  <c r="L10" i="20"/>
  <c r="J5" i="19"/>
  <c r="L5" i="19"/>
  <c r="L2" i="91"/>
  <c r="N1" i="91" s="1"/>
  <c r="O1" i="91"/>
  <c r="AG1" i="91" s="1"/>
  <c r="P1" i="91"/>
  <c r="J2" i="91"/>
  <c r="J19" i="21"/>
  <c r="L19" i="21"/>
  <c r="L38" i="22"/>
  <c r="J38" i="22"/>
  <c r="L48" i="22"/>
  <c r="J48" i="22"/>
  <c r="L8" i="21"/>
  <c r="J8" i="21"/>
  <c r="L14" i="26"/>
  <c r="J14" i="26"/>
  <c r="J12" i="26"/>
  <c r="L12" i="26"/>
  <c r="J5" i="25"/>
  <c r="L5" i="25"/>
  <c r="J6" i="17"/>
  <c r="L6" i="17"/>
  <c r="L20" i="22"/>
  <c r="J20" i="22"/>
  <c r="L34" i="21"/>
  <c r="J34" i="21"/>
  <c r="J3" i="17"/>
  <c r="L3" i="17"/>
  <c r="J3" i="71"/>
  <c r="L3" i="71"/>
  <c r="J13" i="23"/>
  <c r="L13" i="23"/>
  <c r="J6" i="30"/>
  <c r="L6" i="30"/>
  <c r="J4" i="20"/>
  <c r="L4" i="20"/>
  <c r="J3" i="30"/>
  <c r="L3" i="30"/>
  <c r="J10" i="30"/>
  <c r="L10" i="30"/>
  <c r="L2" i="70"/>
  <c r="J2" i="70"/>
  <c r="J2" i="73"/>
  <c r="L2" i="73"/>
  <c r="L19" i="26"/>
  <c r="J19" i="26"/>
  <c r="J8" i="71"/>
  <c r="L8" i="71"/>
  <c r="J8" i="26"/>
  <c r="L8" i="26"/>
  <c r="L39" i="22"/>
  <c r="J39" i="22"/>
  <c r="J37" i="22"/>
  <c r="L37" i="22"/>
  <c r="J73" i="4"/>
  <c r="L73" i="4"/>
  <c r="L35" i="21"/>
  <c r="J35" i="21"/>
  <c r="L22" i="17"/>
  <c r="J22" i="17"/>
  <c r="J10" i="17"/>
  <c r="L10" i="17"/>
  <c r="J6" i="23"/>
  <c r="L6" i="23"/>
  <c r="J11" i="22"/>
  <c r="L11" i="22"/>
  <c r="J15" i="25"/>
  <c r="L15" i="25"/>
  <c r="L32" i="21"/>
  <c r="J32" i="21"/>
  <c r="J38" i="21"/>
  <c r="L38" i="21"/>
  <c r="J40" i="21"/>
  <c r="L40" i="21"/>
  <c r="J12" i="20"/>
  <c r="L12" i="20"/>
  <c r="L41" i="9"/>
  <c r="J41" i="9"/>
  <c r="J11" i="30"/>
  <c r="L11" i="30"/>
  <c r="L3" i="70"/>
  <c r="J3" i="70"/>
  <c r="J4" i="29"/>
  <c r="L4" i="29"/>
  <c r="J14" i="23"/>
  <c r="L14" i="23"/>
  <c r="J10" i="19"/>
  <c r="L10" i="19"/>
  <c r="J4" i="30"/>
  <c r="L4" i="30"/>
  <c r="J3" i="73"/>
  <c r="L3" i="73"/>
  <c r="J21" i="22"/>
  <c r="L21" i="22"/>
  <c r="J34" i="22"/>
  <c r="L34" i="22"/>
  <c r="L44" i="22"/>
  <c r="J44" i="22"/>
  <c r="J9" i="71"/>
  <c r="L9" i="71"/>
  <c r="L33" i="22"/>
  <c r="J33" i="22"/>
  <c r="J25" i="21"/>
  <c r="L25" i="21"/>
  <c r="L12" i="22"/>
  <c r="J12" i="22"/>
  <c r="J6" i="20"/>
  <c r="L6" i="20"/>
  <c r="J16" i="25"/>
  <c r="L16" i="25"/>
  <c r="J9" i="30"/>
  <c r="L9" i="30"/>
  <c r="J28" i="21"/>
  <c r="L28" i="21"/>
  <c r="L9" i="22"/>
  <c r="J9" i="22"/>
  <c r="L15" i="22"/>
  <c r="J15" i="22"/>
  <c r="L74" i="4"/>
  <c r="J74" i="4"/>
  <c r="L17" i="22"/>
  <c r="J17" i="22"/>
  <c r="J23" i="22"/>
  <c r="L23" i="22"/>
  <c r="J11" i="17"/>
  <c r="L11" i="17"/>
  <c r="J6" i="70"/>
  <c r="L6" i="70"/>
  <c r="J42" i="9"/>
  <c r="L42" i="9"/>
  <c r="J8" i="20"/>
  <c r="L8" i="20"/>
  <c r="J8" i="23"/>
  <c r="L8" i="23"/>
  <c r="J4" i="19"/>
  <c r="L4" i="19"/>
  <c r="J15" i="21"/>
  <c r="L15" i="21"/>
  <c r="J14" i="71"/>
  <c r="L14" i="71"/>
  <c r="J10" i="21"/>
  <c r="L10" i="21"/>
  <c r="L21" i="21"/>
  <c r="J21" i="21"/>
  <c r="J11" i="20"/>
  <c r="L11" i="20"/>
  <c r="J31" i="21"/>
  <c r="L31" i="21"/>
  <c r="J14" i="25"/>
  <c r="L14" i="25"/>
  <c r="J26" i="21"/>
  <c r="L26" i="21"/>
  <c r="J11" i="19"/>
  <c r="L11" i="19"/>
  <c r="J30" i="21"/>
  <c r="L30" i="21"/>
  <c r="J28" i="17"/>
  <c r="L28" i="17"/>
  <c r="J5" i="22"/>
  <c r="L5" i="22"/>
  <c r="J14" i="30"/>
  <c r="L14" i="30"/>
  <c r="L19" i="22"/>
  <c r="J19" i="22"/>
  <c r="J6" i="19"/>
  <c r="L6" i="19"/>
  <c r="L5" i="21"/>
  <c r="J5" i="21"/>
  <c r="J13" i="71"/>
  <c r="L13" i="71"/>
  <c r="J6" i="29"/>
  <c r="L6" i="29"/>
  <c r="J17" i="23"/>
  <c r="L17" i="23"/>
  <c r="J11" i="71"/>
  <c r="L11" i="71"/>
  <c r="L27" i="22"/>
  <c r="J27" i="22"/>
  <c r="J25" i="17"/>
  <c r="L25" i="17"/>
  <c r="J10" i="26"/>
  <c r="L10" i="26"/>
  <c r="L27" i="21"/>
  <c r="J27" i="21"/>
  <c r="J21" i="26"/>
  <c r="L21" i="26"/>
  <c r="J7" i="20"/>
  <c r="L7" i="20"/>
  <c r="J8" i="22"/>
  <c r="L8" i="22"/>
  <c r="L50" i="22"/>
  <c r="J50" i="22"/>
  <c r="J12" i="25"/>
  <c r="L12" i="25"/>
  <c r="J3" i="22"/>
  <c r="L3" i="22"/>
  <c r="J13" i="20"/>
  <c r="L13" i="20"/>
  <c r="L18" i="25"/>
  <c r="J18" i="25"/>
  <c r="J7" i="22"/>
  <c r="L7" i="22"/>
  <c r="J11" i="25"/>
  <c r="L11" i="25"/>
  <c r="L41" i="21"/>
  <c r="J41" i="21"/>
  <c r="J22" i="22"/>
  <c r="L22" i="22"/>
  <c r="J15" i="71"/>
  <c r="L15" i="71"/>
  <c r="J5" i="26"/>
  <c r="L5" i="26"/>
  <c r="J5" i="30"/>
  <c r="L5" i="30"/>
  <c r="J9" i="19"/>
  <c r="L9" i="19"/>
  <c r="J11" i="23"/>
  <c r="L11" i="23"/>
  <c r="J5" i="71"/>
  <c r="L5" i="71"/>
  <c r="J12" i="71"/>
  <c r="L12" i="71"/>
  <c r="J21" i="17"/>
  <c r="L21" i="17"/>
  <c r="J6" i="21"/>
  <c r="L6" i="21"/>
  <c r="L4" i="21"/>
  <c r="J4" i="21"/>
  <c r="L35" i="22"/>
  <c r="J35" i="22"/>
  <c r="L4" i="22"/>
  <c r="J4" i="22"/>
  <c r="L46" i="22"/>
  <c r="J46" i="22"/>
  <c r="J13" i="30"/>
  <c r="L13" i="30"/>
  <c r="L22" i="21"/>
  <c r="J22" i="21"/>
  <c r="J7" i="19"/>
  <c r="L7" i="19"/>
  <c r="L20" i="21"/>
  <c r="J20" i="21"/>
  <c r="J51" i="22"/>
  <c r="L51" i="22"/>
  <c r="J24" i="17"/>
  <c r="L24" i="17"/>
  <c r="L24" i="21"/>
  <c r="J24" i="21"/>
  <c r="J18" i="22"/>
  <c r="L18" i="22"/>
  <c r="J12" i="17"/>
  <c r="L12" i="17"/>
  <c r="J7" i="17"/>
  <c r="L7" i="17"/>
  <c r="J30" i="22"/>
  <c r="L30" i="22"/>
  <c r="J43" i="9"/>
  <c r="L43" i="9"/>
  <c r="J3" i="19"/>
  <c r="L3" i="19"/>
  <c r="J5" i="23"/>
  <c r="L5" i="23"/>
  <c r="J6" i="71"/>
  <c r="L6" i="71"/>
  <c r="J15" i="26"/>
  <c r="L15" i="26"/>
  <c r="L19" i="17"/>
  <c r="J19" i="17"/>
  <c r="J6" i="26"/>
  <c r="L6" i="26"/>
  <c r="J4" i="26"/>
  <c r="L4" i="26"/>
  <c r="L17" i="21"/>
  <c r="J17" i="21"/>
  <c r="L52" i="22"/>
  <c r="J52" i="22"/>
  <c r="J12" i="19"/>
  <c r="L12" i="19"/>
  <c r="J7" i="30"/>
  <c r="L7" i="30"/>
  <c r="J20" i="26"/>
  <c r="L20" i="26"/>
  <c r="L7" i="25"/>
  <c r="J7" i="25"/>
  <c r="L17" i="25"/>
  <c r="J17" i="25"/>
  <c r="J8" i="17"/>
  <c r="L8" i="17"/>
  <c r="L36" i="21"/>
  <c r="J36" i="21"/>
  <c r="J10" i="71"/>
  <c r="L10" i="71"/>
  <c r="L11" i="21"/>
  <c r="J11" i="21"/>
  <c r="J5" i="29"/>
  <c r="L5" i="29"/>
  <c r="J94" i="6"/>
  <c r="L94" i="6"/>
  <c r="J95" i="6"/>
  <c r="L95" i="6"/>
  <c r="L92" i="6"/>
  <c r="J92" i="6"/>
  <c r="J93" i="6"/>
  <c r="L93" i="6"/>
  <c r="J4" i="27"/>
  <c r="L4" i="27"/>
  <c r="J49" i="4"/>
  <c r="L49" i="4"/>
  <c r="J48" i="4"/>
  <c r="L48" i="4"/>
  <c r="J12" i="4"/>
  <c r="L12" i="4"/>
  <c r="L18" i="15"/>
  <c r="J18" i="15"/>
  <c r="J19" i="4"/>
  <c r="L19" i="4"/>
  <c r="J13" i="4"/>
  <c r="L13" i="4"/>
  <c r="J5" i="13"/>
  <c r="L5" i="13"/>
  <c r="J16" i="4"/>
  <c r="L16" i="4"/>
  <c r="L33" i="7"/>
  <c r="J33" i="7"/>
  <c r="J52" i="4"/>
  <c r="L52" i="4"/>
  <c r="J3" i="4"/>
  <c r="L3" i="4"/>
  <c r="L39" i="11"/>
  <c r="J39" i="11"/>
  <c r="L44" i="11"/>
  <c r="J44" i="11"/>
  <c r="J53" i="4"/>
  <c r="L53" i="4"/>
  <c r="L54" i="7"/>
  <c r="J54" i="7"/>
  <c r="J62" i="4"/>
  <c r="L62" i="4"/>
  <c r="L63" i="7"/>
  <c r="J63" i="7"/>
  <c r="J8" i="7"/>
  <c r="L8" i="7"/>
  <c r="J23" i="4"/>
  <c r="L23" i="4"/>
  <c r="J20" i="4"/>
  <c r="L20" i="4"/>
  <c r="J10" i="24"/>
  <c r="L10" i="24"/>
  <c r="J65" i="4"/>
  <c r="L65" i="4"/>
  <c r="L20" i="7"/>
  <c r="J20" i="7"/>
  <c r="J59" i="4"/>
  <c r="L59" i="4"/>
  <c r="J32" i="11"/>
  <c r="L32" i="11"/>
  <c r="J12" i="15"/>
  <c r="L12" i="15"/>
  <c r="J27" i="11"/>
  <c r="L27" i="11"/>
  <c r="L22" i="11"/>
  <c r="J22" i="11"/>
  <c r="L7" i="7"/>
  <c r="J7" i="7"/>
  <c r="J7" i="28"/>
  <c r="L7" i="28"/>
  <c r="J3" i="28"/>
  <c r="L3" i="28"/>
  <c r="J42" i="4"/>
  <c r="L42" i="4"/>
  <c r="J23" i="7"/>
  <c r="L23" i="7"/>
  <c r="J42" i="7"/>
  <c r="L42" i="7"/>
  <c r="L50" i="7"/>
  <c r="J50" i="7"/>
  <c r="J4" i="24"/>
  <c r="L4" i="24"/>
  <c r="L17" i="16"/>
  <c r="J17" i="16"/>
  <c r="J56" i="4"/>
  <c r="L56" i="4"/>
  <c r="J32" i="7"/>
  <c r="L32" i="7"/>
  <c r="J10" i="4"/>
  <c r="L10" i="4"/>
  <c r="J45" i="4"/>
  <c r="L45" i="4"/>
  <c r="J21" i="7"/>
  <c r="L21" i="7"/>
  <c r="L15" i="24"/>
  <c r="J15" i="24"/>
  <c r="J14" i="11"/>
  <c r="L14" i="11"/>
  <c r="L10" i="15"/>
  <c r="J10" i="15"/>
  <c r="J9" i="27"/>
  <c r="L9" i="27"/>
  <c r="J9" i="11"/>
  <c r="L9" i="11"/>
  <c r="L4" i="11"/>
  <c r="J4" i="11"/>
  <c r="J56" i="7"/>
  <c r="L56" i="7"/>
  <c r="J4" i="13"/>
  <c r="L4" i="13"/>
  <c r="L23" i="11"/>
  <c r="J23" i="11"/>
  <c r="J55" i="4"/>
  <c r="L55" i="4"/>
  <c r="L18" i="11"/>
  <c r="J18" i="11"/>
  <c r="J13" i="11"/>
  <c r="L13" i="11"/>
  <c r="J4" i="16"/>
  <c r="L4" i="16"/>
  <c r="J13" i="13"/>
  <c r="L13" i="13"/>
  <c r="J11" i="15"/>
  <c r="L11" i="15"/>
  <c r="J6" i="13"/>
  <c r="L6" i="13"/>
  <c r="J14" i="16"/>
  <c r="L14" i="16"/>
  <c r="J26" i="4"/>
  <c r="L26" i="4"/>
  <c r="J37" i="4"/>
  <c r="L37" i="4"/>
  <c r="L5" i="7"/>
  <c r="J5" i="7"/>
  <c r="J8" i="27"/>
  <c r="L8" i="27"/>
  <c r="J39" i="4"/>
  <c r="L39" i="4"/>
  <c r="J2" i="21"/>
  <c r="L2" i="21"/>
  <c r="J39" i="7"/>
  <c r="L39" i="7"/>
  <c r="J11" i="24"/>
  <c r="L11" i="24"/>
  <c r="J13" i="24"/>
  <c r="L13" i="24"/>
  <c r="L31" i="11"/>
  <c r="J31" i="11"/>
  <c r="J51" i="7"/>
  <c r="L51" i="7"/>
  <c r="L26" i="7"/>
  <c r="J26" i="7"/>
  <c r="L7" i="16"/>
  <c r="J7" i="16"/>
  <c r="L19" i="16"/>
  <c r="J19" i="16"/>
  <c r="J44" i="7"/>
  <c r="L44" i="7"/>
  <c r="J11" i="13"/>
  <c r="L11" i="13"/>
  <c r="L40" i="7"/>
  <c r="J40" i="7"/>
  <c r="J29" i="4"/>
  <c r="L29" i="4"/>
  <c r="J14" i="13"/>
  <c r="L14" i="13"/>
  <c r="J9" i="24"/>
  <c r="L9" i="24"/>
  <c r="L35" i="7"/>
  <c r="J35" i="7"/>
  <c r="L43" i="11"/>
  <c r="J43" i="11"/>
  <c r="J5" i="4"/>
  <c r="L5" i="4"/>
  <c r="L41" i="7"/>
  <c r="J41" i="7"/>
  <c r="L5" i="27"/>
  <c r="J5" i="27"/>
  <c r="J34" i="7"/>
  <c r="L34" i="7"/>
  <c r="L38" i="7"/>
  <c r="J38" i="7"/>
  <c r="J9" i="72"/>
  <c r="L9" i="72"/>
  <c r="L17" i="15"/>
  <c r="J17" i="15"/>
  <c r="L16" i="15"/>
  <c r="J16" i="15"/>
  <c r="J53" i="7"/>
  <c r="L53" i="7"/>
  <c r="L58" i="7"/>
  <c r="J58" i="7"/>
  <c r="L42" i="11"/>
  <c r="J42" i="11"/>
  <c r="J36" i="4"/>
  <c r="L36" i="4"/>
  <c r="J24" i="16"/>
  <c r="L24" i="16"/>
  <c r="L45" i="7"/>
  <c r="J45" i="7"/>
  <c r="J3" i="11"/>
  <c r="L3" i="11"/>
  <c r="L61" i="7"/>
  <c r="J61" i="7"/>
  <c r="J14" i="7"/>
  <c r="L14" i="7"/>
  <c r="J16" i="24"/>
  <c r="L16" i="24"/>
  <c r="J9" i="15"/>
  <c r="L9" i="15"/>
  <c r="J70" i="4"/>
  <c r="L70" i="4"/>
  <c r="J5" i="11"/>
  <c r="L5" i="11"/>
  <c r="J9" i="4"/>
  <c r="L9" i="4"/>
  <c r="J43" i="4"/>
  <c r="L43" i="4"/>
  <c r="J71" i="4"/>
  <c r="L71" i="4"/>
  <c r="J8" i="72"/>
  <c r="L8" i="72"/>
  <c r="J13" i="16"/>
  <c r="L13" i="16"/>
  <c r="L47" i="7"/>
  <c r="J47" i="7"/>
  <c r="J29" i="7"/>
  <c r="L29" i="7"/>
  <c r="J12" i="24"/>
  <c r="L12" i="24"/>
  <c r="L22" i="7"/>
  <c r="J22" i="7"/>
  <c r="J40" i="4"/>
  <c r="L40" i="4"/>
  <c r="J59" i="7"/>
  <c r="L59" i="7"/>
  <c r="L18" i="24"/>
  <c r="J18" i="24"/>
  <c r="L28" i="7"/>
  <c r="J28" i="7"/>
  <c r="J68" i="4"/>
  <c r="L68" i="4"/>
  <c r="J15" i="16"/>
  <c r="L15" i="16"/>
  <c r="J3" i="7"/>
  <c r="L3" i="7"/>
  <c r="L7" i="27"/>
  <c r="J7" i="27"/>
  <c r="L7" i="24"/>
  <c r="J7" i="24"/>
  <c r="J8" i="28"/>
  <c r="L8" i="28"/>
  <c r="L41" i="11"/>
  <c r="J41" i="11"/>
  <c r="L37" i="11"/>
  <c r="J37" i="11"/>
  <c r="J33" i="4"/>
  <c r="L33" i="4"/>
  <c r="J3" i="15"/>
  <c r="L3" i="15"/>
  <c r="J5" i="28"/>
  <c r="L5" i="28"/>
  <c r="J19" i="7"/>
  <c r="L19" i="7"/>
  <c r="J34" i="11"/>
  <c r="L34" i="11"/>
  <c r="J20" i="16"/>
  <c r="L20" i="16"/>
  <c r="L64" i="7"/>
  <c r="J64" i="7"/>
  <c r="J4" i="7"/>
  <c r="L4" i="7"/>
  <c r="J11" i="4"/>
  <c r="L11" i="4"/>
  <c r="L62" i="7"/>
  <c r="J62" i="7"/>
  <c r="J8" i="4"/>
  <c r="L8" i="4"/>
  <c r="J6" i="24"/>
  <c r="L6" i="24"/>
  <c r="J41" i="4"/>
  <c r="L41" i="4"/>
  <c r="J16" i="7"/>
  <c r="L16" i="7"/>
  <c r="J47" i="4"/>
  <c r="L47" i="4"/>
  <c r="J3" i="16"/>
  <c r="L3" i="16"/>
  <c r="L5" i="15"/>
  <c r="J5" i="15"/>
  <c r="J44" i="4"/>
  <c r="L44" i="4"/>
  <c r="J24" i="11"/>
  <c r="L24" i="11"/>
  <c r="J19" i="11"/>
  <c r="L19" i="11"/>
  <c r="J12" i="16"/>
  <c r="L12" i="16"/>
  <c r="L36" i="11"/>
  <c r="J36" i="11"/>
  <c r="J12" i="13"/>
  <c r="L12" i="13"/>
  <c r="L33" i="11"/>
  <c r="J33" i="11"/>
  <c r="L28" i="11"/>
  <c r="J28" i="11"/>
  <c r="J6" i="72"/>
  <c r="L6" i="72"/>
  <c r="J30" i="4"/>
  <c r="L30" i="4"/>
  <c r="J3" i="32"/>
  <c r="L3" i="32"/>
  <c r="J17" i="4"/>
  <c r="L17" i="4"/>
  <c r="L6" i="7"/>
  <c r="J6" i="7"/>
  <c r="J10" i="7"/>
  <c r="L10" i="7"/>
  <c r="L52" i="7"/>
  <c r="J52" i="7"/>
  <c r="J3" i="72"/>
  <c r="L3" i="72"/>
  <c r="J31" i="4"/>
  <c r="L31" i="4"/>
  <c r="J15" i="11"/>
  <c r="L15" i="11"/>
  <c r="L10" i="11"/>
  <c r="J10" i="11"/>
  <c r="J10" i="13"/>
  <c r="L10" i="13"/>
  <c r="L29" i="11"/>
  <c r="J29" i="11"/>
  <c r="J4" i="15"/>
  <c r="L4" i="15"/>
  <c r="L10" i="16"/>
  <c r="J10" i="16"/>
  <c r="J6" i="28"/>
  <c r="L6" i="28"/>
  <c r="J14" i="4"/>
  <c r="L14" i="4"/>
  <c r="J6" i="27"/>
  <c r="L6" i="27"/>
  <c r="J2" i="11"/>
  <c r="L2" i="11"/>
  <c r="J46" i="7"/>
  <c r="L46" i="7"/>
  <c r="L22" i="16"/>
  <c r="J22" i="16"/>
  <c r="J50" i="4"/>
  <c r="L50" i="4"/>
  <c r="J69" i="4"/>
  <c r="L69" i="4"/>
  <c r="J63" i="4"/>
  <c r="L63" i="4"/>
  <c r="J27" i="4"/>
  <c r="L27" i="4"/>
  <c r="L20" i="11"/>
  <c r="J20" i="11"/>
  <c r="J48" i="7"/>
  <c r="L48" i="7"/>
  <c r="J8" i="13"/>
  <c r="L8" i="13"/>
  <c r="J11" i="11"/>
  <c r="L11" i="11"/>
  <c r="J8" i="11"/>
  <c r="L8" i="11"/>
  <c r="J46" i="4"/>
  <c r="L46" i="4"/>
  <c r="L5" i="24"/>
  <c r="J5" i="24"/>
  <c r="L31" i="7"/>
  <c r="J31" i="7"/>
  <c r="L40" i="11"/>
  <c r="J40" i="11"/>
  <c r="L17" i="24"/>
  <c r="J17" i="24"/>
  <c r="L7" i="15"/>
  <c r="J7" i="15"/>
  <c r="J3" i="13"/>
  <c r="L3" i="13"/>
  <c r="J64" i="4"/>
  <c r="L64" i="4"/>
  <c r="L2" i="4"/>
  <c r="J2" i="4"/>
  <c r="J25" i="4"/>
  <c r="L25" i="4"/>
  <c r="L49" i="7"/>
  <c r="J49" i="7"/>
  <c r="J3" i="24"/>
  <c r="L3" i="24"/>
  <c r="J6" i="15"/>
  <c r="L6" i="15"/>
  <c r="J7" i="4"/>
  <c r="L7" i="4"/>
  <c r="J7" i="72"/>
  <c r="L7" i="72"/>
  <c r="J60" i="4"/>
  <c r="L60" i="4"/>
  <c r="J24" i="4"/>
  <c r="L24" i="4"/>
  <c r="J5" i="72"/>
  <c r="L5" i="72"/>
  <c r="L15" i="7"/>
  <c r="J15" i="7"/>
  <c r="J6" i="11"/>
  <c r="L6" i="11"/>
  <c r="L11" i="7"/>
  <c r="J11" i="7"/>
  <c r="L9" i="16"/>
  <c r="J9" i="16"/>
  <c r="L43" i="7"/>
  <c r="J43" i="7"/>
  <c r="J25" i="7"/>
  <c r="L25" i="7"/>
  <c r="L8" i="24"/>
  <c r="J8" i="24"/>
  <c r="J18" i="7"/>
  <c r="L18" i="7"/>
  <c r="J28" i="4"/>
  <c r="L28" i="4"/>
  <c r="J21" i="16"/>
  <c r="L21" i="16"/>
  <c r="J55" i="7"/>
  <c r="L55" i="7"/>
  <c r="J37" i="7"/>
  <c r="L37" i="7"/>
  <c r="J30" i="7"/>
  <c r="L30" i="7"/>
  <c r="J24" i="7"/>
  <c r="L24" i="7"/>
  <c r="J61" i="4"/>
  <c r="L61" i="4"/>
  <c r="L11" i="16"/>
  <c r="J11" i="16"/>
  <c r="J13" i="15"/>
  <c r="L13" i="15"/>
  <c r="L8" i="15"/>
  <c r="J8" i="15"/>
  <c r="J3" i="27"/>
  <c r="L3" i="27"/>
  <c r="L25" i="11"/>
  <c r="J25" i="11"/>
  <c r="J23" i="16"/>
  <c r="L23" i="16"/>
  <c r="J36" i="7"/>
  <c r="L36" i="7"/>
  <c r="J72" i="4"/>
  <c r="L72" i="4"/>
  <c r="J57" i="4"/>
  <c r="L57" i="4"/>
  <c r="J21" i="4"/>
  <c r="L21" i="4"/>
  <c r="J3" i="23"/>
  <c r="L3" i="23"/>
  <c r="L13" i="7"/>
  <c r="J13" i="7"/>
  <c r="L17" i="7"/>
  <c r="J17" i="7"/>
  <c r="L5" i="16"/>
  <c r="J5" i="16"/>
  <c r="L9" i="7"/>
  <c r="J9" i="7"/>
  <c r="L38" i="11"/>
  <c r="J38" i="11"/>
  <c r="J12" i="7"/>
  <c r="L12" i="7"/>
  <c r="J35" i="4"/>
  <c r="L35" i="4"/>
  <c r="J6" i="4"/>
  <c r="L6" i="4"/>
  <c r="J32" i="4"/>
  <c r="L32" i="4"/>
  <c r="L14" i="24"/>
  <c r="J14" i="24"/>
  <c r="L35" i="11"/>
  <c r="J35" i="11"/>
  <c r="J22" i="4"/>
  <c r="L22" i="4"/>
  <c r="L30" i="11"/>
  <c r="J30" i="11"/>
  <c r="J4" i="72"/>
  <c r="L4" i="72"/>
  <c r="J38" i="4"/>
  <c r="L38" i="4"/>
  <c r="J54" i="4"/>
  <c r="L54" i="4"/>
  <c r="J18" i="4"/>
  <c r="L18" i="4"/>
  <c r="J6" i="16"/>
  <c r="L6" i="16"/>
  <c r="J16" i="16"/>
  <c r="L16" i="16"/>
  <c r="L14" i="15"/>
  <c r="J14" i="15"/>
  <c r="J19" i="24"/>
  <c r="L19" i="24"/>
  <c r="J67" i="4"/>
  <c r="L67" i="4"/>
  <c r="L57" i="7"/>
  <c r="J57" i="7"/>
  <c r="J34" i="4"/>
  <c r="L34" i="4"/>
  <c r="J17" i="11"/>
  <c r="L17" i="11"/>
  <c r="J12" i="11"/>
  <c r="L12" i="11"/>
  <c r="J7" i="11"/>
  <c r="L7" i="11"/>
  <c r="J7" i="13"/>
  <c r="L7" i="13"/>
  <c r="L26" i="11"/>
  <c r="J26" i="11"/>
  <c r="J4" i="28"/>
  <c r="L4" i="28"/>
  <c r="J21" i="11"/>
  <c r="L21" i="11"/>
  <c r="L16" i="11"/>
  <c r="J16" i="11"/>
  <c r="L8" i="16"/>
  <c r="J8" i="16"/>
  <c r="J27" i="7"/>
  <c r="L27" i="7"/>
  <c r="L15" i="15"/>
  <c r="J15" i="15"/>
  <c r="J9" i="13"/>
  <c r="L9" i="13"/>
  <c r="J18" i="16"/>
  <c r="L18" i="16"/>
  <c r="J58" i="4"/>
  <c r="L58" i="4"/>
  <c r="L60" i="7"/>
  <c r="J60" i="7"/>
  <c r="J66" i="4"/>
  <c r="L66" i="4"/>
  <c r="J51" i="4"/>
  <c r="L51" i="4"/>
  <c r="J15" i="4"/>
  <c r="L15" i="4"/>
  <c r="J4" i="4"/>
  <c r="L4" i="4"/>
  <c r="J8" i="14"/>
  <c r="L8" i="14"/>
  <c r="J37" i="1"/>
  <c r="L37" i="1"/>
  <c r="J3" i="14"/>
  <c r="L3" i="14"/>
  <c r="J2" i="66"/>
  <c r="L2" i="66"/>
  <c r="J14" i="9"/>
  <c r="L14" i="9"/>
  <c r="J22" i="1"/>
  <c r="L22" i="1"/>
  <c r="J10" i="12"/>
  <c r="L10" i="12"/>
  <c r="J54" i="1"/>
  <c r="L54" i="1"/>
  <c r="J56" i="1"/>
  <c r="L56" i="1"/>
  <c r="J3" i="1"/>
  <c r="L3" i="1"/>
  <c r="J25" i="9"/>
  <c r="L25" i="9"/>
  <c r="J20" i="9"/>
  <c r="L20" i="9"/>
  <c r="J28" i="1"/>
  <c r="L28" i="1"/>
  <c r="J29" i="9"/>
  <c r="L29" i="9"/>
  <c r="J60" i="1"/>
  <c r="L60" i="1"/>
  <c r="J31" i="1"/>
  <c r="L31" i="1"/>
  <c r="J62" i="1"/>
  <c r="L62" i="1"/>
  <c r="J35" i="9"/>
  <c r="L35" i="9"/>
  <c r="J63" i="1"/>
  <c r="L63" i="1"/>
  <c r="J9" i="12"/>
  <c r="L9" i="12"/>
  <c r="J8" i="9"/>
  <c r="L8" i="9"/>
  <c r="J16" i="1"/>
  <c r="L16" i="1"/>
  <c r="J13" i="14"/>
  <c r="L13" i="14"/>
  <c r="L59" i="1"/>
  <c r="J59" i="1"/>
  <c r="J21" i="14"/>
  <c r="L21" i="14"/>
  <c r="J8" i="12"/>
  <c r="L8" i="12"/>
  <c r="J48" i="1"/>
  <c r="L48" i="1"/>
  <c r="J4" i="31"/>
  <c r="L4" i="31"/>
  <c r="J19" i="1"/>
  <c r="L19" i="1"/>
  <c r="J50" i="1"/>
  <c r="L50" i="1"/>
  <c r="J57" i="1"/>
  <c r="L57" i="1"/>
  <c r="J10" i="1"/>
  <c r="L10" i="1"/>
  <c r="J53" i="1"/>
  <c r="L53" i="1"/>
  <c r="L61" i="1"/>
  <c r="J61" i="1"/>
  <c r="J40" i="9"/>
  <c r="L40" i="9"/>
  <c r="L42" i="1"/>
  <c r="J42" i="1"/>
  <c r="J3" i="31"/>
  <c r="L3" i="31"/>
  <c r="J13" i="1"/>
  <c r="L13" i="1"/>
  <c r="J44" i="1"/>
  <c r="L44" i="1"/>
  <c r="J18" i="9"/>
  <c r="L18" i="9"/>
  <c r="J51" i="1"/>
  <c r="L51" i="1"/>
  <c r="J9" i="14"/>
  <c r="L9" i="14"/>
  <c r="J16" i="14"/>
  <c r="L16" i="14"/>
  <c r="J4" i="1"/>
  <c r="L4" i="1"/>
  <c r="J7" i="12"/>
  <c r="L7" i="12"/>
  <c r="J47" i="1"/>
  <c r="L47" i="1"/>
  <c r="J4" i="12"/>
  <c r="L4" i="12"/>
  <c r="J34" i="9"/>
  <c r="L34" i="9"/>
  <c r="L36" i="1"/>
  <c r="J36" i="1"/>
  <c r="J7" i="1"/>
  <c r="L7" i="1"/>
  <c r="J38" i="1"/>
  <c r="L38" i="1"/>
  <c r="J5" i="14"/>
  <c r="L5" i="14"/>
  <c r="J45" i="1"/>
  <c r="L45" i="1"/>
  <c r="J12" i="9"/>
  <c r="L12" i="9"/>
  <c r="J39" i="9"/>
  <c r="L39" i="9"/>
  <c r="J41" i="1"/>
  <c r="L41" i="1"/>
  <c r="J19" i="14"/>
  <c r="L19" i="14"/>
  <c r="J22" i="9"/>
  <c r="L22" i="9"/>
  <c r="J30" i="1"/>
  <c r="L30" i="1"/>
  <c r="J55" i="1"/>
  <c r="L55" i="1"/>
  <c r="J5" i="9"/>
  <c r="L5" i="9"/>
  <c r="J32" i="1"/>
  <c r="L32" i="1"/>
  <c r="J5" i="12"/>
  <c r="L5" i="12"/>
  <c r="J39" i="1"/>
  <c r="L39" i="1"/>
  <c r="J4" i="14"/>
  <c r="L4" i="14"/>
  <c r="J12" i="14"/>
  <c r="L12" i="14"/>
  <c r="J3" i="12"/>
  <c r="L3" i="12"/>
  <c r="J33" i="9"/>
  <c r="L33" i="9"/>
  <c r="J35" i="1"/>
  <c r="L35" i="1"/>
  <c r="J7" i="14"/>
  <c r="L7" i="14"/>
  <c r="J16" i="9"/>
  <c r="L16" i="9"/>
  <c r="J24" i="1"/>
  <c r="L24" i="1"/>
  <c r="J49" i="1"/>
  <c r="L49" i="1"/>
  <c r="J26" i="1"/>
  <c r="L26" i="1"/>
  <c r="J31" i="9"/>
  <c r="L31" i="9"/>
  <c r="J33" i="1"/>
  <c r="L33" i="1"/>
  <c r="J30" i="9"/>
  <c r="L30" i="9"/>
  <c r="J58" i="1"/>
  <c r="L58" i="1"/>
  <c r="J17" i="9"/>
  <c r="L17" i="9"/>
  <c r="J27" i="9"/>
  <c r="L27" i="9"/>
  <c r="J29" i="1"/>
  <c r="L29" i="1"/>
  <c r="J21" i="9"/>
  <c r="L21" i="9"/>
  <c r="J10" i="9"/>
  <c r="L10" i="9"/>
  <c r="J18" i="1"/>
  <c r="L18" i="1"/>
  <c r="J10" i="14"/>
  <c r="L10" i="14"/>
  <c r="J15" i="14"/>
  <c r="L15" i="14"/>
  <c r="L20" i="1"/>
  <c r="J20" i="1"/>
  <c r="J19" i="9"/>
  <c r="L19" i="9"/>
  <c r="J27" i="1"/>
  <c r="L27" i="1"/>
  <c r="J17" i="14"/>
  <c r="L17" i="14"/>
  <c r="J6" i="12"/>
  <c r="L6" i="12"/>
  <c r="J52" i="1"/>
  <c r="L52" i="1"/>
  <c r="J15" i="9"/>
  <c r="L15" i="9"/>
  <c r="L23" i="1"/>
  <c r="J23" i="1"/>
  <c r="J23" i="9"/>
  <c r="L23" i="9"/>
  <c r="J4" i="9"/>
  <c r="L4" i="9"/>
  <c r="J12" i="1"/>
  <c r="L12" i="1"/>
  <c r="J14" i="14"/>
  <c r="L14" i="14"/>
  <c r="J25" i="1"/>
  <c r="L25" i="1"/>
  <c r="J14" i="1"/>
  <c r="L14" i="1"/>
  <c r="J13" i="9"/>
  <c r="L13" i="9"/>
  <c r="J21" i="1"/>
  <c r="L21" i="1"/>
  <c r="J11" i="14"/>
  <c r="L11" i="14"/>
  <c r="J38" i="9"/>
  <c r="L38" i="9"/>
  <c r="J46" i="1"/>
  <c r="L46" i="1"/>
  <c r="J18" i="14"/>
  <c r="L18" i="14"/>
  <c r="J9" i="9"/>
  <c r="L9" i="9"/>
  <c r="J17" i="1"/>
  <c r="L17" i="1"/>
  <c r="J43" i="1"/>
  <c r="L43" i="1"/>
  <c r="J6" i="1"/>
  <c r="L6" i="1"/>
  <c r="J28" i="9"/>
  <c r="L28" i="9"/>
  <c r="J36" i="9"/>
  <c r="L36" i="9"/>
  <c r="J8" i="1"/>
  <c r="L8" i="1"/>
  <c r="J7" i="9"/>
  <c r="L7" i="9"/>
  <c r="J15" i="1"/>
  <c r="L15" i="1"/>
  <c r="J11" i="12"/>
  <c r="L11" i="12"/>
  <c r="J32" i="9"/>
  <c r="L32" i="9"/>
  <c r="J40" i="1"/>
  <c r="L40" i="1"/>
  <c r="J6" i="14"/>
  <c r="L6" i="14"/>
  <c r="J3" i="9"/>
  <c r="L3" i="9"/>
  <c r="J11" i="1"/>
  <c r="L11" i="1"/>
  <c r="J24" i="9"/>
  <c r="L24" i="9"/>
  <c r="J11" i="9"/>
  <c r="L11" i="9"/>
  <c r="J6" i="9"/>
  <c r="L6" i="9"/>
  <c r="J9" i="1"/>
  <c r="L9" i="1"/>
  <c r="J37" i="9"/>
  <c r="L37" i="9"/>
  <c r="J26" i="9"/>
  <c r="L26" i="9"/>
  <c r="J34" i="1"/>
  <c r="L34" i="1"/>
  <c r="J5" i="1"/>
  <c r="L5" i="1"/>
  <c r="J20" i="14"/>
  <c r="L20" i="14"/>
  <c r="L13" i="6"/>
  <c r="J13" i="6"/>
  <c r="L87" i="6"/>
  <c r="J87" i="6"/>
  <c r="L81" i="6"/>
  <c r="J81" i="6"/>
  <c r="L82" i="6"/>
  <c r="J82" i="6"/>
  <c r="L85" i="6"/>
  <c r="J85" i="6"/>
  <c r="L83" i="6"/>
  <c r="J83" i="6"/>
  <c r="L4" i="6"/>
  <c r="J4" i="6"/>
  <c r="L56" i="6"/>
  <c r="J56" i="6"/>
  <c r="L36" i="6"/>
  <c r="J36" i="6"/>
  <c r="L77" i="6"/>
  <c r="J77" i="6"/>
  <c r="L50" i="6"/>
  <c r="J50" i="6"/>
  <c r="L80" i="6"/>
  <c r="J80" i="6"/>
  <c r="L58" i="6"/>
  <c r="J58" i="6"/>
  <c r="L75" i="6"/>
  <c r="J75" i="6"/>
  <c r="L76" i="6"/>
  <c r="J76" i="6"/>
  <c r="L74" i="6"/>
  <c r="J74" i="6"/>
  <c r="L52" i="6"/>
  <c r="J52" i="6"/>
  <c r="L65" i="6"/>
  <c r="J65" i="6"/>
  <c r="L66" i="6"/>
  <c r="J66" i="6"/>
  <c r="J89" i="6"/>
  <c r="L89" i="6"/>
  <c r="L11" i="6"/>
  <c r="J11" i="6"/>
  <c r="L5" i="6"/>
  <c r="J5" i="6"/>
  <c r="L84" i="6"/>
  <c r="J84" i="6"/>
  <c r="L61" i="6"/>
  <c r="J61" i="6"/>
  <c r="L31" i="6"/>
  <c r="J31" i="6"/>
  <c r="L64" i="6"/>
  <c r="J64" i="6"/>
  <c r="L33" i="6"/>
  <c r="J33" i="6"/>
  <c r="L46" i="6"/>
  <c r="J46" i="6"/>
  <c r="J88" i="6"/>
  <c r="L88" i="6"/>
  <c r="L47" i="6"/>
  <c r="J47" i="6"/>
  <c r="L60" i="6"/>
  <c r="J60" i="6"/>
  <c r="L71" i="6"/>
  <c r="J71" i="6"/>
  <c r="L67" i="6"/>
  <c r="J67" i="6"/>
  <c r="L37" i="6"/>
  <c r="J37" i="6"/>
  <c r="L68" i="6"/>
  <c r="J68" i="6"/>
  <c r="L42" i="6"/>
  <c r="J42" i="6"/>
  <c r="L25" i="6"/>
  <c r="J25" i="6"/>
  <c r="L86" i="6"/>
  <c r="J86" i="6"/>
  <c r="L45" i="6"/>
  <c r="J45" i="6"/>
  <c r="L27" i="6"/>
  <c r="J27" i="6"/>
  <c r="L40" i="6"/>
  <c r="J40" i="6"/>
  <c r="L59" i="6"/>
  <c r="J59" i="6"/>
  <c r="L41" i="6"/>
  <c r="J41" i="6"/>
  <c r="L54" i="6"/>
  <c r="J54" i="6"/>
  <c r="L69" i="6"/>
  <c r="J69" i="6"/>
  <c r="L39" i="6"/>
  <c r="J39" i="6"/>
  <c r="L14" i="6"/>
  <c r="J14" i="6"/>
  <c r="L21" i="6"/>
  <c r="J21" i="6"/>
  <c r="L53" i="6"/>
  <c r="J53" i="6"/>
  <c r="L16" i="6"/>
  <c r="J16" i="6"/>
  <c r="L48" i="6"/>
  <c r="J48" i="6"/>
  <c r="L57" i="6"/>
  <c r="J57" i="6"/>
  <c r="L20" i="6"/>
  <c r="J20" i="6"/>
  <c r="L15" i="6"/>
  <c r="J15" i="6"/>
  <c r="L34" i="6"/>
  <c r="J34" i="6"/>
  <c r="L9" i="6"/>
  <c r="J9" i="6"/>
  <c r="L35" i="6"/>
  <c r="J35" i="6"/>
  <c r="L17" i="6"/>
  <c r="J17" i="6"/>
  <c r="L12" i="6"/>
  <c r="J12" i="6"/>
  <c r="L3" i="6"/>
  <c r="J3" i="6"/>
  <c r="L78" i="6"/>
  <c r="J78" i="6"/>
  <c r="L73" i="6"/>
  <c r="J73" i="6"/>
  <c r="L51" i="6"/>
  <c r="J51" i="6"/>
  <c r="L6" i="6"/>
  <c r="J6" i="6"/>
  <c r="J2" i="9"/>
  <c r="L2" i="9"/>
  <c r="L7" i="6"/>
  <c r="J7" i="6"/>
  <c r="L28" i="6"/>
  <c r="J28" i="6"/>
  <c r="L29" i="6"/>
  <c r="J29" i="6"/>
  <c r="J90" i="6"/>
  <c r="L90" i="6"/>
  <c r="L62" i="6"/>
  <c r="J62" i="6"/>
  <c r="L63" i="6"/>
  <c r="J63" i="6"/>
  <c r="L38" i="6"/>
  <c r="J38" i="6"/>
  <c r="L22" i="6"/>
  <c r="J22" i="6"/>
  <c r="L23" i="6"/>
  <c r="J23" i="6"/>
  <c r="L55" i="6"/>
  <c r="J55" i="6"/>
  <c r="J70" i="6"/>
  <c r="L70" i="6"/>
  <c r="L49" i="6"/>
  <c r="J49" i="6"/>
  <c r="L43" i="6"/>
  <c r="J43" i="6"/>
  <c r="L44" i="6"/>
  <c r="J44" i="6"/>
  <c r="L32" i="6"/>
  <c r="J32" i="6"/>
  <c r="L8" i="6"/>
  <c r="J8" i="6"/>
  <c r="L72" i="6"/>
  <c r="J72" i="6"/>
  <c r="L30" i="6"/>
  <c r="J30" i="6"/>
  <c r="L10" i="6"/>
  <c r="J10" i="6"/>
  <c r="L79" i="6"/>
  <c r="J79" i="6"/>
  <c r="L24" i="6"/>
  <c r="J24" i="6"/>
  <c r="L18" i="6"/>
  <c r="J18" i="6"/>
  <c r="J91" i="6"/>
  <c r="L91" i="6"/>
  <c r="L19" i="6"/>
  <c r="J19" i="6"/>
  <c r="L26" i="6"/>
  <c r="J26" i="6"/>
  <c r="K25" i="74" l="1"/>
  <c r="K26" i="74"/>
  <c r="K24" i="74"/>
  <c r="I26" i="46"/>
  <c r="I25" i="46"/>
  <c r="I24" i="46"/>
  <c r="H25" i="75"/>
  <c r="H26" i="75"/>
  <c r="H24" i="75"/>
  <c r="I24" i="74"/>
  <c r="I25" i="74"/>
  <c r="I26" i="74"/>
  <c r="F26" i="76"/>
  <c r="F24" i="76"/>
  <c r="F25" i="76"/>
  <c r="F25" i="75"/>
  <c r="F26" i="75"/>
  <c r="F24" i="75"/>
  <c r="H24" i="74"/>
  <c r="H25" i="74"/>
  <c r="H26" i="74"/>
  <c r="E24" i="46"/>
  <c r="E25" i="46"/>
  <c r="E26" i="46"/>
  <c r="D25" i="75"/>
  <c r="D26" i="75"/>
  <c r="D24" i="75"/>
  <c r="C26" i="46"/>
  <c r="C25" i="46"/>
  <c r="C24" i="46"/>
  <c r="G25" i="76"/>
  <c r="G26" i="76"/>
  <c r="G24" i="76"/>
  <c r="G25" i="75"/>
  <c r="G26" i="75"/>
  <c r="G24" i="75"/>
  <c r="C26" i="75"/>
  <c r="C25" i="75"/>
  <c r="C24" i="75"/>
  <c r="J25" i="46"/>
  <c r="J26" i="46"/>
  <c r="J24" i="46"/>
  <c r="D26" i="76"/>
  <c r="D24" i="76"/>
  <c r="D25" i="76"/>
  <c r="C26" i="74"/>
  <c r="C25" i="74"/>
  <c r="C24" i="74"/>
  <c r="F24" i="74"/>
  <c r="F25" i="74"/>
  <c r="F26" i="74"/>
  <c r="G24" i="74"/>
  <c r="G25" i="74"/>
  <c r="G26" i="74"/>
  <c r="E26" i="76"/>
  <c r="E24" i="76"/>
  <c r="E25" i="76"/>
  <c r="I25" i="75"/>
  <c r="J26" i="75"/>
  <c r="I26" i="75"/>
  <c r="I24" i="75"/>
  <c r="E25" i="82"/>
  <c r="E23" i="82"/>
  <c r="E24" i="82"/>
  <c r="D24" i="74"/>
  <c r="D25" i="74"/>
  <c r="D26" i="74"/>
  <c r="G24" i="46"/>
  <c r="G26" i="46"/>
  <c r="G25" i="46"/>
  <c r="J26" i="76"/>
  <c r="C26" i="76"/>
  <c r="C25" i="76"/>
  <c r="C24" i="76"/>
  <c r="F24" i="82"/>
  <c r="F23" i="82"/>
  <c r="F25" i="82"/>
  <c r="H25" i="76"/>
  <c r="H24" i="76"/>
  <c r="H26" i="76"/>
  <c r="E24" i="74"/>
  <c r="E25" i="74"/>
  <c r="E26" i="74"/>
  <c r="I25" i="76"/>
  <c r="I26" i="76"/>
  <c r="I24" i="76"/>
  <c r="H24" i="46"/>
  <c r="H26" i="46"/>
  <c r="H25" i="46"/>
  <c r="D24" i="46"/>
  <c r="D25" i="46"/>
  <c r="D26" i="46"/>
  <c r="E25" i="75"/>
  <c r="E24" i="75"/>
  <c r="E26" i="75"/>
  <c r="L25" i="74"/>
  <c r="L26" i="74"/>
  <c r="L24" i="74"/>
  <c r="M25" i="46"/>
  <c r="M24" i="46"/>
  <c r="M26" i="46"/>
  <c r="K24" i="46"/>
  <c r="K26" i="46"/>
  <c r="K25" i="46"/>
  <c r="F24" i="46"/>
  <c r="F25" i="46"/>
  <c r="F26" i="46"/>
  <c r="J25" i="74"/>
  <c r="J26" i="74"/>
  <c r="M26" i="74"/>
  <c r="J24" i="74"/>
  <c r="D25" i="82"/>
  <c r="D23" i="82"/>
  <c r="D24" i="82"/>
  <c r="H28" i="74"/>
  <c r="F14" i="82"/>
  <c r="F9" i="82"/>
  <c r="F10" i="82"/>
  <c r="F5" i="82"/>
  <c r="F6" i="82"/>
  <c r="F8" i="82"/>
  <c r="F13" i="82"/>
  <c r="F12" i="82"/>
  <c r="F7" i="82"/>
  <c r="F11" i="82"/>
  <c r="E12" i="82"/>
  <c r="E14" i="82"/>
  <c r="E13" i="82"/>
  <c r="E8" i="82"/>
  <c r="E11" i="82"/>
  <c r="E10" i="82"/>
  <c r="E9" i="82"/>
  <c r="E7" i="82"/>
  <c r="E6" i="82"/>
  <c r="E5" i="82"/>
  <c r="D7" i="82"/>
  <c r="D9" i="82"/>
  <c r="D13" i="82"/>
  <c r="D12" i="82"/>
  <c r="D8" i="82"/>
  <c r="D11" i="82"/>
  <c r="D14" i="82"/>
  <c r="D10" i="82"/>
  <c r="D6" i="82"/>
  <c r="D5" i="82"/>
  <c r="M28" i="46"/>
  <c r="I28" i="76"/>
  <c r="C28" i="75"/>
  <c r="L28" i="74"/>
  <c r="G28" i="46"/>
  <c r="G14" i="75"/>
  <c r="G12" i="75"/>
  <c r="G9" i="75"/>
  <c r="G7" i="75"/>
  <c r="G8" i="75"/>
  <c r="G13" i="75"/>
  <c r="G11" i="75"/>
  <c r="G10" i="75"/>
  <c r="G15" i="75"/>
  <c r="G6" i="75"/>
  <c r="G28" i="74"/>
  <c r="G13" i="76"/>
  <c r="G12" i="76"/>
  <c r="G10" i="76"/>
  <c r="G15" i="76"/>
  <c r="G8" i="76"/>
  <c r="G7" i="76"/>
  <c r="G14" i="76"/>
  <c r="G6" i="76"/>
  <c r="G11" i="76"/>
  <c r="G9" i="76"/>
  <c r="E28" i="46"/>
  <c r="D7" i="74"/>
  <c r="D11" i="74"/>
  <c r="D14" i="74"/>
  <c r="D15" i="74"/>
  <c r="D6" i="74"/>
  <c r="D10" i="74"/>
  <c r="D13" i="74"/>
  <c r="D8" i="74"/>
  <c r="D9" i="74"/>
  <c r="D12" i="74"/>
  <c r="D28" i="46"/>
  <c r="D10" i="75"/>
  <c r="D7" i="75"/>
  <c r="D11" i="75"/>
  <c r="D9" i="75"/>
  <c r="D6" i="75"/>
  <c r="D12" i="75"/>
  <c r="D14" i="75"/>
  <c r="D15" i="75"/>
  <c r="D8" i="75"/>
  <c r="D13" i="75"/>
  <c r="F13" i="74"/>
  <c r="F12" i="74"/>
  <c r="F15" i="74"/>
  <c r="F14" i="74"/>
  <c r="F6" i="74"/>
  <c r="F9" i="74"/>
  <c r="F10" i="74"/>
  <c r="F11" i="74"/>
  <c r="F7" i="74"/>
  <c r="F8" i="74"/>
  <c r="G14" i="74"/>
  <c r="G12" i="74"/>
  <c r="G9" i="74"/>
  <c r="G8" i="74"/>
  <c r="G13" i="74"/>
  <c r="G6" i="74"/>
  <c r="G11" i="74"/>
  <c r="G7" i="74"/>
  <c r="G15" i="74"/>
  <c r="G10" i="74"/>
  <c r="G28" i="76"/>
  <c r="E12" i="46"/>
  <c r="E9" i="46"/>
  <c r="E6" i="46"/>
  <c r="E8" i="46"/>
  <c r="E15" i="46"/>
  <c r="E14" i="46"/>
  <c r="E7" i="46"/>
  <c r="E13" i="46"/>
  <c r="E10" i="46"/>
  <c r="E11" i="46"/>
  <c r="E28" i="74"/>
  <c r="C15" i="74"/>
  <c r="C14" i="74"/>
  <c r="C8" i="74"/>
  <c r="C7" i="74"/>
  <c r="C13" i="74"/>
  <c r="C6" i="74"/>
  <c r="C12" i="74"/>
  <c r="C10" i="74"/>
  <c r="C11" i="74"/>
  <c r="C9" i="74"/>
  <c r="D28" i="76"/>
  <c r="I10" i="74"/>
  <c r="I13" i="74"/>
  <c r="I9" i="74"/>
  <c r="I6" i="74"/>
  <c r="I15" i="74"/>
  <c r="I11" i="74"/>
  <c r="I8" i="74"/>
  <c r="I14" i="74"/>
  <c r="I12" i="74"/>
  <c r="I7" i="74"/>
  <c r="C28" i="46"/>
  <c r="E13" i="74"/>
  <c r="E8" i="74"/>
  <c r="E9" i="74"/>
  <c r="E7" i="74"/>
  <c r="E6" i="74"/>
  <c r="E12" i="74"/>
  <c r="E10" i="74"/>
  <c r="E15" i="74"/>
  <c r="E11" i="74"/>
  <c r="E14" i="74"/>
  <c r="H6" i="74"/>
  <c r="H13" i="74"/>
  <c r="H8" i="74"/>
  <c r="H9" i="74"/>
  <c r="H15" i="74"/>
  <c r="H7" i="74"/>
  <c r="H10" i="74"/>
  <c r="H11" i="74"/>
  <c r="H12" i="74"/>
  <c r="H14" i="74"/>
  <c r="C28" i="74"/>
  <c r="D11" i="76"/>
  <c r="D10" i="76"/>
  <c r="D14" i="76"/>
  <c r="D8" i="76"/>
  <c r="D15" i="76"/>
  <c r="D9" i="76"/>
  <c r="D7" i="76"/>
  <c r="D12" i="76"/>
  <c r="D13" i="76"/>
  <c r="D6" i="76"/>
  <c r="C11" i="46"/>
  <c r="C14" i="46"/>
  <c r="C7" i="46"/>
  <c r="C6" i="46"/>
  <c r="C10" i="46"/>
  <c r="C12" i="46"/>
  <c r="C8" i="46"/>
  <c r="C15" i="46"/>
  <c r="C13" i="46"/>
  <c r="C9" i="46"/>
  <c r="H8" i="46"/>
  <c r="H10" i="46"/>
  <c r="H15" i="46"/>
  <c r="H6" i="46"/>
  <c r="H12" i="46"/>
  <c r="H11" i="46"/>
  <c r="H9" i="46"/>
  <c r="H14" i="46"/>
  <c r="H13" i="46"/>
  <c r="H7" i="46"/>
  <c r="K28" i="74"/>
  <c r="F28" i="46"/>
  <c r="F14" i="76"/>
  <c r="F15" i="76"/>
  <c r="F8" i="76"/>
  <c r="F12" i="76"/>
  <c r="F13" i="76"/>
  <c r="F10" i="76"/>
  <c r="F11" i="76"/>
  <c r="F9" i="76"/>
  <c r="F6" i="76"/>
  <c r="F7" i="76"/>
  <c r="J14" i="74"/>
  <c r="J9" i="74"/>
  <c r="J10" i="74"/>
  <c r="J6" i="74"/>
  <c r="J8" i="74"/>
  <c r="J11" i="74"/>
  <c r="J12" i="74"/>
  <c r="J13" i="74"/>
  <c r="J15" i="74"/>
  <c r="J7" i="74"/>
  <c r="I28" i="46"/>
  <c r="E28" i="76"/>
  <c r="E28" i="75"/>
  <c r="H28" i="46"/>
  <c r="K14" i="74"/>
  <c r="K15" i="74"/>
  <c r="K10" i="74"/>
  <c r="K13" i="74"/>
  <c r="K8" i="74"/>
  <c r="K9" i="74"/>
  <c r="K7" i="74"/>
  <c r="K12" i="74"/>
  <c r="K11" i="74"/>
  <c r="K6" i="74"/>
  <c r="F12" i="46"/>
  <c r="F6" i="46"/>
  <c r="F9" i="46"/>
  <c r="F15" i="46"/>
  <c r="F13" i="46"/>
  <c r="F8" i="46"/>
  <c r="F10" i="46"/>
  <c r="F11" i="46"/>
  <c r="F14" i="46"/>
  <c r="F7" i="46"/>
  <c r="F28" i="76"/>
  <c r="M28" i="74"/>
  <c r="J28" i="74"/>
  <c r="D27" i="82"/>
  <c r="I13" i="46"/>
  <c r="I15" i="46"/>
  <c r="I12" i="46"/>
  <c r="I11" i="46"/>
  <c r="I14" i="46"/>
  <c r="I8" i="46"/>
  <c r="I9" i="46"/>
  <c r="I6" i="46"/>
  <c r="I7" i="46"/>
  <c r="I10" i="46"/>
  <c r="E6" i="76"/>
  <c r="E12" i="76"/>
  <c r="E14" i="76"/>
  <c r="E9" i="76"/>
  <c r="E10" i="76"/>
  <c r="E7" i="76"/>
  <c r="E8" i="76"/>
  <c r="E13" i="76"/>
  <c r="E11" i="76"/>
  <c r="E15" i="76"/>
  <c r="E12" i="75"/>
  <c r="E14" i="75"/>
  <c r="E8" i="75"/>
  <c r="E6" i="75"/>
  <c r="E11" i="75"/>
  <c r="E9" i="75"/>
  <c r="E15" i="75"/>
  <c r="E13" i="75"/>
  <c r="E7" i="75"/>
  <c r="E10" i="75"/>
  <c r="H28" i="76"/>
  <c r="C6" i="76"/>
  <c r="C14" i="76"/>
  <c r="C11" i="76"/>
  <c r="C12" i="76"/>
  <c r="C9" i="76"/>
  <c r="C10" i="76"/>
  <c r="C15" i="76"/>
  <c r="C13" i="76"/>
  <c r="C7" i="76"/>
  <c r="C8" i="76"/>
  <c r="I11" i="76"/>
  <c r="I15" i="76"/>
  <c r="I8" i="76"/>
  <c r="I13" i="76"/>
  <c r="I9" i="76"/>
  <c r="I6" i="76"/>
  <c r="I14" i="76"/>
  <c r="I10" i="76"/>
  <c r="I7" i="76"/>
  <c r="I12" i="76"/>
  <c r="F28" i="75"/>
  <c r="K28" i="46"/>
  <c r="H15" i="76"/>
  <c r="H12" i="76"/>
  <c r="H13" i="76"/>
  <c r="H6" i="76"/>
  <c r="H10" i="76"/>
  <c r="H9" i="76"/>
  <c r="H11" i="76"/>
  <c r="H14" i="76"/>
  <c r="H8" i="76"/>
  <c r="H7" i="76"/>
  <c r="J28" i="76"/>
  <c r="C28" i="76"/>
  <c r="F27" i="82"/>
  <c r="F6" i="75"/>
  <c r="F9" i="75"/>
  <c r="F8" i="75"/>
  <c r="F7" i="75"/>
  <c r="F15" i="75"/>
  <c r="F13" i="75"/>
  <c r="F10" i="75"/>
  <c r="F12" i="75"/>
  <c r="F11" i="75"/>
  <c r="F14" i="75"/>
  <c r="K9" i="46"/>
  <c r="K13" i="46"/>
  <c r="K6" i="46"/>
  <c r="K12" i="46"/>
  <c r="K10" i="46"/>
  <c r="K11" i="46"/>
  <c r="K8" i="46"/>
  <c r="K14" i="46"/>
  <c r="K7" i="46"/>
  <c r="K15" i="46"/>
  <c r="H28" i="75"/>
  <c r="J28" i="46"/>
  <c r="H9" i="75"/>
  <c r="H14" i="75"/>
  <c r="H12" i="75"/>
  <c r="H11" i="75"/>
  <c r="H7" i="75"/>
  <c r="H6" i="75"/>
  <c r="H10" i="75"/>
  <c r="H15" i="75"/>
  <c r="H13" i="75"/>
  <c r="H8" i="75"/>
  <c r="C7" i="75"/>
  <c r="C9" i="75"/>
  <c r="C8" i="75"/>
  <c r="C13" i="75"/>
  <c r="C11" i="75"/>
  <c r="C15" i="75"/>
  <c r="C10" i="75"/>
  <c r="C14" i="75"/>
  <c r="C12" i="75"/>
  <c r="C6" i="75"/>
  <c r="L9" i="74"/>
  <c r="L12" i="74"/>
  <c r="L13" i="74"/>
  <c r="L14" i="74"/>
  <c r="L7" i="74"/>
  <c r="L11" i="74"/>
  <c r="L6" i="74"/>
  <c r="L15" i="74"/>
  <c r="L10" i="74"/>
  <c r="L8" i="74"/>
  <c r="J13" i="46"/>
  <c r="J14" i="46"/>
  <c r="J8" i="46"/>
  <c r="J12" i="46"/>
  <c r="J11" i="46"/>
  <c r="J15" i="46"/>
  <c r="J9" i="46"/>
  <c r="J7" i="46"/>
  <c r="J6" i="46"/>
  <c r="J10" i="46"/>
  <c r="D28" i="74"/>
  <c r="D11" i="46"/>
  <c r="D9" i="46"/>
  <c r="D15" i="46"/>
  <c r="D13" i="46"/>
  <c r="D8" i="46"/>
  <c r="D14" i="46"/>
  <c r="D12" i="46"/>
  <c r="D7" i="46"/>
  <c r="D10" i="46"/>
  <c r="D6" i="46"/>
  <c r="D28" i="75"/>
  <c r="F28" i="74"/>
  <c r="M6" i="46"/>
  <c r="M14" i="46"/>
  <c r="M9" i="46"/>
  <c r="M13" i="46"/>
  <c r="M10" i="46"/>
  <c r="M12" i="46"/>
  <c r="M8" i="46"/>
  <c r="M11" i="46"/>
  <c r="M15" i="46"/>
  <c r="M7" i="46"/>
  <c r="G8" i="46"/>
  <c r="G12" i="46"/>
  <c r="G10" i="46"/>
  <c r="G11" i="46"/>
  <c r="G9" i="46"/>
  <c r="G15" i="46"/>
  <c r="G14" i="46"/>
  <c r="G7" i="46"/>
  <c r="G6" i="46"/>
  <c r="G13" i="46"/>
  <c r="G28" i="75"/>
  <c r="AH1" i="92"/>
  <c r="AH1" i="91"/>
  <c r="N1" i="90"/>
  <c r="U1" i="91"/>
  <c r="AE1" i="91" s="1"/>
  <c r="S1" i="91"/>
  <c r="AC1" i="91" s="1"/>
  <c r="R1" i="91"/>
  <c r="AB1" i="91" s="1"/>
  <c r="Q1" i="91"/>
  <c r="AA1" i="91" s="1"/>
  <c r="T1" i="91"/>
  <c r="AD1" i="91" s="1"/>
  <c r="W1" i="91"/>
  <c r="Y1" i="91" s="1"/>
  <c r="X1" i="91"/>
  <c r="Z1" i="91" s="1"/>
  <c r="V1" i="91"/>
  <c r="AF1" i="91" s="1"/>
  <c r="R1" i="90"/>
  <c r="AB1" i="90" s="1"/>
  <c r="X1" i="90"/>
  <c r="Z1" i="90" s="1"/>
  <c r="T1" i="90"/>
  <c r="AD1" i="90" s="1"/>
  <c r="Q1" i="90"/>
  <c r="AA1" i="90" s="1"/>
  <c r="W1" i="90"/>
  <c r="Y1" i="90" s="1"/>
  <c r="V1" i="90"/>
  <c r="AF1" i="90" s="1"/>
  <c r="U1" i="90"/>
  <c r="AE1" i="90" s="1"/>
  <c r="S1" i="90"/>
  <c r="AC1" i="90" s="1"/>
  <c r="W1" i="92"/>
  <c r="Y1" i="92" s="1"/>
  <c r="V1" i="92"/>
  <c r="AF1" i="92" s="1"/>
  <c r="U1" i="92"/>
  <c r="AE1" i="92" s="1"/>
  <c r="S1" i="92"/>
  <c r="AC1" i="92" s="1"/>
  <c r="R1" i="92"/>
  <c r="AB1" i="92" s="1"/>
  <c r="Q1" i="92"/>
  <c r="AA1" i="92" s="1"/>
  <c r="T1" i="92"/>
  <c r="AD1" i="92" s="1"/>
  <c r="X1" i="92"/>
  <c r="Z1" i="92" s="1"/>
  <c r="J2" i="29"/>
  <c r="L2" i="30"/>
  <c r="L2" i="67"/>
  <c r="J2" i="32"/>
  <c r="J2" i="31"/>
  <c r="I22" i="57"/>
  <c r="I25" i="57"/>
  <c r="I5" i="57"/>
  <c r="M10" i="74" l="1"/>
  <c r="M11" i="74"/>
  <c r="M14" i="74"/>
  <c r="M7" i="74"/>
  <c r="M12" i="74"/>
  <c r="L16" i="74"/>
  <c r="M13" i="74"/>
  <c r="M15" i="74"/>
  <c r="M6" i="74"/>
  <c r="N178" i="68"/>
  <c r="G29" i="82"/>
  <c r="M8" i="74"/>
  <c r="M9" i="74"/>
  <c r="H16" i="46"/>
  <c r="AH1" i="90"/>
  <c r="AI1" i="90" s="1"/>
  <c r="L17" i="74"/>
  <c r="L18" i="74"/>
  <c r="L21" i="74"/>
  <c r="L20" i="74"/>
  <c r="E16" i="46"/>
  <c r="M20" i="46"/>
  <c r="D16" i="46"/>
  <c r="K18" i="46"/>
  <c r="E17" i="46"/>
  <c r="I16" i="46"/>
  <c r="M17" i="46"/>
  <c r="E18" i="46"/>
  <c r="G16" i="46"/>
  <c r="K17" i="46"/>
  <c r="K16" i="46"/>
  <c r="F18" i="46"/>
  <c r="D17" i="46"/>
  <c r="G18" i="46"/>
  <c r="F16" i="46"/>
  <c r="H17" i="46"/>
  <c r="M16" i="46"/>
  <c r="I17" i="46"/>
  <c r="G17" i="46"/>
  <c r="H18" i="46"/>
  <c r="I18" i="46"/>
  <c r="M18" i="46"/>
  <c r="M21" i="46"/>
  <c r="D18" i="46"/>
  <c r="F17" i="46"/>
  <c r="AI1" i="92"/>
  <c r="AI1" i="91"/>
  <c r="M178" i="68"/>
  <c r="L2" i="31"/>
  <c r="J2" i="30"/>
  <c r="L2" i="29"/>
  <c r="O1" i="21"/>
  <c r="L2" i="32"/>
  <c r="P1" i="1"/>
  <c r="O1" i="1"/>
  <c r="J2" i="67"/>
  <c r="I3" i="57"/>
  <c r="I13" i="57"/>
  <c r="I7" i="57"/>
  <c r="I15" i="57"/>
  <c r="I11" i="57"/>
  <c r="L26" i="46" l="1"/>
  <c r="L24" i="46"/>
  <c r="L25" i="46"/>
  <c r="N24" i="46"/>
  <c r="J25" i="76"/>
  <c r="G24" i="82"/>
  <c r="J24" i="76"/>
  <c r="G23" i="82"/>
  <c r="N26" i="46"/>
  <c r="J25" i="75"/>
  <c r="G25" i="82"/>
  <c r="J24" i="75"/>
  <c r="C23" i="82"/>
  <c r="C25" i="82"/>
  <c r="C24" i="82"/>
  <c r="N25" i="46"/>
  <c r="M24" i="74"/>
  <c r="M25" i="74"/>
  <c r="C6" i="82"/>
  <c r="C11" i="82"/>
  <c r="C7" i="82"/>
  <c r="C14" i="82"/>
  <c r="C5" i="82"/>
  <c r="C9" i="82"/>
  <c r="C8" i="82"/>
  <c r="C12" i="82"/>
  <c r="C10" i="82"/>
  <c r="C13" i="82"/>
  <c r="I28" i="75"/>
  <c r="N28" i="46"/>
  <c r="L28" i="46"/>
  <c r="C27" i="82"/>
  <c r="L12" i="46"/>
  <c r="N12" i="46" s="1"/>
  <c r="L10" i="46"/>
  <c r="L7" i="46"/>
  <c r="N7" i="46" s="1"/>
  <c r="L9" i="46"/>
  <c r="L8" i="46"/>
  <c r="L6" i="46"/>
  <c r="N6" i="46" s="1"/>
  <c r="L14" i="46"/>
  <c r="N14" i="46" s="1"/>
  <c r="L13" i="46"/>
  <c r="N13" i="46" s="1"/>
  <c r="L11" i="46"/>
  <c r="N11" i="46" s="1"/>
  <c r="L15" i="46"/>
  <c r="N15" i="46" s="1"/>
  <c r="G27" i="82"/>
  <c r="J28" i="75"/>
  <c r="E27" i="82"/>
  <c r="I12" i="75"/>
  <c r="I14" i="75"/>
  <c r="I8" i="75"/>
  <c r="I10" i="75"/>
  <c r="I7" i="75"/>
  <c r="I15" i="75"/>
  <c r="I9" i="75"/>
  <c r="I13" i="75"/>
  <c r="I6" i="75"/>
  <c r="I11" i="75"/>
  <c r="L22" i="74"/>
  <c r="M22" i="46"/>
  <c r="I4" i="57"/>
  <c r="I23" i="57"/>
  <c r="I16" i="57"/>
  <c r="I18" i="57"/>
  <c r="L20" i="46" l="1"/>
  <c r="L18" i="46"/>
  <c r="L17" i="46"/>
  <c r="L16" i="46"/>
  <c r="L21" i="46"/>
  <c r="W8" i="74"/>
  <c r="W14" i="74"/>
  <c r="W11" i="74"/>
  <c r="W13" i="74"/>
  <c r="W7" i="74"/>
  <c r="W12" i="74"/>
  <c r="W6" i="74"/>
  <c r="W10" i="74"/>
  <c r="W15" i="74"/>
  <c r="W9" i="74"/>
  <c r="Y6" i="46"/>
  <c r="Y9" i="46"/>
  <c r="Y10" i="46"/>
  <c r="Y7" i="46"/>
  <c r="Y13" i="46"/>
  <c r="Y12" i="46"/>
  <c r="Y15" i="46"/>
  <c r="Y14" i="46"/>
  <c r="Y8" i="46"/>
  <c r="Y11" i="46"/>
  <c r="J17" i="46"/>
  <c r="N9" i="46"/>
  <c r="J16" i="46"/>
  <c r="N10" i="46"/>
  <c r="N16" i="46" s="1"/>
  <c r="J18" i="46"/>
  <c r="N8" i="46"/>
  <c r="I6" i="57"/>
  <c r="I17" i="57"/>
  <c r="I2" i="57"/>
  <c r="I19" i="57"/>
  <c r="I14" i="57"/>
  <c r="I12" i="57"/>
  <c r="I24" i="57"/>
  <c r="I8" i="57"/>
  <c r="I9" i="57"/>
  <c r="I10" i="57"/>
  <c r="L22" i="46" l="1"/>
  <c r="W17" i="74"/>
  <c r="Y21" i="46"/>
  <c r="W16" i="74"/>
  <c r="W21" i="74"/>
  <c r="W20" i="74"/>
  <c r="W18" i="74"/>
  <c r="Y16" i="46"/>
  <c r="Y17" i="46"/>
  <c r="Y18" i="46"/>
  <c r="Y20" i="46"/>
  <c r="X7" i="46" l="1"/>
  <c r="X8" i="46"/>
  <c r="X14" i="46"/>
  <c r="X12" i="46"/>
  <c r="X10" i="46"/>
  <c r="X15" i="46"/>
  <c r="X11" i="46"/>
  <c r="X6" i="46"/>
  <c r="X13" i="46"/>
  <c r="X9" i="46"/>
  <c r="Y22" i="46"/>
  <c r="W22" i="74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X17" i="46" l="1"/>
  <c r="X20" i="46"/>
  <c r="X21" i="46"/>
  <c r="X16" i="46"/>
  <c r="X18" i="46"/>
  <c r="D1" i="85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X22" i="46" l="1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B2" i="78" l="1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J2" i="72" l="1"/>
  <c r="L2" i="19"/>
  <c r="J2" i="27"/>
  <c r="J2" i="24"/>
  <c r="L2" i="7"/>
  <c r="J2" i="14"/>
  <c r="L2" i="1"/>
  <c r="N1" i="1" l="1"/>
  <c r="L2" i="26"/>
  <c r="N1" i="26" s="1"/>
  <c r="P1" i="26"/>
  <c r="O1" i="26"/>
  <c r="J2" i="26"/>
  <c r="N1" i="73"/>
  <c r="O1" i="73"/>
  <c r="P1" i="73"/>
  <c r="N1" i="70"/>
  <c r="P1" i="70"/>
  <c r="O1" i="70"/>
  <c r="L2" i="72"/>
  <c r="O1" i="72"/>
  <c r="P1" i="72"/>
  <c r="L2" i="71"/>
  <c r="P1" i="71"/>
  <c r="O1" i="71"/>
  <c r="L2" i="25"/>
  <c r="N1" i="25" s="1"/>
  <c r="P1" i="25"/>
  <c r="O1" i="25"/>
  <c r="N1" i="29"/>
  <c r="O1" i="29"/>
  <c r="P1" i="29"/>
  <c r="N1" i="19"/>
  <c r="O1" i="19"/>
  <c r="P1" i="19"/>
  <c r="L2" i="27"/>
  <c r="N1" i="27" s="1"/>
  <c r="O1" i="27"/>
  <c r="P1" i="27"/>
  <c r="L2" i="23"/>
  <c r="N1" i="23" s="1"/>
  <c r="O1" i="23"/>
  <c r="P1" i="23"/>
  <c r="L2" i="16"/>
  <c r="N1" i="16" s="1"/>
  <c r="O1" i="16"/>
  <c r="P1" i="16"/>
  <c r="N1" i="21"/>
  <c r="P1" i="21"/>
  <c r="N1" i="30"/>
  <c r="P1" i="30"/>
  <c r="O1" i="30"/>
  <c r="J2" i="20"/>
  <c r="L2" i="20"/>
  <c r="P1" i="20"/>
  <c r="O1" i="20"/>
  <c r="L2" i="28"/>
  <c r="O1" i="28"/>
  <c r="P1" i="28"/>
  <c r="J2" i="28"/>
  <c r="L2" i="24"/>
  <c r="N1" i="24" s="1"/>
  <c r="O1" i="24"/>
  <c r="P1" i="24"/>
  <c r="L2" i="17"/>
  <c r="N1" i="17" s="1"/>
  <c r="P1" i="17"/>
  <c r="O1" i="17"/>
  <c r="L2" i="22"/>
  <c r="N1" i="22" s="1"/>
  <c r="O1" i="22"/>
  <c r="P1" i="22"/>
  <c r="N1" i="67"/>
  <c r="O1" i="67"/>
  <c r="P1" i="67"/>
  <c r="N1" i="32"/>
  <c r="O1" i="32"/>
  <c r="P1" i="32"/>
  <c r="L2" i="15"/>
  <c r="P1" i="15"/>
  <c r="O1" i="15"/>
  <c r="L2" i="13"/>
  <c r="N1" i="13" s="1"/>
  <c r="P1" i="13"/>
  <c r="O1" i="13"/>
  <c r="N1" i="11"/>
  <c r="P1" i="11"/>
  <c r="O1" i="11"/>
  <c r="N1" i="7"/>
  <c r="O1" i="7"/>
  <c r="P1" i="7"/>
  <c r="P1" i="4"/>
  <c r="O1" i="4"/>
  <c r="N1" i="66"/>
  <c r="O1" i="66"/>
  <c r="P1" i="66"/>
  <c r="N1" i="31"/>
  <c r="P1" i="31"/>
  <c r="O1" i="31"/>
  <c r="L2" i="14"/>
  <c r="P1" i="14"/>
  <c r="O1" i="14"/>
  <c r="L2" i="12"/>
  <c r="P1" i="12"/>
  <c r="O1" i="12"/>
  <c r="N1" i="9"/>
  <c r="P1" i="9"/>
  <c r="O1" i="9"/>
  <c r="L2" i="6"/>
  <c r="J2" i="1"/>
  <c r="J2" i="6"/>
  <c r="P1" i="6"/>
  <c r="O1" i="6"/>
  <c r="J2" i="15"/>
  <c r="J2" i="71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G17" i="75"/>
  <c r="J12" i="76"/>
  <c r="C17" i="74"/>
  <c r="G16" i="74"/>
  <c r="K18" i="74"/>
  <c r="C16" i="76"/>
  <c r="J10" i="76"/>
  <c r="I21" i="76"/>
  <c r="J15" i="75"/>
  <c r="E20" i="76"/>
  <c r="J7" i="76"/>
  <c r="F20" i="75"/>
  <c r="C18" i="74"/>
  <c r="E16" i="76"/>
  <c r="G21" i="76"/>
  <c r="J15" i="76"/>
  <c r="C17" i="75"/>
  <c r="J9" i="75"/>
  <c r="G16" i="75"/>
  <c r="J20" i="74"/>
  <c r="J6" i="76"/>
  <c r="C20" i="76"/>
  <c r="F20" i="82"/>
  <c r="I21" i="74"/>
  <c r="F21" i="75"/>
  <c r="E17" i="75"/>
  <c r="H17" i="75"/>
  <c r="F18" i="76"/>
  <c r="G13" i="82"/>
  <c r="H17" i="74"/>
  <c r="I17" i="76"/>
  <c r="E21" i="74"/>
  <c r="J11" i="75"/>
  <c r="C21" i="75"/>
  <c r="J14" i="75"/>
  <c r="E15" i="82"/>
  <c r="F16" i="74"/>
  <c r="D21" i="74"/>
  <c r="D16" i="75"/>
  <c r="G20" i="75"/>
  <c r="D17" i="76"/>
  <c r="D20" i="76"/>
  <c r="K21" i="74"/>
  <c r="J17" i="74"/>
  <c r="H20" i="76"/>
  <c r="I17" i="74"/>
  <c r="D16" i="82"/>
  <c r="J7" i="75"/>
  <c r="F18" i="74"/>
  <c r="E18" i="76"/>
  <c r="G18" i="76"/>
  <c r="J18" i="74"/>
  <c r="I20" i="76"/>
  <c r="D16" i="74"/>
  <c r="D20" i="75"/>
  <c r="E21" i="75"/>
  <c r="F17" i="76"/>
  <c r="J12" i="75"/>
  <c r="F17" i="74"/>
  <c r="G18" i="75"/>
  <c r="K16" i="74"/>
  <c r="E18" i="74"/>
  <c r="E16" i="82"/>
  <c r="D18" i="74"/>
  <c r="H16" i="76"/>
  <c r="J14" i="76"/>
  <c r="I20" i="74"/>
  <c r="F21" i="76"/>
  <c r="G10" i="82"/>
  <c r="H16" i="74"/>
  <c r="D17" i="82"/>
  <c r="J8" i="75"/>
  <c r="C18" i="75"/>
  <c r="F20" i="74"/>
  <c r="D20" i="74"/>
  <c r="G16" i="76"/>
  <c r="D16" i="76"/>
  <c r="J21" i="74"/>
  <c r="I21" i="75"/>
  <c r="I18" i="75"/>
  <c r="F15" i="82"/>
  <c r="I16" i="76"/>
  <c r="E16" i="74"/>
  <c r="D17" i="75"/>
  <c r="G7" i="82"/>
  <c r="C17" i="82"/>
  <c r="C21" i="74"/>
  <c r="F16" i="82"/>
  <c r="H21" i="74"/>
  <c r="G17" i="74"/>
  <c r="G21" i="75"/>
  <c r="J16" i="74"/>
  <c r="H18" i="76"/>
  <c r="E16" i="75"/>
  <c r="G8" i="82"/>
  <c r="C16" i="82"/>
  <c r="G20" i="74"/>
  <c r="F21" i="74"/>
  <c r="E17" i="76"/>
  <c r="D21" i="76"/>
  <c r="J11" i="76"/>
  <c r="C21" i="76"/>
  <c r="I18" i="74"/>
  <c r="E20" i="75"/>
  <c r="E18" i="75"/>
  <c r="H18" i="75"/>
  <c r="G6" i="82"/>
  <c r="H18" i="74"/>
  <c r="I18" i="76"/>
  <c r="C16" i="74"/>
  <c r="E17" i="74"/>
  <c r="J13" i="75"/>
  <c r="G20" i="76"/>
  <c r="D18" i="76"/>
  <c r="I16" i="75"/>
  <c r="J13" i="76"/>
  <c r="F18" i="75"/>
  <c r="G17" i="76"/>
  <c r="I16" i="74"/>
  <c r="H21" i="75"/>
  <c r="C15" i="82"/>
  <c r="G9" i="82"/>
  <c r="D15" i="82"/>
  <c r="G21" i="74"/>
  <c r="E19" i="82"/>
  <c r="K17" i="74"/>
  <c r="H21" i="76"/>
  <c r="H16" i="75"/>
  <c r="F20" i="76"/>
  <c r="G12" i="82"/>
  <c r="C20" i="74"/>
  <c r="E20" i="74"/>
  <c r="E17" i="82"/>
  <c r="D18" i="75"/>
  <c r="I20" i="75"/>
  <c r="H17" i="76"/>
  <c r="F17" i="82"/>
  <c r="F17" i="75"/>
  <c r="J6" i="75"/>
  <c r="C20" i="75"/>
  <c r="C18" i="76"/>
  <c r="J8" i="76"/>
  <c r="C17" i="76"/>
  <c r="J9" i="76"/>
  <c r="F16" i="75"/>
  <c r="H20" i="75"/>
  <c r="F16" i="76"/>
  <c r="G11" i="82"/>
  <c r="G14" i="82"/>
  <c r="H20" i="74"/>
  <c r="G18" i="74"/>
  <c r="J10" i="75"/>
  <c r="C16" i="75"/>
  <c r="E20" i="82"/>
  <c r="D17" i="74"/>
  <c r="E21" i="76"/>
  <c r="D21" i="75"/>
  <c r="K20" i="74"/>
  <c r="I17" i="75"/>
  <c r="K20" i="46"/>
  <c r="C20" i="46"/>
  <c r="G20" i="46"/>
  <c r="J20" i="46"/>
  <c r="E20" i="46"/>
  <c r="F20" i="46"/>
  <c r="I21" i="46"/>
  <c r="E21" i="46"/>
  <c r="C16" i="46"/>
  <c r="K21" i="46"/>
  <c r="D20" i="46"/>
  <c r="H21" i="46"/>
  <c r="G21" i="46"/>
  <c r="I20" i="46"/>
  <c r="F21" i="46"/>
  <c r="H20" i="46"/>
  <c r="D21" i="46"/>
  <c r="C17" i="46"/>
  <c r="C18" i="46"/>
  <c r="J21" i="46"/>
  <c r="C21" i="46"/>
  <c r="D21" i="82" l="1"/>
  <c r="I20" i="82" s="1"/>
  <c r="N21" i="46"/>
  <c r="N20" i="46"/>
  <c r="H22" i="75"/>
  <c r="F22" i="74"/>
  <c r="J17" i="76"/>
  <c r="E22" i="76"/>
  <c r="J16" i="76"/>
  <c r="M17" i="74"/>
  <c r="J18" i="76"/>
  <c r="F22" i="76"/>
  <c r="J18" i="75"/>
  <c r="H22" i="76"/>
  <c r="C22" i="76"/>
  <c r="I22" i="76"/>
  <c r="D22" i="76"/>
  <c r="K22" i="74"/>
  <c r="E22" i="74"/>
  <c r="J21" i="75"/>
  <c r="I22" i="75"/>
  <c r="G15" i="82"/>
  <c r="F21" i="82"/>
  <c r="K9" i="82" s="1"/>
  <c r="D22" i="75"/>
  <c r="G19" i="82"/>
  <c r="C22" i="75"/>
  <c r="G16" i="82"/>
  <c r="G20" i="82"/>
  <c r="J17" i="75"/>
  <c r="G17" i="82"/>
  <c r="G22" i="74"/>
  <c r="J16" i="75"/>
  <c r="C22" i="74"/>
  <c r="G22" i="76"/>
  <c r="M21" i="74"/>
  <c r="D22" i="74"/>
  <c r="G22" i="75"/>
  <c r="I22" i="74"/>
  <c r="J20" i="75"/>
  <c r="M16" i="74"/>
  <c r="J22" i="74"/>
  <c r="F22" i="75"/>
  <c r="J20" i="76"/>
  <c r="H22" i="74"/>
  <c r="M20" i="74"/>
  <c r="E21" i="82"/>
  <c r="J20" i="82" s="1"/>
  <c r="E22" i="75"/>
  <c r="J21" i="76"/>
  <c r="M18" i="74"/>
  <c r="E22" i="46"/>
  <c r="K22" i="46"/>
  <c r="G22" i="46"/>
  <c r="I22" i="46"/>
  <c r="D22" i="46"/>
  <c r="H22" i="46"/>
  <c r="F22" i="46"/>
  <c r="N18" i="46"/>
  <c r="C22" i="46"/>
  <c r="N17" i="46"/>
  <c r="J22" i="46"/>
  <c r="O9" i="46" l="1"/>
  <c r="P6" i="46"/>
  <c r="P11" i="46"/>
  <c r="T11" i="46"/>
  <c r="T6" i="46"/>
  <c r="T8" i="46"/>
  <c r="T15" i="46"/>
  <c r="T13" i="46"/>
  <c r="T12" i="46"/>
  <c r="T9" i="46"/>
  <c r="T7" i="46"/>
  <c r="T10" i="46"/>
  <c r="T14" i="46"/>
  <c r="U15" i="46"/>
  <c r="U6" i="46"/>
  <c r="U10" i="46"/>
  <c r="U14" i="46"/>
  <c r="U8" i="46"/>
  <c r="U7" i="46"/>
  <c r="U9" i="46"/>
  <c r="U11" i="46"/>
  <c r="U12" i="46"/>
  <c r="U13" i="46"/>
  <c r="P8" i="75"/>
  <c r="P10" i="75"/>
  <c r="P7" i="75"/>
  <c r="P9" i="75"/>
  <c r="P6" i="75"/>
  <c r="P14" i="75"/>
  <c r="P15" i="75"/>
  <c r="P13" i="75"/>
  <c r="P11" i="75"/>
  <c r="P12" i="75"/>
  <c r="S12" i="74"/>
  <c r="S9" i="74"/>
  <c r="S7" i="74"/>
  <c r="S11" i="74"/>
  <c r="S13" i="74"/>
  <c r="S15" i="74"/>
  <c r="S8" i="74"/>
  <c r="S14" i="74"/>
  <c r="S6" i="74"/>
  <c r="S10" i="74"/>
  <c r="T8" i="74"/>
  <c r="T12" i="74"/>
  <c r="T15" i="74"/>
  <c r="T7" i="74"/>
  <c r="T14" i="74"/>
  <c r="T11" i="74"/>
  <c r="T13" i="74"/>
  <c r="T6" i="74"/>
  <c r="T9" i="74"/>
  <c r="T10" i="74"/>
  <c r="P15" i="76"/>
  <c r="P8" i="76"/>
  <c r="P12" i="76"/>
  <c r="P13" i="76"/>
  <c r="P11" i="76"/>
  <c r="P14" i="76"/>
  <c r="P7" i="76"/>
  <c r="P6" i="76"/>
  <c r="P10" i="76"/>
  <c r="P9" i="76"/>
  <c r="O6" i="46"/>
  <c r="W10" i="46"/>
  <c r="M22" i="74"/>
  <c r="X14" i="74" s="1"/>
  <c r="G21" i="82"/>
  <c r="N22" i="46"/>
  <c r="H19" i="82"/>
  <c r="H5" i="82"/>
  <c r="H20" i="82"/>
  <c r="O14" i="74"/>
  <c r="O10" i="74"/>
  <c r="O9" i="74"/>
  <c r="O7" i="74"/>
  <c r="O11" i="74"/>
  <c r="O8" i="74"/>
  <c r="O6" i="74"/>
  <c r="O15" i="74"/>
  <c r="O13" i="74"/>
  <c r="O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Q14" i="74"/>
  <c r="Q9" i="74"/>
  <c r="Q6" i="74"/>
  <c r="Q8" i="74"/>
  <c r="Q11" i="74"/>
  <c r="Q13" i="74"/>
  <c r="Q7" i="74"/>
  <c r="Q10" i="74"/>
  <c r="Q12" i="74"/>
  <c r="Q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P13" i="74"/>
  <c r="P9" i="74"/>
  <c r="P11" i="74"/>
  <c r="P8" i="74"/>
  <c r="P14" i="74"/>
  <c r="P10" i="74"/>
  <c r="P15" i="74"/>
  <c r="P12" i="74"/>
  <c r="P6" i="74"/>
  <c r="P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N9" i="74"/>
  <c r="N8" i="74"/>
  <c r="N14" i="74"/>
  <c r="N13" i="74"/>
  <c r="N15" i="74"/>
  <c r="N11" i="74"/>
  <c r="N12" i="74"/>
  <c r="N6" i="74"/>
  <c r="N7" i="74"/>
  <c r="N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V9" i="46"/>
  <c r="V7" i="46"/>
  <c r="V6" i="46"/>
  <c r="V14" i="46"/>
  <c r="V13" i="46"/>
  <c r="V8" i="46"/>
  <c r="V11" i="46"/>
  <c r="V12" i="46"/>
  <c r="V15" i="46"/>
  <c r="V10" i="46"/>
  <c r="R14" i="74"/>
  <c r="R8" i="74"/>
  <c r="R7" i="74"/>
  <c r="R12" i="74"/>
  <c r="R15" i="74"/>
  <c r="R10" i="74"/>
  <c r="R13" i="74"/>
  <c r="R9" i="74"/>
  <c r="R6" i="74"/>
  <c r="R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U7" i="74"/>
  <c r="U15" i="74"/>
  <c r="U10" i="74"/>
  <c r="U6" i="74"/>
  <c r="U11" i="74"/>
  <c r="U12" i="74"/>
  <c r="U13" i="74"/>
  <c r="U9" i="74"/>
  <c r="U14" i="74"/>
  <c r="U8" i="74"/>
  <c r="V11" i="74"/>
  <c r="V12" i="74"/>
  <c r="V9" i="74"/>
  <c r="V7" i="74"/>
  <c r="V13" i="74"/>
  <c r="V10" i="74"/>
  <c r="V15" i="74"/>
  <c r="V8" i="74"/>
  <c r="V14" i="74"/>
  <c r="V6" i="74"/>
  <c r="N7" i="76"/>
  <c r="N14" i="76"/>
  <c r="N6" i="76"/>
  <c r="N15" i="76"/>
  <c r="N12" i="76"/>
  <c r="N9" i="76"/>
  <c r="N13" i="76"/>
  <c r="N10" i="76"/>
  <c r="N11" i="76"/>
  <c r="N8" i="76"/>
  <c r="W13" i="46"/>
  <c r="W9" i="46"/>
  <c r="W7" i="46"/>
  <c r="W15" i="46"/>
  <c r="W14" i="46"/>
  <c r="W6" i="46"/>
  <c r="W12" i="46"/>
  <c r="W11" i="46"/>
  <c r="W8" i="46"/>
  <c r="T16" i="46" l="1"/>
  <c r="P16" i="76"/>
  <c r="P16" i="75"/>
  <c r="W17" i="46"/>
  <c r="U16" i="74"/>
  <c r="W16" i="46"/>
  <c r="U17" i="46"/>
  <c r="T17" i="46"/>
  <c r="U18" i="46"/>
  <c r="W18" i="46"/>
  <c r="U16" i="46"/>
  <c r="V16" i="46"/>
  <c r="T18" i="46"/>
  <c r="V18" i="46"/>
  <c r="V17" i="46"/>
  <c r="P17" i="76"/>
  <c r="T16" i="74"/>
  <c r="T17" i="74"/>
  <c r="T18" i="74"/>
  <c r="S16" i="74"/>
  <c r="S21" i="74"/>
  <c r="U20" i="46"/>
  <c r="T20" i="74"/>
  <c r="S17" i="74"/>
  <c r="U21" i="46"/>
  <c r="T21" i="74"/>
  <c r="S20" i="74"/>
  <c r="P17" i="75"/>
  <c r="T20" i="46"/>
  <c r="T21" i="46"/>
  <c r="P18" i="75"/>
  <c r="P18" i="76"/>
  <c r="S18" i="74"/>
  <c r="X9" i="74"/>
  <c r="X15" i="74"/>
  <c r="M16" i="75"/>
  <c r="X6" i="74"/>
  <c r="X13" i="74"/>
  <c r="X8" i="74"/>
  <c r="X7" i="74"/>
  <c r="X12" i="74"/>
  <c r="X10" i="74"/>
  <c r="X11" i="74"/>
  <c r="I15" i="82"/>
  <c r="K16" i="76"/>
  <c r="P16" i="74"/>
  <c r="Q16" i="75"/>
  <c r="O21" i="74"/>
  <c r="N16" i="75"/>
  <c r="H16" i="82"/>
  <c r="Q17" i="75"/>
  <c r="K17" i="82"/>
  <c r="O18" i="74"/>
  <c r="O16" i="76"/>
  <c r="L17" i="76"/>
  <c r="K17" i="76"/>
  <c r="Q18" i="76"/>
  <c r="R20" i="74"/>
  <c r="N21" i="74"/>
  <c r="N20" i="76"/>
  <c r="U17" i="74"/>
  <c r="R17" i="74"/>
  <c r="N18" i="76"/>
  <c r="L16" i="75"/>
  <c r="O16" i="75"/>
  <c r="O17" i="75"/>
  <c r="K18" i="75"/>
  <c r="J15" i="82"/>
  <c r="R16" i="74"/>
  <c r="V16" i="74"/>
  <c r="M20" i="75"/>
  <c r="J17" i="82"/>
  <c r="P20" i="75"/>
  <c r="Q21" i="75"/>
  <c r="N21" i="76"/>
  <c r="V20" i="46"/>
  <c r="K20" i="75"/>
  <c r="P21" i="75"/>
  <c r="P18" i="74"/>
  <c r="H17" i="82"/>
  <c r="Q18" i="74"/>
  <c r="Q18" i="75"/>
  <c r="O17" i="74"/>
  <c r="N16" i="76"/>
  <c r="V20" i="74"/>
  <c r="U21" i="74"/>
  <c r="M16" i="76"/>
  <c r="N16" i="74"/>
  <c r="N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P21" i="74"/>
  <c r="N21" i="75"/>
  <c r="Q20" i="74"/>
  <c r="O16" i="74"/>
  <c r="L18" i="75"/>
  <c r="P21" i="76"/>
  <c r="K21" i="76"/>
  <c r="O21" i="76"/>
  <c r="K21" i="75"/>
  <c r="V21" i="74"/>
  <c r="U20" i="74"/>
  <c r="J16" i="82"/>
  <c r="M17" i="76"/>
  <c r="L21" i="75"/>
  <c r="N17" i="74"/>
  <c r="O20" i="75"/>
  <c r="Q20" i="76"/>
  <c r="P17" i="74"/>
  <c r="N17" i="75"/>
  <c r="Q17" i="74"/>
  <c r="L16" i="76"/>
  <c r="Q20" i="75"/>
  <c r="K15" i="82"/>
  <c r="Q21" i="76"/>
  <c r="N18" i="75"/>
  <c r="L21" i="76"/>
  <c r="N17" i="76"/>
  <c r="V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N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P20" i="74"/>
  <c r="L20" i="76"/>
  <c r="I17" i="82"/>
  <c r="I16" i="82"/>
  <c r="N20" i="75"/>
  <c r="L17" i="75"/>
  <c r="P20" i="76"/>
  <c r="Q21" i="74"/>
  <c r="V17" i="74"/>
  <c r="O20" i="76"/>
  <c r="U18" i="74"/>
  <c r="R21" i="74"/>
  <c r="R18" i="74"/>
  <c r="V21" i="46"/>
  <c r="M20" i="76"/>
  <c r="K20" i="76"/>
  <c r="L20" i="75"/>
  <c r="L20" i="82"/>
  <c r="O17" i="76"/>
  <c r="Q16" i="76"/>
  <c r="K16" i="75"/>
  <c r="M21" i="75"/>
  <c r="H15" i="82"/>
  <c r="Q16" i="74"/>
  <c r="L18" i="76"/>
  <c r="K16" i="82"/>
  <c r="O20" i="74"/>
  <c r="W20" i="46"/>
  <c r="W21" i="46"/>
  <c r="S22" i="74" l="1"/>
  <c r="T22" i="74"/>
  <c r="U22" i="46"/>
  <c r="T22" i="46"/>
  <c r="X20" i="74"/>
  <c r="X21" i="74"/>
  <c r="X16" i="74"/>
  <c r="X17" i="74"/>
  <c r="X18" i="74"/>
  <c r="O22" i="74"/>
  <c r="P22" i="76"/>
  <c r="K22" i="75"/>
  <c r="R22" i="74"/>
  <c r="N22" i="75"/>
  <c r="L22" i="75"/>
  <c r="N22" i="76"/>
  <c r="M22" i="75"/>
  <c r="L22" i="76"/>
  <c r="Q22" i="75"/>
  <c r="V22" i="74"/>
  <c r="P22" i="75"/>
  <c r="L15" i="82"/>
  <c r="V22" i="46"/>
  <c r="U22" i="74"/>
  <c r="N22" i="74"/>
  <c r="R16" i="75"/>
  <c r="K22" i="76"/>
  <c r="R18" i="76"/>
  <c r="R18" i="75"/>
  <c r="Q22" i="74"/>
  <c r="R16" i="76"/>
  <c r="R21" i="75"/>
  <c r="L16" i="82"/>
  <c r="R20" i="76"/>
  <c r="R17" i="75"/>
  <c r="O22" i="76"/>
  <c r="P22" i="74"/>
  <c r="R21" i="76"/>
  <c r="L17" i="82"/>
  <c r="Q22" i="76"/>
  <c r="R20" i="75"/>
  <c r="R17" i="76"/>
  <c r="M22" i="76"/>
  <c r="O22" i="75"/>
  <c r="W22" i="46"/>
  <c r="X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P8" i="46"/>
  <c r="R13" i="46"/>
  <c r="S12" i="46"/>
  <c r="Q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P13" i="46"/>
  <c r="P12" i="46"/>
  <c r="S8" i="46"/>
  <c r="R9" i="46"/>
  <c r="R8" i="46"/>
  <c r="R12" i="46"/>
  <c r="Q15" i="46"/>
  <c r="Q6" i="46"/>
  <c r="Q7" i="46"/>
  <c r="Q14" i="46"/>
  <c r="O13" i="46"/>
  <c r="O15" i="46"/>
  <c r="O7" i="46"/>
  <c r="O14" i="46"/>
  <c r="R10" i="46"/>
  <c r="S15" i="46"/>
  <c r="S6" i="46"/>
  <c r="S14" i="46"/>
  <c r="S7" i="46"/>
  <c r="P15" i="46"/>
  <c r="P7" i="46"/>
  <c r="P14" i="46"/>
  <c r="O8" i="46"/>
  <c r="O11" i="46"/>
  <c r="S9" i="46"/>
  <c r="Q12" i="46"/>
  <c r="S13" i="46"/>
  <c r="O12" i="46"/>
  <c r="Q9" i="46"/>
  <c r="S10" i="46"/>
  <c r="R11" i="46"/>
  <c r="P10" i="46"/>
  <c r="P16" i="46" s="1"/>
  <c r="Q10" i="46"/>
  <c r="R15" i="46"/>
  <c r="R14" i="46"/>
  <c r="R6" i="46"/>
  <c r="R7" i="46"/>
  <c r="Q11" i="46"/>
  <c r="Q8" i="46"/>
  <c r="S11" i="46"/>
  <c r="P9" i="46"/>
  <c r="O10" i="46"/>
  <c r="AH1" i="31"/>
  <c r="AH1" i="9"/>
  <c r="AH1" i="12"/>
  <c r="AH1" i="14"/>
  <c r="P17" i="46" l="1"/>
  <c r="R17" i="46"/>
  <c r="Q17" i="46"/>
  <c r="R18" i="46"/>
  <c r="R16" i="46"/>
  <c r="Q18" i="46"/>
  <c r="S18" i="46"/>
  <c r="S17" i="46"/>
  <c r="Q16" i="46"/>
  <c r="S16" i="46"/>
  <c r="P18" i="46"/>
  <c r="O16" i="46"/>
  <c r="O20" i="46"/>
  <c r="O21" i="46"/>
  <c r="P20" i="46"/>
  <c r="S21" i="46"/>
  <c r="Q21" i="46"/>
  <c r="S20" i="46"/>
  <c r="Q20" i="46"/>
  <c r="P21" i="46"/>
  <c r="R21" i="46"/>
  <c r="R20" i="46"/>
  <c r="O17" i="46"/>
  <c r="O22" i="46" l="1"/>
  <c r="Q22" i="46"/>
  <c r="S22" i="46"/>
  <c r="P22" i="46"/>
  <c r="R22" i="46"/>
  <c r="J2" i="25" l="1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Z13" i="46" l="1"/>
  <c r="Z12" i="46" l="1"/>
  <c r="Z14" i="46"/>
  <c r="Z9" i="46"/>
  <c r="Z8" i="46"/>
  <c r="Z6" i="46"/>
  <c r="Z7" i="46"/>
  <c r="Z15" i="46"/>
  <c r="Z11" i="46"/>
  <c r="Z10" i="46"/>
  <c r="O18" i="46"/>
  <c r="Z21" i="46" l="1"/>
  <c r="Z20" i="46"/>
  <c r="Z16" i="46"/>
  <c r="Z17" i="46"/>
  <c r="Z18" i="46"/>
  <c r="Z22" i="46" l="1"/>
  <c r="J2" i="7"/>
  <c r="J2" i="19"/>
  <c r="J2" i="13"/>
  <c r="J2" i="16"/>
  <c r="J2" i="17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AG1" i="1" l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  <c r="B58" i="46" l="1" a="1"/>
  <c r="B58" i="46" s="1"/>
  <c r="J30" i="46" s="1"/>
  <c r="B52" i="82" a="1"/>
  <c r="B52" i="82" s="1"/>
  <c r="D29" i="82" s="1"/>
  <c r="M30" i="74" s="1"/>
  <c r="B52" i="74" a="1"/>
  <c r="B52" i="74" s="1"/>
  <c r="D30" i="74" s="1"/>
  <c r="B58" i="74" a="1"/>
  <c r="B58" i="74" s="1"/>
  <c r="J30" i="74" s="1"/>
  <c r="B53" i="75" a="1"/>
  <c r="B53" i="75" s="1"/>
  <c r="E30" i="75" s="1"/>
  <c r="B57" i="46" a="1"/>
  <c r="B57" i="46" s="1"/>
  <c r="I30" i="46" s="1"/>
  <c r="B60" i="46" a="1"/>
  <c r="B60" i="46" s="1"/>
  <c r="L30" i="46" s="1"/>
  <c r="B54" i="74" a="1"/>
  <c r="B54" i="74" s="1"/>
  <c r="F30" i="74" s="1"/>
  <c r="B54" i="76" a="1"/>
  <c r="B54" i="76" s="1"/>
  <c r="F30" i="76" s="1"/>
  <c r="B53" i="76" a="1"/>
  <c r="B53" i="76" s="1"/>
  <c r="E30" i="76" s="1"/>
  <c r="B59" i="46" a="1"/>
  <c r="B59" i="46" s="1"/>
  <c r="K30" i="46" s="1"/>
  <c r="B53" i="46" a="1"/>
  <c r="B53" i="46" s="1"/>
  <c r="E30" i="46" s="1"/>
  <c r="B52" i="75" a="1"/>
  <c r="B52" i="75" s="1"/>
  <c r="D30" i="75" s="1"/>
  <c r="B51" i="82" a="1"/>
  <c r="B51" i="82" s="1"/>
  <c r="C29" i="82" s="1"/>
  <c r="N30" i="46" s="1"/>
  <c r="B56" i="46" a="1"/>
  <c r="B56" i="46" s="1"/>
  <c r="H30" i="46" s="1"/>
  <c r="B54" i="82" a="1"/>
  <c r="B54" i="82" s="1"/>
  <c r="F29" i="82" s="1"/>
  <c r="J30" i="76" s="1"/>
  <c r="B54" i="46" a="1"/>
  <c r="B54" i="46" s="1"/>
  <c r="F30" i="46" s="1"/>
  <c r="B51" i="46" a="1"/>
  <c r="B51" i="46" s="1"/>
  <c r="C30" i="46" s="1"/>
  <c r="B56" i="75" a="1"/>
  <c r="B56" i="75" s="1"/>
  <c r="H30" i="75" s="1"/>
  <c r="B60" i="74" a="1"/>
  <c r="B60" i="74" s="1"/>
  <c r="L30" i="74" s="1"/>
  <c r="B51" i="76" a="1"/>
  <c r="B51" i="76" s="1"/>
  <c r="C30" i="76" s="1"/>
  <c r="B52" i="46" a="1"/>
  <c r="B52" i="46" s="1"/>
  <c r="D30" i="46" s="1"/>
  <c r="B51" i="74" a="1"/>
  <c r="B51" i="74" s="1"/>
  <c r="C30" i="74" s="1"/>
  <c r="B51" i="75" a="1"/>
  <c r="B51" i="75" s="1"/>
  <c r="C30" i="75" s="1"/>
  <c r="B54" i="75" a="1"/>
  <c r="B54" i="75" s="1"/>
  <c r="F30" i="75" s="1"/>
  <c r="B57" i="74" a="1"/>
  <c r="B57" i="74" s="1"/>
  <c r="I30" i="74" s="1"/>
  <c r="B52" i="76" a="1"/>
  <c r="B52" i="76" s="1"/>
  <c r="D30" i="76" s="1"/>
  <c r="B56" i="76" a="1"/>
  <c r="B56" i="76" s="1"/>
  <c r="H30" i="76" s="1"/>
  <c r="B55" i="75" a="1"/>
  <c r="B55" i="75" s="1"/>
  <c r="G30" i="75" s="1"/>
  <c r="B53" i="82" a="1"/>
  <c r="B53" i="82" s="1"/>
  <c r="E29" i="82" s="1"/>
  <c r="J30" i="75" s="1"/>
  <c r="B53" i="74" a="1"/>
  <c r="B53" i="74" s="1"/>
  <c r="E30" i="74" s="1"/>
  <c r="B55" i="46" a="1"/>
  <c r="B55" i="46" s="1"/>
  <c r="G30" i="46" s="1"/>
  <c r="B57" i="75" a="1"/>
  <c r="B57" i="75" s="1"/>
  <c r="I30" i="75" s="1"/>
  <c r="B56" i="74" a="1"/>
  <c r="B56" i="74" s="1"/>
  <c r="H30" i="74" s="1"/>
  <c r="B57" i="76" a="1"/>
  <c r="B57" i="76" s="1"/>
  <c r="I30" i="76" s="1"/>
  <c r="B59" i="74" a="1"/>
  <c r="B59" i="74" s="1"/>
  <c r="K30" i="74" s="1"/>
  <c r="B61" i="46" a="1"/>
  <c r="B61" i="46" s="1"/>
  <c r="M30" i="46" s="1"/>
  <c r="B55" i="74" a="1"/>
  <c r="B55" i="74" s="1"/>
  <c r="G30" i="74" s="1"/>
  <c r="B55" i="76" a="1"/>
  <c r="B55" i="76" s="1"/>
  <c r="G30" i="76" s="1"/>
  <c r="C51" i="82" l="1"/>
  <c r="C52" i="82"/>
  <c r="C53" i="82"/>
  <c r="C54" i="82"/>
  <c r="C51" i="46"/>
  <c r="C52" i="46"/>
  <c r="C53" i="46"/>
  <c r="C54" i="46"/>
  <c r="C55" i="46"/>
  <c r="C56" i="46"/>
  <c r="C57" i="46"/>
  <c r="C58" i="46"/>
  <c r="C59" i="46"/>
  <c r="C60" i="46"/>
  <c r="C61" i="46"/>
  <c r="C51" i="74"/>
  <c r="C52" i="74"/>
  <c r="C53" i="74"/>
  <c r="C54" i="74"/>
  <c r="C55" i="74"/>
  <c r="C56" i="74"/>
  <c r="C57" i="74"/>
  <c r="C58" i="74"/>
  <c r="C59" i="74"/>
  <c r="C60" i="74"/>
  <c r="C51" i="75"/>
  <c r="C55" i="75"/>
  <c r="C51" i="76"/>
  <c r="C54" i="76"/>
  <c r="C55" i="76"/>
  <c r="C53" i="75"/>
  <c r="C56" i="75"/>
  <c r="C52" i="76"/>
  <c r="C56" i="76"/>
  <c r="C52" i="75"/>
  <c r="C54" i="75"/>
  <c r="C57" i="75"/>
  <c r="C53" i="76"/>
  <c r="C57" i="76"/>
</calcChain>
</file>

<file path=xl/comments1.xml><?xml version="1.0" encoding="utf-8"?>
<comments xmlns="http://schemas.openxmlformats.org/spreadsheetml/2006/main">
  <authors>
    <author>yun</author>
  </authors>
  <commentList>
    <comment ref="B18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>
  <connection id="1" keepAlive="1" name="abm2_f2_new" type="5" refreshedVersion="6" deleted="1" background="1" saveData="1">
    <dbPr connection="" command="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<sst xmlns="http://schemas.openxmlformats.org/spreadsheetml/2006/main" count="1029" uniqueCount="278">
  <si>
    <t>SR-56 EB</t>
  </si>
  <si>
    <t>SR-56 WB</t>
  </si>
  <si>
    <t>I-8 EB</t>
  </si>
  <si>
    <t>SR-78 WB</t>
  </si>
  <si>
    <t>SR-78 EB</t>
  </si>
  <si>
    <t>SR-163 NB</t>
  </si>
  <si>
    <t>MIRAMAR WAY</t>
  </si>
  <si>
    <t>I-805 NB</t>
  </si>
  <si>
    <t>EL CAJON</t>
  </si>
  <si>
    <t>FRIARS</t>
  </si>
  <si>
    <t>IMPERIAL</t>
  </si>
  <si>
    <t>CARMEL MTN</t>
  </si>
  <si>
    <t>I-15 HOV NB</t>
  </si>
  <si>
    <t>SR-52 WB</t>
  </si>
  <si>
    <t>I-8 WB</t>
  </si>
  <si>
    <t>I-5 NB</t>
  </si>
  <si>
    <t>EL NORTE</t>
  </si>
  <si>
    <t>flow</t>
  </si>
  <si>
    <t>I-15 HOV SB</t>
  </si>
  <si>
    <t>RANCHO PENASQUITOS</t>
  </si>
  <si>
    <t>MIRAMAR</t>
  </si>
  <si>
    <t>SR-163 SB</t>
  </si>
  <si>
    <t>I-805 SB</t>
  </si>
  <si>
    <t>I-5 SB</t>
  </si>
  <si>
    <t>VIA DE SAN YSIDRO</t>
  </si>
  <si>
    <t>SR-905 EB</t>
  </si>
  <si>
    <t>SR-905 WB</t>
  </si>
  <si>
    <t>PALOMAR</t>
  </si>
  <si>
    <t>SR-15 NB</t>
  </si>
  <si>
    <t>SR-15 SB</t>
  </si>
  <si>
    <t>PERSHING</t>
  </si>
  <si>
    <t>PARK</t>
  </si>
  <si>
    <t>CAM DEL RIO WEST</t>
  </si>
  <si>
    <t>CARMEL VALLEY</t>
  </si>
  <si>
    <t>VIA DE LA VALLE</t>
  </si>
  <si>
    <t>E</t>
  </si>
  <si>
    <t>BEARDSLEY</t>
  </si>
  <si>
    <t>BAY</t>
  </si>
  <si>
    <t>DAIRY MART</t>
  </si>
  <si>
    <t xml:space="preserve"> </t>
  </si>
  <si>
    <t>TELEGRAPH CANYON</t>
  </si>
  <si>
    <t>MADISON</t>
  </si>
  <si>
    <t>EL CAMINO REAL</t>
  </si>
  <si>
    <t>EMERALD</t>
  </si>
  <si>
    <t>I-15 SB</t>
  </si>
  <si>
    <t>I-15 NB</t>
  </si>
  <si>
    <t>CARMEL CREEK</t>
  </si>
  <si>
    <t>SR-67 NB</t>
  </si>
  <si>
    <t>JOHNSON</t>
  </si>
  <si>
    <t>FAIRMOUNT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</si>
  <si>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</si>
  <si>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</si>
  <si>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</si>
  <si>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</si>
  <si>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</si>
  <si>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</si>
  <si>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</si>
  <si>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</si>
  <si>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</si>
  <si>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</si>
  <si>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</si>
  <si>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</si>
  <si>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</si>
  <si>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</si>
  <si>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</si>
  <si>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</si>
  <si>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</si>
  <si>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</si>
  <si>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</si>
  <si>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</si>
  <si>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</si>
  <si>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</si>
  <si>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</si>
  <si>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</si>
  <si>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</si>
  <si>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</si>
  <si>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</si>
  <si>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</si>
  <si>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</si>
  <si>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</si>
  <si>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</si>
  <si>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</si>
  <si>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</si>
  <si>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</si>
  <si>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</si>
  <si>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</si>
  <si>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</si>
  <si>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</si>
  <si>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</si>
  <si>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</si>
  <si>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</si>
  <si>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</si>
  <si>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</si>
  <si>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</si>
  <si>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</si>
  <si>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</si>
  <si>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</si>
  <si>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</si>
  <si>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</si>
  <si>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</si>
  <si>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</si>
  <si>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</si>
  <si>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</si>
  <si>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</si>
  <si>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</si>
  <si>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</si>
  <si>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</si>
  <si>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</si>
  <si>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</si>
  <si>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</si>
  <si>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</si>
  <si>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</si>
  <si>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</si>
  <si>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</si>
  <si>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</si>
  <si>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</si>
  <si>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</si>
  <si>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</si>
  <si>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</si>
  <si>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</si>
  <si>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</si>
  <si>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</si>
  <si>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</si>
  <si>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</si>
  <si>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</si>
  <si>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</si>
  <si>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</si>
  <si>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</si>
  <si>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</si>
  <si>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</si>
  <si>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</si>
  <si>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</si>
  <si>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</si>
  <si>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</si>
  <si>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</si>
  <si>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</si>
  <si>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</si>
  <si>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</si>
  <si>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</si>
  <si>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</si>
  <si>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</si>
  <si>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</si>
  <si>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</si>
  <si>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</si>
  <si>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</si>
  <si>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</si>
  <si>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</si>
  <si>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</si>
  <si>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</si>
  <si>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</si>
  <si>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</si>
  <si>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>10TH</t>
  </si>
  <si>
    <t>MIDWAY</t>
  </si>
  <si>
    <t>SUNSET CLIFFS</t>
  </si>
  <si>
    <t>BEYER</t>
  </si>
  <si>
    <t>CAM DE LA PLAZA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</si>
  <si>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</si>
  <si>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</si>
  <si>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</si>
  <si>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</si>
  <si>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</si>
  <si>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</si>
  <si>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</si>
  <si>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</si>
  <si>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</si>
  <si>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</si>
  <si>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</si>
  <si>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</si>
  <si>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</si>
  <si>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</si>
  <si>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</si>
  <si>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</si>
  <si>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</si>
  <si>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</si>
  <si>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</si>
  <si>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</si>
  <si>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</si>
  <si>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</si>
  <si>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</si>
  <si>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</si>
  <si>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</si>
  <si>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</si>
  <si>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</si>
  <si>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</si>
  <si>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</si>
  <si>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</si>
  <si>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</si>
  <si>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</si>
  <si>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</si>
  <si>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</si>
  <si>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</si>
  <si>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</si>
  <si>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</si>
  <si>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</si>
  <si>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</si>
  <si>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</si>
  <si>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</si>
  <si>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</si>
  <si>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</si>
  <si>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</si>
  <si>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</si>
  <si>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</si>
  <si>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</si>
  <si>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</si>
  <si>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</si>
  <si>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</si>
  <si>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</si>
  <si>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</si>
  <si>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</si>
  <si>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</si>
  <si>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</si>
  <si>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</si>
  <si>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</si>
  <si>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</si>
  <si>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</si>
  <si>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</si>
  <si>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</si>
  <si>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</si>
  <si>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</si>
  <si>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</si>
  <si>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</si>
  <si>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</si>
  <si>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</si>
  <si>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</si>
  <si>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</si>
  <si>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</si>
  <si>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</si>
  <si>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</si>
  <si>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</si>
  <si>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</si>
  <si>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</si>
  <si>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</si>
  <si>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</si>
  <si>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</si>
  <si>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</si>
  <si>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</si>
  <si>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</si>
  <si>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</si>
  <si>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</si>
  <si>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</si>
  <si>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</si>
  <si>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</si>
  <si>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</si>
  <si>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</si>
  <si>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</si>
  <si>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</si>
  <si>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</si>
  <si>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</si>
  <si>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</si>
  <si>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</si>
  <si>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</si>
  <si>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</si>
  <si>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</si>
  <si>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</si>
  <si>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</si>
  <si>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</si>
  <si>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</si>
  <si>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</si>
  <si>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</si>
  <si>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</si>
  <si>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</si>
  <si>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</si>
  <si>
    <t>hwycov_id, flow_day, flow_am and flow_pm are linked to source_EMME.xlsx</t>
  </si>
  <si>
    <t>ikno</t>
  </si>
  <si>
    <t>I_805HOV_NB</t>
  </si>
  <si>
    <t>I_805HOV_SB</t>
  </si>
  <si>
    <t>I-5_NB_AUX_LOCAL_ACC</t>
  </si>
  <si>
    <t>Row Labels</t>
  </si>
  <si>
    <t>Grand Total</t>
  </si>
  <si>
    <t>Column Labels</t>
  </si>
  <si>
    <t>Sum of count</t>
  </si>
  <si>
    <t>Total Sum of count</t>
  </si>
  <si>
    <t>Total Sum of flow</t>
  </si>
  <si>
    <t>Sum of flow</t>
  </si>
  <si>
    <t>slope</t>
  </si>
  <si>
    <t>Jeff.Yen@sandag.org</t>
  </si>
  <si>
    <t>All freeways are split into 35 corridors, including I15 HOV Lane (Express) and I5 HOV Lane. SR125 Toll is chained together with SR125 General as one corridor.</t>
  </si>
  <si>
    <r>
      <t xml:space="preserve">The counts are </t>
    </r>
    <r>
      <rPr>
        <b/>
        <sz val="11"/>
        <color theme="1"/>
        <rFont val="Calibri"/>
        <family val="2"/>
        <scheme val="minor"/>
      </rPr>
      <t>PM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</si>
</sst>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66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872">
    <xf numFmtId="0" fontId="0" fillId="0" borderId="0"/>
    <xf numFmtId="9" fontId="7" fillId="0" borderId="0" applyFont="0" applyFill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4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65" applyNumberFormat="0" applyFill="0" applyAlignment="0" applyProtection="0"/>
    <xf numFmtId="0" fontId="36" fillId="0" borderId="66" applyNumberFormat="0" applyFill="0" applyAlignment="0" applyProtection="0"/>
    <xf numFmtId="0" fontId="37" fillId="0" borderId="67" applyNumberFormat="0" applyFill="0" applyAlignment="0" applyProtection="0"/>
    <xf numFmtId="0" fontId="37" fillId="0" borderId="0" applyNumberFormat="0" applyFill="0" applyBorder="0" applyAlignment="0" applyProtection="0"/>
    <xf numFmtId="0" fontId="38" fillId="28" borderId="0" applyNumberFormat="0" applyBorder="0" applyAlignment="0" applyProtection="0"/>
    <xf numFmtId="0" fontId="39" fillId="29" borderId="0" applyNumberFormat="0" applyBorder="0" applyAlignment="0" applyProtection="0"/>
    <xf numFmtId="0" fontId="40" fillId="30" borderId="0" applyNumberFormat="0" applyBorder="0" applyAlignment="0" applyProtection="0"/>
    <xf numFmtId="0" fontId="41" fillId="31" borderId="68" applyNumberFormat="0" applyAlignment="0" applyProtection="0"/>
    <xf numFmtId="0" fontId="42" fillId="32" borderId="69" applyNumberFormat="0" applyAlignment="0" applyProtection="0"/>
    <xf numFmtId="0" fontId="43" fillId="32" borderId="68" applyNumberFormat="0" applyAlignment="0" applyProtection="0"/>
    <xf numFmtId="0" fontId="44" fillId="0" borderId="70" applyNumberFormat="0" applyFill="0" applyAlignment="0" applyProtection="0"/>
    <xf numFmtId="0" fontId="20" fillId="33" borderId="71" applyNumberFormat="0" applyAlignment="0" applyProtection="0"/>
    <xf numFmtId="0" fontId="4" fillId="0" borderId="0" applyNumberFormat="0" applyFill="0" applyBorder="0" applyAlignment="0" applyProtection="0"/>
    <xf numFmtId="0" fontId="7" fillId="9" borderId="27" applyNumberFormat="0" applyFont="0" applyAlignment="0" applyProtection="0"/>
    <xf numFmtId="0" fontId="45" fillId="0" borderId="0" applyNumberFormat="0" applyFill="0" applyBorder="0" applyAlignment="0" applyProtection="0"/>
    <xf numFmtId="0" fontId="8" fillId="0" borderId="72" applyNumberFormat="0" applyFill="0" applyAlignment="0" applyProtection="0"/>
    <xf numFmtId="0" fontId="22" fillId="34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5" borderId="0" applyNumberFormat="0" applyBorder="0" applyAlignment="0" applyProtection="0"/>
    <xf numFmtId="0" fontId="22" fillId="36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37" borderId="0" applyNumberFormat="0" applyBorder="0" applyAlignment="0" applyProtection="0"/>
    <xf numFmtId="0" fontId="22" fillId="38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39" borderId="0" applyNumberFormat="0" applyBorder="0" applyAlignment="0" applyProtection="0"/>
    <xf numFmtId="0" fontId="22" fillId="40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41" borderId="0" applyNumberFormat="0" applyBorder="0" applyAlignment="0" applyProtection="0"/>
    <xf numFmtId="0" fontId="22" fillId="42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43" borderId="0" applyNumberFormat="0" applyBorder="0" applyAlignment="0" applyProtection="0"/>
    <xf numFmtId="0" fontId="22" fillId="44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45" borderId="0" applyNumberFormat="0" applyBorder="0" applyAlignment="0" applyProtection="0"/>
  </cellStyleXfs>
  <cellXfs count="481">
    <xf numFmtId="0" fontId="0" fillId="0" borderId="0" xfId="0"/>
    <xf numFmtId="0" fontId="3" fillId="0" borderId="0" xfId="0" applyFont="1" applyFill="1" applyBorder="1"/>
    <xf numFmtId="164" fontId="0" fillId="0" borderId="0" xfId="0" applyNumberFormat="1"/>
    <xf numFmtId="1" fontId="3" fillId="0" borderId="0" xfId="0" applyNumberFormat="1" applyFont="1" applyFill="1" applyBorder="1"/>
    <xf numFmtId="1" fontId="0" fillId="0" borderId="0" xfId="0" applyNumberFormat="1"/>
    <xf numFmtId="0" fontId="4" fillId="0" borderId="0" xfId="0" applyFont="1"/>
    <xf numFmtId="9" fontId="0" fillId="0" borderId="0" xfId="0" applyNumberFormat="1"/>
    <xf numFmtId="165" fontId="0" fillId="0" borderId="0" xfId="0" applyNumberFormat="1"/>
    <xf numFmtId="0" fontId="6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1" fillId="0" borderId="0" xfId="0" applyNumberFormat="1" applyFont="1" applyFill="1" applyBorder="1"/>
    <xf numFmtId="9" fontId="0" fillId="0" borderId="0" xfId="1" applyFont="1" applyAlignment="1">
      <alignment horizontal="right"/>
    </xf>
    <xf numFmtId="0" fontId="0" fillId="0" borderId="0" xfId="0" applyNumberFormat="1"/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5" fillId="22" borderId="0" xfId="0" applyFont="1" applyFill="1"/>
    <xf numFmtId="9" fontId="16" fillId="0" borderId="0" xfId="0" applyNumberFormat="1" applyFont="1"/>
    <xf numFmtId="0" fontId="9" fillId="0" borderId="0" xfId="0" applyFont="1"/>
    <xf numFmtId="9" fontId="9" fillId="0" borderId="0" xfId="0" applyNumberFormat="1" applyFont="1"/>
    <xf numFmtId="1" fontId="9" fillId="0" borderId="0" xfId="0" applyNumberFormat="1" applyFont="1"/>
    <xf numFmtId="164" fontId="0" fillId="0" borderId="0" xfId="0" applyNumberFormat="1" applyFill="1"/>
    <xf numFmtId="0" fontId="18" fillId="0" borderId="0" xfId="0" applyFont="1" applyFill="1" applyBorder="1"/>
    <xf numFmtId="164" fontId="9" fillId="0" borderId="0" xfId="0" applyNumberFormat="1" applyFont="1"/>
    <xf numFmtId="1" fontId="18" fillId="0" borderId="0" xfId="0" applyNumberFormat="1" applyFont="1" applyFill="1" applyBorder="1"/>
    <xf numFmtId="2" fontId="9" fillId="0" borderId="0" xfId="0" applyNumberFormat="1" applyFont="1"/>
    <xf numFmtId="2" fontId="18" fillId="0" borderId="0" xfId="0" applyNumberFormat="1" applyFont="1" applyFill="1" applyBorder="1"/>
    <xf numFmtId="2" fontId="3" fillId="0" borderId="0" xfId="0" applyNumberFormat="1" applyFont="1" applyFill="1" applyBorder="1"/>
    <xf numFmtId="9" fontId="9" fillId="3" borderId="0" xfId="0" applyNumberFormat="1" applyFont="1" applyFill="1"/>
    <xf numFmtId="0" fontId="9" fillId="0" borderId="0" xfId="0" applyNumberFormat="1" applyFont="1"/>
    <xf numFmtId="165" fontId="9" fillId="0" borderId="0" xfId="0" applyNumberFormat="1" applyFont="1"/>
    <xf numFmtId="9" fontId="9" fillId="8" borderId="0" xfId="0" applyNumberFormat="1" applyFont="1" applyFill="1"/>
    <xf numFmtId="9" fontId="9" fillId="0" borderId="0" xfId="0" applyNumberFormat="1" applyFont="1" applyFill="1"/>
    <xf numFmtId="0" fontId="19" fillId="22" borderId="0" xfId="0" applyFont="1" applyFill="1"/>
    <xf numFmtId="0" fontId="5" fillId="0" borderId="0" xfId="0" applyFont="1" applyFill="1"/>
    <xf numFmtId="2" fontId="5" fillId="0" borderId="0" xfId="0" applyNumberFormat="1" applyFont="1"/>
    <xf numFmtId="0" fontId="5" fillId="0" borderId="0" xfId="0" applyFont="1"/>
    <xf numFmtId="1" fontId="17" fillId="0" borderId="0" xfId="0" applyNumberFormat="1" applyFont="1"/>
    <xf numFmtId="1" fontId="17" fillId="0" borderId="0" xfId="0" applyNumberFormat="1" applyFont="1" applyFill="1"/>
    <xf numFmtId="0" fontId="5" fillId="0" borderId="0" xfId="0" applyFont="1" applyBorder="1"/>
    <xf numFmtId="9" fontId="10" fillId="0" borderId="0" xfId="0" applyNumberFormat="1" applyFont="1"/>
    <xf numFmtId="1" fontId="10" fillId="0" borderId="0" xfId="0" applyNumberFormat="1" applyFont="1"/>
    <xf numFmtId="9" fontId="5" fillId="0" borderId="0" xfId="0" applyNumberFormat="1" applyFont="1"/>
    <xf numFmtId="164" fontId="5" fillId="0" borderId="0" xfId="0" applyNumberFormat="1" applyFont="1"/>
    <xf numFmtId="1" fontId="5" fillId="0" borderId="0" xfId="0" applyNumberFormat="1" applyFont="1"/>
    <xf numFmtId="1" fontId="21" fillId="0" borderId="0" xfId="0" applyNumberFormat="1" applyFont="1" applyFill="1" applyBorder="1"/>
    <xf numFmtId="0" fontId="10" fillId="0" borderId="0" xfId="0" applyFont="1"/>
    <xf numFmtId="0" fontId="10" fillId="0" borderId="0" xfId="0" applyFont="1" applyFill="1"/>
    <xf numFmtId="9" fontId="10" fillId="0" borderId="0" xfId="0" applyNumberFormat="1" applyFont="1" applyFill="1"/>
    <xf numFmtId="0" fontId="5" fillId="0" borderId="1" xfId="0" applyFont="1" applyBorder="1"/>
    <xf numFmtId="1" fontId="5" fillId="0" borderId="0" xfId="0" applyNumberFormat="1" applyFont="1" applyBorder="1"/>
    <xf numFmtId="9" fontId="5" fillId="0" borderId="33" xfId="1" applyFont="1" applyBorder="1"/>
    <xf numFmtId="2" fontId="10" fillId="0" borderId="0" xfId="0" applyNumberFormat="1" applyFont="1"/>
    <xf numFmtId="9" fontId="5" fillId="22" borderId="0" xfId="0" applyNumberFormat="1" applyFont="1" applyFill="1"/>
    <xf numFmtId="164" fontId="5" fillId="5" borderId="0" xfId="0" applyNumberFormat="1" applyFont="1" applyFill="1"/>
    <xf numFmtId="9" fontId="5" fillId="2" borderId="0" xfId="0" applyNumberFormat="1" applyFont="1" applyFill="1"/>
    <xf numFmtId="9" fontId="5" fillId="24" borderId="0" xfId="0" applyNumberFormat="1" applyFont="1" applyFill="1"/>
    <xf numFmtId="9" fontId="5" fillId="0" borderId="0" xfId="0" applyNumberFormat="1" applyFont="1" applyFill="1"/>
    <xf numFmtId="9" fontId="5" fillId="7" borderId="0" xfId="0" applyNumberFormat="1" applyFont="1" applyFill="1"/>
    <xf numFmtId="9" fontId="5" fillId="23" borderId="0" xfId="0" applyNumberFormat="1" applyFont="1" applyFill="1"/>
    <xf numFmtId="0" fontId="5" fillId="0" borderId="0" xfId="0" applyNumberFormat="1" applyFont="1"/>
    <xf numFmtId="0" fontId="22" fillId="0" borderId="0" xfId="0" applyFont="1"/>
    <xf numFmtId="2" fontId="0" fillId="0" borderId="0" xfId="0" applyNumberFormat="1" applyFill="1"/>
    <xf numFmtId="9" fontId="5" fillId="25" borderId="0" xfId="0" applyNumberFormat="1" applyFont="1" applyFill="1"/>
    <xf numFmtId="9" fontId="10" fillId="22" borderId="0" xfId="0" applyNumberFormat="1" applyFont="1" applyFill="1"/>
    <xf numFmtId="0" fontId="0" fillId="0" borderId="2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" fontId="5" fillId="0" borderId="12" xfId="0" applyNumberFormat="1" applyFont="1" applyBorder="1" applyAlignment="1">
      <alignment horizontal="center"/>
    </xf>
    <xf numFmtId="9" fontId="5" fillId="0" borderId="13" xfId="1" applyFont="1" applyBorder="1" applyAlignment="1">
      <alignment horizontal="center"/>
    </xf>
    <xf numFmtId="0" fontId="27" fillId="0" borderId="0" xfId="0" applyFont="1"/>
    <xf numFmtId="0" fontId="4" fillId="0" borderId="21" xfId="0" applyFont="1" applyBorder="1" applyAlignment="1">
      <alignment horizontal="right"/>
    </xf>
    <xf numFmtId="0" fontId="29" fillId="0" borderId="10" xfId="0" applyFont="1" applyBorder="1" applyAlignment="1">
      <alignment horizontal="right"/>
    </xf>
    <xf numFmtId="0" fontId="29" fillId="0" borderId="0" xfId="0" applyFont="1"/>
    <xf numFmtId="0" fontId="0" fillId="0" borderId="0" xfId="0" quotePrefix="1"/>
    <xf numFmtId="0" fontId="0" fillId="0" borderId="40" xfId="0" applyFont="1" applyBorder="1" applyAlignment="1">
      <alignment horizontal="center"/>
    </xf>
    <xf numFmtId="0" fontId="4" fillId="0" borderId="40" xfId="0" applyFont="1" applyBorder="1" applyAlignment="1">
      <alignment horizontal="right"/>
    </xf>
    <xf numFmtId="0" fontId="29" fillId="0" borderId="41" xfId="0" applyFont="1" applyBorder="1" applyAlignment="1">
      <alignment horizontal="right"/>
    </xf>
    <xf numFmtId="1" fontId="31" fillId="0" borderId="0" xfId="0" applyNumberFormat="1" applyFont="1" applyBorder="1"/>
    <xf numFmtId="0" fontId="30" fillId="0" borderId="36" xfId="0" applyFont="1" applyBorder="1"/>
    <xf numFmtId="2" fontId="30" fillId="0" borderId="36" xfId="0" applyNumberFormat="1" applyFont="1" applyBorder="1"/>
    <xf numFmtId="9" fontId="5" fillId="0" borderId="0" xfId="1" applyNumberFormat="1" applyFont="1" applyBorder="1"/>
    <xf numFmtId="1" fontId="25" fillId="0" borderId="0" xfId="0" applyNumberFormat="1" applyFont="1" applyBorder="1"/>
    <xf numFmtId="9" fontId="5" fillId="0" borderId="0" xfId="1" applyFont="1" applyBorder="1"/>
    <xf numFmtId="0" fontId="25" fillId="0" borderId="0" xfId="0" applyFont="1" applyBorder="1"/>
    <xf numFmtId="1" fontId="30" fillId="0" borderId="0" xfId="0" applyNumberFormat="1" applyFont="1" applyBorder="1"/>
    <xf numFmtId="9" fontId="30" fillId="0" borderId="0" xfId="1" applyNumberFormat="1" applyFont="1" applyBorder="1"/>
    <xf numFmtId="0" fontId="0" fillId="0" borderId="0" xfId="0" applyAlignment="1">
      <alignment horizontal="left"/>
    </xf>
    <xf numFmtId="1" fontId="32" fillId="26" borderId="0" xfId="0" applyNumberFormat="1" applyFont="1" applyFill="1" applyBorder="1"/>
    <xf numFmtId="1" fontId="17" fillId="0" borderId="0" xfId="0" applyNumberFormat="1" applyFont="1" applyBorder="1"/>
    <xf numFmtId="0" fontId="20" fillId="26" borderId="0" xfId="0" applyFont="1" applyFill="1" applyBorder="1"/>
    <xf numFmtId="0" fontId="30" fillId="0" borderId="0" xfId="0" applyFont="1" applyBorder="1"/>
    <xf numFmtId="9" fontId="0" fillId="0" borderId="63" xfId="1" applyFont="1" applyBorder="1" applyAlignment="1">
      <alignment horizontal="right"/>
    </xf>
    <xf numFmtId="166" fontId="0" fillId="3" borderId="3" xfId="0" applyNumberFormat="1" applyFont="1" applyFill="1" applyBorder="1" applyAlignment="1">
      <alignment horizontal="right"/>
    </xf>
    <xf numFmtId="9" fontId="0" fillId="0" borderId="48" xfId="0" applyNumberFormat="1" applyFont="1" applyFill="1" applyBorder="1" applyAlignment="1">
      <alignment horizontal="right"/>
    </xf>
    <xf numFmtId="9" fontId="0" fillId="0" borderId="40" xfId="0" applyNumberFormat="1" applyFont="1" applyFill="1" applyBorder="1" applyAlignment="1">
      <alignment horizontal="right"/>
    </xf>
    <xf numFmtId="9" fontId="0" fillId="0" borderId="63" xfId="1" applyFont="1" applyFill="1" applyBorder="1" applyAlignment="1">
      <alignment horizontal="right"/>
    </xf>
    <xf numFmtId="166" fontId="0" fillId="3" borderId="40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6" borderId="9" xfId="0" applyFont="1" applyFill="1" applyBorder="1" applyAlignment="1">
      <alignment horizontal="right"/>
    </xf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1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33" fillId="0" borderId="36" xfId="0" applyFont="1" applyBorder="1"/>
    <xf numFmtId="1" fontId="21" fillId="0" borderId="0" xfId="0" applyNumberFormat="1" applyFont="1" applyFill="1"/>
    <xf numFmtId="9" fontId="0" fillId="22" borderId="0" xfId="0" applyNumberFormat="1" applyFont="1" applyFill="1"/>
    <xf numFmtId="0" fontId="18" fillId="0" borderId="0" xfId="0" applyFont="1" applyFill="1"/>
    <xf numFmtId="2" fontId="18" fillId="0" borderId="0" xfId="0" applyNumberFormat="1" applyFont="1" applyFill="1"/>
    <xf numFmtId="1" fontId="18" fillId="0" borderId="0" xfId="0" applyNumberFormat="1" applyFont="1" applyFill="1"/>
    <xf numFmtId="0" fontId="0" fillId="0" borderId="0" xfId="0" applyFont="1"/>
    <xf numFmtId="1" fontId="4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4" fillId="27" borderId="0" xfId="0" applyNumberFormat="1" applyFont="1" applyFill="1"/>
    <xf numFmtId="1" fontId="4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4" fillId="0" borderId="0" xfId="0" applyNumberFormat="1" applyFont="1"/>
    <xf numFmtId="1" fontId="4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5" fillId="0" borderId="0" xfId="0" applyNumberFormat="1" applyFont="1"/>
    <xf numFmtId="167" fontId="25" fillId="0" borderId="0" xfId="0" applyNumberFormat="1" applyFont="1"/>
    <xf numFmtId="165" fontId="25" fillId="0" borderId="0" xfId="0" applyNumberFormat="1" applyFont="1"/>
    <xf numFmtId="9" fontId="25" fillId="0" borderId="0" xfId="0" applyNumberFormat="1" applyFont="1"/>
    <xf numFmtId="0" fontId="25" fillId="0" borderId="0" xfId="0" applyFont="1"/>
    <xf numFmtId="167" fontId="4" fillId="6" borderId="0" xfId="0" applyNumberFormat="1" applyFont="1" applyFill="1"/>
    <xf numFmtId="165" fontId="4" fillId="6" borderId="0" xfId="0" applyNumberFormat="1" applyFont="1" applyFill="1"/>
    <xf numFmtId="9" fontId="4" fillId="6" borderId="0" xfId="0" applyNumberFormat="1" applyFont="1" applyFill="1"/>
    <xf numFmtId="0" fontId="4" fillId="6" borderId="0" xfId="0" applyFont="1" applyFill="1"/>
    <xf numFmtId="0" fontId="4" fillId="27" borderId="0" xfId="0" applyFont="1" applyFill="1"/>
    <xf numFmtId="0" fontId="5" fillId="3" borderId="1" xfId="0" applyFont="1" applyFill="1" applyBorder="1"/>
    <xf numFmtId="0" fontId="5" fillId="3" borderId="0" xfId="0" applyFont="1" applyFill="1" applyBorder="1"/>
    <xf numFmtId="1" fontId="5" fillId="3" borderId="0" xfId="0" applyNumberFormat="1" applyFont="1" applyFill="1" applyBorder="1"/>
    <xf numFmtId="9" fontId="5" fillId="3" borderId="33" xfId="1" applyFont="1" applyFill="1" applyBorder="1"/>
    <xf numFmtId="0" fontId="5" fillId="3" borderId="32" xfId="0" applyFont="1" applyFill="1" applyBorder="1"/>
    <xf numFmtId="0" fontId="5" fillId="3" borderId="34" xfId="0" applyFont="1" applyFill="1" applyBorder="1"/>
    <xf numFmtId="1" fontId="5" fillId="3" borderId="34" xfId="0" applyNumberFormat="1" applyFont="1" applyFill="1" applyBorder="1"/>
    <xf numFmtId="1" fontId="0" fillId="3" borderId="34" xfId="0" applyNumberFormat="1" applyFont="1" applyFill="1" applyBorder="1"/>
    <xf numFmtId="9" fontId="5" fillId="3" borderId="35" xfId="1" applyFont="1" applyFill="1" applyBorder="1"/>
    <xf numFmtId="0" fontId="47" fillId="0" borderId="0" xfId="0" applyFont="1"/>
    <xf numFmtId="0" fontId="46" fillId="0" borderId="0" xfId="0" applyFont="1" applyFill="1" applyBorder="1"/>
    <xf numFmtId="165" fontId="47" fillId="0" borderId="0" xfId="0" applyNumberFormat="1" applyFont="1"/>
    <xf numFmtId="2" fontId="46" fillId="0" borderId="0" xfId="0" applyNumberFormat="1" applyFont="1" applyFill="1" applyBorder="1"/>
    <xf numFmtId="1" fontId="46" fillId="0" borderId="0" xfId="0" applyNumberFormat="1" applyFont="1" applyFill="1" applyBorder="1"/>
    <xf numFmtId="9" fontId="47" fillId="0" borderId="0" xfId="0" applyNumberFormat="1" applyFont="1"/>
    <xf numFmtId="1" fontId="47" fillId="0" borderId="0" xfId="0" applyNumberFormat="1" applyFont="1"/>
    <xf numFmtId="164" fontId="47" fillId="0" borderId="0" xfId="0" applyNumberFormat="1" applyFont="1"/>
    <xf numFmtId="0" fontId="5" fillId="0" borderId="2" xfId="0" applyFont="1" applyFill="1" applyBorder="1"/>
    <xf numFmtId="0" fontId="29" fillId="0" borderId="2" xfId="0" applyFont="1" applyFill="1" applyBorder="1"/>
    <xf numFmtId="0" fontId="15" fillId="0" borderId="2" xfId="0" applyFont="1" applyFill="1" applyBorder="1"/>
    <xf numFmtId="1" fontId="4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4" fillId="8" borderId="0" xfId="0" applyFont="1" applyFill="1"/>
    <xf numFmtId="0" fontId="48" fillId="0" borderId="0" xfId="0" applyFont="1"/>
    <xf numFmtId="0" fontId="28" fillId="0" borderId="0" xfId="52830"/>
    <xf numFmtId="0" fontId="30" fillId="0" borderId="0" xfId="0" applyFont="1"/>
    <xf numFmtId="1" fontId="2" fillId="0" borderId="0" xfId="0" applyNumberFormat="1" applyFont="1"/>
    <xf numFmtId="2" fontId="2" fillId="0" borderId="0" xfId="0" applyNumberFormat="1" applyFont="1"/>
    <xf numFmtId="1" fontId="49" fillId="0" borderId="0" xfId="0" applyNumberFormat="1" applyFont="1"/>
    <xf numFmtId="0" fontId="50" fillId="0" borderId="0" xfId="0" applyFont="1" applyFill="1" applyBorder="1"/>
    <xf numFmtId="1" fontId="22" fillId="0" borderId="0" xfId="0" applyNumberFormat="1" applyFont="1"/>
    <xf numFmtId="2" fontId="22" fillId="0" borderId="0" xfId="0" applyNumberFormat="1" applyFont="1"/>
    <xf numFmtId="164" fontId="50" fillId="0" borderId="0" xfId="0" applyNumberFormat="1" applyFont="1" applyFill="1" applyBorder="1"/>
    <xf numFmtId="1" fontId="50" fillId="0" borderId="0" xfId="0" applyNumberFormat="1" applyFont="1" applyFill="1" applyBorder="1"/>
    <xf numFmtId="9" fontId="22" fillId="0" borderId="0" xfId="0" applyNumberFormat="1" applyFont="1"/>
    <xf numFmtId="1" fontId="0" fillId="0" borderId="0" xfId="0" applyNumberFormat="1" applyFont="1"/>
    <xf numFmtId="1" fontId="2" fillId="0" borderId="0" xfId="0" applyNumberFormat="1" applyFont="1" applyFill="1" applyBorder="1"/>
    <xf numFmtId="0" fontId="51" fillId="26" borderId="0" xfId="0" applyFont="1" applyFill="1" applyBorder="1"/>
    <xf numFmtId="1" fontId="20" fillId="26" borderId="0" xfId="0" applyNumberFormat="1" applyFont="1" applyFill="1" applyBorder="1"/>
    <xf numFmtId="2" fontId="20" fillId="26" borderId="0" xfId="0" applyNumberFormat="1" applyFont="1" applyFill="1" applyBorder="1"/>
    <xf numFmtId="164" fontId="51" fillId="26" borderId="0" xfId="0" applyNumberFormat="1" applyFont="1" applyFill="1" applyBorder="1"/>
    <xf numFmtId="1" fontId="51" fillId="26" borderId="0" xfId="0" applyNumberFormat="1" applyFont="1" applyFill="1" applyBorder="1"/>
    <xf numFmtId="9" fontId="20" fillId="26" borderId="0" xfId="0" applyNumberFormat="1" applyFont="1" applyFill="1" applyBorder="1"/>
    <xf numFmtId="1" fontId="31" fillId="26" borderId="0" xfId="0" applyNumberFormat="1" applyFont="1" applyFill="1" applyBorder="1"/>
    <xf numFmtId="9" fontId="0" fillId="0" borderId="0" xfId="0" applyNumberFormat="1" applyFont="1"/>
    <xf numFmtId="1" fontId="2" fillId="0" borderId="36" xfId="0" applyNumberFormat="1" applyFont="1" applyBorder="1"/>
    <xf numFmtId="2" fontId="0" fillId="0" borderId="0" xfId="0" applyNumberFormat="1" applyFont="1"/>
    <xf numFmtId="0" fontId="52" fillId="0" borderId="0" xfId="0" applyNumberFormat="1" applyFont="1"/>
    <xf numFmtId="0" fontId="53" fillId="0" borderId="0" xfId="0" applyNumberFormat="1" applyFont="1"/>
    <xf numFmtId="0" fontId="52" fillId="0" borderId="0" xfId="0" applyNumberFormat="1" applyFont="1" applyBorder="1"/>
    <xf numFmtId="1" fontId="52" fillId="0" borderId="0" xfId="0" applyNumberFormat="1" applyFont="1" applyBorder="1"/>
    <xf numFmtId="9" fontId="52" fillId="0" borderId="0" xfId="1" applyNumberFormat="1" applyFont="1" applyBorder="1"/>
    <xf numFmtId="1" fontId="54" fillId="0" borderId="0" xfId="0" applyNumberFormat="1" applyFont="1" applyBorder="1"/>
    <xf numFmtId="0" fontId="52" fillId="0" borderId="0" xfId="0" applyFont="1"/>
    <xf numFmtId="1" fontId="55" fillId="0" borderId="0" xfId="0" applyNumberFormat="1" applyFont="1"/>
    <xf numFmtId="1" fontId="56" fillId="0" borderId="0" xfId="0" applyNumberFormat="1" applyFont="1" applyFill="1"/>
    <xf numFmtId="9" fontId="55" fillId="0" borderId="0" xfId="0" applyNumberFormat="1" applyFont="1"/>
    <xf numFmtId="1" fontId="57" fillId="0" borderId="0" xfId="0" applyNumberFormat="1" applyFont="1"/>
    <xf numFmtId="0" fontId="56" fillId="0" borderId="0" xfId="0" applyFont="1"/>
    <xf numFmtId="2" fontId="56" fillId="0" borderId="0" xfId="0" applyNumberFormat="1" applyFont="1"/>
    <xf numFmtId="1" fontId="56" fillId="0" borderId="0" xfId="0" applyNumberFormat="1" applyFont="1"/>
    <xf numFmtId="0" fontId="58" fillId="0" borderId="0" xfId="0" applyFont="1"/>
    <xf numFmtId="0" fontId="59" fillId="0" borderId="0" xfId="0" applyFont="1" applyFill="1"/>
    <xf numFmtId="1" fontId="58" fillId="0" borderId="0" xfId="0" applyNumberFormat="1" applyFont="1"/>
    <xf numFmtId="2" fontId="59" fillId="0" borderId="0" xfId="0" applyNumberFormat="1" applyFont="1" applyFill="1"/>
    <xf numFmtId="1" fontId="59" fillId="0" borderId="0" xfId="0" applyNumberFormat="1" applyFont="1" applyFill="1"/>
    <xf numFmtId="9" fontId="58" fillId="0" borderId="0" xfId="0" applyNumberFormat="1" applyFont="1"/>
    <xf numFmtId="165" fontId="58" fillId="0" borderId="0" xfId="0" applyNumberFormat="1" applyFont="1"/>
    <xf numFmtId="1" fontId="60" fillId="0" borderId="0" xfId="0" applyNumberFormat="1" applyFont="1" applyFill="1"/>
    <xf numFmtId="1" fontId="1" fillId="0" borderId="0" xfId="0" applyNumberFormat="1" applyFont="1" applyFill="1"/>
    <xf numFmtId="0" fontId="61" fillId="0" borderId="0" xfId="0" applyFont="1"/>
    <xf numFmtId="9" fontId="61" fillId="0" borderId="0" xfId="0" applyNumberFormat="1" applyFont="1"/>
    <xf numFmtId="1" fontId="61" fillId="0" borderId="0" xfId="0" applyNumberFormat="1" applyFont="1"/>
    <xf numFmtId="1" fontId="54" fillId="0" borderId="0" xfId="0" applyNumberFormat="1" applyFont="1"/>
    <xf numFmtId="2" fontId="58" fillId="0" borderId="0" xfId="0" applyNumberFormat="1" applyFont="1"/>
    <xf numFmtId="2" fontId="61" fillId="0" borderId="0" xfId="0" applyNumberFormat="1" applyFont="1"/>
    <xf numFmtId="0" fontId="9" fillId="0" borderId="0" xfId="0" applyFont="1" applyAlignment="1">
      <alignment horizontal="center"/>
    </xf>
    <xf numFmtId="0" fontId="12" fillId="0" borderId="0" xfId="0" applyFont="1"/>
    <xf numFmtId="0" fontId="26" fillId="0" borderId="0" xfId="0" applyFont="1"/>
    <xf numFmtId="0" fontId="0" fillId="0" borderId="3" xfId="0" applyFont="1" applyBorder="1" applyAlignment="1">
      <alignment horizontal="center"/>
    </xf>
    <xf numFmtId="9" fontId="17" fillId="0" borderId="0" xfId="0" applyNumberFormat="1" applyFont="1"/>
    <xf numFmtId="0" fontId="0" fillId="0" borderId="9" xfId="0" applyFont="1" applyBorder="1"/>
    <xf numFmtId="0" fontId="0" fillId="4" borderId="9" xfId="0" applyFont="1" applyFill="1" applyBorder="1"/>
    <xf numFmtId="9" fontId="0" fillId="0" borderId="30" xfId="1" applyFont="1" applyFill="1" applyBorder="1"/>
    <xf numFmtId="9" fontId="0" fillId="0" borderId="9" xfId="0" applyNumberFormat="1" applyFont="1" applyFill="1" applyBorder="1"/>
    <xf numFmtId="0" fontId="0" fillId="4" borderId="21" xfId="0" applyFont="1" applyFill="1" applyBorder="1"/>
    <xf numFmtId="9" fontId="0" fillId="0" borderId="30" xfId="0" applyNumberFormat="1" applyFont="1" applyFill="1" applyBorder="1"/>
    <xf numFmtId="164" fontId="0" fillId="3" borderId="50" xfId="0" applyNumberFormat="1" applyFont="1" applyFill="1" applyBorder="1"/>
    <xf numFmtId="1" fontId="10" fillId="0" borderId="0" xfId="0" applyNumberFormat="1" applyFont="1" applyFill="1" applyBorder="1"/>
    <xf numFmtId="0" fontId="3" fillId="0" borderId="0" xfId="0" applyFont="1" applyFill="1"/>
    <xf numFmtId="165" fontId="0" fillId="0" borderId="0" xfId="0" applyNumberFormat="1" applyFont="1"/>
    <xf numFmtId="2" fontId="3" fillId="0" borderId="0" xfId="0" applyNumberFormat="1" applyFont="1" applyFill="1"/>
    <xf numFmtId="1" fontId="3" fillId="0" borderId="0" xfId="0" applyNumberFormat="1" applyFont="1" applyFill="1"/>
    <xf numFmtId="1" fontId="1" fillId="0" borderId="0" xfId="0" applyNumberFormat="1" applyFont="1" applyFill="1" applyBorder="1"/>
    <xf numFmtId="1" fontId="1" fillId="0" borderId="0" xfId="0" applyNumberFormat="1" applyFont="1"/>
    <xf numFmtId="2" fontId="1" fillId="0" borderId="0" xfId="0" applyNumberFormat="1" applyFont="1" applyFill="1" applyBorder="1"/>
    <xf numFmtId="0" fontId="0" fillId="0" borderId="0" xfId="0" applyNumberFormat="1" applyFont="1"/>
    <xf numFmtId="0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1" fontId="3" fillId="0" borderId="36" xfId="0" applyNumberFormat="1" applyFont="1" applyFill="1" applyBorder="1"/>
    <xf numFmtId="1" fontId="0" fillId="0" borderId="0" xfId="0" applyNumberFormat="1" applyFont="1" applyFill="1" applyBorder="1"/>
    <xf numFmtId="0" fontId="1" fillId="0" borderId="0" xfId="0" applyFont="1" applyFill="1"/>
    <xf numFmtId="2" fontId="1" fillId="0" borderId="0" xfId="0" applyNumberFormat="1" applyFont="1" applyFill="1"/>
    <xf numFmtId="0" fontId="63" fillId="0" borderId="0" xfId="0" applyNumberFormat="1" applyFont="1"/>
    <xf numFmtId="0" fontId="64" fillId="0" borderId="0" xfId="0" applyNumberFormat="1" applyFont="1"/>
    <xf numFmtId="0" fontId="63" fillId="0" borderId="0" xfId="0" applyNumberFormat="1" applyFont="1" applyBorder="1"/>
    <xf numFmtId="1" fontId="63" fillId="0" borderId="0" xfId="0" applyNumberFormat="1" applyFont="1" applyBorder="1"/>
    <xf numFmtId="9" fontId="63" fillId="0" borderId="0" xfId="1" applyNumberFormat="1" applyFont="1" applyBorder="1"/>
    <xf numFmtId="1" fontId="65" fillId="0" borderId="0" xfId="0" applyNumberFormat="1" applyFont="1" applyBorder="1"/>
    <xf numFmtId="0" fontId="63" fillId="0" borderId="0" xfId="0" applyFont="1"/>
    <xf numFmtId="0" fontId="0" fillId="0" borderId="0" xfId="0" pivotButton="1"/>
    <xf numFmtId="0" fontId="0" fillId="0" borderId="0" xfId="0" applyAlignment="1"/>
    <xf numFmtId="164" fontId="0" fillId="3" borderId="30" xfId="0" applyNumberFormat="1" applyFont="1" applyFill="1" applyBorder="1" applyAlignment="1">
      <alignment horizontal="right"/>
    </xf>
    <xf numFmtId="164" fontId="0" fillId="3" borderId="50" xfId="0" applyNumberFormat="1" applyFont="1" applyFill="1" applyBorder="1" applyAlignment="1">
      <alignment horizontal="right"/>
    </xf>
    <xf numFmtId="164" fontId="0" fillId="3" borderId="30" xfId="0" applyNumberFormat="1" applyFont="1" applyFill="1" applyBorder="1"/>
    <xf numFmtId="166" fontId="0" fillId="3" borderId="40" xfId="0" applyNumberFormat="1" applyFont="1" applyFill="1" applyBorder="1"/>
    <xf numFmtId="0" fontId="8" fillId="0" borderId="39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48" xfId="0" applyFont="1" applyBorder="1"/>
    <xf numFmtId="9" fontId="4" fillId="0" borderId="24" xfId="1" applyFont="1" applyBorder="1" applyAlignment="1"/>
    <xf numFmtId="9" fontId="4" fillId="0" borderId="9" xfId="1" applyFont="1" applyBorder="1" applyAlignment="1"/>
    <xf numFmtId="9" fontId="4" fillId="0" borderId="16" xfId="1" applyFont="1" applyBorder="1" applyAlignment="1"/>
    <xf numFmtId="9" fontId="4" fillId="0" borderId="24" xfId="1" applyFont="1" applyBorder="1"/>
    <xf numFmtId="9" fontId="4" fillId="0" borderId="9" xfId="1" applyFont="1" applyBorder="1"/>
    <xf numFmtId="9" fontId="4" fillId="0" borderId="16" xfId="1" applyFont="1" applyBorder="1"/>
    <xf numFmtId="0" fontId="4" fillId="4" borderId="1" xfId="0" applyFont="1" applyFill="1" applyBorder="1" applyAlignment="1">
      <alignment horizontal="center"/>
    </xf>
    <xf numFmtId="0" fontId="4" fillId="4" borderId="48" xfId="0" applyFont="1" applyFill="1" applyBorder="1"/>
    <xf numFmtId="9" fontId="4" fillId="4" borderId="24" xfId="1" applyFont="1" applyFill="1" applyBorder="1"/>
    <xf numFmtId="9" fontId="4" fillId="4" borderId="9" xfId="1" applyFont="1" applyFill="1" applyBorder="1"/>
    <xf numFmtId="9" fontId="4" fillId="4" borderId="16" xfId="1" applyFont="1" applyFill="1" applyBorder="1"/>
    <xf numFmtId="0" fontId="29" fillId="4" borderId="18" xfId="0" applyFont="1" applyFill="1" applyBorder="1" applyAlignment="1">
      <alignment horizontal="center"/>
    </xf>
    <xf numFmtId="0" fontId="29" fillId="4" borderId="40" xfId="0" applyFont="1" applyFill="1" applyBorder="1"/>
    <xf numFmtId="9" fontId="29" fillId="4" borderId="25" xfId="1" applyFont="1" applyFill="1" applyBorder="1"/>
    <xf numFmtId="9" fontId="29" fillId="4" borderId="21" xfId="1" applyFont="1" applyFill="1" applyBorder="1"/>
    <xf numFmtId="9" fontId="29" fillId="4" borderId="22" xfId="1" applyFont="1" applyFill="1" applyBorder="1"/>
    <xf numFmtId="0" fontId="29" fillId="4" borderId="1" xfId="0" applyFont="1" applyFill="1" applyBorder="1" applyAlignment="1">
      <alignment horizontal="center"/>
    </xf>
    <xf numFmtId="0" fontId="29" fillId="4" borderId="48" xfId="0" applyFont="1" applyFill="1" applyBorder="1"/>
    <xf numFmtId="9" fontId="29" fillId="4" borderId="24" xfId="1" applyFont="1" applyFill="1" applyBorder="1"/>
    <xf numFmtId="9" fontId="29" fillId="4" borderId="9" xfId="1" applyFont="1" applyFill="1" applyBorder="1"/>
    <xf numFmtId="9" fontId="29" fillId="4" borderId="16" xfId="1" applyFont="1" applyFill="1" applyBorder="1"/>
    <xf numFmtId="0" fontId="29" fillId="0" borderId="1" xfId="0" quotePrefix="1" applyFont="1" applyBorder="1" applyAlignment="1">
      <alignment horizontal="center"/>
    </xf>
    <xf numFmtId="0" fontId="29" fillId="0" borderId="48" xfId="0" applyFont="1" applyBorder="1"/>
    <xf numFmtId="9" fontId="29" fillId="0" borderId="24" xfId="1" applyFont="1" applyBorder="1"/>
    <xf numFmtId="9" fontId="29" fillId="0" borderId="9" xfId="1" applyFont="1" applyBorder="1"/>
    <xf numFmtId="9" fontId="29" fillId="0" borderId="16" xfId="1" applyFont="1" applyBorder="1"/>
    <xf numFmtId="0" fontId="29" fillId="0" borderId="1" xfId="0" applyFont="1" applyBorder="1" applyAlignment="1">
      <alignment horizontal="center"/>
    </xf>
    <xf numFmtId="0" fontId="0" fillId="6" borderId="20" xfId="0" quotePrefix="1" applyFont="1" applyFill="1" applyBorder="1" applyAlignment="1">
      <alignment horizontal="center"/>
    </xf>
    <xf numFmtId="1" fontId="0" fillId="6" borderId="21" xfId="1" applyNumberFormat="1" applyFont="1" applyFill="1" applyBorder="1" applyAlignment="1">
      <alignment horizontal="right"/>
    </xf>
    <xf numFmtId="1" fontId="0" fillId="6" borderId="40" xfId="1" applyNumberFormat="1" applyFont="1" applyFill="1" applyBorder="1" applyAlignment="1">
      <alignment horizontal="right"/>
    </xf>
    <xf numFmtId="9" fontId="0" fillId="6" borderId="25" xfId="1" applyFont="1" applyFill="1" applyBorder="1" applyAlignment="1">
      <alignment horizontal="right"/>
    </xf>
    <xf numFmtId="9" fontId="0" fillId="6" borderId="21" xfId="1" applyFont="1" applyFill="1" applyBorder="1" applyAlignment="1">
      <alignment horizontal="right"/>
    </xf>
    <xf numFmtId="9" fontId="0" fillId="6" borderId="21" xfId="1" quotePrefix="1" applyFont="1" applyFill="1" applyBorder="1" applyAlignment="1">
      <alignment horizontal="center"/>
    </xf>
    <xf numFmtId="9" fontId="0" fillId="6" borderId="22" xfId="1" applyFont="1" applyFill="1" applyBorder="1" applyAlignment="1">
      <alignment horizontal="right"/>
    </xf>
    <xf numFmtId="0" fontId="0" fillId="7" borderId="19" xfId="0" quotePrefix="1" applyFont="1" applyFill="1" applyBorder="1" applyAlignment="1">
      <alignment horizontal="center"/>
    </xf>
    <xf numFmtId="1" fontId="0" fillId="7" borderId="9" xfId="0" applyNumberFormat="1" applyFont="1" applyFill="1" applyBorder="1" applyAlignment="1">
      <alignment horizontal="right"/>
    </xf>
    <xf numFmtId="1" fontId="0" fillId="7" borderId="48" xfId="0" applyNumberFormat="1" applyFont="1" applyFill="1" applyBorder="1" applyAlignment="1">
      <alignment horizontal="right"/>
    </xf>
    <xf numFmtId="9" fontId="0" fillId="7" borderId="24" xfId="1" applyFont="1" applyFill="1" applyBorder="1" applyAlignment="1">
      <alignment horizontal="right"/>
    </xf>
    <xf numFmtId="9" fontId="0" fillId="7" borderId="9" xfId="1" applyFont="1" applyFill="1" applyBorder="1" applyAlignment="1">
      <alignment horizontal="right"/>
    </xf>
    <xf numFmtId="9" fontId="0" fillId="7" borderId="9" xfId="1" quotePrefix="1" applyFont="1" applyFill="1" applyBorder="1" applyAlignment="1">
      <alignment horizontal="center"/>
    </xf>
    <xf numFmtId="9" fontId="0" fillId="7" borderId="16" xfId="1" applyFont="1" applyFill="1" applyBorder="1" applyAlignment="1">
      <alignment horizontal="right"/>
    </xf>
    <xf numFmtId="0" fontId="0" fillId="6" borderId="19" xfId="0" quotePrefix="1" applyFont="1" applyFill="1" applyBorder="1" applyAlignment="1">
      <alignment horizontal="center"/>
    </xf>
    <xf numFmtId="1" fontId="0" fillId="6" borderId="9" xfId="0" applyNumberFormat="1" applyFont="1" applyFill="1" applyBorder="1" applyAlignment="1">
      <alignment horizontal="right"/>
    </xf>
    <xf numFmtId="1" fontId="0" fillId="6" borderId="48" xfId="0" applyNumberFormat="1" applyFont="1" applyFill="1" applyBorder="1" applyAlignment="1">
      <alignment horizontal="right"/>
    </xf>
    <xf numFmtId="9" fontId="0" fillId="6" borderId="24" xfId="1" applyFont="1" applyFill="1" applyBorder="1" applyAlignment="1">
      <alignment horizontal="right"/>
    </xf>
    <xf numFmtId="9" fontId="0" fillId="6" borderId="9" xfId="1" applyFont="1" applyFill="1" applyBorder="1" applyAlignment="1">
      <alignment horizontal="right"/>
    </xf>
    <xf numFmtId="9" fontId="0" fillId="6" borderId="9" xfId="1" quotePrefix="1" applyFont="1" applyFill="1" applyBorder="1" applyAlignment="1">
      <alignment horizontal="center"/>
    </xf>
    <xf numFmtId="9" fontId="0" fillId="6" borderId="16" xfId="1" applyFont="1" applyFill="1" applyBorder="1" applyAlignment="1">
      <alignment horizontal="right"/>
    </xf>
    <xf numFmtId="0" fontId="0" fillId="0" borderId="37" xfId="0" quotePrefix="1" applyFont="1" applyFill="1" applyBorder="1" applyAlignment="1">
      <alignment horizontal="center"/>
    </xf>
    <xf numFmtId="0" fontId="4" fillId="0" borderId="20" xfId="0" quotePrefix="1" applyFont="1" applyFill="1" applyBorder="1" applyAlignment="1">
      <alignment horizontal="center"/>
    </xf>
    <xf numFmtId="1" fontId="4" fillId="0" borderId="21" xfId="0" applyNumberFormat="1" applyFont="1" applyFill="1" applyBorder="1" applyAlignment="1">
      <alignment horizontal="right"/>
    </xf>
    <xf numFmtId="1" fontId="4" fillId="0" borderId="40" xfId="0" applyNumberFormat="1" applyFont="1" applyFill="1" applyBorder="1" applyAlignment="1">
      <alignment horizontal="right"/>
    </xf>
    <xf numFmtId="9" fontId="4" fillId="0" borderId="25" xfId="1" applyFont="1" applyFill="1" applyBorder="1" applyAlignment="1">
      <alignment horizontal="right"/>
    </xf>
    <xf numFmtId="9" fontId="4" fillId="0" borderId="21" xfId="1" applyFont="1" applyFill="1" applyBorder="1" applyAlignment="1">
      <alignment horizontal="right"/>
    </xf>
    <xf numFmtId="9" fontId="4" fillId="0" borderId="21" xfId="1" quotePrefix="1" applyFont="1" applyFill="1" applyBorder="1" applyAlignment="1">
      <alignment horizontal="center"/>
    </xf>
    <xf numFmtId="9" fontId="4" fillId="0" borderId="22" xfId="1" applyFont="1" applyFill="1" applyBorder="1" applyAlignment="1">
      <alignment horizontal="right"/>
    </xf>
    <xf numFmtId="0" fontId="27" fillId="0" borderId="38" xfId="0" quotePrefix="1" applyFont="1" applyFill="1" applyBorder="1" applyAlignment="1">
      <alignment horizontal="center"/>
    </xf>
    <xf numFmtId="1" fontId="27" fillId="0" borderId="10" xfId="0" applyNumberFormat="1" applyFont="1" applyFill="1" applyBorder="1" applyAlignment="1">
      <alignment horizontal="right"/>
    </xf>
    <xf numFmtId="1" fontId="27" fillId="0" borderId="41" xfId="0" applyNumberFormat="1" applyFont="1" applyFill="1" applyBorder="1" applyAlignment="1">
      <alignment horizontal="right"/>
    </xf>
    <xf numFmtId="9" fontId="27" fillId="0" borderId="26" xfId="1" applyFont="1" applyFill="1" applyBorder="1" applyAlignment="1">
      <alignment horizontal="right"/>
    </xf>
    <xf numFmtId="9" fontId="27" fillId="0" borderId="10" xfId="1" applyFont="1" applyFill="1" applyBorder="1" applyAlignment="1">
      <alignment horizontal="right"/>
    </xf>
    <xf numFmtId="9" fontId="27" fillId="0" borderId="10" xfId="1" quotePrefix="1" applyFont="1" applyFill="1" applyBorder="1" applyAlignment="1">
      <alignment horizontal="center"/>
    </xf>
    <xf numFmtId="9" fontId="27" fillId="0" borderId="17" xfId="1" applyFont="1" applyFill="1" applyBorder="1" applyAlignment="1">
      <alignment horizontal="right"/>
    </xf>
    <xf numFmtId="0" fontId="0" fillId="3" borderId="37" xfId="0" quotePrefix="1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right"/>
    </xf>
    <xf numFmtId="1" fontId="0" fillId="3" borderId="42" xfId="0" applyNumberFormat="1" applyFont="1" applyFill="1" applyBorder="1" applyAlignment="1">
      <alignment horizontal="right"/>
    </xf>
    <xf numFmtId="9" fontId="0" fillId="3" borderId="23" xfId="1" applyFont="1" applyFill="1" applyBorder="1" applyAlignment="1">
      <alignment horizontal="right"/>
    </xf>
    <xf numFmtId="9" fontId="0" fillId="3" borderId="2" xfId="1" applyFont="1" applyFill="1" applyBorder="1" applyAlignment="1">
      <alignment horizontal="right"/>
    </xf>
    <xf numFmtId="9" fontId="0" fillId="3" borderId="2" xfId="1" quotePrefix="1" applyFont="1" applyFill="1" applyBorder="1" applyAlignment="1">
      <alignment horizontal="center"/>
    </xf>
    <xf numFmtId="9" fontId="0" fillId="3" borderId="15" xfId="1" applyFont="1" applyFill="1" applyBorder="1" applyAlignment="1">
      <alignment horizontal="right"/>
    </xf>
    <xf numFmtId="0" fontId="8" fillId="0" borderId="14" xfId="0" quotePrefix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9" fontId="0" fillId="0" borderId="48" xfId="0" applyNumberFormat="1" applyFont="1" applyFill="1" applyBorder="1"/>
    <xf numFmtId="9" fontId="4" fillId="0" borderId="0" xfId="0" applyNumberFormat="1" applyFont="1" applyFill="1" applyBorder="1" applyAlignment="1"/>
    <xf numFmtId="0" fontId="29" fillId="0" borderId="1" xfId="0" applyFont="1" applyFill="1" applyBorder="1" applyAlignment="1">
      <alignment horizontal="center"/>
    </xf>
    <xf numFmtId="9" fontId="29" fillId="0" borderId="0" xfId="0" applyNumberFormat="1" applyFont="1" applyFill="1" applyBorder="1" applyAlignment="1"/>
    <xf numFmtId="0" fontId="0" fillId="0" borderId="49" xfId="0" applyFont="1" applyBorder="1" applyAlignment="1">
      <alignment horizontal="center"/>
    </xf>
    <xf numFmtId="9" fontId="0" fillId="0" borderId="50" xfId="0" applyNumberFormat="1" applyFont="1" applyFill="1" applyBorder="1"/>
    <xf numFmtId="9" fontId="0" fillId="0" borderId="0" xfId="1" applyFont="1" applyFill="1" applyBorder="1" applyAlignment="1"/>
    <xf numFmtId="9" fontId="0" fillId="0" borderId="0" xfId="0" applyNumberFormat="1" applyFont="1" applyFill="1" applyBorder="1" applyAlignment="1"/>
    <xf numFmtId="0" fontId="0" fillId="3" borderId="44" xfId="0" applyFont="1" applyFill="1" applyBorder="1" applyAlignment="1">
      <alignment horizontal="center"/>
    </xf>
    <xf numFmtId="0" fontId="0" fillId="0" borderId="0" xfId="0" applyFont="1" applyBorder="1" applyAlignment="1"/>
    <xf numFmtId="0" fontId="0" fillId="3" borderId="53" xfId="0" applyFont="1" applyFill="1" applyBorder="1" applyAlignment="1">
      <alignment horizontal="center"/>
    </xf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0" fillId="0" borderId="5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1" xfId="0" applyFont="1" applyBorder="1" applyAlignment="1">
      <alignment horizontal="center"/>
    </xf>
    <xf numFmtId="0" fontId="0" fillId="0" borderId="60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3" fillId="0" borderId="48" xfId="0" applyFont="1" applyBorder="1" applyAlignment="1">
      <alignment horizontal="right"/>
    </xf>
    <xf numFmtId="9" fontId="4" fillId="0" borderId="61" xfId="1" applyFont="1" applyBorder="1" applyAlignment="1">
      <alignment horizontal="right"/>
    </xf>
    <xf numFmtId="9" fontId="4" fillId="0" borderId="9" xfId="1" applyFont="1" applyBorder="1" applyAlignment="1">
      <alignment horizontal="right"/>
    </xf>
    <xf numFmtId="9" fontId="4" fillId="0" borderId="4" xfId="1" applyFont="1" applyBorder="1" applyAlignment="1">
      <alignment horizontal="right"/>
    </xf>
    <xf numFmtId="9" fontId="4" fillId="0" borderId="21" xfId="1" applyFont="1" applyBorder="1" applyAlignment="1">
      <alignment horizontal="right"/>
    </xf>
    <xf numFmtId="9" fontId="33" fillId="0" borderId="9" xfId="1" applyFont="1" applyBorder="1" applyAlignment="1">
      <alignment horizontal="right"/>
    </xf>
    <xf numFmtId="0" fontId="4" fillId="0" borderId="48" xfId="0" applyFont="1" applyBorder="1" applyAlignment="1">
      <alignment horizontal="right"/>
    </xf>
    <xf numFmtId="0" fontId="4" fillId="6" borderId="4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right"/>
    </xf>
    <xf numFmtId="9" fontId="4" fillId="6" borderId="61" xfId="1" applyFont="1" applyFill="1" applyBorder="1" applyAlignment="1">
      <alignment horizontal="right"/>
    </xf>
    <xf numFmtId="9" fontId="4" fillId="6" borderId="9" xfId="1" applyFont="1" applyFill="1" applyBorder="1" applyAlignment="1">
      <alignment horizontal="right"/>
    </xf>
    <xf numFmtId="9" fontId="4" fillId="6" borderId="4" xfId="1" applyFont="1" applyFill="1" applyBorder="1" applyAlignment="1">
      <alignment horizontal="right"/>
    </xf>
    <xf numFmtId="0" fontId="29" fillId="6" borderId="3" xfId="0" applyFont="1" applyFill="1" applyBorder="1" applyAlignment="1">
      <alignment horizontal="center"/>
    </xf>
    <xf numFmtId="0" fontId="29" fillId="6" borderId="40" xfId="0" applyFont="1" applyFill="1" applyBorder="1" applyAlignment="1">
      <alignment horizontal="right"/>
    </xf>
    <xf numFmtId="9" fontId="29" fillId="6" borderId="59" xfId="1" applyFont="1" applyFill="1" applyBorder="1" applyAlignment="1">
      <alignment horizontal="right"/>
    </xf>
    <xf numFmtId="9" fontId="29" fillId="6" borderId="21" xfId="1" applyFont="1" applyFill="1" applyBorder="1" applyAlignment="1">
      <alignment horizontal="right"/>
    </xf>
    <xf numFmtId="9" fontId="29" fillId="6" borderId="3" xfId="1" applyFont="1" applyFill="1" applyBorder="1" applyAlignment="1">
      <alignment horizontal="right"/>
    </xf>
    <xf numFmtId="0" fontId="29" fillId="6" borderId="4" xfId="0" applyFont="1" applyFill="1" applyBorder="1" applyAlignment="1">
      <alignment horizontal="center"/>
    </xf>
    <xf numFmtId="0" fontId="29" fillId="6" borderId="48" xfId="0" applyFont="1" applyFill="1" applyBorder="1" applyAlignment="1">
      <alignment horizontal="right"/>
    </xf>
    <xf numFmtId="9" fontId="29" fillId="6" borderId="61" xfId="1" applyFont="1" applyFill="1" applyBorder="1" applyAlignment="1">
      <alignment horizontal="right"/>
    </xf>
    <xf numFmtId="9" fontId="29" fillId="6" borderId="9" xfId="1" applyFont="1" applyFill="1" applyBorder="1" applyAlignment="1">
      <alignment horizontal="right"/>
    </xf>
    <xf numFmtId="9" fontId="29" fillId="6" borderId="4" xfId="1" applyFont="1" applyFill="1" applyBorder="1" applyAlignment="1">
      <alignment horizontal="right"/>
    </xf>
    <xf numFmtId="0" fontId="29" fillId="0" borderId="4" xfId="0" applyFont="1" applyBorder="1" applyAlignment="1">
      <alignment horizontal="center"/>
    </xf>
    <xf numFmtId="0" fontId="29" fillId="0" borderId="48" xfId="0" applyFont="1" applyBorder="1" applyAlignment="1">
      <alignment horizontal="right"/>
    </xf>
    <xf numFmtId="9" fontId="29" fillId="0" borderId="61" xfId="1" applyFont="1" applyBorder="1" applyAlignment="1">
      <alignment horizontal="right"/>
    </xf>
    <xf numFmtId="9" fontId="29" fillId="0" borderId="9" xfId="1" applyFont="1" applyBorder="1" applyAlignment="1">
      <alignment horizontal="right"/>
    </xf>
    <xf numFmtId="9" fontId="29" fillId="0" borderId="4" xfId="1" applyFont="1" applyBorder="1" applyAlignment="1">
      <alignment horizontal="right"/>
    </xf>
    <xf numFmtId="9" fontId="29" fillId="0" borderId="10" xfId="1" applyFont="1" applyBorder="1" applyAlignment="1">
      <alignment horizontal="right"/>
    </xf>
    <xf numFmtId="0" fontId="0" fillId="6" borderId="21" xfId="0" quotePrefix="1" applyFont="1" applyFill="1" applyBorder="1" applyAlignment="1">
      <alignment horizontal="center"/>
    </xf>
    <xf numFmtId="9" fontId="0" fillId="6" borderId="59" xfId="1" applyFont="1" applyFill="1" applyBorder="1" applyAlignment="1">
      <alignment horizontal="right"/>
    </xf>
    <xf numFmtId="0" fontId="0" fillId="7" borderId="9" xfId="0" quotePrefix="1" applyFont="1" applyFill="1" applyBorder="1" applyAlignment="1">
      <alignment horizontal="center"/>
    </xf>
    <xf numFmtId="9" fontId="0" fillId="7" borderId="61" xfId="0" applyNumberFormat="1" applyFont="1" applyFill="1" applyBorder="1" applyAlignment="1">
      <alignment horizontal="right"/>
    </xf>
    <xf numFmtId="9" fontId="0" fillId="7" borderId="9" xfId="0" applyNumberFormat="1" applyFont="1" applyFill="1" applyBorder="1" applyAlignment="1">
      <alignment horizontal="right"/>
    </xf>
    <xf numFmtId="0" fontId="0" fillId="6" borderId="9" xfId="0" quotePrefix="1" applyFont="1" applyFill="1" applyBorder="1" applyAlignment="1">
      <alignment horizontal="center"/>
    </xf>
    <xf numFmtId="9" fontId="0" fillId="6" borderId="61" xfId="0" applyNumberFormat="1" applyFont="1" applyFill="1" applyBorder="1" applyAlignment="1">
      <alignment horizontal="right"/>
    </xf>
    <xf numFmtId="9" fontId="0" fillId="6" borderId="9" xfId="0" applyNumberFormat="1" applyFont="1" applyFill="1" applyBorder="1" applyAlignment="1">
      <alignment horizontal="right"/>
    </xf>
    <xf numFmtId="0" fontId="0" fillId="0" borderId="6" xfId="0" quotePrefix="1" applyFont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9" fontId="4" fillId="0" borderId="59" xfId="0" applyNumberFormat="1" applyFont="1" applyBorder="1" applyAlignment="1"/>
    <xf numFmtId="9" fontId="4" fillId="0" borderId="21" xfId="1" applyFont="1" applyBorder="1" applyAlignment="1"/>
    <xf numFmtId="0" fontId="29" fillId="0" borderId="10" xfId="0" applyFont="1" applyFill="1" applyBorder="1" applyAlignment="1">
      <alignment horizontal="center"/>
    </xf>
    <xf numFmtId="9" fontId="29" fillId="0" borderId="60" xfId="0" applyNumberFormat="1" applyFont="1" applyBorder="1" applyAlignment="1"/>
    <xf numFmtId="9" fontId="29" fillId="0" borderId="10" xfId="1" applyFont="1" applyBorder="1" applyAlignment="1"/>
    <xf numFmtId="0" fontId="0" fillId="3" borderId="4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4" xfId="0" applyFont="1" applyFill="1" applyBorder="1" applyAlignment="1">
      <alignment horizontal="right"/>
    </xf>
    <xf numFmtId="0" fontId="0" fillId="3" borderId="48" xfId="0" applyFont="1" applyFill="1" applyBorder="1" applyAlignment="1">
      <alignment horizontal="right"/>
    </xf>
    <xf numFmtId="9" fontId="0" fillId="3" borderId="8" xfId="1" applyFont="1" applyFill="1" applyBorder="1" applyAlignment="1">
      <alignment horizontal="right"/>
    </xf>
    <xf numFmtId="9" fontId="0" fillId="3" borderId="6" xfId="1" applyFont="1" applyFill="1" applyBorder="1" applyAlignment="1">
      <alignment horizontal="right"/>
    </xf>
    <xf numFmtId="0" fontId="4" fillId="0" borderId="9" xfId="0" applyFont="1" applyFill="1" applyBorder="1" applyAlignment="1">
      <alignment horizontal="center"/>
    </xf>
    <xf numFmtId="0" fontId="29" fillId="0" borderId="9" xfId="0" applyFont="1" applyFill="1" applyBorder="1" applyAlignment="1">
      <alignment horizontal="center"/>
    </xf>
    <xf numFmtId="9" fontId="0" fillId="0" borderId="28" xfId="1" applyFont="1" applyBorder="1" applyAlignment="1">
      <alignment horizontal="center"/>
    </xf>
    <xf numFmtId="0" fontId="0" fillId="3" borderId="25" xfId="0" applyFont="1" applyFill="1" applyBorder="1"/>
    <xf numFmtId="0" fontId="0" fillId="3" borderId="53" xfId="0" applyFont="1" applyFill="1" applyBorder="1"/>
    <xf numFmtId="1" fontId="0" fillId="6" borderId="3" xfId="1" applyNumberFormat="1" applyFont="1" applyFill="1" applyBorder="1" applyAlignment="1">
      <alignment horizontal="right"/>
    </xf>
    <xf numFmtId="9" fontId="0" fillId="6" borderId="3" xfId="1" applyFont="1" applyFill="1" applyBorder="1" applyAlignment="1">
      <alignment horizontal="right"/>
    </xf>
    <xf numFmtId="1" fontId="0" fillId="7" borderId="4" xfId="0" applyNumberFormat="1" applyFont="1" applyFill="1" applyBorder="1" applyAlignment="1">
      <alignment horizontal="right"/>
    </xf>
    <xf numFmtId="9" fontId="0" fillId="7" borderId="4" xfId="0" applyNumberFormat="1" applyFont="1" applyFill="1" applyBorder="1" applyAlignment="1">
      <alignment horizontal="right"/>
    </xf>
    <xf numFmtId="1" fontId="0" fillId="6" borderId="4" xfId="0" applyNumberFormat="1" applyFont="1" applyFill="1" applyBorder="1" applyAlignment="1">
      <alignment horizontal="right"/>
    </xf>
    <xf numFmtId="9" fontId="0" fillId="6" borderId="4" xfId="0" applyNumberFormat="1" applyFont="1" applyFill="1" applyBorder="1" applyAlignment="1">
      <alignment horizontal="right"/>
    </xf>
    <xf numFmtId="9" fontId="0" fillId="6" borderId="10" xfId="0" applyNumberFormat="1" applyFont="1" applyFill="1" applyBorder="1" applyAlignment="1">
      <alignment horizontal="right"/>
    </xf>
    <xf numFmtId="9" fontId="0" fillId="3" borderId="60" xfId="1" applyFont="1" applyFill="1" applyBorder="1" applyAlignment="1">
      <alignment horizontal="right"/>
    </xf>
    <xf numFmtId="9" fontId="0" fillId="3" borderId="10" xfId="1" applyFont="1" applyFill="1" applyBorder="1" applyAlignment="1">
      <alignment horizontal="right"/>
    </xf>
    <xf numFmtId="9" fontId="0" fillId="3" borderId="5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center"/>
    </xf>
    <xf numFmtId="0" fontId="8" fillId="0" borderId="54" xfId="0" applyFont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9" fontId="8" fillId="0" borderId="43" xfId="1" quotePrefix="1" applyFont="1" applyFill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51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4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64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/>
    <cellStyle name="20% - Accent1 10 10" xfId="3"/>
    <cellStyle name="20% - Accent1 10 10 2" xfId="4"/>
    <cellStyle name="20% - Accent1 10 11" xfId="5"/>
    <cellStyle name="20% - Accent1 10 2" xfId="6"/>
    <cellStyle name="20% - Accent1 10 2 10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2 2 2" xfId="28"/>
    <cellStyle name="20% - Accent1 10 2 3 2 2 3" xfId="29"/>
    <cellStyle name="20% - Accent1 10 2 3 2 3" xfId="30"/>
    <cellStyle name="20% - Accent1 10 2 3 2 3 2" xfId="31"/>
    <cellStyle name="20% - Accent1 10 2 3 2 4" xfId="32"/>
    <cellStyle name="20% - Accent1 10 2 3 3" xfId="33"/>
    <cellStyle name="20% - Accent1 10 2 3 3 2" xfId="34"/>
    <cellStyle name="20% - Accent1 10 2 3 3 2 2" xfId="35"/>
    <cellStyle name="20% - Accent1 10 2 3 3 3" xfId="36"/>
    <cellStyle name="20% - Accent1 10 2 3 4" xfId="37"/>
    <cellStyle name="20% - Accent1 10 2 3 4 2" xfId="38"/>
    <cellStyle name="20% - Accent1 10 2 3 5" xfId="39"/>
    <cellStyle name="20% - Accent1 10 2 4" xfId="40"/>
    <cellStyle name="20% - Accent1 10 2 4 2" xfId="41"/>
    <cellStyle name="20% - Accent1 10 2 4 2 2" xfId="42"/>
    <cellStyle name="20% - Accent1 10 2 4 2 2 2" xfId="43"/>
    <cellStyle name="20% - Accent1 10 2 4 2 2 2 2" xfId="44"/>
    <cellStyle name="20% - Accent1 10 2 4 2 2 3" xfId="45"/>
    <cellStyle name="20% - Accent1 10 2 4 2 3" xfId="46"/>
    <cellStyle name="20% - Accent1 10 2 4 2 3 2" xfId="47"/>
    <cellStyle name="20% - Accent1 10 2 4 2 4" xfId="48"/>
    <cellStyle name="20% - Accent1 10 2 4 3" xfId="49"/>
    <cellStyle name="20% - Accent1 10 2 4 3 2" xfId="50"/>
    <cellStyle name="20% - Accent1 10 2 4 3 2 2" xfId="51"/>
    <cellStyle name="20% - Accent1 10 2 4 3 3" xfId="52"/>
    <cellStyle name="20% - Accent1 10 2 4 4" xfId="53"/>
    <cellStyle name="20% - Accent1 10 2 4 4 2" xfId="54"/>
    <cellStyle name="20% - Accent1 10 2 4 5" xfId="55"/>
    <cellStyle name="20% - Accent1 10 2 5" xfId="56"/>
    <cellStyle name="20% - Accent1 10 2 5 2" xfId="57"/>
    <cellStyle name="20% - Accent1 10 2 5 2 2" xfId="58"/>
    <cellStyle name="20% - Accent1 10 2 5 2 2 2" xfId="59"/>
    <cellStyle name="20% - Accent1 10 2 5 2 2 2 2" xfId="60"/>
    <cellStyle name="20% - Accent1 10 2 5 2 2 3" xfId="61"/>
    <cellStyle name="20% - Accent1 10 2 5 2 3" xfId="62"/>
    <cellStyle name="20% - Accent1 10 2 5 2 3 2" xfId="63"/>
    <cellStyle name="20% - Accent1 10 2 5 2 4" xfId="64"/>
    <cellStyle name="20% - Accent1 10 2 5 3" xfId="65"/>
    <cellStyle name="20% - Accent1 10 2 5 3 2" xfId="66"/>
    <cellStyle name="20% - Accent1 10 2 5 3 2 2" xfId="67"/>
    <cellStyle name="20% - Accent1 10 2 5 3 3" xfId="68"/>
    <cellStyle name="20% - Accent1 10 2 5 4" xfId="69"/>
    <cellStyle name="20% - Accent1 10 2 5 4 2" xfId="70"/>
    <cellStyle name="20% - Accent1 10 2 5 5" xfId="71"/>
    <cellStyle name="20% - Accent1 10 2 6" xfId="72"/>
    <cellStyle name="20% - Accent1 10 2 6 2" xfId="73"/>
    <cellStyle name="20% - Accent1 10 2 6 2 2" xfId="74"/>
    <cellStyle name="20% - Accent1 10 2 6 2 2 2" xfId="75"/>
    <cellStyle name="20% - Accent1 10 2 6 2 2 2 2" xfId="76"/>
    <cellStyle name="20% - Accent1 10 2 6 2 2 3" xfId="77"/>
    <cellStyle name="20% - Accent1 10 2 6 2 3" xfId="78"/>
    <cellStyle name="20% - Accent1 10 2 6 2 3 2" xfId="79"/>
    <cellStyle name="20% - Accent1 10 2 6 2 4" xfId="80"/>
    <cellStyle name="20% - Accent1 10 2 6 3" xfId="81"/>
    <cellStyle name="20% - Accent1 10 2 6 3 2" xfId="82"/>
    <cellStyle name="20% - Accent1 10 2 6 3 2 2" xfId="83"/>
    <cellStyle name="20% - Accent1 10 2 6 3 3" xfId="84"/>
    <cellStyle name="20% - Accent1 10 2 6 4" xfId="85"/>
    <cellStyle name="20% - Accent1 10 2 6 4 2" xfId="86"/>
    <cellStyle name="20% - Accent1 10 2 6 5" xfId="87"/>
    <cellStyle name="20% - Accent1 10 2 7" xfId="88"/>
    <cellStyle name="20% - Accent1 10 2 7 2" xfId="89"/>
    <cellStyle name="20% - Accent1 10 2 7 2 2" xfId="90"/>
    <cellStyle name="20% - Accent1 10 2 7 2 2 2" xfId="91"/>
    <cellStyle name="20% - Accent1 10 2 7 2 3" xfId="92"/>
    <cellStyle name="20% - Accent1 10 2 7 3" xfId="93"/>
    <cellStyle name="20% - Accent1 10 2 7 3 2" xfId="94"/>
    <cellStyle name="20% - Accent1 10 2 7 4" xfId="95"/>
    <cellStyle name="20% - Accent1 10 2 8" xfId="96"/>
    <cellStyle name="20% - Accent1 10 2 8 2" xfId="97"/>
    <cellStyle name="20% - Accent1 10 2 8 2 2" xfId="98"/>
    <cellStyle name="20% - Accent1 10 2 8 3" xfId="99"/>
    <cellStyle name="20% - Accent1 10 2 9" xfId="100"/>
    <cellStyle name="20% - Accent1 10 2 9 2" xfId="101"/>
    <cellStyle name="20% - Accent1 10 3" xfId="102"/>
    <cellStyle name="20% - Accent1 10 3 2" xfId="103"/>
    <cellStyle name="20% - Accent1 10 3 2 2" xfId="104"/>
    <cellStyle name="20% - Accent1 10 3 2 2 2" xfId="105"/>
    <cellStyle name="20% - Accent1 10 3 2 2 2 2" xfId="106"/>
    <cellStyle name="20% - Accent1 10 3 2 2 3" xfId="107"/>
    <cellStyle name="20% - Accent1 10 3 2 3" xfId="108"/>
    <cellStyle name="20% - Accent1 10 3 2 3 2" xfId="109"/>
    <cellStyle name="20% - Accent1 10 3 2 4" xfId="110"/>
    <cellStyle name="20% - Accent1 10 3 3" xfId="111"/>
    <cellStyle name="20% - Accent1 10 3 3 2" xfId="112"/>
    <cellStyle name="20% - Accent1 10 3 3 2 2" xfId="113"/>
    <cellStyle name="20% - Accent1 10 3 3 3" xfId="114"/>
    <cellStyle name="20% - Accent1 10 3 4" xfId="115"/>
    <cellStyle name="20% - Accent1 10 3 4 2" xfId="116"/>
    <cellStyle name="20% - Accent1 10 3 5" xfId="117"/>
    <cellStyle name="20% - Accent1 10 4" xfId="118"/>
    <cellStyle name="20% - Accent1 10 4 2" xfId="119"/>
    <cellStyle name="20% - Accent1 10 4 2 2" xfId="120"/>
    <cellStyle name="20% - Accent1 10 4 2 2 2" xfId="121"/>
    <cellStyle name="20% - Accent1 10 4 2 2 2 2" xfId="122"/>
    <cellStyle name="20% - Accent1 10 4 2 2 3" xfId="123"/>
    <cellStyle name="20% - Accent1 10 4 2 3" xfId="124"/>
    <cellStyle name="20% - Accent1 10 4 2 3 2" xfId="125"/>
    <cellStyle name="20% - Accent1 10 4 2 4" xfId="126"/>
    <cellStyle name="20% - Accent1 10 4 3" xfId="127"/>
    <cellStyle name="20% - Accent1 10 4 3 2" xfId="128"/>
    <cellStyle name="20% - Accent1 10 4 3 2 2" xfId="129"/>
    <cellStyle name="20% - Accent1 10 4 3 3" xfId="130"/>
    <cellStyle name="20% - Accent1 10 4 4" xfId="131"/>
    <cellStyle name="20% - Accent1 10 4 4 2" xfId="132"/>
    <cellStyle name="20% - Accent1 10 4 5" xfId="133"/>
    <cellStyle name="20% - Accent1 10 5" xfId="134"/>
    <cellStyle name="20% - Accent1 10 5 2" xfId="135"/>
    <cellStyle name="20% - Accent1 10 5 2 2" xfId="136"/>
    <cellStyle name="20% - Accent1 10 5 2 2 2" xfId="137"/>
    <cellStyle name="20% - Accent1 10 5 2 2 2 2" xfId="138"/>
    <cellStyle name="20% - Accent1 10 5 2 2 3" xfId="139"/>
    <cellStyle name="20% - Accent1 10 5 2 3" xfId="140"/>
    <cellStyle name="20% - Accent1 10 5 2 3 2" xfId="141"/>
    <cellStyle name="20% - Accent1 10 5 2 4" xfId="142"/>
    <cellStyle name="20% - Accent1 10 5 3" xfId="143"/>
    <cellStyle name="20% - Accent1 10 5 3 2" xfId="144"/>
    <cellStyle name="20% - Accent1 10 5 3 2 2" xfId="145"/>
    <cellStyle name="20% - Accent1 10 5 3 3" xfId="146"/>
    <cellStyle name="20% - Accent1 10 5 4" xfId="147"/>
    <cellStyle name="20% - Accent1 10 5 4 2" xfId="148"/>
    <cellStyle name="20% - Accent1 10 5 5" xfId="149"/>
    <cellStyle name="20% - Accent1 10 6" xfId="150"/>
    <cellStyle name="20% - Accent1 10 6 2" xfId="151"/>
    <cellStyle name="20% - Accent1 10 6 2 2" xfId="152"/>
    <cellStyle name="20% - Accent1 10 6 2 2 2" xfId="153"/>
    <cellStyle name="20% - Accent1 10 6 2 2 2 2" xfId="154"/>
    <cellStyle name="20% - Accent1 10 6 2 2 3" xfId="155"/>
    <cellStyle name="20% - Accent1 10 6 2 3" xfId="156"/>
    <cellStyle name="20% - Accent1 10 6 2 3 2" xfId="157"/>
    <cellStyle name="20% - Accent1 10 6 2 4" xfId="158"/>
    <cellStyle name="20% - Accent1 10 6 3" xfId="159"/>
    <cellStyle name="20% - Accent1 10 6 3 2" xfId="160"/>
    <cellStyle name="20% - Accent1 10 6 3 2 2" xfId="161"/>
    <cellStyle name="20% - Accent1 10 6 3 3" xfId="162"/>
    <cellStyle name="20% - Accent1 10 6 4" xfId="163"/>
    <cellStyle name="20% - Accent1 10 6 4 2" xfId="164"/>
    <cellStyle name="20% - Accent1 10 6 5" xfId="165"/>
    <cellStyle name="20% - Accent1 10 7" xfId="166"/>
    <cellStyle name="20% - Accent1 10 7 2" xfId="167"/>
    <cellStyle name="20% - Accent1 10 7 2 2" xfId="168"/>
    <cellStyle name="20% - Accent1 10 7 2 2 2" xfId="169"/>
    <cellStyle name="20% - Accent1 10 7 2 2 2 2" xfId="170"/>
    <cellStyle name="20% - Accent1 10 7 2 2 3" xfId="171"/>
    <cellStyle name="20% - Accent1 10 7 2 3" xfId="172"/>
    <cellStyle name="20% - Accent1 10 7 2 3 2" xfId="173"/>
    <cellStyle name="20% - Accent1 10 7 2 4" xfId="174"/>
    <cellStyle name="20% - Accent1 10 7 3" xfId="175"/>
    <cellStyle name="20% - Accent1 10 7 3 2" xfId="176"/>
    <cellStyle name="20% - Accent1 10 7 3 2 2" xfId="177"/>
    <cellStyle name="20% - Accent1 10 7 3 3" xfId="178"/>
    <cellStyle name="20% - Accent1 10 7 4" xfId="179"/>
    <cellStyle name="20% - Accent1 10 7 4 2" xfId="180"/>
    <cellStyle name="20% - Accent1 10 7 5" xfId="181"/>
    <cellStyle name="20% - Accent1 10 8" xfId="182"/>
    <cellStyle name="20% - Accent1 10 8 2" xfId="183"/>
    <cellStyle name="20% - Accent1 10 8 2 2" xfId="184"/>
    <cellStyle name="20% - Accent1 10 8 2 2 2" xfId="185"/>
    <cellStyle name="20% - Accent1 10 8 2 3" xfId="186"/>
    <cellStyle name="20% - Accent1 10 8 3" xfId="187"/>
    <cellStyle name="20% - Accent1 10 8 3 2" xfId="188"/>
    <cellStyle name="20% - Accent1 10 8 4" xfId="189"/>
    <cellStyle name="20% - Accent1 10 9" xfId="190"/>
    <cellStyle name="20% - Accent1 10 9 2" xfId="191"/>
    <cellStyle name="20% - Accent1 10 9 2 2" xfId="192"/>
    <cellStyle name="20% - Accent1 10 9 3" xfId="193"/>
    <cellStyle name="20% - Accent1 11" xfId="194"/>
    <cellStyle name="20% - Accent1 11 10" xfId="195"/>
    <cellStyle name="20% - Accent1 11 10 2" xfId="196"/>
    <cellStyle name="20% - Accent1 11 11" xfId="197"/>
    <cellStyle name="20% - Accent1 11 2" xfId="198"/>
    <cellStyle name="20% - Accent1 11 2 10" xfId="199"/>
    <cellStyle name="20% - Accent1 11 2 2" xfId="200"/>
    <cellStyle name="20% - Accent1 11 2 2 2" xfId="201"/>
    <cellStyle name="20% - Accent1 11 2 2 2 2" xfId="202"/>
    <cellStyle name="20% - Accent1 11 2 2 2 2 2" xfId="203"/>
    <cellStyle name="20% - Accent1 11 2 2 2 2 2 2" xfId="204"/>
    <cellStyle name="20% - Accent1 11 2 2 2 2 3" xfId="205"/>
    <cellStyle name="20% - Accent1 11 2 2 2 3" xfId="206"/>
    <cellStyle name="20% - Accent1 11 2 2 2 3 2" xfId="207"/>
    <cellStyle name="20% - Accent1 11 2 2 2 4" xfId="208"/>
    <cellStyle name="20% - Accent1 11 2 2 3" xfId="209"/>
    <cellStyle name="20% - Accent1 11 2 2 3 2" xfId="210"/>
    <cellStyle name="20% - Accent1 11 2 2 3 2 2" xfId="211"/>
    <cellStyle name="20% - Accent1 11 2 2 3 3" xfId="212"/>
    <cellStyle name="20% - Accent1 11 2 2 4" xfId="213"/>
    <cellStyle name="20% - Accent1 11 2 2 4 2" xfId="214"/>
    <cellStyle name="20% - Accent1 11 2 2 5" xfId="215"/>
    <cellStyle name="20% - Accent1 11 2 3" xfId="216"/>
    <cellStyle name="20% - Accent1 11 2 3 2" xfId="217"/>
    <cellStyle name="20% - Accent1 11 2 3 2 2" xfId="218"/>
    <cellStyle name="20% - Accent1 11 2 3 2 2 2" xfId="219"/>
    <cellStyle name="20% - Accent1 11 2 3 2 2 2 2" xfId="220"/>
    <cellStyle name="20% - Accent1 11 2 3 2 2 3" xfId="221"/>
    <cellStyle name="20% - Accent1 11 2 3 2 3" xfId="222"/>
    <cellStyle name="20% - Accent1 11 2 3 2 3 2" xfId="223"/>
    <cellStyle name="20% - Accent1 11 2 3 2 4" xfId="224"/>
    <cellStyle name="20% - Accent1 11 2 3 3" xfId="225"/>
    <cellStyle name="20% - Accent1 11 2 3 3 2" xfId="226"/>
    <cellStyle name="20% - Accent1 11 2 3 3 2 2" xfId="227"/>
    <cellStyle name="20% - Accent1 11 2 3 3 3" xfId="228"/>
    <cellStyle name="20% - Accent1 11 2 3 4" xfId="229"/>
    <cellStyle name="20% - Accent1 11 2 3 4 2" xfId="230"/>
    <cellStyle name="20% - Accent1 11 2 3 5" xfId="231"/>
    <cellStyle name="20% - Accent1 11 2 4" xfId="232"/>
    <cellStyle name="20% - Accent1 11 2 4 2" xfId="233"/>
    <cellStyle name="20% - Accent1 11 2 4 2 2" xfId="234"/>
    <cellStyle name="20% - Accent1 11 2 4 2 2 2" xfId="235"/>
    <cellStyle name="20% - Accent1 11 2 4 2 2 2 2" xfId="236"/>
    <cellStyle name="20% - Accent1 11 2 4 2 2 3" xfId="237"/>
    <cellStyle name="20% - Accent1 11 2 4 2 3" xfId="238"/>
    <cellStyle name="20% - Accent1 11 2 4 2 3 2" xfId="239"/>
    <cellStyle name="20% - Accent1 11 2 4 2 4" xfId="240"/>
    <cellStyle name="20% - Accent1 11 2 4 3" xfId="241"/>
    <cellStyle name="20% - Accent1 11 2 4 3 2" xfId="242"/>
    <cellStyle name="20% - Accent1 11 2 4 3 2 2" xfId="243"/>
    <cellStyle name="20% - Accent1 11 2 4 3 3" xfId="244"/>
    <cellStyle name="20% - Accent1 11 2 4 4" xfId="245"/>
    <cellStyle name="20% - Accent1 11 2 4 4 2" xfId="246"/>
    <cellStyle name="20% - Accent1 11 2 4 5" xfId="247"/>
    <cellStyle name="20% - Accent1 11 2 5" xfId="248"/>
    <cellStyle name="20% - Accent1 11 2 5 2" xfId="249"/>
    <cellStyle name="20% - Accent1 11 2 5 2 2" xfId="250"/>
    <cellStyle name="20% - Accent1 11 2 5 2 2 2" xfId="251"/>
    <cellStyle name="20% - Accent1 11 2 5 2 2 2 2" xfId="252"/>
    <cellStyle name="20% - Accent1 11 2 5 2 2 3" xfId="253"/>
    <cellStyle name="20% - Accent1 11 2 5 2 3" xfId="254"/>
    <cellStyle name="20% - Accent1 11 2 5 2 3 2" xfId="255"/>
    <cellStyle name="20% - Accent1 11 2 5 2 4" xfId="256"/>
    <cellStyle name="20% - Accent1 11 2 5 3" xfId="257"/>
    <cellStyle name="20% - Accent1 11 2 5 3 2" xfId="258"/>
    <cellStyle name="20% - Accent1 11 2 5 3 2 2" xfId="259"/>
    <cellStyle name="20% - Accent1 11 2 5 3 3" xfId="260"/>
    <cellStyle name="20% - Accent1 11 2 5 4" xfId="261"/>
    <cellStyle name="20% - Accent1 11 2 5 4 2" xfId="262"/>
    <cellStyle name="20% - Accent1 11 2 5 5" xfId="263"/>
    <cellStyle name="20% - Accent1 11 2 6" xfId="264"/>
    <cellStyle name="20% - Accent1 11 2 6 2" xfId="265"/>
    <cellStyle name="20% - Accent1 11 2 6 2 2" xfId="266"/>
    <cellStyle name="20% - Accent1 11 2 6 2 2 2" xfId="267"/>
    <cellStyle name="20% - Accent1 11 2 6 2 2 2 2" xfId="268"/>
    <cellStyle name="20% - Accent1 11 2 6 2 2 3" xfId="269"/>
    <cellStyle name="20% - Accent1 11 2 6 2 3" xfId="270"/>
    <cellStyle name="20% - Accent1 11 2 6 2 3 2" xfId="271"/>
    <cellStyle name="20% - Accent1 11 2 6 2 4" xfId="272"/>
    <cellStyle name="20% - Accent1 11 2 6 3" xfId="273"/>
    <cellStyle name="20% - Accent1 11 2 6 3 2" xfId="274"/>
    <cellStyle name="20% - Accent1 11 2 6 3 2 2" xfId="275"/>
    <cellStyle name="20% - Accent1 11 2 6 3 3" xfId="276"/>
    <cellStyle name="20% - Accent1 11 2 6 4" xfId="277"/>
    <cellStyle name="20% - Accent1 11 2 6 4 2" xfId="278"/>
    <cellStyle name="20% - Accent1 11 2 6 5" xfId="279"/>
    <cellStyle name="20% - Accent1 11 2 7" xfId="280"/>
    <cellStyle name="20% - Accent1 11 2 7 2" xfId="281"/>
    <cellStyle name="20% - Accent1 11 2 7 2 2" xfId="282"/>
    <cellStyle name="20% - Accent1 11 2 7 2 2 2" xfId="283"/>
    <cellStyle name="20% - Accent1 11 2 7 2 3" xfId="284"/>
    <cellStyle name="20% - Accent1 11 2 7 3" xfId="285"/>
    <cellStyle name="20% - Accent1 11 2 7 3 2" xfId="286"/>
    <cellStyle name="20% - Accent1 11 2 7 4" xfId="287"/>
    <cellStyle name="20% - Accent1 11 2 8" xfId="288"/>
    <cellStyle name="20% - Accent1 11 2 8 2" xfId="289"/>
    <cellStyle name="20% - Accent1 11 2 8 2 2" xfId="290"/>
    <cellStyle name="20% - Accent1 11 2 8 3" xfId="291"/>
    <cellStyle name="20% - Accent1 11 2 9" xfId="292"/>
    <cellStyle name="20% - Accent1 11 2 9 2" xfId="293"/>
    <cellStyle name="20% - Accent1 11 3" xfId="294"/>
    <cellStyle name="20% - Accent1 11 3 2" xfId="295"/>
    <cellStyle name="20% - Accent1 11 3 2 2" xfId="296"/>
    <cellStyle name="20% - Accent1 11 3 2 2 2" xfId="297"/>
    <cellStyle name="20% - Accent1 11 3 2 2 2 2" xfId="298"/>
    <cellStyle name="20% - Accent1 11 3 2 2 3" xfId="299"/>
    <cellStyle name="20% - Accent1 11 3 2 3" xfId="300"/>
    <cellStyle name="20% - Accent1 11 3 2 3 2" xfId="301"/>
    <cellStyle name="20% - Accent1 11 3 2 4" xfId="302"/>
    <cellStyle name="20% - Accent1 11 3 3" xfId="303"/>
    <cellStyle name="20% - Accent1 11 3 3 2" xfId="304"/>
    <cellStyle name="20% - Accent1 11 3 3 2 2" xfId="305"/>
    <cellStyle name="20% - Accent1 11 3 3 3" xfId="306"/>
    <cellStyle name="20% - Accent1 11 3 4" xfId="307"/>
    <cellStyle name="20% - Accent1 11 3 4 2" xfId="308"/>
    <cellStyle name="20% - Accent1 11 3 5" xfId="309"/>
    <cellStyle name="20% - Accent1 11 4" xfId="310"/>
    <cellStyle name="20% - Accent1 11 4 2" xfId="311"/>
    <cellStyle name="20% - Accent1 11 4 2 2" xfId="312"/>
    <cellStyle name="20% - Accent1 11 4 2 2 2" xfId="313"/>
    <cellStyle name="20% - Accent1 11 4 2 2 2 2" xfId="314"/>
    <cellStyle name="20% - Accent1 11 4 2 2 3" xfId="315"/>
    <cellStyle name="20% - Accent1 11 4 2 3" xfId="316"/>
    <cellStyle name="20% - Accent1 11 4 2 3 2" xfId="317"/>
    <cellStyle name="20% - Accent1 11 4 2 4" xfId="318"/>
    <cellStyle name="20% - Accent1 11 4 3" xfId="319"/>
    <cellStyle name="20% - Accent1 11 4 3 2" xfId="320"/>
    <cellStyle name="20% - Accent1 11 4 3 2 2" xfId="321"/>
    <cellStyle name="20% - Accent1 11 4 3 3" xfId="322"/>
    <cellStyle name="20% - Accent1 11 4 4" xfId="323"/>
    <cellStyle name="20% - Accent1 11 4 4 2" xfId="324"/>
    <cellStyle name="20% - Accent1 11 4 5" xfId="325"/>
    <cellStyle name="20% - Accent1 11 5" xfId="326"/>
    <cellStyle name="20% - Accent1 11 5 2" xfId="327"/>
    <cellStyle name="20% - Accent1 11 5 2 2" xfId="328"/>
    <cellStyle name="20% - Accent1 11 5 2 2 2" xfId="329"/>
    <cellStyle name="20% - Accent1 11 5 2 2 2 2" xfId="330"/>
    <cellStyle name="20% - Accent1 11 5 2 2 3" xfId="331"/>
    <cellStyle name="20% - Accent1 11 5 2 3" xfId="332"/>
    <cellStyle name="20% - Accent1 11 5 2 3 2" xfId="333"/>
    <cellStyle name="20% - Accent1 11 5 2 4" xfId="334"/>
    <cellStyle name="20% - Accent1 11 5 3" xfId="335"/>
    <cellStyle name="20% - Accent1 11 5 3 2" xfId="336"/>
    <cellStyle name="20% - Accent1 11 5 3 2 2" xfId="337"/>
    <cellStyle name="20% - Accent1 11 5 3 3" xfId="338"/>
    <cellStyle name="20% - Accent1 11 5 4" xfId="339"/>
    <cellStyle name="20% - Accent1 11 5 4 2" xfId="340"/>
    <cellStyle name="20% - Accent1 11 5 5" xfId="341"/>
    <cellStyle name="20% - Accent1 11 6" xfId="342"/>
    <cellStyle name="20% - Accent1 11 6 2" xfId="343"/>
    <cellStyle name="20% - Accent1 11 6 2 2" xfId="344"/>
    <cellStyle name="20% - Accent1 11 6 2 2 2" xfId="345"/>
    <cellStyle name="20% - Accent1 11 6 2 2 2 2" xfId="346"/>
    <cellStyle name="20% - Accent1 11 6 2 2 3" xfId="347"/>
    <cellStyle name="20% - Accent1 11 6 2 3" xfId="348"/>
    <cellStyle name="20% - Accent1 11 6 2 3 2" xfId="349"/>
    <cellStyle name="20% - Accent1 11 6 2 4" xfId="350"/>
    <cellStyle name="20% - Accent1 11 6 3" xfId="351"/>
    <cellStyle name="20% - Accent1 11 6 3 2" xfId="352"/>
    <cellStyle name="20% - Accent1 11 6 3 2 2" xfId="353"/>
    <cellStyle name="20% - Accent1 11 6 3 3" xfId="354"/>
    <cellStyle name="20% - Accent1 11 6 4" xfId="355"/>
    <cellStyle name="20% - Accent1 11 6 4 2" xfId="356"/>
    <cellStyle name="20% - Accent1 11 6 5" xfId="357"/>
    <cellStyle name="20% - Accent1 11 7" xfId="358"/>
    <cellStyle name="20% - Accent1 11 7 2" xfId="359"/>
    <cellStyle name="20% - Accent1 11 7 2 2" xfId="360"/>
    <cellStyle name="20% - Accent1 11 7 2 2 2" xfId="361"/>
    <cellStyle name="20% - Accent1 11 7 2 2 2 2" xfId="362"/>
    <cellStyle name="20% - Accent1 11 7 2 2 3" xfId="363"/>
    <cellStyle name="20% - Accent1 11 7 2 3" xfId="364"/>
    <cellStyle name="20% - Accent1 11 7 2 3 2" xfId="365"/>
    <cellStyle name="20% - Accent1 11 7 2 4" xfId="366"/>
    <cellStyle name="20% - Accent1 11 7 3" xfId="367"/>
    <cellStyle name="20% - Accent1 11 7 3 2" xfId="368"/>
    <cellStyle name="20% - Accent1 11 7 3 2 2" xfId="369"/>
    <cellStyle name="20% - Accent1 11 7 3 3" xfId="370"/>
    <cellStyle name="20% - Accent1 11 7 4" xfId="371"/>
    <cellStyle name="20% - Accent1 11 7 4 2" xfId="372"/>
    <cellStyle name="20% - Accent1 11 7 5" xfId="373"/>
    <cellStyle name="20% - Accent1 11 8" xfId="374"/>
    <cellStyle name="20% - Accent1 11 8 2" xfId="375"/>
    <cellStyle name="20% - Accent1 11 8 2 2" xfId="376"/>
    <cellStyle name="20% - Accent1 11 8 2 2 2" xfId="377"/>
    <cellStyle name="20% - Accent1 11 8 2 3" xfId="378"/>
    <cellStyle name="20% - Accent1 11 8 3" xfId="379"/>
    <cellStyle name="20% - Accent1 11 8 3 2" xfId="380"/>
    <cellStyle name="20% - Accent1 11 8 4" xfId="381"/>
    <cellStyle name="20% - Accent1 11 9" xfId="382"/>
    <cellStyle name="20% - Accent1 11 9 2" xfId="383"/>
    <cellStyle name="20% - Accent1 11 9 2 2" xfId="384"/>
    <cellStyle name="20% - Accent1 11 9 3" xfId="385"/>
    <cellStyle name="20% - Accent1 12" xfId="386"/>
    <cellStyle name="20% - Accent1 12 10" xfId="387"/>
    <cellStyle name="20% - Accent1 12 2" xfId="388"/>
    <cellStyle name="20% - Accent1 12 2 2" xfId="389"/>
    <cellStyle name="20% - Accent1 12 2 2 2" xfId="390"/>
    <cellStyle name="20% - Accent1 12 2 2 2 2" xfId="391"/>
    <cellStyle name="20% - Accent1 12 2 2 2 2 2" xfId="392"/>
    <cellStyle name="20% - Accent1 12 2 2 2 3" xfId="393"/>
    <cellStyle name="20% - Accent1 12 2 2 3" xfId="394"/>
    <cellStyle name="20% - Accent1 12 2 2 3 2" xfId="395"/>
    <cellStyle name="20% - Accent1 12 2 2 4" xfId="396"/>
    <cellStyle name="20% - Accent1 12 2 3" xfId="397"/>
    <cellStyle name="20% - Accent1 12 2 3 2" xfId="398"/>
    <cellStyle name="20% - Accent1 12 2 3 2 2" xfId="399"/>
    <cellStyle name="20% - Accent1 12 2 3 3" xfId="400"/>
    <cellStyle name="20% - Accent1 12 2 4" xfId="401"/>
    <cellStyle name="20% - Accent1 12 2 4 2" xfId="402"/>
    <cellStyle name="20% - Accent1 12 2 5" xfId="403"/>
    <cellStyle name="20% - Accent1 12 3" xfId="404"/>
    <cellStyle name="20% - Accent1 12 3 2" xfId="405"/>
    <cellStyle name="20% - Accent1 12 3 2 2" xfId="406"/>
    <cellStyle name="20% - Accent1 12 3 2 2 2" xfId="407"/>
    <cellStyle name="20% - Accent1 12 3 2 2 2 2" xfId="408"/>
    <cellStyle name="20% - Accent1 12 3 2 2 3" xfId="409"/>
    <cellStyle name="20% - Accent1 12 3 2 3" xfId="410"/>
    <cellStyle name="20% - Accent1 12 3 2 3 2" xfId="411"/>
    <cellStyle name="20% - Accent1 12 3 2 4" xfId="412"/>
    <cellStyle name="20% - Accent1 12 3 3" xfId="413"/>
    <cellStyle name="20% - Accent1 12 3 3 2" xfId="414"/>
    <cellStyle name="20% - Accent1 12 3 3 2 2" xfId="415"/>
    <cellStyle name="20% - Accent1 12 3 3 3" xfId="416"/>
    <cellStyle name="20% - Accent1 12 3 4" xfId="417"/>
    <cellStyle name="20% - Accent1 12 3 4 2" xfId="418"/>
    <cellStyle name="20% - Accent1 12 3 5" xfId="419"/>
    <cellStyle name="20% - Accent1 12 4" xfId="420"/>
    <cellStyle name="20% - Accent1 12 4 2" xfId="421"/>
    <cellStyle name="20% - Accent1 12 4 2 2" xfId="422"/>
    <cellStyle name="20% - Accent1 12 4 2 2 2" xfId="423"/>
    <cellStyle name="20% - Accent1 12 4 2 2 2 2" xfId="424"/>
    <cellStyle name="20% - Accent1 12 4 2 2 3" xfId="425"/>
    <cellStyle name="20% - Accent1 12 4 2 3" xfId="426"/>
    <cellStyle name="20% - Accent1 12 4 2 3 2" xfId="427"/>
    <cellStyle name="20% - Accent1 12 4 2 4" xfId="428"/>
    <cellStyle name="20% - Accent1 12 4 3" xfId="429"/>
    <cellStyle name="20% - Accent1 12 4 3 2" xfId="430"/>
    <cellStyle name="20% - Accent1 12 4 3 2 2" xfId="431"/>
    <cellStyle name="20% - Accent1 12 4 3 3" xfId="432"/>
    <cellStyle name="20% - Accent1 12 4 4" xfId="433"/>
    <cellStyle name="20% - Accent1 12 4 4 2" xfId="434"/>
    <cellStyle name="20% - Accent1 12 4 5" xfId="435"/>
    <cellStyle name="20% - Accent1 12 5" xfId="436"/>
    <cellStyle name="20% - Accent1 12 5 2" xfId="437"/>
    <cellStyle name="20% - Accent1 12 5 2 2" xfId="438"/>
    <cellStyle name="20% - Accent1 12 5 2 2 2" xfId="439"/>
    <cellStyle name="20% - Accent1 12 5 2 2 2 2" xfId="440"/>
    <cellStyle name="20% - Accent1 12 5 2 2 3" xfId="441"/>
    <cellStyle name="20% - Accent1 12 5 2 3" xfId="442"/>
    <cellStyle name="20% - Accent1 12 5 2 3 2" xfId="443"/>
    <cellStyle name="20% - Accent1 12 5 2 4" xfId="444"/>
    <cellStyle name="20% - Accent1 12 5 3" xfId="445"/>
    <cellStyle name="20% - Accent1 12 5 3 2" xfId="446"/>
    <cellStyle name="20% - Accent1 12 5 3 2 2" xfId="447"/>
    <cellStyle name="20% - Accent1 12 5 3 3" xfId="448"/>
    <cellStyle name="20% - Accent1 12 5 4" xfId="449"/>
    <cellStyle name="20% - Accent1 12 5 4 2" xfId="450"/>
    <cellStyle name="20% - Accent1 12 5 5" xfId="451"/>
    <cellStyle name="20% - Accent1 12 6" xfId="452"/>
    <cellStyle name="20% - Accent1 12 6 2" xfId="453"/>
    <cellStyle name="20% - Accent1 12 6 2 2" xfId="454"/>
    <cellStyle name="20% - Accent1 12 6 2 2 2" xfId="455"/>
    <cellStyle name="20% - Accent1 12 6 2 2 2 2" xfId="456"/>
    <cellStyle name="20% - Accent1 12 6 2 2 3" xfId="457"/>
    <cellStyle name="20% - Accent1 12 6 2 3" xfId="458"/>
    <cellStyle name="20% - Accent1 12 6 2 3 2" xfId="459"/>
    <cellStyle name="20% - Accent1 12 6 2 4" xfId="460"/>
    <cellStyle name="20% - Accent1 12 6 3" xfId="461"/>
    <cellStyle name="20% - Accent1 12 6 3 2" xfId="462"/>
    <cellStyle name="20% - Accent1 12 6 3 2 2" xfId="463"/>
    <cellStyle name="20% - Accent1 12 6 3 3" xfId="464"/>
    <cellStyle name="20% - Accent1 12 6 4" xfId="465"/>
    <cellStyle name="20% - Accent1 12 6 4 2" xfId="466"/>
    <cellStyle name="20% - Accent1 12 6 5" xfId="467"/>
    <cellStyle name="20% - Accent1 12 7" xfId="468"/>
    <cellStyle name="20% - Accent1 12 7 2" xfId="469"/>
    <cellStyle name="20% - Accent1 12 7 2 2" xfId="470"/>
    <cellStyle name="20% - Accent1 12 7 2 2 2" xfId="471"/>
    <cellStyle name="20% - Accent1 12 7 2 3" xfId="472"/>
    <cellStyle name="20% - Accent1 12 7 3" xfId="473"/>
    <cellStyle name="20% - Accent1 12 7 3 2" xfId="474"/>
    <cellStyle name="20% - Accent1 12 7 4" xfId="475"/>
    <cellStyle name="20% - Accent1 12 8" xfId="476"/>
    <cellStyle name="20% - Accent1 12 8 2" xfId="477"/>
    <cellStyle name="20% - Accent1 12 8 2 2" xfId="478"/>
    <cellStyle name="20% - Accent1 12 8 3" xfId="479"/>
    <cellStyle name="20% - Accent1 12 9" xfId="480"/>
    <cellStyle name="20% - Accent1 12 9 2" xfId="481"/>
    <cellStyle name="20% - Accent1 13" xfId="482"/>
    <cellStyle name="20% - Accent1 13 10" xfId="483"/>
    <cellStyle name="20% - Accent1 13 2" xfId="484"/>
    <cellStyle name="20% - Accent1 13 2 2" xfId="485"/>
    <cellStyle name="20% - Accent1 13 2 2 2" xfId="486"/>
    <cellStyle name="20% - Accent1 13 2 2 2 2" xfId="487"/>
    <cellStyle name="20% - Accent1 13 2 2 2 2 2" xfId="488"/>
    <cellStyle name="20% - Accent1 13 2 2 2 3" xfId="489"/>
    <cellStyle name="20% - Accent1 13 2 2 3" xfId="490"/>
    <cellStyle name="20% - Accent1 13 2 2 3 2" xfId="491"/>
    <cellStyle name="20% - Accent1 13 2 2 4" xfId="492"/>
    <cellStyle name="20% - Accent1 13 2 3" xfId="493"/>
    <cellStyle name="20% - Accent1 13 2 3 2" xfId="494"/>
    <cellStyle name="20% - Accent1 13 2 3 2 2" xfId="495"/>
    <cellStyle name="20% - Accent1 13 2 3 3" xfId="496"/>
    <cellStyle name="20% - Accent1 13 2 4" xfId="497"/>
    <cellStyle name="20% - Accent1 13 2 4 2" xfId="498"/>
    <cellStyle name="20% - Accent1 13 2 5" xfId="499"/>
    <cellStyle name="20% - Accent1 13 3" xfId="500"/>
    <cellStyle name="20% - Accent1 13 3 2" xfId="501"/>
    <cellStyle name="20% - Accent1 13 3 2 2" xfId="502"/>
    <cellStyle name="20% - Accent1 13 3 2 2 2" xfId="503"/>
    <cellStyle name="20% - Accent1 13 3 2 2 2 2" xfId="504"/>
    <cellStyle name="20% - Accent1 13 3 2 2 3" xfId="505"/>
    <cellStyle name="20% - Accent1 13 3 2 3" xfId="506"/>
    <cellStyle name="20% - Accent1 13 3 2 3 2" xfId="507"/>
    <cellStyle name="20% - Accent1 13 3 2 4" xfId="508"/>
    <cellStyle name="20% - Accent1 13 3 3" xfId="509"/>
    <cellStyle name="20% - Accent1 13 3 3 2" xfId="510"/>
    <cellStyle name="20% - Accent1 13 3 3 2 2" xfId="511"/>
    <cellStyle name="20% - Accent1 13 3 3 3" xfId="512"/>
    <cellStyle name="20% - Accent1 13 3 4" xfId="513"/>
    <cellStyle name="20% - Accent1 13 3 4 2" xfId="514"/>
    <cellStyle name="20% - Accent1 13 3 5" xfId="515"/>
    <cellStyle name="20% - Accent1 13 4" xfId="516"/>
    <cellStyle name="20% - Accent1 13 4 2" xfId="517"/>
    <cellStyle name="20% - Accent1 13 4 2 2" xfId="518"/>
    <cellStyle name="20% - Accent1 13 4 2 2 2" xfId="519"/>
    <cellStyle name="20% - Accent1 13 4 2 2 2 2" xfId="520"/>
    <cellStyle name="20% - Accent1 13 4 2 2 3" xfId="521"/>
    <cellStyle name="20% - Accent1 13 4 2 3" xfId="522"/>
    <cellStyle name="20% - Accent1 13 4 2 3 2" xfId="523"/>
    <cellStyle name="20% - Accent1 13 4 2 4" xfId="524"/>
    <cellStyle name="20% - Accent1 13 4 3" xfId="525"/>
    <cellStyle name="20% - Accent1 13 4 3 2" xfId="526"/>
    <cellStyle name="20% - Accent1 13 4 3 2 2" xfId="527"/>
    <cellStyle name="20% - Accent1 13 4 3 3" xfId="528"/>
    <cellStyle name="20% - Accent1 13 4 4" xfId="529"/>
    <cellStyle name="20% - Accent1 13 4 4 2" xfId="530"/>
    <cellStyle name="20% - Accent1 13 4 5" xfId="531"/>
    <cellStyle name="20% - Accent1 13 5" xfId="532"/>
    <cellStyle name="20% - Accent1 13 5 2" xfId="533"/>
    <cellStyle name="20% - Accent1 13 5 2 2" xfId="534"/>
    <cellStyle name="20% - Accent1 13 5 2 2 2" xfId="535"/>
    <cellStyle name="20% - Accent1 13 5 2 2 2 2" xfId="536"/>
    <cellStyle name="20% - Accent1 13 5 2 2 3" xfId="537"/>
    <cellStyle name="20% - Accent1 13 5 2 3" xfId="538"/>
    <cellStyle name="20% - Accent1 13 5 2 3 2" xfId="539"/>
    <cellStyle name="20% - Accent1 13 5 2 4" xfId="540"/>
    <cellStyle name="20% - Accent1 13 5 3" xfId="541"/>
    <cellStyle name="20% - Accent1 13 5 3 2" xfId="542"/>
    <cellStyle name="20% - Accent1 13 5 3 2 2" xfId="543"/>
    <cellStyle name="20% - Accent1 13 5 3 3" xfId="544"/>
    <cellStyle name="20% - Accent1 13 5 4" xfId="545"/>
    <cellStyle name="20% - Accent1 13 5 4 2" xfId="546"/>
    <cellStyle name="20% - Accent1 13 5 5" xfId="547"/>
    <cellStyle name="20% - Accent1 13 6" xfId="548"/>
    <cellStyle name="20% - Accent1 13 6 2" xfId="549"/>
    <cellStyle name="20% - Accent1 13 6 2 2" xfId="550"/>
    <cellStyle name="20% - Accent1 13 6 2 2 2" xfId="551"/>
    <cellStyle name="20% - Accent1 13 6 2 2 2 2" xfId="552"/>
    <cellStyle name="20% - Accent1 13 6 2 2 3" xfId="553"/>
    <cellStyle name="20% - Accent1 13 6 2 3" xfId="554"/>
    <cellStyle name="20% - Accent1 13 6 2 3 2" xfId="555"/>
    <cellStyle name="20% - Accent1 13 6 2 4" xfId="556"/>
    <cellStyle name="20% - Accent1 13 6 3" xfId="557"/>
    <cellStyle name="20% - Accent1 13 6 3 2" xfId="558"/>
    <cellStyle name="20% - Accent1 13 6 3 2 2" xfId="559"/>
    <cellStyle name="20% - Accent1 13 6 3 3" xfId="560"/>
    <cellStyle name="20% - Accent1 13 6 4" xfId="561"/>
    <cellStyle name="20% - Accent1 13 6 4 2" xfId="562"/>
    <cellStyle name="20% - Accent1 13 6 5" xfId="563"/>
    <cellStyle name="20% - Accent1 13 7" xfId="564"/>
    <cellStyle name="20% - Accent1 13 7 2" xfId="565"/>
    <cellStyle name="20% - Accent1 13 7 2 2" xfId="566"/>
    <cellStyle name="20% - Accent1 13 7 2 2 2" xfId="567"/>
    <cellStyle name="20% - Accent1 13 7 2 3" xfId="568"/>
    <cellStyle name="20% - Accent1 13 7 3" xfId="569"/>
    <cellStyle name="20% - Accent1 13 7 3 2" xfId="570"/>
    <cellStyle name="20% - Accent1 13 7 4" xfId="571"/>
    <cellStyle name="20% - Accent1 13 8" xfId="572"/>
    <cellStyle name="20% - Accent1 13 8 2" xfId="573"/>
    <cellStyle name="20% - Accent1 13 8 2 2" xfId="574"/>
    <cellStyle name="20% - Accent1 13 8 3" xfId="575"/>
    <cellStyle name="20% - Accent1 13 9" xfId="576"/>
    <cellStyle name="20% - Accent1 13 9 2" xfId="577"/>
    <cellStyle name="20% - Accent1 14" xfId="578"/>
    <cellStyle name="20% - Accent1 14 2" xfId="579"/>
    <cellStyle name="20% - Accent1 14 2 2" xfId="580"/>
    <cellStyle name="20% - Accent1 14 2 2 2" xfId="581"/>
    <cellStyle name="20% - Accent1 14 2 2 2 2" xfId="582"/>
    <cellStyle name="20% - Accent1 14 2 2 3" xfId="583"/>
    <cellStyle name="20% - Accent1 14 2 3" xfId="584"/>
    <cellStyle name="20% - Accent1 14 2 3 2" xfId="585"/>
    <cellStyle name="20% - Accent1 14 2 4" xfId="586"/>
    <cellStyle name="20% - Accent1 14 3" xfId="587"/>
    <cellStyle name="20% - Accent1 14 3 2" xfId="588"/>
    <cellStyle name="20% - Accent1 14 3 2 2" xfId="589"/>
    <cellStyle name="20% - Accent1 14 3 3" xfId="590"/>
    <cellStyle name="20% - Accent1 14 4" xfId="591"/>
    <cellStyle name="20% - Accent1 14 4 2" xfId="592"/>
    <cellStyle name="20% - Accent1 14 5" xfId="593"/>
    <cellStyle name="20% - Accent1 15" xfId="594"/>
    <cellStyle name="20% - Accent1 15 2" xfId="595"/>
    <cellStyle name="20% - Accent1 15 2 2" xfId="596"/>
    <cellStyle name="20% - Accent1 15 2 2 2" xfId="597"/>
    <cellStyle name="20% - Accent1 15 2 2 2 2" xfId="598"/>
    <cellStyle name="20% - Accent1 15 2 2 3" xfId="599"/>
    <cellStyle name="20% - Accent1 15 2 3" xfId="600"/>
    <cellStyle name="20% - Accent1 15 2 3 2" xfId="601"/>
    <cellStyle name="20% - Accent1 15 2 4" xfId="602"/>
    <cellStyle name="20% - Accent1 15 3" xfId="603"/>
    <cellStyle name="20% - Accent1 15 3 2" xfId="604"/>
    <cellStyle name="20% - Accent1 15 3 2 2" xfId="605"/>
    <cellStyle name="20% - Accent1 15 3 3" xfId="606"/>
    <cellStyle name="20% - Accent1 15 4" xfId="607"/>
    <cellStyle name="20% - Accent1 15 4 2" xfId="608"/>
    <cellStyle name="20% - Accent1 15 5" xfId="609"/>
    <cellStyle name="20% - Accent1 16" xfId="610"/>
    <cellStyle name="20% - Accent1 16 2" xfId="611"/>
    <cellStyle name="20% - Accent1 16 2 2" xfId="612"/>
    <cellStyle name="20% - Accent1 16 2 2 2" xfId="613"/>
    <cellStyle name="20% - Accent1 16 2 2 2 2" xfId="614"/>
    <cellStyle name="20% - Accent1 16 2 2 3" xfId="615"/>
    <cellStyle name="20% - Accent1 16 2 3" xfId="616"/>
    <cellStyle name="20% - Accent1 16 2 3 2" xfId="617"/>
    <cellStyle name="20% - Accent1 16 2 4" xfId="618"/>
    <cellStyle name="20% - Accent1 16 3" xfId="619"/>
    <cellStyle name="20% - Accent1 16 3 2" xfId="620"/>
    <cellStyle name="20% - Accent1 16 3 2 2" xfId="621"/>
    <cellStyle name="20% - Accent1 16 3 3" xfId="622"/>
    <cellStyle name="20% - Accent1 16 4" xfId="623"/>
    <cellStyle name="20% - Accent1 16 4 2" xfId="624"/>
    <cellStyle name="20% - Accent1 16 5" xfId="625"/>
    <cellStyle name="20% - Accent1 17" xfId="626"/>
    <cellStyle name="20% - Accent1 17 2" xfId="627"/>
    <cellStyle name="20% - Accent1 17 2 2" xfId="628"/>
    <cellStyle name="20% - Accent1 17 2 2 2" xfId="629"/>
    <cellStyle name="20% - Accent1 17 2 2 2 2" xfId="630"/>
    <cellStyle name="20% - Accent1 17 2 2 3" xfId="631"/>
    <cellStyle name="20% - Accent1 17 2 3" xfId="632"/>
    <cellStyle name="20% - Accent1 17 2 3 2" xfId="633"/>
    <cellStyle name="20% - Accent1 17 2 4" xfId="634"/>
    <cellStyle name="20% - Accent1 17 3" xfId="635"/>
    <cellStyle name="20% - Accent1 17 3 2" xfId="636"/>
    <cellStyle name="20% - Accent1 17 3 2 2" xfId="637"/>
    <cellStyle name="20% - Accent1 17 3 3" xfId="638"/>
    <cellStyle name="20% - Accent1 17 4" xfId="639"/>
    <cellStyle name="20% - Accent1 17 4 2" xfId="640"/>
    <cellStyle name="20% - Accent1 17 5" xfId="641"/>
    <cellStyle name="20% - Accent1 18" xfId="642"/>
    <cellStyle name="20% - Accent1 18 2" xfId="643"/>
    <cellStyle name="20% - Accent1 18 2 2" xfId="644"/>
    <cellStyle name="20% - Accent1 18 2 2 2" xfId="645"/>
    <cellStyle name="20% - Accent1 18 2 2 2 2" xfId="646"/>
    <cellStyle name="20% - Accent1 18 2 2 3" xfId="647"/>
    <cellStyle name="20% - Accent1 18 2 3" xfId="648"/>
    <cellStyle name="20% - Accent1 18 2 3 2" xfId="649"/>
    <cellStyle name="20% - Accent1 18 2 4" xfId="650"/>
    <cellStyle name="20% - Accent1 18 3" xfId="651"/>
    <cellStyle name="20% - Accent1 18 3 2" xfId="652"/>
    <cellStyle name="20% - Accent1 18 3 2 2" xfId="653"/>
    <cellStyle name="20% - Accent1 18 3 3" xfId="654"/>
    <cellStyle name="20% - Accent1 18 4" xfId="655"/>
    <cellStyle name="20% - Accent1 18 4 2" xfId="656"/>
    <cellStyle name="20% - Accent1 18 5" xfId="657"/>
    <cellStyle name="20% - Accent1 19" xfId="658"/>
    <cellStyle name="20% - Accent1 19 2" xfId="659"/>
    <cellStyle name="20% - Accent1 19 2 2" xfId="660"/>
    <cellStyle name="20% - Accent1 19 2 2 2" xfId="661"/>
    <cellStyle name="20% - Accent1 19 2 2 2 2" xfId="662"/>
    <cellStyle name="20% - Accent1 19 2 2 3" xfId="663"/>
    <cellStyle name="20% - Accent1 19 2 3" xfId="664"/>
    <cellStyle name="20% - Accent1 19 2 3 2" xfId="665"/>
    <cellStyle name="20% - Accent1 19 2 4" xfId="666"/>
    <cellStyle name="20% - Accent1 19 3" xfId="667"/>
    <cellStyle name="20% - Accent1 19 3 2" xfId="668"/>
    <cellStyle name="20% - Accent1 19 3 2 2" xfId="669"/>
    <cellStyle name="20% - Accent1 19 3 3" xfId="670"/>
    <cellStyle name="20% - Accent1 19 4" xfId="671"/>
    <cellStyle name="20% - Accent1 19 4 2" xfId="672"/>
    <cellStyle name="20% - Accent1 19 5" xfId="673"/>
    <cellStyle name="20% - Accent1 2" xfId="674"/>
    <cellStyle name="20% - Accent1 2 10" xfId="675"/>
    <cellStyle name="20% - Accent1 2 10 10" xfId="676"/>
    <cellStyle name="20% - Accent1 2 10 2" xfId="677"/>
    <cellStyle name="20% - Accent1 2 10 2 2" xfId="678"/>
    <cellStyle name="20% - Accent1 2 10 2 2 2" xfId="679"/>
    <cellStyle name="20% - Accent1 2 10 2 2 2 2" xfId="680"/>
    <cellStyle name="20% - Accent1 2 10 2 2 2 2 2" xfId="681"/>
    <cellStyle name="20% - Accent1 2 10 2 2 2 3" xfId="682"/>
    <cellStyle name="20% - Accent1 2 10 2 2 3" xfId="683"/>
    <cellStyle name="20% - Accent1 2 10 2 2 3 2" xfId="684"/>
    <cellStyle name="20% - Accent1 2 10 2 2 4" xfId="685"/>
    <cellStyle name="20% - Accent1 2 10 2 3" xfId="686"/>
    <cellStyle name="20% - Accent1 2 10 2 3 2" xfId="687"/>
    <cellStyle name="20% - Accent1 2 10 2 3 2 2" xfId="688"/>
    <cellStyle name="20% - Accent1 2 10 2 3 3" xfId="689"/>
    <cellStyle name="20% - Accent1 2 10 2 4" xfId="690"/>
    <cellStyle name="20% - Accent1 2 10 2 4 2" xfId="691"/>
    <cellStyle name="20% - Accent1 2 10 2 5" xfId="692"/>
    <cellStyle name="20% - Accent1 2 10 3" xfId="693"/>
    <cellStyle name="20% - Accent1 2 10 3 2" xfId="694"/>
    <cellStyle name="20% - Accent1 2 10 3 2 2" xfId="695"/>
    <cellStyle name="20% - Accent1 2 10 3 2 2 2" xfId="696"/>
    <cellStyle name="20% - Accent1 2 10 3 2 2 2 2" xfId="697"/>
    <cellStyle name="20% - Accent1 2 10 3 2 2 3" xfId="698"/>
    <cellStyle name="20% - Accent1 2 10 3 2 3" xfId="699"/>
    <cellStyle name="20% - Accent1 2 10 3 2 3 2" xfId="700"/>
    <cellStyle name="20% - Accent1 2 10 3 2 4" xfId="701"/>
    <cellStyle name="20% - Accent1 2 10 3 3" xfId="702"/>
    <cellStyle name="20% - Accent1 2 10 3 3 2" xfId="703"/>
    <cellStyle name="20% - Accent1 2 10 3 3 2 2" xfId="704"/>
    <cellStyle name="20% - Accent1 2 10 3 3 3" xfId="705"/>
    <cellStyle name="20% - Accent1 2 10 3 4" xfId="706"/>
    <cellStyle name="20% - Accent1 2 10 3 4 2" xfId="707"/>
    <cellStyle name="20% - Accent1 2 10 3 5" xfId="708"/>
    <cellStyle name="20% - Accent1 2 10 4" xfId="709"/>
    <cellStyle name="20% - Accent1 2 10 4 2" xfId="710"/>
    <cellStyle name="20% - Accent1 2 10 4 2 2" xfId="711"/>
    <cellStyle name="20% - Accent1 2 10 4 2 2 2" xfId="712"/>
    <cellStyle name="20% - Accent1 2 10 4 2 2 2 2" xfId="713"/>
    <cellStyle name="20% - Accent1 2 10 4 2 2 3" xfId="714"/>
    <cellStyle name="20% - Accent1 2 10 4 2 3" xfId="715"/>
    <cellStyle name="20% - Accent1 2 10 4 2 3 2" xfId="716"/>
    <cellStyle name="20% - Accent1 2 10 4 2 4" xfId="717"/>
    <cellStyle name="20% - Accent1 2 10 4 3" xfId="718"/>
    <cellStyle name="20% - Accent1 2 10 4 3 2" xfId="719"/>
    <cellStyle name="20% - Accent1 2 10 4 3 2 2" xfId="720"/>
    <cellStyle name="20% - Accent1 2 10 4 3 3" xfId="721"/>
    <cellStyle name="20% - Accent1 2 10 4 4" xfId="722"/>
    <cellStyle name="20% - Accent1 2 10 4 4 2" xfId="723"/>
    <cellStyle name="20% - Accent1 2 10 4 5" xfId="724"/>
    <cellStyle name="20% - Accent1 2 10 5" xfId="725"/>
    <cellStyle name="20% - Accent1 2 10 5 2" xfId="726"/>
    <cellStyle name="20% - Accent1 2 10 5 2 2" xfId="727"/>
    <cellStyle name="20% - Accent1 2 10 5 2 2 2" xfId="728"/>
    <cellStyle name="20% - Accent1 2 10 5 2 2 2 2" xfId="729"/>
    <cellStyle name="20% - Accent1 2 10 5 2 2 3" xfId="730"/>
    <cellStyle name="20% - Accent1 2 10 5 2 3" xfId="731"/>
    <cellStyle name="20% - Accent1 2 10 5 2 3 2" xfId="732"/>
    <cellStyle name="20% - Accent1 2 10 5 2 4" xfId="733"/>
    <cellStyle name="20% - Accent1 2 10 5 3" xfId="734"/>
    <cellStyle name="20% - Accent1 2 10 5 3 2" xfId="735"/>
    <cellStyle name="20% - Accent1 2 10 5 3 2 2" xfId="736"/>
    <cellStyle name="20% - Accent1 2 10 5 3 3" xfId="737"/>
    <cellStyle name="20% - Accent1 2 10 5 4" xfId="738"/>
    <cellStyle name="20% - Accent1 2 10 5 4 2" xfId="739"/>
    <cellStyle name="20% - Accent1 2 10 5 5" xfId="740"/>
    <cellStyle name="20% - Accent1 2 10 6" xfId="741"/>
    <cellStyle name="20% - Accent1 2 10 6 2" xfId="742"/>
    <cellStyle name="20% - Accent1 2 10 6 2 2" xfId="743"/>
    <cellStyle name="20% - Accent1 2 10 6 2 2 2" xfId="744"/>
    <cellStyle name="20% - Accent1 2 10 6 2 2 2 2" xfId="745"/>
    <cellStyle name="20% - Accent1 2 10 6 2 2 3" xfId="746"/>
    <cellStyle name="20% - Accent1 2 10 6 2 3" xfId="747"/>
    <cellStyle name="20% - Accent1 2 10 6 2 3 2" xfId="748"/>
    <cellStyle name="20% - Accent1 2 10 6 2 4" xfId="749"/>
    <cellStyle name="20% - Accent1 2 10 6 3" xfId="750"/>
    <cellStyle name="20% - Accent1 2 10 6 3 2" xfId="751"/>
    <cellStyle name="20% - Accent1 2 10 6 3 2 2" xfId="752"/>
    <cellStyle name="20% - Accent1 2 10 6 3 3" xfId="753"/>
    <cellStyle name="20% - Accent1 2 10 6 4" xfId="754"/>
    <cellStyle name="20% - Accent1 2 10 6 4 2" xfId="755"/>
    <cellStyle name="20% - Accent1 2 10 6 5" xfId="756"/>
    <cellStyle name="20% - Accent1 2 10 7" xfId="757"/>
    <cellStyle name="20% - Accent1 2 10 7 2" xfId="758"/>
    <cellStyle name="20% - Accent1 2 10 7 2 2" xfId="759"/>
    <cellStyle name="20% - Accent1 2 10 7 2 2 2" xfId="760"/>
    <cellStyle name="20% - Accent1 2 10 7 2 3" xfId="761"/>
    <cellStyle name="20% - Accent1 2 10 7 3" xfId="762"/>
    <cellStyle name="20% - Accent1 2 10 7 3 2" xfId="763"/>
    <cellStyle name="20% - Accent1 2 10 7 4" xfId="764"/>
    <cellStyle name="20% - Accent1 2 10 8" xfId="765"/>
    <cellStyle name="20% - Accent1 2 10 8 2" xfId="766"/>
    <cellStyle name="20% - Accent1 2 10 8 2 2" xfId="767"/>
    <cellStyle name="20% - Accent1 2 10 8 3" xfId="768"/>
    <cellStyle name="20% - Accent1 2 10 9" xfId="769"/>
    <cellStyle name="20% - Accent1 2 10 9 2" xfId="770"/>
    <cellStyle name="20% - Accent1 2 11" xfId="771"/>
    <cellStyle name="20% - Accent1 2 11 2" xfId="772"/>
    <cellStyle name="20% - Accent1 2 11 2 2" xfId="773"/>
    <cellStyle name="20% - Accent1 2 11 2 2 2" xfId="774"/>
    <cellStyle name="20% - Accent1 2 11 2 2 2 2" xfId="775"/>
    <cellStyle name="20% - Accent1 2 11 2 2 3" xfId="776"/>
    <cellStyle name="20% - Accent1 2 11 2 3" xfId="777"/>
    <cellStyle name="20% - Accent1 2 11 2 3 2" xfId="778"/>
    <cellStyle name="20% - Accent1 2 11 2 4" xfId="779"/>
    <cellStyle name="20% - Accent1 2 11 3" xfId="780"/>
    <cellStyle name="20% - Accent1 2 11 3 2" xfId="781"/>
    <cellStyle name="20% - Accent1 2 11 3 2 2" xfId="782"/>
    <cellStyle name="20% - Accent1 2 11 3 3" xfId="783"/>
    <cellStyle name="20% - Accent1 2 11 4" xfId="784"/>
    <cellStyle name="20% - Accent1 2 11 4 2" xfId="785"/>
    <cellStyle name="20% - Accent1 2 11 5" xfId="786"/>
    <cellStyle name="20% - Accent1 2 12" xfId="787"/>
    <cellStyle name="20% - Accent1 2 12 2" xfId="788"/>
    <cellStyle name="20% - Accent1 2 12 2 2" xfId="789"/>
    <cellStyle name="20% - Accent1 2 12 2 2 2" xfId="790"/>
    <cellStyle name="20% - Accent1 2 12 2 2 2 2" xfId="791"/>
    <cellStyle name="20% - Accent1 2 12 2 2 3" xfId="792"/>
    <cellStyle name="20% - Accent1 2 12 2 3" xfId="793"/>
    <cellStyle name="20% - Accent1 2 12 2 3 2" xfId="794"/>
    <cellStyle name="20% - Accent1 2 12 2 4" xfId="795"/>
    <cellStyle name="20% - Accent1 2 12 3" xfId="796"/>
    <cellStyle name="20% - Accent1 2 12 3 2" xfId="797"/>
    <cellStyle name="20% - Accent1 2 12 3 2 2" xfId="798"/>
    <cellStyle name="20% - Accent1 2 12 3 3" xfId="799"/>
    <cellStyle name="20% - Accent1 2 12 4" xfId="800"/>
    <cellStyle name="20% - Accent1 2 12 4 2" xfId="801"/>
    <cellStyle name="20% - Accent1 2 12 5" xfId="802"/>
    <cellStyle name="20% - Accent1 2 13" xfId="803"/>
    <cellStyle name="20% - Accent1 2 13 2" xfId="804"/>
    <cellStyle name="20% - Accent1 2 13 2 2" xfId="805"/>
    <cellStyle name="20% - Accent1 2 13 2 2 2" xfId="806"/>
    <cellStyle name="20% - Accent1 2 13 2 2 2 2" xfId="807"/>
    <cellStyle name="20% - Accent1 2 13 2 2 3" xfId="808"/>
    <cellStyle name="20% - Accent1 2 13 2 3" xfId="809"/>
    <cellStyle name="20% - Accent1 2 13 2 3 2" xfId="810"/>
    <cellStyle name="20% - Accent1 2 13 2 4" xfId="811"/>
    <cellStyle name="20% - Accent1 2 13 3" xfId="812"/>
    <cellStyle name="20% - Accent1 2 13 3 2" xfId="813"/>
    <cellStyle name="20% - Accent1 2 13 3 2 2" xfId="814"/>
    <cellStyle name="20% - Accent1 2 13 3 3" xfId="815"/>
    <cellStyle name="20% - Accent1 2 13 4" xfId="816"/>
    <cellStyle name="20% - Accent1 2 13 4 2" xfId="817"/>
    <cellStyle name="20% - Accent1 2 13 5" xfId="818"/>
    <cellStyle name="20% - Accent1 2 14" xfId="819"/>
    <cellStyle name="20% - Accent1 2 14 2" xfId="820"/>
    <cellStyle name="20% - Accent1 2 14 2 2" xfId="821"/>
    <cellStyle name="20% - Accent1 2 14 2 2 2" xfId="822"/>
    <cellStyle name="20% - Accent1 2 14 2 2 2 2" xfId="823"/>
    <cellStyle name="20% - Accent1 2 14 2 2 3" xfId="824"/>
    <cellStyle name="20% - Accent1 2 14 2 3" xfId="825"/>
    <cellStyle name="20% - Accent1 2 14 2 3 2" xfId="826"/>
    <cellStyle name="20% - Accent1 2 14 2 4" xfId="827"/>
    <cellStyle name="20% - Accent1 2 14 3" xfId="828"/>
    <cellStyle name="20% - Accent1 2 14 3 2" xfId="829"/>
    <cellStyle name="20% - Accent1 2 14 3 2 2" xfId="830"/>
    <cellStyle name="20% - Accent1 2 14 3 3" xfId="831"/>
    <cellStyle name="20% - Accent1 2 14 4" xfId="832"/>
    <cellStyle name="20% - Accent1 2 14 4 2" xfId="833"/>
    <cellStyle name="20% - Accent1 2 14 5" xfId="834"/>
    <cellStyle name="20% - Accent1 2 15" xfId="835"/>
    <cellStyle name="20% - Accent1 2 15 2" xfId="836"/>
    <cellStyle name="20% - Accent1 2 15 2 2" xfId="837"/>
    <cellStyle name="20% - Accent1 2 15 2 2 2" xfId="838"/>
    <cellStyle name="20% - Accent1 2 15 2 2 2 2" xfId="839"/>
    <cellStyle name="20% - Accent1 2 15 2 2 3" xfId="840"/>
    <cellStyle name="20% - Accent1 2 15 2 3" xfId="841"/>
    <cellStyle name="20% - Accent1 2 15 2 3 2" xfId="842"/>
    <cellStyle name="20% - Accent1 2 15 2 4" xfId="843"/>
    <cellStyle name="20% - Accent1 2 15 3" xfId="844"/>
    <cellStyle name="20% - Accent1 2 15 3 2" xfId="845"/>
    <cellStyle name="20% - Accent1 2 15 3 2 2" xfId="846"/>
    <cellStyle name="20% - Accent1 2 15 3 3" xfId="847"/>
    <cellStyle name="20% - Accent1 2 15 4" xfId="848"/>
    <cellStyle name="20% - Accent1 2 15 4 2" xfId="849"/>
    <cellStyle name="20% - Accent1 2 15 5" xfId="850"/>
    <cellStyle name="20% - Accent1 2 16" xfId="851"/>
    <cellStyle name="20% - Accent1 2 16 2" xfId="852"/>
    <cellStyle name="20% - Accent1 2 16 2 2" xfId="853"/>
    <cellStyle name="20% - Accent1 2 16 2 2 2" xfId="854"/>
    <cellStyle name="20% - Accent1 2 16 2 3" xfId="855"/>
    <cellStyle name="20% - Accent1 2 16 3" xfId="856"/>
    <cellStyle name="20% - Accent1 2 16 3 2" xfId="857"/>
    <cellStyle name="20% - Accent1 2 16 4" xfId="858"/>
    <cellStyle name="20% - Accent1 2 17" xfId="859"/>
    <cellStyle name="20% - Accent1 2 17 2" xfId="860"/>
    <cellStyle name="20% - Accent1 2 17 2 2" xfId="861"/>
    <cellStyle name="20% - Accent1 2 17 3" xfId="862"/>
    <cellStyle name="20% - Accent1 2 18" xfId="863"/>
    <cellStyle name="20% - Accent1 2 18 2" xfId="864"/>
    <cellStyle name="20% - Accent1 2 19" xfId="865"/>
    <cellStyle name="20% - Accent1 2 2" xfId="866"/>
    <cellStyle name="20% - Accent1 2 2 10" xfId="867"/>
    <cellStyle name="20% - Accent1 2 2 10 2" xfId="868"/>
    <cellStyle name="20% - Accent1 2 2 11" xfId="869"/>
    <cellStyle name="20% - Accent1 2 2 2" xfId="870"/>
    <cellStyle name="20% - Accent1 2 2 2 10" xfId="871"/>
    <cellStyle name="20% - Accent1 2 2 2 2" xfId="872"/>
    <cellStyle name="20% - Accent1 2 2 2 2 2" xfId="873"/>
    <cellStyle name="20% - Accent1 2 2 2 2 2 2" xfId="874"/>
    <cellStyle name="20% - Accent1 2 2 2 2 2 2 2" xfId="875"/>
    <cellStyle name="20% - Accent1 2 2 2 2 2 2 2 2" xfId="876"/>
    <cellStyle name="20% - Accent1 2 2 2 2 2 2 3" xfId="877"/>
    <cellStyle name="20% - Accent1 2 2 2 2 2 3" xfId="878"/>
    <cellStyle name="20% - Accent1 2 2 2 2 2 3 2" xfId="879"/>
    <cellStyle name="20% - Accent1 2 2 2 2 2 4" xfId="880"/>
    <cellStyle name="20% - Accent1 2 2 2 2 3" xfId="881"/>
    <cellStyle name="20% - Accent1 2 2 2 2 3 2" xfId="882"/>
    <cellStyle name="20% - Accent1 2 2 2 2 3 2 2" xfId="883"/>
    <cellStyle name="20% - Accent1 2 2 2 2 3 3" xfId="884"/>
    <cellStyle name="20% - Accent1 2 2 2 2 4" xfId="885"/>
    <cellStyle name="20% - Accent1 2 2 2 2 4 2" xfId="886"/>
    <cellStyle name="20% - Accent1 2 2 2 2 5" xfId="887"/>
    <cellStyle name="20% - Accent1 2 2 2 3" xfId="888"/>
    <cellStyle name="20% - Accent1 2 2 2 3 2" xfId="889"/>
    <cellStyle name="20% - Accent1 2 2 2 3 2 2" xfId="890"/>
    <cellStyle name="20% - Accent1 2 2 2 3 2 2 2" xfId="891"/>
    <cellStyle name="20% - Accent1 2 2 2 3 2 2 2 2" xfId="892"/>
    <cellStyle name="20% - Accent1 2 2 2 3 2 2 3" xfId="893"/>
    <cellStyle name="20% - Accent1 2 2 2 3 2 3" xfId="894"/>
    <cellStyle name="20% - Accent1 2 2 2 3 2 3 2" xfId="895"/>
    <cellStyle name="20% - Accent1 2 2 2 3 2 4" xfId="896"/>
    <cellStyle name="20% - Accent1 2 2 2 3 3" xfId="897"/>
    <cellStyle name="20% - Accent1 2 2 2 3 3 2" xfId="898"/>
    <cellStyle name="20% - Accent1 2 2 2 3 3 2 2" xfId="899"/>
    <cellStyle name="20% - Accent1 2 2 2 3 3 3" xfId="900"/>
    <cellStyle name="20% - Accent1 2 2 2 3 4" xfId="901"/>
    <cellStyle name="20% - Accent1 2 2 2 3 4 2" xfId="902"/>
    <cellStyle name="20% - Accent1 2 2 2 3 5" xfId="903"/>
    <cellStyle name="20% - Accent1 2 2 2 4" xfId="904"/>
    <cellStyle name="20% - Accent1 2 2 2 4 2" xfId="905"/>
    <cellStyle name="20% - Accent1 2 2 2 4 2 2" xfId="906"/>
    <cellStyle name="20% - Accent1 2 2 2 4 2 2 2" xfId="907"/>
    <cellStyle name="20% - Accent1 2 2 2 4 2 2 2 2" xfId="908"/>
    <cellStyle name="20% - Accent1 2 2 2 4 2 2 3" xfId="909"/>
    <cellStyle name="20% - Accent1 2 2 2 4 2 3" xfId="910"/>
    <cellStyle name="20% - Accent1 2 2 2 4 2 3 2" xfId="911"/>
    <cellStyle name="20% - Accent1 2 2 2 4 2 4" xfId="912"/>
    <cellStyle name="20% - Accent1 2 2 2 4 3" xfId="913"/>
    <cellStyle name="20% - Accent1 2 2 2 4 3 2" xfId="914"/>
    <cellStyle name="20% - Accent1 2 2 2 4 3 2 2" xfId="915"/>
    <cellStyle name="20% - Accent1 2 2 2 4 3 3" xfId="916"/>
    <cellStyle name="20% - Accent1 2 2 2 4 4" xfId="917"/>
    <cellStyle name="20% - Accent1 2 2 2 4 4 2" xfId="918"/>
    <cellStyle name="20% - Accent1 2 2 2 4 5" xfId="919"/>
    <cellStyle name="20% - Accent1 2 2 2 5" xfId="920"/>
    <cellStyle name="20% - Accent1 2 2 2 5 2" xfId="921"/>
    <cellStyle name="20% - Accent1 2 2 2 5 2 2" xfId="922"/>
    <cellStyle name="20% - Accent1 2 2 2 5 2 2 2" xfId="923"/>
    <cellStyle name="20% - Accent1 2 2 2 5 2 2 2 2" xfId="924"/>
    <cellStyle name="20% - Accent1 2 2 2 5 2 2 3" xfId="925"/>
    <cellStyle name="20% - Accent1 2 2 2 5 2 3" xfId="926"/>
    <cellStyle name="20% - Accent1 2 2 2 5 2 3 2" xfId="927"/>
    <cellStyle name="20% - Accent1 2 2 2 5 2 4" xfId="928"/>
    <cellStyle name="20% - Accent1 2 2 2 5 3" xfId="929"/>
    <cellStyle name="20% - Accent1 2 2 2 5 3 2" xfId="930"/>
    <cellStyle name="20% - Accent1 2 2 2 5 3 2 2" xfId="931"/>
    <cellStyle name="20% - Accent1 2 2 2 5 3 3" xfId="932"/>
    <cellStyle name="20% - Accent1 2 2 2 5 4" xfId="933"/>
    <cellStyle name="20% - Accent1 2 2 2 5 4 2" xfId="934"/>
    <cellStyle name="20% - Accent1 2 2 2 5 5" xfId="935"/>
    <cellStyle name="20% - Accent1 2 2 2 6" xfId="936"/>
    <cellStyle name="20% - Accent1 2 2 2 6 2" xfId="937"/>
    <cellStyle name="20% - Accent1 2 2 2 6 2 2" xfId="938"/>
    <cellStyle name="20% - Accent1 2 2 2 6 2 2 2" xfId="939"/>
    <cellStyle name="20% - Accent1 2 2 2 6 2 2 2 2" xfId="940"/>
    <cellStyle name="20% - Accent1 2 2 2 6 2 2 3" xfId="941"/>
    <cellStyle name="20% - Accent1 2 2 2 6 2 3" xfId="942"/>
    <cellStyle name="20% - Accent1 2 2 2 6 2 3 2" xfId="943"/>
    <cellStyle name="20% - Accent1 2 2 2 6 2 4" xfId="944"/>
    <cellStyle name="20% - Accent1 2 2 2 6 3" xfId="945"/>
    <cellStyle name="20% - Accent1 2 2 2 6 3 2" xfId="946"/>
    <cellStyle name="20% - Accent1 2 2 2 6 3 2 2" xfId="947"/>
    <cellStyle name="20% - Accent1 2 2 2 6 3 3" xfId="948"/>
    <cellStyle name="20% - Accent1 2 2 2 6 4" xfId="949"/>
    <cellStyle name="20% - Accent1 2 2 2 6 4 2" xfId="950"/>
    <cellStyle name="20% - Accent1 2 2 2 6 5" xfId="951"/>
    <cellStyle name="20% - Accent1 2 2 2 7" xfId="952"/>
    <cellStyle name="20% - Accent1 2 2 2 7 2" xfId="953"/>
    <cellStyle name="20% - Accent1 2 2 2 7 2 2" xfId="954"/>
    <cellStyle name="20% - Accent1 2 2 2 7 2 2 2" xfId="955"/>
    <cellStyle name="20% - Accent1 2 2 2 7 2 3" xfId="956"/>
    <cellStyle name="20% - Accent1 2 2 2 7 3" xfId="957"/>
    <cellStyle name="20% - Accent1 2 2 2 7 3 2" xfId="958"/>
    <cellStyle name="20% - Accent1 2 2 2 7 4" xfId="959"/>
    <cellStyle name="20% - Accent1 2 2 2 8" xfId="960"/>
    <cellStyle name="20% - Accent1 2 2 2 8 2" xfId="961"/>
    <cellStyle name="20% - Accent1 2 2 2 8 2 2" xfId="962"/>
    <cellStyle name="20% - Accent1 2 2 2 8 3" xfId="963"/>
    <cellStyle name="20% - Accent1 2 2 2 9" xfId="964"/>
    <cellStyle name="20% - Accent1 2 2 2 9 2" xfId="965"/>
    <cellStyle name="20% - Accent1 2 2 3" xfId="966"/>
    <cellStyle name="20% - Accent1 2 2 3 2" xfId="967"/>
    <cellStyle name="20% - Accent1 2 2 3 2 2" xfId="968"/>
    <cellStyle name="20% - Accent1 2 2 3 2 2 2" xfId="969"/>
    <cellStyle name="20% - Accent1 2 2 3 2 2 2 2" xfId="970"/>
    <cellStyle name="20% - Accent1 2 2 3 2 2 3" xfId="971"/>
    <cellStyle name="20% - Accent1 2 2 3 2 3" xfId="972"/>
    <cellStyle name="20% - Accent1 2 2 3 2 3 2" xfId="973"/>
    <cellStyle name="20% - Accent1 2 2 3 2 4" xfId="974"/>
    <cellStyle name="20% - Accent1 2 2 3 3" xfId="975"/>
    <cellStyle name="20% - Accent1 2 2 3 3 2" xfId="976"/>
    <cellStyle name="20% - Accent1 2 2 3 3 2 2" xfId="977"/>
    <cellStyle name="20% - Accent1 2 2 3 3 3" xfId="978"/>
    <cellStyle name="20% - Accent1 2 2 3 4" xfId="979"/>
    <cellStyle name="20% - Accent1 2 2 3 4 2" xfId="980"/>
    <cellStyle name="20% - Accent1 2 2 3 5" xfId="981"/>
    <cellStyle name="20% - Accent1 2 2 4" xfId="982"/>
    <cellStyle name="20% - Accent1 2 2 4 2" xfId="983"/>
    <cellStyle name="20% - Accent1 2 2 4 2 2" xfId="984"/>
    <cellStyle name="20% - Accent1 2 2 4 2 2 2" xfId="985"/>
    <cellStyle name="20% - Accent1 2 2 4 2 2 2 2" xfId="986"/>
    <cellStyle name="20% - Accent1 2 2 4 2 2 3" xfId="987"/>
    <cellStyle name="20% - Accent1 2 2 4 2 3" xfId="988"/>
    <cellStyle name="20% - Accent1 2 2 4 2 3 2" xfId="989"/>
    <cellStyle name="20% - Accent1 2 2 4 2 4" xfId="990"/>
    <cellStyle name="20% - Accent1 2 2 4 3" xfId="991"/>
    <cellStyle name="20% - Accent1 2 2 4 3 2" xfId="992"/>
    <cellStyle name="20% - Accent1 2 2 4 3 2 2" xfId="993"/>
    <cellStyle name="20% - Accent1 2 2 4 3 3" xfId="994"/>
    <cellStyle name="20% - Accent1 2 2 4 4" xfId="995"/>
    <cellStyle name="20% - Accent1 2 2 4 4 2" xfId="996"/>
    <cellStyle name="20% - Accent1 2 2 4 5" xfId="997"/>
    <cellStyle name="20% - Accent1 2 2 5" xfId="998"/>
    <cellStyle name="20% - Accent1 2 2 5 2" xfId="999"/>
    <cellStyle name="20% - Accent1 2 2 5 2 2" xfId="1000"/>
    <cellStyle name="20% - Accent1 2 2 5 2 2 2" xfId="1001"/>
    <cellStyle name="20% - Accent1 2 2 5 2 2 2 2" xfId="1002"/>
    <cellStyle name="20% - Accent1 2 2 5 2 2 3" xfId="1003"/>
    <cellStyle name="20% - Accent1 2 2 5 2 3" xfId="1004"/>
    <cellStyle name="20% - Accent1 2 2 5 2 3 2" xfId="1005"/>
    <cellStyle name="20% - Accent1 2 2 5 2 4" xfId="1006"/>
    <cellStyle name="20% - Accent1 2 2 5 3" xfId="1007"/>
    <cellStyle name="20% - Accent1 2 2 5 3 2" xfId="1008"/>
    <cellStyle name="20% - Accent1 2 2 5 3 2 2" xfId="1009"/>
    <cellStyle name="20% - Accent1 2 2 5 3 3" xfId="1010"/>
    <cellStyle name="20% - Accent1 2 2 5 4" xfId="1011"/>
    <cellStyle name="20% - Accent1 2 2 5 4 2" xfId="1012"/>
    <cellStyle name="20% - Accent1 2 2 5 5" xfId="1013"/>
    <cellStyle name="20% - Accent1 2 2 6" xfId="1014"/>
    <cellStyle name="20% - Accent1 2 2 6 2" xfId="1015"/>
    <cellStyle name="20% - Accent1 2 2 6 2 2" xfId="1016"/>
    <cellStyle name="20% - Accent1 2 2 6 2 2 2" xfId="1017"/>
    <cellStyle name="20% - Accent1 2 2 6 2 2 2 2" xfId="1018"/>
    <cellStyle name="20% - Accent1 2 2 6 2 2 3" xfId="1019"/>
    <cellStyle name="20% - Accent1 2 2 6 2 3" xfId="1020"/>
    <cellStyle name="20% - Accent1 2 2 6 2 3 2" xfId="1021"/>
    <cellStyle name="20% - Accent1 2 2 6 2 4" xfId="1022"/>
    <cellStyle name="20% - Accent1 2 2 6 3" xfId="1023"/>
    <cellStyle name="20% - Accent1 2 2 6 3 2" xfId="1024"/>
    <cellStyle name="20% - Accent1 2 2 6 3 2 2" xfId="1025"/>
    <cellStyle name="20% - Accent1 2 2 6 3 3" xfId="1026"/>
    <cellStyle name="20% - Accent1 2 2 6 4" xfId="1027"/>
    <cellStyle name="20% - Accent1 2 2 6 4 2" xfId="1028"/>
    <cellStyle name="20% - Accent1 2 2 6 5" xfId="1029"/>
    <cellStyle name="20% - Accent1 2 2 7" xfId="1030"/>
    <cellStyle name="20% - Accent1 2 2 7 2" xfId="1031"/>
    <cellStyle name="20% - Accent1 2 2 7 2 2" xfId="1032"/>
    <cellStyle name="20% - Accent1 2 2 7 2 2 2" xfId="1033"/>
    <cellStyle name="20% - Accent1 2 2 7 2 2 2 2" xfId="1034"/>
    <cellStyle name="20% - Accent1 2 2 7 2 2 3" xfId="1035"/>
    <cellStyle name="20% - Accent1 2 2 7 2 3" xfId="1036"/>
    <cellStyle name="20% - Accent1 2 2 7 2 3 2" xfId="1037"/>
    <cellStyle name="20% - Accent1 2 2 7 2 4" xfId="1038"/>
    <cellStyle name="20% - Accent1 2 2 7 3" xfId="1039"/>
    <cellStyle name="20% - Accent1 2 2 7 3 2" xfId="1040"/>
    <cellStyle name="20% - Accent1 2 2 7 3 2 2" xfId="1041"/>
    <cellStyle name="20% - Accent1 2 2 7 3 3" xfId="1042"/>
    <cellStyle name="20% - Accent1 2 2 7 4" xfId="1043"/>
    <cellStyle name="20% - Accent1 2 2 7 4 2" xfId="1044"/>
    <cellStyle name="20% - Accent1 2 2 7 5" xfId="1045"/>
    <cellStyle name="20% - Accent1 2 2 8" xfId="1046"/>
    <cellStyle name="20% - Accent1 2 2 8 2" xfId="1047"/>
    <cellStyle name="20% - Accent1 2 2 8 2 2" xfId="1048"/>
    <cellStyle name="20% - Accent1 2 2 8 2 2 2" xfId="1049"/>
    <cellStyle name="20% - Accent1 2 2 8 2 3" xfId="1050"/>
    <cellStyle name="20% - Accent1 2 2 8 3" xfId="1051"/>
    <cellStyle name="20% - Accent1 2 2 8 3 2" xfId="1052"/>
    <cellStyle name="20% - Accent1 2 2 8 4" xfId="1053"/>
    <cellStyle name="20% - Accent1 2 2 9" xfId="1054"/>
    <cellStyle name="20% - Accent1 2 2 9 2" xfId="1055"/>
    <cellStyle name="20% - Accent1 2 2 9 2 2" xfId="1056"/>
    <cellStyle name="20% - Accent1 2 2 9 3" xfId="1057"/>
    <cellStyle name="20% - Accent1 2 3" xfId="1058"/>
    <cellStyle name="20% - Accent1 2 3 10" xfId="1059"/>
    <cellStyle name="20% - Accent1 2 3 10 2" xfId="1060"/>
    <cellStyle name="20% - Accent1 2 3 11" xfId="1061"/>
    <cellStyle name="20% - Accent1 2 3 2" xfId="1062"/>
    <cellStyle name="20% - Accent1 2 3 2 10" xfId="1063"/>
    <cellStyle name="20% - Accent1 2 3 2 2" xfId="1064"/>
    <cellStyle name="20% - Accent1 2 3 2 2 2" xfId="1065"/>
    <cellStyle name="20% - Accent1 2 3 2 2 2 2" xfId="1066"/>
    <cellStyle name="20% - Accent1 2 3 2 2 2 2 2" xfId="1067"/>
    <cellStyle name="20% - Accent1 2 3 2 2 2 2 2 2" xfId="1068"/>
    <cellStyle name="20% - Accent1 2 3 2 2 2 2 3" xfId="1069"/>
    <cellStyle name="20% - Accent1 2 3 2 2 2 3" xfId="1070"/>
    <cellStyle name="20% - Accent1 2 3 2 2 2 3 2" xfId="1071"/>
    <cellStyle name="20% - Accent1 2 3 2 2 2 4" xfId="1072"/>
    <cellStyle name="20% - Accent1 2 3 2 2 3" xfId="1073"/>
    <cellStyle name="20% - Accent1 2 3 2 2 3 2" xfId="1074"/>
    <cellStyle name="20% - Accent1 2 3 2 2 3 2 2" xfId="1075"/>
    <cellStyle name="20% - Accent1 2 3 2 2 3 3" xfId="1076"/>
    <cellStyle name="20% - Accent1 2 3 2 2 4" xfId="1077"/>
    <cellStyle name="20% - Accent1 2 3 2 2 4 2" xfId="1078"/>
    <cellStyle name="20% - Accent1 2 3 2 2 5" xfId="1079"/>
    <cellStyle name="20% - Accent1 2 3 2 3" xfId="1080"/>
    <cellStyle name="20% - Accent1 2 3 2 3 2" xfId="1081"/>
    <cellStyle name="20% - Accent1 2 3 2 3 2 2" xfId="1082"/>
    <cellStyle name="20% - Accent1 2 3 2 3 2 2 2" xfId="1083"/>
    <cellStyle name="20% - Accent1 2 3 2 3 2 2 2 2" xfId="1084"/>
    <cellStyle name="20% - Accent1 2 3 2 3 2 2 3" xfId="1085"/>
    <cellStyle name="20% - Accent1 2 3 2 3 2 3" xfId="1086"/>
    <cellStyle name="20% - Accent1 2 3 2 3 2 3 2" xfId="1087"/>
    <cellStyle name="20% - Accent1 2 3 2 3 2 4" xfId="1088"/>
    <cellStyle name="20% - Accent1 2 3 2 3 3" xfId="1089"/>
    <cellStyle name="20% - Accent1 2 3 2 3 3 2" xfId="1090"/>
    <cellStyle name="20% - Accent1 2 3 2 3 3 2 2" xfId="1091"/>
    <cellStyle name="20% - Accent1 2 3 2 3 3 3" xfId="1092"/>
    <cellStyle name="20% - Accent1 2 3 2 3 4" xfId="1093"/>
    <cellStyle name="20% - Accent1 2 3 2 3 4 2" xfId="1094"/>
    <cellStyle name="20% - Accent1 2 3 2 3 5" xfId="1095"/>
    <cellStyle name="20% - Accent1 2 3 2 4" xfId="1096"/>
    <cellStyle name="20% - Accent1 2 3 2 4 2" xfId="1097"/>
    <cellStyle name="20% - Accent1 2 3 2 4 2 2" xfId="1098"/>
    <cellStyle name="20% - Accent1 2 3 2 4 2 2 2" xfId="1099"/>
    <cellStyle name="20% - Accent1 2 3 2 4 2 2 2 2" xfId="1100"/>
    <cellStyle name="20% - Accent1 2 3 2 4 2 2 3" xfId="1101"/>
    <cellStyle name="20% - Accent1 2 3 2 4 2 3" xfId="1102"/>
    <cellStyle name="20% - Accent1 2 3 2 4 2 3 2" xfId="1103"/>
    <cellStyle name="20% - Accent1 2 3 2 4 2 4" xfId="1104"/>
    <cellStyle name="20% - Accent1 2 3 2 4 3" xfId="1105"/>
    <cellStyle name="20% - Accent1 2 3 2 4 3 2" xfId="1106"/>
    <cellStyle name="20% - Accent1 2 3 2 4 3 2 2" xfId="1107"/>
    <cellStyle name="20% - Accent1 2 3 2 4 3 3" xfId="1108"/>
    <cellStyle name="20% - Accent1 2 3 2 4 4" xfId="1109"/>
    <cellStyle name="20% - Accent1 2 3 2 4 4 2" xfId="1110"/>
    <cellStyle name="20% - Accent1 2 3 2 4 5" xfId="1111"/>
    <cellStyle name="20% - Accent1 2 3 2 5" xfId="1112"/>
    <cellStyle name="20% - Accent1 2 3 2 5 2" xfId="1113"/>
    <cellStyle name="20% - Accent1 2 3 2 5 2 2" xfId="1114"/>
    <cellStyle name="20% - Accent1 2 3 2 5 2 2 2" xfId="1115"/>
    <cellStyle name="20% - Accent1 2 3 2 5 2 2 2 2" xfId="1116"/>
    <cellStyle name="20% - Accent1 2 3 2 5 2 2 3" xfId="1117"/>
    <cellStyle name="20% - Accent1 2 3 2 5 2 3" xfId="1118"/>
    <cellStyle name="20% - Accent1 2 3 2 5 2 3 2" xfId="1119"/>
    <cellStyle name="20% - Accent1 2 3 2 5 2 4" xfId="1120"/>
    <cellStyle name="20% - Accent1 2 3 2 5 3" xfId="1121"/>
    <cellStyle name="20% - Accent1 2 3 2 5 3 2" xfId="1122"/>
    <cellStyle name="20% - Accent1 2 3 2 5 3 2 2" xfId="1123"/>
    <cellStyle name="20% - Accent1 2 3 2 5 3 3" xfId="1124"/>
    <cellStyle name="20% - Accent1 2 3 2 5 4" xfId="1125"/>
    <cellStyle name="20% - Accent1 2 3 2 5 4 2" xfId="1126"/>
    <cellStyle name="20% - Accent1 2 3 2 5 5" xfId="1127"/>
    <cellStyle name="20% - Accent1 2 3 2 6" xfId="1128"/>
    <cellStyle name="20% - Accent1 2 3 2 6 2" xfId="1129"/>
    <cellStyle name="20% - Accent1 2 3 2 6 2 2" xfId="1130"/>
    <cellStyle name="20% - Accent1 2 3 2 6 2 2 2" xfId="1131"/>
    <cellStyle name="20% - Accent1 2 3 2 6 2 2 2 2" xfId="1132"/>
    <cellStyle name="20% - Accent1 2 3 2 6 2 2 3" xfId="1133"/>
    <cellStyle name="20% - Accent1 2 3 2 6 2 3" xfId="1134"/>
    <cellStyle name="20% - Accent1 2 3 2 6 2 3 2" xfId="1135"/>
    <cellStyle name="20% - Accent1 2 3 2 6 2 4" xfId="1136"/>
    <cellStyle name="20% - Accent1 2 3 2 6 3" xfId="1137"/>
    <cellStyle name="20% - Accent1 2 3 2 6 3 2" xfId="1138"/>
    <cellStyle name="20% - Accent1 2 3 2 6 3 2 2" xfId="1139"/>
    <cellStyle name="20% - Accent1 2 3 2 6 3 3" xfId="1140"/>
    <cellStyle name="20% - Accent1 2 3 2 6 4" xfId="1141"/>
    <cellStyle name="20% - Accent1 2 3 2 6 4 2" xfId="1142"/>
    <cellStyle name="20% - Accent1 2 3 2 6 5" xfId="1143"/>
    <cellStyle name="20% - Accent1 2 3 2 7" xfId="1144"/>
    <cellStyle name="20% - Accent1 2 3 2 7 2" xfId="1145"/>
    <cellStyle name="20% - Accent1 2 3 2 7 2 2" xfId="1146"/>
    <cellStyle name="20% - Accent1 2 3 2 7 2 2 2" xfId="1147"/>
    <cellStyle name="20% - Accent1 2 3 2 7 2 3" xfId="1148"/>
    <cellStyle name="20% - Accent1 2 3 2 7 3" xfId="1149"/>
    <cellStyle name="20% - Accent1 2 3 2 7 3 2" xfId="1150"/>
    <cellStyle name="20% - Accent1 2 3 2 7 4" xfId="1151"/>
    <cellStyle name="20% - Accent1 2 3 2 8" xfId="1152"/>
    <cellStyle name="20% - Accent1 2 3 2 8 2" xfId="1153"/>
    <cellStyle name="20% - Accent1 2 3 2 8 2 2" xfId="1154"/>
    <cellStyle name="20% - Accent1 2 3 2 8 3" xfId="1155"/>
    <cellStyle name="20% - Accent1 2 3 2 9" xfId="1156"/>
    <cellStyle name="20% - Accent1 2 3 2 9 2" xfId="1157"/>
    <cellStyle name="20% - Accent1 2 3 3" xfId="1158"/>
    <cellStyle name="20% - Accent1 2 3 3 2" xfId="1159"/>
    <cellStyle name="20% - Accent1 2 3 3 2 2" xfId="1160"/>
    <cellStyle name="20% - Accent1 2 3 3 2 2 2" xfId="1161"/>
    <cellStyle name="20% - Accent1 2 3 3 2 2 2 2" xfId="1162"/>
    <cellStyle name="20% - Accent1 2 3 3 2 2 3" xfId="1163"/>
    <cellStyle name="20% - Accent1 2 3 3 2 3" xfId="1164"/>
    <cellStyle name="20% - Accent1 2 3 3 2 3 2" xfId="1165"/>
    <cellStyle name="20% - Accent1 2 3 3 2 4" xfId="1166"/>
    <cellStyle name="20% - Accent1 2 3 3 3" xfId="1167"/>
    <cellStyle name="20% - Accent1 2 3 3 3 2" xfId="1168"/>
    <cellStyle name="20% - Accent1 2 3 3 3 2 2" xfId="1169"/>
    <cellStyle name="20% - Accent1 2 3 3 3 3" xfId="1170"/>
    <cellStyle name="20% - Accent1 2 3 3 4" xfId="1171"/>
    <cellStyle name="20% - Accent1 2 3 3 4 2" xfId="1172"/>
    <cellStyle name="20% - Accent1 2 3 3 5" xfId="1173"/>
    <cellStyle name="20% - Accent1 2 3 4" xfId="1174"/>
    <cellStyle name="20% - Accent1 2 3 4 2" xfId="1175"/>
    <cellStyle name="20% - Accent1 2 3 4 2 2" xfId="1176"/>
    <cellStyle name="20% - Accent1 2 3 4 2 2 2" xfId="1177"/>
    <cellStyle name="20% - Accent1 2 3 4 2 2 2 2" xfId="1178"/>
    <cellStyle name="20% - Accent1 2 3 4 2 2 3" xfId="1179"/>
    <cellStyle name="20% - Accent1 2 3 4 2 3" xfId="1180"/>
    <cellStyle name="20% - Accent1 2 3 4 2 3 2" xfId="1181"/>
    <cellStyle name="20% - Accent1 2 3 4 2 4" xfId="1182"/>
    <cellStyle name="20% - Accent1 2 3 4 3" xfId="1183"/>
    <cellStyle name="20% - Accent1 2 3 4 3 2" xfId="1184"/>
    <cellStyle name="20% - Accent1 2 3 4 3 2 2" xfId="1185"/>
    <cellStyle name="20% - Accent1 2 3 4 3 3" xfId="1186"/>
    <cellStyle name="20% - Accent1 2 3 4 4" xfId="1187"/>
    <cellStyle name="20% - Accent1 2 3 4 4 2" xfId="1188"/>
    <cellStyle name="20% - Accent1 2 3 4 5" xfId="1189"/>
    <cellStyle name="20% - Accent1 2 3 5" xfId="1190"/>
    <cellStyle name="20% - Accent1 2 3 5 2" xfId="1191"/>
    <cellStyle name="20% - Accent1 2 3 5 2 2" xfId="1192"/>
    <cellStyle name="20% - Accent1 2 3 5 2 2 2" xfId="1193"/>
    <cellStyle name="20% - Accent1 2 3 5 2 2 2 2" xfId="1194"/>
    <cellStyle name="20% - Accent1 2 3 5 2 2 3" xfId="1195"/>
    <cellStyle name="20% - Accent1 2 3 5 2 3" xfId="1196"/>
    <cellStyle name="20% - Accent1 2 3 5 2 3 2" xfId="1197"/>
    <cellStyle name="20% - Accent1 2 3 5 2 4" xfId="1198"/>
    <cellStyle name="20% - Accent1 2 3 5 3" xfId="1199"/>
    <cellStyle name="20% - Accent1 2 3 5 3 2" xfId="1200"/>
    <cellStyle name="20% - Accent1 2 3 5 3 2 2" xfId="1201"/>
    <cellStyle name="20% - Accent1 2 3 5 3 3" xfId="1202"/>
    <cellStyle name="20% - Accent1 2 3 5 4" xfId="1203"/>
    <cellStyle name="20% - Accent1 2 3 5 4 2" xfId="1204"/>
    <cellStyle name="20% - Accent1 2 3 5 5" xfId="1205"/>
    <cellStyle name="20% - Accent1 2 3 6" xfId="1206"/>
    <cellStyle name="20% - Accent1 2 3 6 2" xfId="1207"/>
    <cellStyle name="20% - Accent1 2 3 6 2 2" xfId="1208"/>
    <cellStyle name="20% - Accent1 2 3 6 2 2 2" xfId="1209"/>
    <cellStyle name="20% - Accent1 2 3 6 2 2 2 2" xfId="1210"/>
    <cellStyle name="20% - Accent1 2 3 6 2 2 3" xfId="1211"/>
    <cellStyle name="20% - Accent1 2 3 6 2 3" xfId="1212"/>
    <cellStyle name="20% - Accent1 2 3 6 2 3 2" xfId="1213"/>
    <cellStyle name="20% - Accent1 2 3 6 2 4" xfId="1214"/>
    <cellStyle name="20% - Accent1 2 3 6 3" xfId="1215"/>
    <cellStyle name="20% - Accent1 2 3 6 3 2" xfId="1216"/>
    <cellStyle name="20% - Accent1 2 3 6 3 2 2" xfId="1217"/>
    <cellStyle name="20% - Accent1 2 3 6 3 3" xfId="1218"/>
    <cellStyle name="20% - Accent1 2 3 6 4" xfId="1219"/>
    <cellStyle name="20% - Accent1 2 3 6 4 2" xfId="1220"/>
    <cellStyle name="20% - Accent1 2 3 6 5" xfId="1221"/>
    <cellStyle name="20% - Accent1 2 3 7" xfId="1222"/>
    <cellStyle name="20% - Accent1 2 3 7 2" xfId="1223"/>
    <cellStyle name="20% - Accent1 2 3 7 2 2" xfId="1224"/>
    <cellStyle name="20% - Accent1 2 3 7 2 2 2" xfId="1225"/>
    <cellStyle name="20% - Accent1 2 3 7 2 2 2 2" xfId="1226"/>
    <cellStyle name="20% - Accent1 2 3 7 2 2 3" xfId="1227"/>
    <cellStyle name="20% - Accent1 2 3 7 2 3" xfId="1228"/>
    <cellStyle name="20% - Accent1 2 3 7 2 3 2" xfId="1229"/>
    <cellStyle name="20% - Accent1 2 3 7 2 4" xfId="1230"/>
    <cellStyle name="20% - Accent1 2 3 7 3" xfId="1231"/>
    <cellStyle name="20% - Accent1 2 3 7 3 2" xfId="1232"/>
    <cellStyle name="20% - Accent1 2 3 7 3 2 2" xfId="1233"/>
    <cellStyle name="20% - Accent1 2 3 7 3 3" xfId="1234"/>
    <cellStyle name="20% - Accent1 2 3 7 4" xfId="1235"/>
    <cellStyle name="20% - Accent1 2 3 7 4 2" xfId="1236"/>
    <cellStyle name="20% - Accent1 2 3 7 5" xfId="1237"/>
    <cellStyle name="20% - Accent1 2 3 8" xfId="1238"/>
    <cellStyle name="20% - Accent1 2 3 8 2" xfId="1239"/>
    <cellStyle name="20% - Accent1 2 3 8 2 2" xfId="1240"/>
    <cellStyle name="20% - Accent1 2 3 8 2 2 2" xfId="1241"/>
    <cellStyle name="20% - Accent1 2 3 8 2 3" xfId="1242"/>
    <cellStyle name="20% - Accent1 2 3 8 3" xfId="1243"/>
    <cellStyle name="20% - Accent1 2 3 8 3 2" xfId="1244"/>
    <cellStyle name="20% - Accent1 2 3 8 4" xfId="1245"/>
    <cellStyle name="20% - Accent1 2 3 9" xfId="1246"/>
    <cellStyle name="20% - Accent1 2 3 9 2" xfId="1247"/>
    <cellStyle name="20% - Accent1 2 3 9 2 2" xfId="1248"/>
    <cellStyle name="20% - Accent1 2 3 9 3" xfId="1249"/>
    <cellStyle name="20% - Accent1 2 4" xfId="1250"/>
    <cellStyle name="20% - Accent1 2 4 10" xfId="1251"/>
    <cellStyle name="20% - Accent1 2 4 10 2" xfId="1252"/>
    <cellStyle name="20% - Accent1 2 4 11" xfId="1253"/>
    <cellStyle name="20% - Accent1 2 4 2" xfId="1254"/>
    <cellStyle name="20% - Accent1 2 4 2 10" xfId="1255"/>
    <cellStyle name="20% - Accent1 2 4 2 2" xfId="1256"/>
    <cellStyle name="20% - Accent1 2 4 2 2 2" xfId="1257"/>
    <cellStyle name="20% - Accent1 2 4 2 2 2 2" xfId="1258"/>
    <cellStyle name="20% - Accent1 2 4 2 2 2 2 2" xfId="1259"/>
    <cellStyle name="20% - Accent1 2 4 2 2 2 2 2 2" xfId="1260"/>
    <cellStyle name="20% - Accent1 2 4 2 2 2 2 3" xfId="1261"/>
    <cellStyle name="20% - Accent1 2 4 2 2 2 3" xfId="1262"/>
    <cellStyle name="20% - Accent1 2 4 2 2 2 3 2" xfId="1263"/>
    <cellStyle name="20% - Accent1 2 4 2 2 2 4" xfId="1264"/>
    <cellStyle name="20% - Accent1 2 4 2 2 3" xfId="1265"/>
    <cellStyle name="20% - Accent1 2 4 2 2 3 2" xfId="1266"/>
    <cellStyle name="20% - Accent1 2 4 2 2 3 2 2" xfId="1267"/>
    <cellStyle name="20% - Accent1 2 4 2 2 3 3" xfId="1268"/>
    <cellStyle name="20% - Accent1 2 4 2 2 4" xfId="1269"/>
    <cellStyle name="20% - Accent1 2 4 2 2 4 2" xfId="1270"/>
    <cellStyle name="20% - Accent1 2 4 2 2 5" xfId="1271"/>
    <cellStyle name="20% - Accent1 2 4 2 3" xfId="1272"/>
    <cellStyle name="20% - Accent1 2 4 2 3 2" xfId="1273"/>
    <cellStyle name="20% - Accent1 2 4 2 3 2 2" xfId="1274"/>
    <cellStyle name="20% - Accent1 2 4 2 3 2 2 2" xfId="1275"/>
    <cellStyle name="20% - Accent1 2 4 2 3 2 2 2 2" xfId="1276"/>
    <cellStyle name="20% - Accent1 2 4 2 3 2 2 3" xfId="1277"/>
    <cellStyle name="20% - Accent1 2 4 2 3 2 3" xfId="1278"/>
    <cellStyle name="20% - Accent1 2 4 2 3 2 3 2" xfId="1279"/>
    <cellStyle name="20% - Accent1 2 4 2 3 2 4" xfId="1280"/>
    <cellStyle name="20% - Accent1 2 4 2 3 3" xfId="1281"/>
    <cellStyle name="20% - Accent1 2 4 2 3 3 2" xfId="1282"/>
    <cellStyle name="20% - Accent1 2 4 2 3 3 2 2" xfId="1283"/>
    <cellStyle name="20% - Accent1 2 4 2 3 3 3" xfId="1284"/>
    <cellStyle name="20% - Accent1 2 4 2 3 4" xfId="1285"/>
    <cellStyle name="20% - Accent1 2 4 2 3 4 2" xfId="1286"/>
    <cellStyle name="20% - Accent1 2 4 2 3 5" xfId="1287"/>
    <cellStyle name="20% - Accent1 2 4 2 4" xfId="1288"/>
    <cellStyle name="20% - Accent1 2 4 2 4 2" xfId="1289"/>
    <cellStyle name="20% - Accent1 2 4 2 4 2 2" xfId="1290"/>
    <cellStyle name="20% - Accent1 2 4 2 4 2 2 2" xfId="1291"/>
    <cellStyle name="20% - Accent1 2 4 2 4 2 2 2 2" xfId="1292"/>
    <cellStyle name="20% - Accent1 2 4 2 4 2 2 3" xfId="1293"/>
    <cellStyle name="20% - Accent1 2 4 2 4 2 3" xfId="1294"/>
    <cellStyle name="20% - Accent1 2 4 2 4 2 3 2" xfId="1295"/>
    <cellStyle name="20% - Accent1 2 4 2 4 2 4" xfId="1296"/>
    <cellStyle name="20% - Accent1 2 4 2 4 3" xfId="1297"/>
    <cellStyle name="20% - Accent1 2 4 2 4 3 2" xfId="1298"/>
    <cellStyle name="20% - Accent1 2 4 2 4 3 2 2" xfId="1299"/>
    <cellStyle name="20% - Accent1 2 4 2 4 3 3" xfId="1300"/>
    <cellStyle name="20% - Accent1 2 4 2 4 4" xfId="1301"/>
    <cellStyle name="20% - Accent1 2 4 2 4 4 2" xfId="1302"/>
    <cellStyle name="20% - Accent1 2 4 2 4 5" xfId="1303"/>
    <cellStyle name="20% - Accent1 2 4 2 5" xfId="1304"/>
    <cellStyle name="20% - Accent1 2 4 2 5 2" xfId="1305"/>
    <cellStyle name="20% - Accent1 2 4 2 5 2 2" xfId="1306"/>
    <cellStyle name="20% - Accent1 2 4 2 5 2 2 2" xfId="1307"/>
    <cellStyle name="20% - Accent1 2 4 2 5 2 2 2 2" xfId="1308"/>
    <cellStyle name="20% - Accent1 2 4 2 5 2 2 3" xfId="1309"/>
    <cellStyle name="20% - Accent1 2 4 2 5 2 3" xfId="1310"/>
    <cellStyle name="20% - Accent1 2 4 2 5 2 3 2" xfId="1311"/>
    <cellStyle name="20% - Accent1 2 4 2 5 2 4" xfId="1312"/>
    <cellStyle name="20% - Accent1 2 4 2 5 3" xfId="1313"/>
    <cellStyle name="20% - Accent1 2 4 2 5 3 2" xfId="1314"/>
    <cellStyle name="20% - Accent1 2 4 2 5 3 2 2" xfId="1315"/>
    <cellStyle name="20% - Accent1 2 4 2 5 3 3" xfId="1316"/>
    <cellStyle name="20% - Accent1 2 4 2 5 4" xfId="1317"/>
    <cellStyle name="20% - Accent1 2 4 2 5 4 2" xfId="1318"/>
    <cellStyle name="20% - Accent1 2 4 2 5 5" xfId="1319"/>
    <cellStyle name="20% - Accent1 2 4 2 6" xfId="1320"/>
    <cellStyle name="20% - Accent1 2 4 2 6 2" xfId="1321"/>
    <cellStyle name="20% - Accent1 2 4 2 6 2 2" xfId="1322"/>
    <cellStyle name="20% - Accent1 2 4 2 6 2 2 2" xfId="1323"/>
    <cellStyle name="20% - Accent1 2 4 2 6 2 2 2 2" xfId="1324"/>
    <cellStyle name="20% - Accent1 2 4 2 6 2 2 3" xfId="1325"/>
    <cellStyle name="20% - Accent1 2 4 2 6 2 3" xfId="1326"/>
    <cellStyle name="20% - Accent1 2 4 2 6 2 3 2" xfId="1327"/>
    <cellStyle name="20% - Accent1 2 4 2 6 2 4" xfId="1328"/>
    <cellStyle name="20% - Accent1 2 4 2 6 3" xfId="1329"/>
    <cellStyle name="20% - Accent1 2 4 2 6 3 2" xfId="1330"/>
    <cellStyle name="20% - Accent1 2 4 2 6 3 2 2" xfId="1331"/>
    <cellStyle name="20% - Accent1 2 4 2 6 3 3" xfId="1332"/>
    <cellStyle name="20% - Accent1 2 4 2 6 4" xfId="1333"/>
    <cellStyle name="20% - Accent1 2 4 2 6 4 2" xfId="1334"/>
    <cellStyle name="20% - Accent1 2 4 2 6 5" xfId="1335"/>
    <cellStyle name="20% - Accent1 2 4 2 7" xfId="1336"/>
    <cellStyle name="20% - Accent1 2 4 2 7 2" xfId="1337"/>
    <cellStyle name="20% - Accent1 2 4 2 7 2 2" xfId="1338"/>
    <cellStyle name="20% - Accent1 2 4 2 7 2 2 2" xfId="1339"/>
    <cellStyle name="20% - Accent1 2 4 2 7 2 3" xfId="1340"/>
    <cellStyle name="20% - Accent1 2 4 2 7 3" xfId="1341"/>
    <cellStyle name="20% - Accent1 2 4 2 7 3 2" xfId="1342"/>
    <cellStyle name="20% - Accent1 2 4 2 7 4" xfId="1343"/>
    <cellStyle name="20% - Accent1 2 4 2 8" xfId="1344"/>
    <cellStyle name="20% - Accent1 2 4 2 8 2" xfId="1345"/>
    <cellStyle name="20% - Accent1 2 4 2 8 2 2" xfId="1346"/>
    <cellStyle name="20% - Accent1 2 4 2 8 3" xfId="1347"/>
    <cellStyle name="20% - Accent1 2 4 2 9" xfId="1348"/>
    <cellStyle name="20% - Accent1 2 4 2 9 2" xfId="1349"/>
    <cellStyle name="20% - Accent1 2 4 3" xfId="1350"/>
    <cellStyle name="20% - Accent1 2 4 3 2" xfId="1351"/>
    <cellStyle name="20% - Accent1 2 4 3 2 2" xfId="1352"/>
    <cellStyle name="20% - Accent1 2 4 3 2 2 2" xfId="1353"/>
    <cellStyle name="20% - Accent1 2 4 3 2 2 2 2" xfId="1354"/>
    <cellStyle name="20% - Accent1 2 4 3 2 2 3" xfId="1355"/>
    <cellStyle name="20% - Accent1 2 4 3 2 3" xfId="1356"/>
    <cellStyle name="20% - Accent1 2 4 3 2 3 2" xfId="1357"/>
    <cellStyle name="20% - Accent1 2 4 3 2 4" xfId="1358"/>
    <cellStyle name="20% - Accent1 2 4 3 3" xfId="1359"/>
    <cellStyle name="20% - Accent1 2 4 3 3 2" xfId="1360"/>
    <cellStyle name="20% - Accent1 2 4 3 3 2 2" xfId="1361"/>
    <cellStyle name="20% - Accent1 2 4 3 3 3" xfId="1362"/>
    <cellStyle name="20% - Accent1 2 4 3 4" xfId="1363"/>
    <cellStyle name="20% - Accent1 2 4 3 4 2" xfId="1364"/>
    <cellStyle name="20% - Accent1 2 4 3 5" xfId="1365"/>
    <cellStyle name="20% - Accent1 2 4 4" xfId="1366"/>
    <cellStyle name="20% - Accent1 2 4 4 2" xfId="1367"/>
    <cellStyle name="20% - Accent1 2 4 4 2 2" xfId="1368"/>
    <cellStyle name="20% - Accent1 2 4 4 2 2 2" xfId="1369"/>
    <cellStyle name="20% - Accent1 2 4 4 2 2 2 2" xfId="1370"/>
    <cellStyle name="20% - Accent1 2 4 4 2 2 3" xfId="1371"/>
    <cellStyle name="20% - Accent1 2 4 4 2 3" xfId="1372"/>
    <cellStyle name="20% - Accent1 2 4 4 2 3 2" xfId="1373"/>
    <cellStyle name="20% - Accent1 2 4 4 2 4" xfId="1374"/>
    <cellStyle name="20% - Accent1 2 4 4 3" xfId="1375"/>
    <cellStyle name="20% - Accent1 2 4 4 3 2" xfId="1376"/>
    <cellStyle name="20% - Accent1 2 4 4 3 2 2" xfId="1377"/>
    <cellStyle name="20% - Accent1 2 4 4 3 3" xfId="1378"/>
    <cellStyle name="20% - Accent1 2 4 4 4" xfId="1379"/>
    <cellStyle name="20% - Accent1 2 4 4 4 2" xfId="1380"/>
    <cellStyle name="20% - Accent1 2 4 4 5" xfId="1381"/>
    <cellStyle name="20% - Accent1 2 4 5" xfId="1382"/>
    <cellStyle name="20% - Accent1 2 4 5 2" xfId="1383"/>
    <cellStyle name="20% - Accent1 2 4 5 2 2" xfId="1384"/>
    <cellStyle name="20% - Accent1 2 4 5 2 2 2" xfId="1385"/>
    <cellStyle name="20% - Accent1 2 4 5 2 2 2 2" xfId="1386"/>
    <cellStyle name="20% - Accent1 2 4 5 2 2 3" xfId="1387"/>
    <cellStyle name="20% - Accent1 2 4 5 2 3" xfId="1388"/>
    <cellStyle name="20% - Accent1 2 4 5 2 3 2" xfId="1389"/>
    <cellStyle name="20% - Accent1 2 4 5 2 4" xfId="1390"/>
    <cellStyle name="20% - Accent1 2 4 5 3" xfId="1391"/>
    <cellStyle name="20% - Accent1 2 4 5 3 2" xfId="1392"/>
    <cellStyle name="20% - Accent1 2 4 5 3 2 2" xfId="1393"/>
    <cellStyle name="20% - Accent1 2 4 5 3 3" xfId="1394"/>
    <cellStyle name="20% - Accent1 2 4 5 4" xfId="1395"/>
    <cellStyle name="20% - Accent1 2 4 5 4 2" xfId="1396"/>
    <cellStyle name="20% - Accent1 2 4 5 5" xfId="1397"/>
    <cellStyle name="20% - Accent1 2 4 6" xfId="1398"/>
    <cellStyle name="20% - Accent1 2 4 6 2" xfId="1399"/>
    <cellStyle name="20% - Accent1 2 4 6 2 2" xfId="1400"/>
    <cellStyle name="20% - Accent1 2 4 6 2 2 2" xfId="1401"/>
    <cellStyle name="20% - Accent1 2 4 6 2 2 2 2" xfId="1402"/>
    <cellStyle name="20% - Accent1 2 4 6 2 2 3" xfId="1403"/>
    <cellStyle name="20% - Accent1 2 4 6 2 3" xfId="1404"/>
    <cellStyle name="20% - Accent1 2 4 6 2 3 2" xfId="1405"/>
    <cellStyle name="20% - Accent1 2 4 6 2 4" xfId="1406"/>
    <cellStyle name="20% - Accent1 2 4 6 3" xfId="1407"/>
    <cellStyle name="20% - Accent1 2 4 6 3 2" xfId="1408"/>
    <cellStyle name="20% - Accent1 2 4 6 3 2 2" xfId="1409"/>
    <cellStyle name="20% - Accent1 2 4 6 3 3" xfId="1410"/>
    <cellStyle name="20% - Accent1 2 4 6 4" xfId="1411"/>
    <cellStyle name="20% - Accent1 2 4 6 4 2" xfId="1412"/>
    <cellStyle name="20% - Accent1 2 4 6 5" xfId="1413"/>
    <cellStyle name="20% - Accent1 2 4 7" xfId="1414"/>
    <cellStyle name="20% - Accent1 2 4 7 2" xfId="1415"/>
    <cellStyle name="20% - Accent1 2 4 7 2 2" xfId="1416"/>
    <cellStyle name="20% - Accent1 2 4 7 2 2 2" xfId="1417"/>
    <cellStyle name="20% - Accent1 2 4 7 2 2 2 2" xfId="1418"/>
    <cellStyle name="20% - Accent1 2 4 7 2 2 3" xfId="1419"/>
    <cellStyle name="20% - Accent1 2 4 7 2 3" xfId="1420"/>
    <cellStyle name="20% - Accent1 2 4 7 2 3 2" xfId="1421"/>
    <cellStyle name="20% - Accent1 2 4 7 2 4" xfId="1422"/>
    <cellStyle name="20% - Accent1 2 4 7 3" xfId="1423"/>
    <cellStyle name="20% - Accent1 2 4 7 3 2" xfId="1424"/>
    <cellStyle name="20% - Accent1 2 4 7 3 2 2" xfId="1425"/>
    <cellStyle name="20% - Accent1 2 4 7 3 3" xfId="1426"/>
    <cellStyle name="20% - Accent1 2 4 7 4" xfId="1427"/>
    <cellStyle name="20% - Accent1 2 4 7 4 2" xfId="1428"/>
    <cellStyle name="20% - Accent1 2 4 7 5" xfId="1429"/>
    <cellStyle name="20% - Accent1 2 4 8" xfId="1430"/>
    <cellStyle name="20% - Accent1 2 4 8 2" xfId="1431"/>
    <cellStyle name="20% - Accent1 2 4 8 2 2" xfId="1432"/>
    <cellStyle name="20% - Accent1 2 4 8 2 2 2" xfId="1433"/>
    <cellStyle name="20% - Accent1 2 4 8 2 3" xfId="1434"/>
    <cellStyle name="20% - Accent1 2 4 8 3" xfId="1435"/>
    <cellStyle name="20% - Accent1 2 4 8 3 2" xfId="1436"/>
    <cellStyle name="20% - Accent1 2 4 8 4" xfId="1437"/>
    <cellStyle name="20% - Accent1 2 4 9" xfId="1438"/>
    <cellStyle name="20% - Accent1 2 4 9 2" xfId="1439"/>
    <cellStyle name="20% - Accent1 2 4 9 2 2" xfId="1440"/>
    <cellStyle name="20% - Accent1 2 4 9 3" xfId="1441"/>
    <cellStyle name="20% - Accent1 2 5" xfId="1442"/>
    <cellStyle name="20% - Accent1 2 5 10" xfId="1443"/>
    <cellStyle name="20% - Accent1 2 5 10 2" xfId="1444"/>
    <cellStyle name="20% - Accent1 2 5 11" xfId="1445"/>
    <cellStyle name="20% - Accent1 2 5 2" xfId="1446"/>
    <cellStyle name="20% - Accent1 2 5 2 10" xfId="1447"/>
    <cellStyle name="20% - Accent1 2 5 2 2" xfId="1448"/>
    <cellStyle name="20% - Accent1 2 5 2 2 2" xfId="1449"/>
    <cellStyle name="20% - Accent1 2 5 2 2 2 2" xfId="1450"/>
    <cellStyle name="20% - Accent1 2 5 2 2 2 2 2" xfId="1451"/>
    <cellStyle name="20% - Accent1 2 5 2 2 2 2 2 2" xfId="1452"/>
    <cellStyle name="20% - Accent1 2 5 2 2 2 2 3" xfId="1453"/>
    <cellStyle name="20% - Accent1 2 5 2 2 2 3" xfId="1454"/>
    <cellStyle name="20% - Accent1 2 5 2 2 2 3 2" xfId="1455"/>
    <cellStyle name="20% - Accent1 2 5 2 2 2 4" xfId="1456"/>
    <cellStyle name="20% - Accent1 2 5 2 2 3" xfId="1457"/>
    <cellStyle name="20% - Accent1 2 5 2 2 3 2" xfId="1458"/>
    <cellStyle name="20% - Accent1 2 5 2 2 3 2 2" xfId="1459"/>
    <cellStyle name="20% - Accent1 2 5 2 2 3 3" xfId="1460"/>
    <cellStyle name="20% - Accent1 2 5 2 2 4" xfId="1461"/>
    <cellStyle name="20% - Accent1 2 5 2 2 4 2" xfId="1462"/>
    <cellStyle name="20% - Accent1 2 5 2 2 5" xfId="1463"/>
    <cellStyle name="20% - Accent1 2 5 2 3" xfId="1464"/>
    <cellStyle name="20% - Accent1 2 5 2 3 2" xfId="1465"/>
    <cellStyle name="20% - Accent1 2 5 2 3 2 2" xfId="1466"/>
    <cellStyle name="20% - Accent1 2 5 2 3 2 2 2" xfId="1467"/>
    <cellStyle name="20% - Accent1 2 5 2 3 2 2 2 2" xfId="1468"/>
    <cellStyle name="20% - Accent1 2 5 2 3 2 2 3" xfId="1469"/>
    <cellStyle name="20% - Accent1 2 5 2 3 2 3" xfId="1470"/>
    <cellStyle name="20% - Accent1 2 5 2 3 2 3 2" xfId="1471"/>
    <cellStyle name="20% - Accent1 2 5 2 3 2 4" xfId="1472"/>
    <cellStyle name="20% - Accent1 2 5 2 3 3" xfId="1473"/>
    <cellStyle name="20% - Accent1 2 5 2 3 3 2" xfId="1474"/>
    <cellStyle name="20% - Accent1 2 5 2 3 3 2 2" xfId="1475"/>
    <cellStyle name="20% - Accent1 2 5 2 3 3 3" xfId="1476"/>
    <cellStyle name="20% - Accent1 2 5 2 3 4" xfId="1477"/>
    <cellStyle name="20% - Accent1 2 5 2 3 4 2" xfId="1478"/>
    <cellStyle name="20% - Accent1 2 5 2 3 5" xfId="1479"/>
    <cellStyle name="20% - Accent1 2 5 2 4" xfId="1480"/>
    <cellStyle name="20% - Accent1 2 5 2 4 2" xfId="1481"/>
    <cellStyle name="20% - Accent1 2 5 2 4 2 2" xfId="1482"/>
    <cellStyle name="20% - Accent1 2 5 2 4 2 2 2" xfId="1483"/>
    <cellStyle name="20% - Accent1 2 5 2 4 2 2 2 2" xfId="1484"/>
    <cellStyle name="20% - Accent1 2 5 2 4 2 2 3" xfId="1485"/>
    <cellStyle name="20% - Accent1 2 5 2 4 2 3" xfId="1486"/>
    <cellStyle name="20% - Accent1 2 5 2 4 2 3 2" xfId="1487"/>
    <cellStyle name="20% - Accent1 2 5 2 4 2 4" xfId="1488"/>
    <cellStyle name="20% - Accent1 2 5 2 4 3" xfId="1489"/>
    <cellStyle name="20% - Accent1 2 5 2 4 3 2" xfId="1490"/>
    <cellStyle name="20% - Accent1 2 5 2 4 3 2 2" xfId="1491"/>
    <cellStyle name="20% - Accent1 2 5 2 4 3 3" xfId="1492"/>
    <cellStyle name="20% - Accent1 2 5 2 4 4" xfId="1493"/>
    <cellStyle name="20% - Accent1 2 5 2 4 4 2" xfId="1494"/>
    <cellStyle name="20% - Accent1 2 5 2 4 5" xfId="1495"/>
    <cellStyle name="20% - Accent1 2 5 2 5" xfId="1496"/>
    <cellStyle name="20% - Accent1 2 5 2 5 2" xfId="1497"/>
    <cellStyle name="20% - Accent1 2 5 2 5 2 2" xfId="1498"/>
    <cellStyle name="20% - Accent1 2 5 2 5 2 2 2" xfId="1499"/>
    <cellStyle name="20% - Accent1 2 5 2 5 2 2 2 2" xfId="1500"/>
    <cellStyle name="20% - Accent1 2 5 2 5 2 2 3" xfId="1501"/>
    <cellStyle name="20% - Accent1 2 5 2 5 2 3" xfId="1502"/>
    <cellStyle name="20% - Accent1 2 5 2 5 2 3 2" xfId="1503"/>
    <cellStyle name="20% - Accent1 2 5 2 5 2 4" xfId="1504"/>
    <cellStyle name="20% - Accent1 2 5 2 5 3" xfId="1505"/>
    <cellStyle name="20% - Accent1 2 5 2 5 3 2" xfId="1506"/>
    <cellStyle name="20% - Accent1 2 5 2 5 3 2 2" xfId="1507"/>
    <cellStyle name="20% - Accent1 2 5 2 5 3 3" xfId="1508"/>
    <cellStyle name="20% - Accent1 2 5 2 5 4" xfId="1509"/>
    <cellStyle name="20% - Accent1 2 5 2 5 4 2" xfId="1510"/>
    <cellStyle name="20% - Accent1 2 5 2 5 5" xfId="1511"/>
    <cellStyle name="20% - Accent1 2 5 2 6" xfId="1512"/>
    <cellStyle name="20% - Accent1 2 5 2 6 2" xfId="1513"/>
    <cellStyle name="20% - Accent1 2 5 2 6 2 2" xfId="1514"/>
    <cellStyle name="20% - Accent1 2 5 2 6 2 2 2" xfId="1515"/>
    <cellStyle name="20% - Accent1 2 5 2 6 2 2 2 2" xfId="1516"/>
    <cellStyle name="20% - Accent1 2 5 2 6 2 2 3" xfId="1517"/>
    <cellStyle name="20% - Accent1 2 5 2 6 2 3" xfId="1518"/>
    <cellStyle name="20% - Accent1 2 5 2 6 2 3 2" xfId="1519"/>
    <cellStyle name="20% - Accent1 2 5 2 6 2 4" xfId="1520"/>
    <cellStyle name="20% - Accent1 2 5 2 6 3" xfId="1521"/>
    <cellStyle name="20% - Accent1 2 5 2 6 3 2" xfId="1522"/>
    <cellStyle name="20% - Accent1 2 5 2 6 3 2 2" xfId="1523"/>
    <cellStyle name="20% - Accent1 2 5 2 6 3 3" xfId="1524"/>
    <cellStyle name="20% - Accent1 2 5 2 6 4" xfId="1525"/>
    <cellStyle name="20% - Accent1 2 5 2 6 4 2" xfId="1526"/>
    <cellStyle name="20% - Accent1 2 5 2 6 5" xfId="1527"/>
    <cellStyle name="20% - Accent1 2 5 2 7" xfId="1528"/>
    <cellStyle name="20% - Accent1 2 5 2 7 2" xfId="1529"/>
    <cellStyle name="20% - Accent1 2 5 2 7 2 2" xfId="1530"/>
    <cellStyle name="20% - Accent1 2 5 2 7 2 2 2" xfId="1531"/>
    <cellStyle name="20% - Accent1 2 5 2 7 2 3" xfId="1532"/>
    <cellStyle name="20% - Accent1 2 5 2 7 3" xfId="1533"/>
    <cellStyle name="20% - Accent1 2 5 2 7 3 2" xfId="1534"/>
    <cellStyle name="20% - Accent1 2 5 2 7 4" xfId="1535"/>
    <cellStyle name="20% - Accent1 2 5 2 8" xfId="1536"/>
    <cellStyle name="20% - Accent1 2 5 2 8 2" xfId="1537"/>
    <cellStyle name="20% - Accent1 2 5 2 8 2 2" xfId="1538"/>
    <cellStyle name="20% - Accent1 2 5 2 8 3" xfId="1539"/>
    <cellStyle name="20% - Accent1 2 5 2 9" xfId="1540"/>
    <cellStyle name="20% - Accent1 2 5 2 9 2" xfId="1541"/>
    <cellStyle name="20% - Accent1 2 5 3" xfId="1542"/>
    <cellStyle name="20% - Accent1 2 5 3 2" xfId="1543"/>
    <cellStyle name="20% - Accent1 2 5 3 2 2" xfId="1544"/>
    <cellStyle name="20% - Accent1 2 5 3 2 2 2" xfId="1545"/>
    <cellStyle name="20% - Accent1 2 5 3 2 2 2 2" xfId="1546"/>
    <cellStyle name="20% - Accent1 2 5 3 2 2 3" xfId="1547"/>
    <cellStyle name="20% - Accent1 2 5 3 2 3" xfId="1548"/>
    <cellStyle name="20% - Accent1 2 5 3 2 3 2" xfId="1549"/>
    <cellStyle name="20% - Accent1 2 5 3 2 4" xfId="1550"/>
    <cellStyle name="20% - Accent1 2 5 3 3" xfId="1551"/>
    <cellStyle name="20% - Accent1 2 5 3 3 2" xfId="1552"/>
    <cellStyle name="20% - Accent1 2 5 3 3 2 2" xfId="1553"/>
    <cellStyle name="20% - Accent1 2 5 3 3 3" xfId="1554"/>
    <cellStyle name="20% - Accent1 2 5 3 4" xfId="1555"/>
    <cellStyle name="20% - Accent1 2 5 3 4 2" xfId="1556"/>
    <cellStyle name="20% - Accent1 2 5 3 5" xfId="1557"/>
    <cellStyle name="20% - Accent1 2 5 4" xfId="1558"/>
    <cellStyle name="20% - Accent1 2 5 4 2" xfId="1559"/>
    <cellStyle name="20% - Accent1 2 5 4 2 2" xfId="1560"/>
    <cellStyle name="20% - Accent1 2 5 4 2 2 2" xfId="1561"/>
    <cellStyle name="20% - Accent1 2 5 4 2 2 2 2" xfId="1562"/>
    <cellStyle name="20% - Accent1 2 5 4 2 2 3" xfId="1563"/>
    <cellStyle name="20% - Accent1 2 5 4 2 3" xfId="1564"/>
    <cellStyle name="20% - Accent1 2 5 4 2 3 2" xfId="1565"/>
    <cellStyle name="20% - Accent1 2 5 4 2 4" xfId="1566"/>
    <cellStyle name="20% - Accent1 2 5 4 3" xfId="1567"/>
    <cellStyle name="20% - Accent1 2 5 4 3 2" xfId="1568"/>
    <cellStyle name="20% - Accent1 2 5 4 3 2 2" xfId="1569"/>
    <cellStyle name="20% - Accent1 2 5 4 3 3" xfId="1570"/>
    <cellStyle name="20% - Accent1 2 5 4 4" xfId="1571"/>
    <cellStyle name="20% - Accent1 2 5 4 4 2" xfId="1572"/>
    <cellStyle name="20% - Accent1 2 5 4 5" xfId="1573"/>
    <cellStyle name="20% - Accent1 2 5 5" xfId="1574"/>
    <cellStyle name="20% - Accent1 2 5 5 2" xfId="1575"/>
    <cellStyle name="20% - Accent1 2 5 5 2 2" xfId="1576"/>
    <cellStyle name="20% - Accent1 2 5 5 2 2 2" xfId="1577"/>
    <cellStyle name="20% - Accent1 2 5 5 2 2 2 2" xfId="1578"/>
    <cellStyle name="20% - Accent1 2 5 5 2 2 3" xfId="1579"/>
    <cellStyle name="20% - Accent1 2 5 5 2 3" xfId="1580"/>
    <cellStyle name="20% - Accent1 2 5 5 2 3 2" xfId="1581"/>
    <cellStyle name="20% - Accent1 2 5 5 2 4" xfId="1582"/>
    <cellStyle name="20% - Accent1 2 5 5 3" xfId="1583"/>
    <cellStyle name="20% - Accent1 2 5 5 3 2" xfId="1584"/>
    <cellStyle name="20% - Accent1 2 5 5 3 2 2" xfId="1585"/>
    <cellStyle name="20% - Accent1 2 5 5 3 3" xfId="1586"/>
    <cellStyle name="20% - Accent1 2 5 5 4" xfId="1587"/>
    <cellStyle name="20% - Accent1 2 5 5 4 2" xfId="1588"/>
    <cellStyle name="20% - Accent1 2 5 5 5" xfId="1589"/>
    <cellStyle name="20% - Accent1 2 5 6" xfId="1590"/>
    <cellStyle name="20% - Accent1 2 5 6 2" xfId="1591"/>
    <cellStyle name="20% - Accent1 2 5 6 2 2" xfId="1592"/>
    <cellStyle name="20% - Accent1 2 5 6 2 2 2" xfId="1593"/>
    <cellStyle name="20% - Accent1 2 5 6 2 2 2 2" xfId="1594"/>
    <cellStyle name="20% - Accent1 2 5 6 2 2 3" xfId="1595"/>
    <cellStyle name="20% - Accent1 2 5 6 2 3" xfId="1596"/>
    <cellStyle name="20% - Accent1 2 5 6 2 3 2" xfId="1597"/>
    <cellStyle name="20% - Accent1 2 5 6 2 4" xfId="1598"/>
    <cellStyle name="20% - Accent1 2 5 6 3" xfId="1599"/>
    <cellStyle name="20% - Accent1 2 5 6 3 2" xfId="1600"/>
    <cellStyle name="20% - Accent1 2 5 6 3 2 2" xfId="1601"/>
    <cellStyle name="20% - Accent1 2 5 6 3 3" xfId="1602"/>
    <cellStyle name="20% - Accent1 2 5 6 4" xfId="1603"/>
    <cellStyle name="20% - Accent1 2 5 6 4 2" xfId="1604"/>
    <cellStyle name="20% - Accent1 2 5 6 5" xfId="1605"/>
    <cellStyle name="20% - Accent1 2 5 7" xfId="1606"/>
    <cellStyle name="20% - Accent1 2 5 7 2" xfId="1607"/>
    <cellStyle name="20% - Accent1 2 5 7 2 2" xfId="1608"/>
    <cellStyle name="20% - Accent1 2 5 7 2 2 2" xfId="1609"/>
    <cellStyle name="20% - Accent1 2 5 7 2 2 2 2" xfId="1610"/>
    <cellStyle name="20% - Accent1 2 5 7 2 2 3" xfId="1611"/>
    <cellStyle name="20% - Accent1 2 5 7 2 3" xfId="1612"/>
    <cellStyle name="20% - Accent1 2 5 7 2 3 2" xfId="1613"/>
    <cellStyle name="20% - Accent1 2 5 7 2 4" xfId="1614"/>
    <cellStyle name="20% - Accent1 2 5 7 3" xfId="1615"/>
    <cellStyle name="20% - Accent1 2 5 7 3 2" xfId="1616"/>
    <cellStyle name="20% - Accent1 2 5 7 3 2 2" xfId="1617"/>
    <cellStyle name="20% - Accent1 2 5 7 3 3" xfId="1618"/>
    <cellStyle name="20% - Accent1 2 5 7 4" xfId="1619"/>
    <cellStyle name="20% - Accent1 2 5 7 4 2" xfId="1620"/>
    <cellStyle name="20% - Accent1 2 5 7 5" xfId="1621"/>
    <cellStyle name="20% - Accent1 2 5 8" xfId="1622"/>
    <cellStyle name="20% - Accent1 2 5 8 2" xfId="1623"/>
    <cellStyle name="20% - Accent1 2 5 8 2 2" xfId="1624"/>
    <cellStyle name="20% - Accent1 2 5 8 2 2 2" xfId="1625"/>
    <cellStyle name="20% - Accent1 2 5 8 2 3" xfId="1626"/>
    <cellStyle name="20% - Accent1 2 5 8 3" xfId="1627"/>
    <cellStyle name="20% - Accent1 2 5 8 3 2" xfId="1628"/>
    <cellStyle name="20% - Accent1 2 5 8 4" xfId="1629"/>
    <cellStyle name="20% - Accent1 2 5 9" xfId="1630"/>
    <cellStyle name="20% - Accent1 2 5 9 2" xfId="1631"/>
    <cellStyle name="20% - Accent1 2 5 9 2 2" xfId="1632"/>
    <cellStyle name="20% - Accent1 2 5 9 3" xfId="1633"/>
    <cellStyle name="20% - Accent1 2 6" xfId="1634"/>
    <cellStyle name="20% - Accent1 2 6 10" xfId="1635"/>
    <cellStyle name="20% - Accent1 2 6 10 2" xfId="1636"/>
    <cellStyle name="20% - Accent1 2 6 11" xfId="1637"/>
    <cellStyle name="20% - Accent1 2 6 2" xfId="1638"/>
    <cellStyle name="20% - Accent1 2 6 2 10" xfId="1639"/>
    <cellStyle name="20% - Accent1 2 6 2 2" xfId="1640"/>
    <cellStyle name="20% - Accent1 2 6 2 2 2" xfId="1641"/>
    <cellStyle name="20% - Accent1 2 6 2 2 2 2" xfId="1642"/>
    <cellStyle name="20% - Accent1 2 6 2 2 2 2 2" xfId="1643"/>
    <cellStyle name="20% - Accent1 2 6 2 2 2 2 2 2" xfId="1644"/>
    <cellStyle name="20% - Accent1 2 6 2 2 2 2 3" xfId="1645"/>
    <cellStyle name="20% - Accent1 2 6 2 2 2 3" xfId="1646"/>
    <cellStyle name="20% - Accent1 2 6 2 2 2 3 2" xfId="1647"/>
    <cellStyle name="20% - Accent1 2 6 2 2 2 4" xfId="1648"/>
    <cellStyle name="20% - Accent1 2 6 2 2 3" xfId="1649"/>
    <cellStyle name="20% - Accent1 2 6 2 2 3 2" xfId="1650"/>
    <cellStyle name="20% - Accent1 2 6 2 2 3 2 2" xfId="1651"/>
    <cellStyle name="20% - Accent1 2 6 2 2 3 3" xfId="1652"/>
    <cellStyle name="20% - Accent1 2 6 2 2 4" xfId="1653"/>
    <cellStyle name="20% - Accent1 2 6 2 2 4 2" xfId="1654"/>
    <cellStyle name="20% - Accent1 2 6 2 2 5" xfId="1655"/>
    <cellStyle name="20% - Accent1 2 6 2 3" xfId="1656"/>
    <cellStyle name="20% - Accent1 2 6 2 3 2" xfId="1657"/>
    <cellStyle name="20% - Accent1 2 6 2 3 2 2" xfId="1658"/>
    <cellStyle name="20% - Accent1 2 6 2 3 2 2 2" xfId="1659"/>
    <cellStyle name="20% - Accent1 2 6 2 3 2 2 2 2" xfId="1660"/>
    <cellStyle name="20% - Accent1 2 6 2 3 2 2 3" xfId="1661"/>
    <cellStyle name="20% - Accent1 2 6 2 3 2 3" xfId="1662"/>
    <cellStyle name="20% - Accent1 2 6 2 3 2 3 2" xfId="1663"/>
    <cellStyle name="20% - Accent1 2 6 2 3 2 4" xfId="1664"/>
    <cellStyle name="20% - Accent1 2 6 2 3 3" xfId="1665"/>
    <cellStyle name="20% - Accent1 2 6 2 3 3 2" xfId="1666"/>
    <cellStyle name="20% - Accent1 2 6 2 3 3 2 2" xfId="1667"/>
    <cellStyle name="20% - Accent1 2 6 2 3 3 3" xfId="1668"/>
    <cellStyle name="20% - Accent1 2 6 2 3 4" xfId="1669"/>
    <cellStyle name="20% - Accent1 2 6 2 3 4 2" xfId="1670"/>
    <cellStyle name="20% - Accent1 2 6 2 3 5" xfId="1671"/>
    <cellStyle name="20% - Accent1 2 6 2 4" xfId="1672"/>
    <cellStyle name="20% - Accent1 2 6 2 4 2" xfId="1673"/>
    <cellStyle name="20% - Accent1 2 6 2 4 2 2" xfId="1674"/>
    <cellStyle name="20% - Accent1 2 6 2 4 2 2 2" xfId="1675"/>
    <cellStyle name="20% - Accent1 2 6 2 4 2 2 2 2" xfId="1676"/>
    <cellStyle name="20% - Accent1 2 6 2 4 2 2 3" xfId="1677"/>
    <cellStyle name="20% - Accent1 2 6 2 4 2 3" xfId="1678"/>
    <cellStyle name="20% - Accent1 2 6 2 4 2 3 2" xfId="1679"/>
    <cellStyle name="20% - Accent1 2 6 2 4 2 4" xfId="1680"/>
    <cellStyle name="20% - Accent1 2 6 2 4 3" xfId="1681"/>
    <cellStyle name="20% - Accent1 2 6 2 4 3 2" xfId="1682"/>
    <cellStyle name="20% - Accent1 2 6 2 4 3 2 2" xfId="1683"/>
    <cellStyle name="20% - Accent1 2 6 2 4 3 3" xfId="1684"/>
    <cellStyle name="20% - Accent1 2 6 2 4 4" xfId="1685"/>
    <cellStyle name="20% - Accent1 2 6 2 4 4 2" xfId="1686"/>
    <cellStyle name="20% - Accent1 2 6 2 4 5" xfId="1687"/>
    <cellStyle name="20% - Accent1 2 6 2 5" xfId="1688"/>
    <cellStyle name="20% - Accent1 2 6 2 5 2" xfId="1689"/>
    <cellStyle name="20% - Accent1 2 6 2 5 2 2" xfId="1690"/>
    <cellStyle name="20% - Accent1 2 6 2 5 2 2 2" xfId="1691"/>
    <cellStyle name="20% - Accent1 2 6 2 5 2 2 2 2" xfId="1692"/>
    <cellStyle name="20% - Accent1 2 6 2 5 2 2 3" xfId="1693"/>
    <cellStyle name="20% - Accent1 2 6 2 5 2 3" xfId="1694"/>
    <cellStyle name="20% - Accent1 2 6 2 5 2 3 2" xfId="1695"/>
    <cellStyle name="20% - Accent1 2 6 2 5 2 4" xfId="1696"/>
    <cellStyle name="20% - Accent1 2 6 2 5 3" xfId="1697"/>
    <cellStyle name="20% - Accent1 2 6 2 5 3 2" xfId="1698"/>
    <cellStyle name="20% - Accent1 2 6 2 5 3 2 2" xfId="1699"/>
    <cellStyle name="20% - Accent1 2 6 2 5 3 3" xfId="1700"/>
    <cellStyle name="20% - Accent1 2 6 2 5 4" xfId="1701"/>
    <cellStyle name="20% - Accent1 2 6 2 5 4 2" xfId="1702"/>
    <cellStyle name="20% - Accent1 2 6 2 5 5" xfId="1703"/>
    <cellStyle name="20% - Accent1 2 6 2 6" xfId="1704"/>
    <cellStyle name="20% - Accent1 2 6 2 6 2" xfId="1705"/>
    <cellStyle name="20% - Accent1 2 6 2 6 2 2" xfId="1706"/>
    <cellStyle name="20% - Accent1 2 6 2 6 2 2 2" xfId="1707"/>
    <cellStyle name="20% - Accent1 2 6 2 6 2 2 2 2" xfId="1708"/>
    <cellStyle name="20% - Accent1 2 6 2 6 2 2 3" xfId="1709"/>
    <cellStyle name="20% - Accent1 2 6 2 6 2 3" xfId="1710"/>
    <cellStyle name="20% - Accent1 2 6 2 6 2 3 2" xfId="1711"/>
    <cellStyle name="20% - Accent1 2 6 2 6 2 4" xfId="1712"/>
    <cellStyle name="20% - Accent1 2 6 2 6 3" xfId="1713"/>
    <cellStyle name="20% - Accent1 2 6 2 6 3 2" xfId="1714"/>
    <cellStyle name="20% - Accent1 2 6 2 6 3 2 2" xfId="1715"/>
    <cellStyle name="20% - Accent1 2 6 2 6 3 3" xfId="1716"/>
    <cellStyle name="20% - Accent1 2 6 2 6 4" xfId="1717"/>
    <cellStyle name="20% - Accent1 2 6 2 6 4 2" xfId="1718"/>
    <cellStyle name="20% - Accent1 2 6 2 6 5" xfId="1719"/>
    <cellStyle name="20% - Accent1 2 6 2 7" xfId="1720"/>
    <cellStyle name="20% - Accent1 2 6 2 7 2" xfId="1721"/>
    <cellStyle name="20% - Accent1 2 6 2 7 2 2" xfId="1722"/>
    <cellStyle name="20% - Accent1 2 6 2 7 2 2 2" xfId="1723"/>
    <cellStyle name="20% - Accent1 2 6 2 7 2 3" xfId="1724"/>
    <cellStyle name="20% - Accent1 2 6 2 7 3" xfId="1725"/>
    <cellStyle name="20% - Accent1 2 6 2 7 3 2" xfId="1726"/>
    <cellStyle name="20% - Accent1 2 6 2 7 4" xfId="1727"/>
    <cellStyle name="20% - Accent1 2 6 2 8" xfId="1728"/>
    <cellStyle name="20% - Accent1 2 6 2 8 2" xfId="1729"/>
    <cellStyle name="20% - Accent1 2 6 2 8 2 2" xfId="1730"/>
    <cellStyle name="20% - Accent1 2 6 2 8 3" xfId="1731"/>
    <cellStyle name="20% - Accent1 2 6 2 9" xfId="1732"/>
    <cellStyle name="20% - Accent1 2 6 2 9 2" xfId="1733"/>
    <cellStyle name="20% - Accent1 2 6 3" xfId="1734"/>
    <cellStyle name="20% - Accent1 2 6 3 2" xfId="1735"/>
    <cellStyle name="20% - Accent1 2 6 3 2 2" xfId="1736"/>
    <cellStyle name="20% - Accent1 2 6 3 2 2 2" xfId="1737"/>
    <cellStyle name="20% - Accent1 2 6 3 2 2 2 2" xfId="1738"/>
    <cellStyle name="20% - Accent1 2 6 3 2 2 3" xfId="1739"/>
    <cellStyle name="20% - Accent1 2 6 3 2 3" xfId="1740"/>
    <cellStyle name="20% - Accent1 2 6 3 2 3 2" xfId="1741"/>
    <cellStyle name="20% - Accent1 2 6 3 2 4" xfId="1742"/>
    <cellStyle name="20% - Accent1 2 6 3 3" xfId="1743"/>
    <cellStyle name="20% - Accent1 2 6 3 3 2" xfId="1744"/>
    <cellStyle name="20% - Accent1 2 6 3 3 2 2" xfId="1745"/>
    <cellStyle name="20% - Accent1 2 6 3 3 3" xfId="1746"/>
    <cellStyle name="20% - Accent1 2 6 3 4" xfId="1747"/>
    <cellStyle name="20% - Accent1 2 6 3 4 2" xfId="1748"/>
    <cellStyle name="20% - Accent1 2 6 3 5" xfId="1749"/>
    <cellStyle name="20% - Accent1 2 6 4" xfId="1750"/>
    <cellStyle name="20% - Accent1 2 6 4 2" xfId="1751"/>
    <cellStyle name="20% - Accent1 2 6 4 2 2" xfId="1752"/>
    <cellStyle name="20% - Accent1 2 6 4 2 2 2" xfId="1753"/>
    <cellStyle name="20% - Accent1 2 6 4 2 2 2 2" xfId="1754"/>
    <cellStyle name="20% - Accent1 2 6 4 2 2 3" xfId="1755"/>
    <cellStyle name="20% - Accent1 2 6 4 2 3" xfId="1756"/>
    <cellStyle name="20% - Accent1 2 6 4 2 3 2" xfId="1757"/>
    <cellStyle name="20% - Accent1 2 6 4 2 4" xfId="1758"/>
    <cellStyle name="20% - Accent1 2 6 4 3" xfId="1759"/>
    <cellStyle name="20% - Accent1 2 6 4 3 2" xfId="1760"/>
    <cellStyle name="20% - Accent1 2 6 4 3 2 2" xfId="1761"/>
    <cellStyle name="20% - Accent1 2 6 4 3 3" xfId="1762"/>
    <cellStyle name="20% - Accent1 2 6 4 4" xfId="1763"/>
    <cellStyle name="20% - Accent1 2 6 4 4 2" xfId="1764"/>
    <cellStyle name="20% - Accent1 2 6 4 5" xfId="1765"/>
    <cellStyle name="20% - Accent1 2 6 5" xfId="1766"/>
    <cellStyle name="20% - Accent1 2 6 5 2" xfId="1767"/>
    <cellStyle name="20% - Accent1 2 6 5 2 2" xfId="1768"/>
    <cellStyle name="20% - Accent1 2 6 5 2 2 2" xfId="1769"/>
    <cellStyle name="20% - Accent1 2 6 5 2 2 2 2" xfId="1770"/>
    <cellStyle name="20% - Accent1 2 6 5 2 2 3" xfId="1771"/>
    <cellStyle name="20% - Accent1 2 6 5 2 3" xfId="1772"/>
    <cellStyle name="20% - Accent1 2 6 5 2 3 2" xfId="1773"/>
    <cellStyle name="20% - Accent1 2 6 5 2 4" xfId="1774"/>
    <cellStyle name="20% - Accent1 2 6 5 3" xfId="1775"/>
    <cellStyle name="20% - Accent1 2 6 5 3 2" xfId="1776"/>
    <cellStyle name="20% - Accent1 2 6 5 3 2 2" xfId="1777"/>
    <cellStyle name="20% - Accent1 2 6 5 3 3" xfId="1778"/>
    <cellStyle name="20% - Accent1 2 6 5 4" xfId="1779"/>
    <cellStyle name="20% - Accent1 2 6 5 4 2" xfId="1780"/>
    <cellStyle name="20% - Accent1 2 6 5 5" xfId="1781"/>
    <cellStyle name="20% - Accent1 2 6 6" xfId="1782"/>
    <cellStyle name="20% - Accent1 2 6 6 2" xfId="1783"/>
    <cellStyle name="20% - Accent1 2 6 6 2 2" xfId="1784"/>
    <cellStyle name="20% - Accent1 2 6 6 2 2 2" xfId="1785"/>
    <cellStyle name="20% - Accent1 2 6 6 2 2 2 2" xfId="1786"/>
    <cellStyle name="20% - Accent1 2 6 6 2 2 3" xfId="1787"/>
    <cellStyle name="20% - Accent1 2 6 6 2 3" xfId="1788"/>
    <cellStyle name="20% - Accent1 2 6 6 2 3 2" xfId="1789"/>
    <cellStyle name="20% - Accent1 2 6 6 2 4" xfId="1790"/>
    <cellStyle name="20% - Accent1 2 6 6 3" xfId="1791"/>
    <cellStyle name="20% - Accent1 2 6 6 3 2" xfId="1792"/>
    <cellStyle name="20% - Accent1 2 6 6 3 2 2" xfId="1793"/>
    <cellStyle name="20% - Accent1 2 6 6 3 3" xfId="1794"/>
    <cellStyle name="20% - Accent1 2 6 6 4" xfId="1795"/>
    <cellStyle name="20% - Accent1 2 6 6 4 2" xfId="1796"/>
    <cellStyle name="20% - Accent1 2 6 6 5" xfId="1797"/>
    <cellStyle name="20% - Accent1 2 6 7" xfId="1798"/>
    <cellStyle name="20% - Accent1 2 6 7 2" xfId="1799"/>
    <cellStyle name="20% - Accent1 2 6 7 2 2" xfId="1800"/>
    <cellStyle name="20% - Accent1 2 6 7 2 2 2" xfId="1801"/>
    <cellStyle name="20% - Accent1 2 6 7 2 2 2 2" xfId="1802"/>
    <cellStyle name="20% - Accent1 2 6 7 2 2 3" xfId="1803"/>
    <cellStyle name="20% - Accent1 2 6 7 2 3" xfId="1804"/>
    <cellStyle name="20% - Accent1 2 6 7 2 3 2" xfId="1805"/>
    <cellStyle name="20% - Accent1 2 6 7 2 4" xfId="1806"/>
    <cellStyle name="20% - Accent1 2 6 7 3" xfId="1807"/>
    <cellStyle name="20% - Accent1 2 6 7 3 2" xfId="1808"/>
    <cellStyle name="20% - Accent1 2 6 7 3 2 2" xfId="1809"/>
    <cellStyle name="20% - Accent1 2 6 7 3 3" xfId="1810"/>
    <cellStyle name="20% - Accent1 2 6 7 4" xfId="1811"/>
    <cellStyle name="20% - Accent1 2 6 7 4 2" xfId="1812"/>
    <cellStyle name="20% - Accent1 2 6 7 5" xfId="1813"/>
    <cellStyle name="20% - Accent1 2 6 8" xfId="1814"/>
    <cellStyle name="20% - Accent1 2 6 8 2" xfId="1815"/>
    <cellStyle name="20% - Accent1 2 6 8 2 2" xfId="1816"/>
    <cellStyle name="20% - Accent1 2 6 8 2 2 2" xfId="1817"/>
    <cellStyle name="20% - Accent1 2 6 8 2 3" xfId="1818"/>
    <cellStyle name="20% - Accent1 2 6 8 3" xfId="1819"/>
    <cellStyle name="20% - Accent1 2 6 8 3 2" xfId="1820"/>
    <cellStyle name="20% - Accent1 2 6 8 4" xfId="1821"/>
    <cellStyle name="20% - Accent1 2 6 9" xfId="1822"/>
    <cellStyle name="20% - Accent1 2 6 9 2" xfId="1823"/>
    <cellStyle name="20% - Accent1 2 6 9 2 2" xfId="1824"/>
    <cellStyle name="20% - Accent1 2 6 9 3" xfId="1825"/>
    <cellStyle name="20% - Accent1 2 7" xfId="1826"/>
    <cellStyle name="20% - Accent1 2 7 10" xfId="1827"/>
    <cellStyle name="20% - Accent1 2 7 10 2" xfId="1828"/>
    <cellStyle name="20% - Accent1 2 7 11" xfId="1829"/>
    <cellStyle name="20% - Accent1 2 7 2" xfId="1830"/>
    <cellStyle name="20% - Accent1 2 7 2 10" xfId="1831"/>
    <cellStyle name="20% - Accent1 2 7 2 2" xfId="1832"/>
    <cellStyle name="20% - Accent1 2 7 2 2 2" xfId="1833"/>
    <cellStyle name="20% - Accent1 2 7 2 2 2 2" xfId="1834"/>
    <cellStyle name="20% - Accent1 2 7 2 2 2 2 2" xfId="1835"/>
    <cellStyle name="20% - Accent1 2 7 2 2 2 2 2 2" xfId="1836"/>
    <cellStyle name="20% - Accent1 2 7 2 2 2 2 3" xfId="1837"/>
    <cellStyle name="20% - Accent1 2 7 2 2 2 3" xfId="1838"/>
    <cellStyle name="20% - Accent1 2 7 2 2 2 3 2" xfId="1839"/>
    <cellStyle name="20% - Accent1 2 7 2 2 2 4" xfId="1840"/>
    <cellStyle name="20% - Accent1 2 7 2 2 3" xfId="1841"/>
    <cellStyle name="20% - Accent1 2 7 2 2 3 2" xfId="1842"/>
    <cellStyle name="20% - Accent1 2 7 2 2 3 2 2" xfId="1843"/>
    <cellStyle name="20% - Accent1 2 7 2 2 3 3" xfId="1844"/>
    <cellStyle name="20% - Accent1 2 7 2 2 4" xfId="1845"/>
    <cellStyle name="20% - Accent1 2 7 2 2 4 2" xfId="1846"/>
    <cellStyle name="20% - Accent1 2 7 2 2 5" xfId="1847"/>
    <cellStyle name="20% - Accent1 2 7 2 3" xfId="1848"/>
    <cellStyle name="20% - Accent1 2 7 2 3 2" xfId="1849"/>
    <cellStyle name="20% - Accent1 2 7 2 3 2 2" xfId="1850"/>
    <cellStyle name="20% - Accent1 2 7 2 3 2 2 2" xfId="1851"/>
    <cellStyle name="20% - Accent1 2 7 2 3 2 2 2 2" xfId="1852"/>
    <cellStyle name="20% - Accent1 2 7 2 3 2 2 3" xfId="1853"/>
    <cellStyle name="20% - Accent1 2 7 2 3 2 3" xfId="1854"/>
    <cellStyle name="20% - Accent1 2 7 2 3 2 3 2" xfId="1855"/>
    <cellStyle name="20% - Accent1 2 7 2 3 2 4" xfId="1856"/>
    <cellStyle name="20% - Accent1 2 7 2 3 3" xfId="1857"/>
    <cellStyle name="20% - Accent1 2 7 2 3 3 2" xfId="1858"/>
    <cellStyle name="20% - Accent1 2 7 2 3 3 2 2" xfId="1859"/>
    <cellStyle name="20% - Accent1 2 7 2 3 3 3" xfId="1860"/>
    <cellStyle name="20% - Accent1 2 7 2 3 4" xfId="1861"/>
    <cellStyle name="20% - Accent1 2 7 2 3 4 2" xfId="1862"/>
    <cellStyle name="20% - Accent1 2 7 2 3 5" xfId="1863"/>
    <cellStyle name="20% - Accent1 2 7 2 4" xfId="1864"/>
    <cellStyle name="20% - Accent1 2 7 2 4 2" xfId="1865"/>
    <cellStyle name="20% - Accent1 2 7 2 4 2 2" xfId="1866"/>
    <cellStyle name="20% - Accent1 2 7 2 4 2 2 2" xfId="1867"/>
    <cellStyle name="20% - Accent1 2 7 2 4 2 2 2 2" xfId="1868"/>
    <cellStyle name="20% - Accent1 2 7 2 4 2 2 3" xfId="1869"/>
    <cellStyle name="20% - Accent1 2 7 2 4 2 3" xfId="1870"/>
    <cellStyle name="20% - Accent1 2 7 2 4 2 3 2" xfId="1871"/>
    <cellStyle name="20% - Accent1 2 7 2 4 2 4" xfId="1872"/>
    <cellStyle name="20% - Accent1 2 7 2 4 3" xfId="1873"/>
    <cellStyle name="20% - Accent1 2 7 2 4 3 2" xfId="1874"/>
    <cellStyle name="20% - Accent1 2 7 2 4 3 2 2" xfId="1875"/>
    <cellStyle name="20% - Accent1 2 7 2 4 3 3" xfId="1876"/>
    <cellStyle name="20% - Accent1 2 7 2 4 4" xfId="1877"/>
    <cellStyle name="20% - Accent1 2 7 2 4 4 2" xfId="1878"/>
    <cellStyle name="20% - Accent1 2 7 2 4 5" xfId="1879"/>
    <cellStyle name="20% - Accent1 2 7 2 5" xfId="1880"/>
    <cellStyle name="20% - Accent1 2 7 2 5 2" xfId="1881"/>
    <cellStyle name="20% - Accent1 2 7 2 5 2 2" xfId="1882"/>
    <cellStyle name="20% - Accent1 2 7 2 5 2 2 2" xfId="1883"/>
    <cellStyle name="20% - Accent1 2 7 2 5 2 2 2 2" xfId="1884"/>
    <cellStyle name="20% - Accent1 2 7 2 5 2 2 3" xfId="1885"/>
    <cellStyle name="20% - Accent1 2 7 2 5 2 3" xfId="1886"/>
    <cellStyle name="20% - Accent1 2 7 2 5 2 3 2" xfId="1887"/>
    <cellStyle name="20% - Accent1 2 7 2 5 2 4" xfId="1888"/>
    <cellStyle name="20% - Accent1 2 7 2 5 3" xfId="1889"/>
    <cellStyle name="20% - Accent1 2 7 2 5 3 2" xfId="1890"/>
    <cellStyle name="20% - Accent1 2 7 2 5 3 2 2" xfId="1891"/>
    <cellStyle name="20% - Accent1 2 7 2 5 3 3" xfId="1892"/>
    <cellStyle name="20% - Accent1 2 7 2 5 4" xfId="1893"/>
    <cellStyle name="20% - Accent1 2 7 2 5 4 2" xfId="1894"/>
    <cellStyle name="20% - Accent1 2 7 2 5 5" xfId="1895"/>
    <cellStyle name="20% - Accent1 2 7 2 6" xfId="1896"/>
    <cellStyle name="20% - Accent1 2 7 2 6 2" xfId="1897"/>
    <cellStyle name="20% - Accent1 2 7 2 6 2 2" xfId="1898"/>
    <cellStyle name="20% - Accent1 2 7 2 6 2 2 2" xfId="1899"/>
    <cellStyle name="20% - Accent1 2 7 2 6 2 2 2 2" xfId="1900"/>
    <cellStyle name="20% - Accent1 2 7 2 6 2 2 3" xfId="1901"/>
    <cellStyle name="20% - Accent1 2 7 2 6 2 3" xfId="1902"/>
    <cellStyle name="20% - Accent1 2 7 2 6 2 3 2" xfId="1903"/>
    <cellStyle name="20% - Accent1 2 7 2 6 2 4" xfId="1904"/>
    <cellStyle name="20% - Accent1 2 7 2 6 3" xfId="1905"/>
    <cellStyle name="20% - Accent1 2 7 2 6 3 2" xfId="1906"/>
    <cellStyle name="20% - Accent1 2 7 2 6 3 2 2" xfId="1907"/>
    <cellStyle name="20% - Accent1 2 7 2 6 3 3" xfId="1908"/>
    <cellStyle name="20% - Accent1 2 7 2 6 4" xfId="1909"/>
    <cellStyle name="20% - Accent1 2 7 2 6 4 2" xfId="1910"/>
    <cellStyle name="20% - Accent1 2 7 2 6 5" xfId="1911"/>
    <cellStyle name="20% - Accent1 2 7 2 7" xfId="1912"/>
    <cellStyle name="20% - Accent1 2 7 2 7 2" xfId="1913"/>
    <cellStyle name="20% - Accent1 2 7 2 7 2 2" xfId="1914"/>
    <cellStyle name="20% - Accent1 2 7 2 7 2 2 2" xfId="1915"/>
    <cellStyle name="20% - Accent1 2 7 2 7 2 3" xfId="1916"/>
    <cellStyle name="20% - Accent1 2 7 2 7 3" xfId="1917"/>
    <cellStyle name="20% - Accent1 2 7 2 7 3 2" xfId="1918"/>
    <cellStyle name="20% - Accent1 2 7 2 7 4" xfId="1919"/>
    <cellStyle name="20% - Accent1 2 7 2 8" xfId="1920"/>
    <cellStyle name="20% - Accent1 2 7 2 8 2" xfId="1921"/>
    <cellStyle name="20% - Accent1 2 7 2 8 2 2" xfId="1922"/>
    <cellStyle name="20% - Accent1 2 7 2 8 3" xfId="1923"/>
    <cellStyle name="20% - Accent1 2 7 2 9" xfId="1924"/>
    <cellStyle name="20% - Accent1 2 7 2 9 2" xfId="1925"/>
    <cellStyle name="20% - Accent1 2 7 3" xfId="1926"/>
    <cellStyle name="20% - Accent1 2 7 3 2" xfId="1927"/>
    <cellStyle name="20% - Accent1 2 7 3 2 2" xfId="1928"/>
    <cellStyle name="20% - Accent1 2 7 3 2 2 2" xfId="1929"/>
    <cellStyle name="20% - Accent1 2 7 3 2 2 2 2" xfId="1930"/>
    <cellStyle name="20% - Accent1 2 7 3 2 2 3" xfId="1931"/>
    <cellStyle name="20% - Accent1 2 7 3 2 3" xfId="1932"/>
    <cellStyle name="20% - Accent1 2 7 3 2 3 2" xfId="1933"/>
    <cellStyle name="20% - Accent1 2 7 3 2 4" xfId="1934"/>
    <cellStyle name="20% - Accent1 2 7 3 3" xfId="1935"/>
    <cellStyle name="20% - Accent1 2 7 3 3 2" xfId="1936"/>
    <cellStyle name="20% - Accent1 2 7 3 3 2 2" xfId="1937"/>
    <cellStyle name="20% - Accent1 2 7 3 3 3" xfId="1938"/>
    <cellStyle name="20% - Accent1 2 7 3 4" xfId="1939"/>
    <cellStyle name="20% - Accent1 2 7 3 4 2" xfId="1940"/>
    <cellStyle name="20% - Accent1 2 7 3 5" xfId="1941"/>
    <cellStyle name="20% - Accent1 2 7 4" xfId="1942"/>
    <cellStyle name="20% - Accent1 2 7 4 2" xfId="1943"/>
    <cellStyle name="20% - Accent1 2 7 4 2 2" xfId="1944"/>
    <cellStyle name="20% - Accent1 2 7 4 2 2 2" xfId="1945"/>
    <cellStyle name="20% - Accent1 2 7 4 2 2 2 2" xfId="1946"/>
    <cellStyle name="20% - Accent1 2 7 4 2 2 3" xfId="1947"/>
    <cellStyle name="20% - Accent1 2 7 4 2 3" xfId="1948"/>
    <cellStyle name="20% - Accent1 2 7 4 2 3 2" xfId="1949"/>
    <cellStyle name="20% - Accent1 2 7 4 2 4" xfId="1950"/>
    <cellStyle name="20% - Accent1 2 7 4 3" xfId="1951"/>
    <cellStyle name="20% - Accent1 2 7 4 3 2" xfId="1952"/>
    <cellStyle name="20% - Accent1 2 7 4 3 2 2" xfId="1953"/>
    <cellStyle name="20% - Accent1 2 7 4 3 3" xfId="1954"/>
    <cellStyle name="20% - Accent1 2 7 4 4" xfId="1955"/>
    <cellStyle name="20% - Accent1 2 7 4 4 2" xfId="1956"/>
    <cellStyle name="20% - Accent1 2 7 4 5" xfId="1957"/>
    <cellStyle name="20% - Accent1 2 7 5" xfId="1958"/>
    <cellStyle name="20% - Accent1 2 7 5 2" xfId="1959"/>
    <cellStyle name="20% - Accent1 2 7 5 2 2" xfId="1960"/>
    <cellStyle name="20% - Accent1 2 7 5 2 2 2" xfId="1961"/>
    <cellStyle name="20% - Accent1 2 7 5 2 2 2 2" xfId="1962"/>
    <cellStyle name="20% - Accent1 2 7 5 2 2 3" xfId="1963"/>
    <cellStyle name="20% - Accent1 2 7 5 2 3" xfId="1964"/>
    <cellStyle name="20% - Accent1 2 7 5 2 3 2" xfId="1965"/>
    <cellStyle name="20% - Accent1 2 7 5 2 4" xfId="1966"/>
    <cellStyle name="20% - Accent1 2 7 5 3" xfId="1967"/>
    <cellStyle name="20% - Accent1 2 7 5 3 2" xfId="1968"/>
    <cellStyle name="20% - Accent1 2 7 5 3 2 2" xfId="1969"/>
    <cellStyle name="20% - Accent1 2 7 5 3 3" xfId="1970"/>
    <cellStyle name="20% - Accent1 2 7 5 4" xfId="1971"/>
    <cellStyle name="20% - Accent1 2 7 5 4 2" xfId="1972"/>
    <cellStyle name="20% - Accent1 2 7 5 5" xfId="1973"/>
    <cellStyle name="20% - Accent1 2 7 6" xfId="1974"/>
    <cellStyle name="20% - Accent1 2 7 6 2" xfId="1975"/>
    <cellStyle name="20% - Accent1 2 7 6 2 2" xfId="1976"/>
    <cellStyle name="20% - Accent1 2 7 6 2 2 2" xfId="1977"/>
    <cellStyle name="20% - Accent1 2 7 6 2 2 2 2" xfId="1978"/>
    <cellStyle name="20% - Accent1 2 7 6 2 2 3" xfId="1979"/>
    <cellStyle name="20% - Accent1 2 7 6 2 3" xfId="1980"/>
    <cellStyle name="20% - Accent1 2 7 6 2 3 2" xfId="1981"/>
    <cellStyle name="20% - Accent1 2 7 6 2 4" xfId="1982"/>
    <cellStyle name="20% - Accent1 2 7 6 3" xfId="1983"/>
    <cellStyle name="20% - Accent1 2 7 6 3 2" xfId="1984"/>
    <cellStyle name="20% - Accent1 2 7 6 3 2 2" xfId="1985"/>
    <cellStyle name="20% - Accent1 2 7 6 3 3" xfId="1986"/>
    <cellStyle name="20% - Accent1 2 7 6 4" xfId="1987"/>
    <cellStyle name="20% - Accent1 2 7 6 4 2" xfId="1988"/>
    <cellStyle name="20% - Accent1 2 7 6 5" xfId="1989"/>
    <cellStyle name="20% - Accent1 2 7 7" xfId="1990"/>
    <cellStyle name="20% - Accent1 2 7 7 2" xfId="1991"/>
    <cellStyle name="20% - Accent1 2 7 7 2 2" xfId="1992"/>
    <cellStyle name="20% - Accent1 2 7 7 2 2 2" xfId="1993"/>
    <cellStyle name="20% - Accent1 2 7 7 2 2 2 2" xfId="1994"/>
    <cellStyle name="20% - Accent1 2 7 7 2 2 3" xfId="1995"/>
    <cellStyle name="20% - Accent1 2 7 7 2 3" xfId="1996"/>
    <cellStyle name="20% - Accent1 2 7 7 2 3 2" xfId="1997"/>
    <cellStyle name="20% - Accent1 2 7 7 2 4" xfId="1998"/>
    <cellStyle name="20% - Accent1 2 7 7 3" xfId="1999"/>
    <cellStyle name="20% - Accent1 2 7 7 3 2" xfId="2000"/>
    <cellStyle name="20% - Accent1 2 7 7 3 2 2" xfId="2001"/>
    <cellStyle name="20% - Accent1 2 7 7 3 3" xfId="2002"/>
    <cellStyle name="20% - Accent1 2 7 7 4" xfId="2003"/>
    <cellStyle name="20% - Accent1 2 7 7 4 2" xfId="2004"/>
    <cellStyle name="20% - Accent1 2 7 7 5" xfId="2005"/>
    <cellStyle name="20% - Accent1 2 7 8" xfId="2006"/>
    <cellStyle name="20% - Accent1 2 7 8 2" xfId="2007"/>
    <cellStyle name="20% - Accent1 2 7 8 2 2" xfId="2008"/>
    <cellStyle name="20% - Accent1 2 7 8 2 2 2" xfId="2009"/>
    <cellStyle name="20% - Accent1 2 7 8 2 3" xfId="2010"/>
    <cellStyle name="20% - Accent1 2 7 8 3" xfId="2011"/>
    <cellStyle name="20% - Accent1 2 7 8 3 2" xfId="2012"/>
    <cellStyle name="20% - Accent1 2 7 8 4" xfId="2013"/>
    <cellStyle name="20% - Accent1 2 7 9" xfId="2014"/>
    <cellStyle name="20% - Accent1 2 7 9 2" xfId="2015"/>
    <cellStyle name="20% - Accent1 2 7 9 2 2" xfId="2016"/>
    <cellStyle name="20% - Accent1 2 7 9 3" xfId="2017"/>
    <cellStyle name="20% - Accent1 2 8" xfId="2018"/>
    <cellStyle name="20% - Accent1 2 8 10" xfId="2019"/>
    <cellStyle name="20% - Accent1 2 8 10 2" xfId="2020"/>
    <cellStyle name="20% - Accent1 2 8 11" xfId="2021"/>
    <cellStyle name="20% - Accent1 2 8 2" xfId="2022"/>
    <cellStyle name="20% - Accent1 2 8 2 10" xfId="2023"/>
    <cellStyle name="20% - Accent1 2 8 2 2" xfId="2024"/>
    <cellStyle name="20% - Accent1 2 8 2 2 2" xfId="2025"/>
    <cellStyle name="20% - Accent1 2 8 2 2 2 2" xfId="2026"/>
    <cellStyle name="20% - Accent1 2 8 2 2 2 2 2" xfId="2027"/>
    <cellStyle name="20% - Accent1 2 8 2 2 2 2 2 2" xfId="2028"/>
    <cellStyle name="20% - Accent1 2 8 2 2 2 2 3" xfId="2029"/>
    <cellStyle name="20% - Accent1 2 8 2 2 2 3" xfId="2030"/>
    <cellStyle name="20% - Accent1 2 8 2 2 2 3 2" xfId="2031"/>
    <cellStyle name="20% - Accent1 2 8 2 2 2 4" xfId="2032"/>
    <cellStyle name="20% - Accent1 2 8 2 2 3" xfId="2033"/>
    <cellStyle name="20% - Accent1 2 8 2 2 3 2" xfId="2034"/>
    <cellStyle name="20% - Accent1 2 8 2 2 3 2 2" xfId="2035"/>
    <cellStyle name="20% - Accent1 2 8 2 2 3 3" xfId="2036"/>
    <cellStyle name="20% - Accent1 2 8 2 2 4" xfId="2037"/>
    <cellStyle name="20% - Accent1 2 8 2 2 4 2" xfId="2038"/>
    <cellStyle name="20% - Accent1 2 8 2 2 5" xfId="2039"/>
    <cellStyle name="20% - Accent1 2 8 2 3" xfId="2040"/>
    <cellStyle name="20% - Accent1 2 8 2 3 2" xfId="2041"/>
    <cellStyle name="20% - Accent1 2 8 2 3 2 2" xfId="2042"/>
    <cellStyle name="20% - Accent1 2 8 2 3 2 2 2" xfId="2043"/>
    <cellStyle name="20% - Accent1 2 8 2 3 2 2 2 2" xfId="2044"/>
    <cellStyle name="20% - Accent1 2 8 2 3 2 2 3" xfId="2045"/>
    <cellStyle name="20% - Accent1 2 8 2 3 2 3" xfId="2046"/>
    <cellStyle name="20% - Accent1 2 8 2 3 2 3 2" xfId="2047"/>
    <cellStyle name="20% - Accent1 2 8 2 3 2 4" xfId="2048"/>
    <cellStyle name="20% - Accent1 2 8 2 3 3" xfId="2049"/>
    <cellStyle name="20% - Accent1 2 8 2 3 3 2" xfId="2050"/>
    <cellStyle name="20% - Accent1 2 8 2 3 3 2 2" xfId="2051"/>
    <cellStyle name="20% - Accent1 2 8 2 3 3 3" xfId="2052"/>
    <cellStyle name="20% - Accent1 2 8 2 3 4" xfId="2053"/>
    <cellStyle name="20% - Accent1 2 8 2 3 4 2" xfId="2054"/>
    <cellStyle name="20% - Accent1 2 8 2 3 5" xfId="2055"/>
    <cellStyle name="20% - Accent1 2 8 2 4" xfId="2056"/>
    <cellStyle name="20% - Accent1 2 8 2 4 2" xfId="2057"/>
    <cellStyle name="20% - Accent1 2 8 2 4 2 2" xfId="2058"/>
    <cellStyle name="20% - Accent1 2 8 2 4 2 2 2" xfId="2059"/>
    <cellStyle name="20% - Accent1 2 8 2 4 2 2 2 2" xfId="2060"/>
    <cellStyle name="20% - Accent1 2 8 2 4 2 2 3" xfId="2061"/>
    <cellStyle name="20% - Accent1 2 8 2 4 2 3" xfId="2062"/>
    <cellStyle name="20% - Accent1 2 8 2 4 2 3 2" xfId="2063"/>
    <cellStyle name="20% - Accent1 2 8 2 4 2 4" xfId="2064"/>
    <cellStyle name="20% - Accent1 2 8 2 4 3" xfId="2065"/>
    <cellStyle name="20% - Accent1 2 8 2 4 3 2" xfId="2066"/>
    <cellStyle name="20% - Accent1 2 8 2 4 3 2 2" xfId="2067"/>
    <cellStyle name="20% - Accent1 2 8 2 4 3 3" xfId="2068"/>
    <cellStyle name="20% - Accent1 2 8 2 4 4" xfId="2069"/>
    <cellStyle name="20% - Accent1 2 8 2 4 4 2" xfId="2070"/>
    <cellStyle name="20% - Accent1 2 8 2 4 5" xfId="2071"/>
    <cellStyle name="20% - Accent1 2 8 2 5" xfId="2072"/>
    <cellStyle name="20% - Accent1 2 8 2 5 2" xfId="2073"/>
    <cellStyle name="20% - Accent1 2 8 2 5 2 2" xfId="2074"/>
    <cellStyle name="20% - Accent1 2 8 2 5 2 2 2" xfId="2075"/>
    <cellStyle name="20% - Accent1 2 8 2 5 2 2 2 2" xfId="2076"/>
    <cellStyle name="20% - Accent1 2 8 2 5 2 2 3" xfId="2077"/>
    <cellStyle name="20% - Accent1 2 8 2 5 2 3" xfId="2078"/>
    <cellStyle name="20% - Accent1 2 8 2 5 2 3 2" xfId="2079"/>
    <cellStyle name="20% - Accent1 2 8 2 5 2 4" xfId="2080"/>
    <cellStyle name="20% - Accent1 2 8 2 5 3" xfId="2081"/>
    <cellStyle name="20% - Accent1 2 8 2 5 3 2" xfId="2082"/>
    <cellStyle name="20% - Accent1 2 8 2 5 3 2 2" xfId="2083"/>
    <cellStyle name="20% - Accent1 2 8 2 5 3 3" xfId="2084"/>
    <cellStyle name="20% - Accent1 2 8 2 5 4" xfId="2085"/>
    <cellStyle name="20% - Accent1 2 8 2 5 4 2" xfId="2086"/>
    <cellStyle name="20% - Accent1 2 8 2 5 5" xfId="2087"/>
    <cellStyle name="20% - Accent1 2 8 2 6" xfId="2088"/>
    <cellStyle name="20% - Accent1 2 8 2 6 2" xfId="2089"/>
    <cellStyle name="20% - Accent1 2 8 2 6 2 2" xfId="2090"/>
    <cellStyle name="20% - Accent1 2 8 2 6 2 2 2" xfId="2091"/>
    <cellStyle name="20% - Accent1 2 8 2 6 2 2 2 2" xfId="2092"/>
    <cellStyle name="20% - Accent1 2 8 2 6 2 2 3" xfId="2093"/>
    <cellStyle name="20% - Accent1 2 8 2 6 2 3" xfId="2094"/>
    <cellStyle name="20% - Accent1 2 8 2 6 2 3 2" xfId="2095"/>
    <cellStyle name="20% - Accent1 2 8 2 6 2 4" xfId="2096"/>
    <cellStyle name="20% - Accent1 2 8 2 6 3" xfId="2097"/>
    <cellStyle name="20% - Accent1 2 8 2 6 3 2" xfId="2098"/>
    <cellStyle name="20% - Accent1 2 8 2 6 3 2 2" xfId="2099"/>
    <cellStyle name="20% - Accent1 2 8 2 6 3 3" xfId="2100"/>
    <cellStyle name="20% - Accent1 2 8 2 6 4" xfId="2101"/>
    <cellStyle name="20% - Accent1 2 8 2 6 4 2" xfId="2102"/>
    <cellStyle name="20% - Accent1 2 8 2 6 5" xfId="2103"/>
    <cellStyle name="20% - Accent1 2 8 2 7" xfId="2104"/>
    <cellStyle name="20% - Accent1 2 8 2 7 2" xfId="2105"/>
    <cellStyle name="20% - Accent1 2 8 2 7 2 2" xfId="2106"/>
    <cellStyle name="20% - Accent1 2 8 2 7 2 2 2" xfId="2107"/>
    <cellStyle name="20% - Accent1 2 8 2 7 2 3" xfId="2108"/>
    <cellStyle name="20% - Accent1 2 8 2 7 3" xfId="2109"/>
    <cellStyle name="20% - Accent1 2 8 2 7 3 2" xfId="2110"/>
    <cellStyle name="20% - Accent1 2 8 2 7 4" xfId="2111"/>
    <cellStyle name="20% - Accent1 2 8 2 8" xfId="2112"/>
    <cellStyle name="20% - Accent1 2 8 2 8 2" xfId="2113"/>
    <cellStyle name="20% - Accent1 2 8 2 8 2 2" xfId="2114"/>
    <cellStyle name="20% - Accent1 2 8 2 8 3" xfId="2115"/>
    <cellStyle name="20% - Accent1 2 8 2 9" xfId="2116"/>
    <cellStyle name="20% - Accent1 2 8 2 9 2" xfId="2117"/>
    <cellStyle name="20% - Accent1 2 8 3" xfId="2118"/>
    <cellStyle name="20% - Accent1 2 8 3 2" xfId="2119"/>
    <cellStyle name="20% - Accent1 2 8 3 2 2" xfId="2120"/>
    <cellStyle name="20% - Accent1 2 8 3 2 2 2" xfId="2121"/>
    <cellStyle name="20% - Accent1 2 8 3 2 2 2 2" xfId="2122"/>
    <cellStyle name="20% - Accent1 2 8 3 2 2 3" xfId="2123"/>
    <cellStyle name="20% - Accent1 2 8 3 2 3" xfId="2124"/>
    <cellStyle name="20% - Accent1 2 8 3 2 3 2" xfId="2125"/>
    <cellStyle name="20% - Accent1 2 8 3 2 4" xfId="2126"/>
    <cellStyle name="20% - Accent1 2 8 3 3" xfId="2127"/>
    <cellStyle name="20% - Accent1 2 8 3 3 2" xfId="2128"/>
    <cellStyle name="20% - Accent1 2 8 3 3 2 2" xfId="2129"/>
    <cellStyle name="20% - Accent1 2 8 3 3 3" xfId="2130"/>
    <cellStyle name="20% - Accent1 2 8 3 4" xfId="2131"/>
    <cellStyle name="20% - Accent1 2 8 3 4 2" xfId="2132"/>
    <cellStyle name="20% - Accent1 2 8 3 5" xfId="2133"/>
    <cellStyle name="20% - Accent1 2 8 4" xfId="2134"/>
    <cellStyle name="20% - Accent1 2 8 4 2" xfId="2135"/>
    <cellStyle name="20% - Accent1 2 8 4 2 2" xfId="2136"/>
    <cellStyle name="20% - Accent1 2 8 4 2 2 2" xfId="2137"/>
    <cellStyle name="20% - Accent1 2 8 4 2 2 2 2" xfId="2138"/>
    <cellStyle name="20% - Accent1 2 8 4 2 2 3" xfId="2139"/>
    <cellStyle name="20% - Accent1 2 8 4 2 3" xfId="2140"/>
    <cellStyle name="20% - Accent1 2 8 4 2 3 2" xfId="2141"/>
    <cellStyle name="20% - Accent1 2 8 4 2 4" xfId="2142"/>
    <cellStyle name="20% - Accent1 2 8 4 3" xfId="2143"/>
    <cellStyle name="20% - Accent1 2 8 4 3 2" xfId="2144"/>
    <cellStyle name="20% - Accent1 2 8 4 3 2 2" xfId="2145"/>
    <cellStyle name="20% - Accent1 2 8 4 3 3" xfId="2146"/>
    <cellStyle name="20% - Accent1 2 8 4 4" xfId="2147"/>
    <cellStyle name="20% - Accent1 2 8 4 4 2" xfId="2148"/>
    <cellStyle name="20% - Accent1 2 8 4 5" xfId="2149"/>
    <cellStyle name="20% - Accent1 2 8 5" xfId="2150"/>
    <cellStyle name="20% - Accent1 2 8 5 2" xfId="2151"/>
    <cellStyle name="20% - Accent1 2 8 5 2 2" xfId="2152"/>
    <cellStyle name="20% - Accent1 2 8 5 2 2 2" xfId="2153"/>
    <cellStyle name="20% - Accent1 2 8 5 2 2 2 2" xfId="2154"/>
    <cellStyle name="20% - Accent1 2 8 5 2 2 3" xfId="2155"/>
    <cellStyle name="20% - Accent1 2 8 5 2 3" xfId="2156"/>
    <cellStyle name="20% - Accent1 2 8 5 2 3 2" xfId="2157"/>
    <cellStyle name="20% - Accent1 2 8 5 2 4" xfId="2158"/>
    <cellStyle name="20% - Accent1 2 8 5 3" xfId="2159"/>
    <cellStyle name="20% - Accent1 2 8 5 3 2" xfId="2160"/>
    <cellStyle name="20% - Accent1 2 8 5 3 2 2" xfId="2161"/>
    <cellStyle name="20% - Accent1 2 8 5 3 3" xfId="2162"/>
    <cellStyle name="20% - Accent1 2 8 5 4" xfId="2163"/>
    <cellStyle name="20% - Accent1 2 8 5 4 2" xfId="2164"/>
    <cellStyle name="20% - Accent1 2 8 5 5" xfId="2165"/>
    <cellStyle name="20% - Accent1 2 8 6" xfId="2166"/>
    <cellStyle name="20% - Accent1 2 8 6 2" xfId="2167"/>
    <cellStyle name="20% - Accent1 2 8 6 2 2" xfId="2168"/>
    <cellStyle name="20% - Accent1 2 8 6 2 2 2" xfId="2169"/>
    <cellStyle name="20% - Accent1 2 8 6 2 2 2 2" xfId="2170"/>
    <cellStyle name="20% - Accent1 2 8 6 2 2 3" xfId="2171"/>
    <cellStyle name="20% - Accent1 2 8 6 2 3" xfId="2172"/>
    <cellStyle name="20% - Accent1 2 8 6 2 3 2" xfId="2173"/>
    <cellStyle name="20% - Accent1 2 8 6 2 4" xfId="2174"/>
    <cellStyle name="20% - Accent1 2 8 6 3" xfId="2175"/>
    <cellStyle name="20% - Accent1 2 8 6 3 2" xfId="2176"/>
    <cellStyle name="20% - Accent1 2 8 6 3 2 2" xfId="2177"/>
    <cellStyle name="20% - Accent1 2 8 6 3 3" xfId="2178"/>
    <cellStyle name="20% - Accent1 2 8 6 4" xfId="2179"/>
    <cellStyle name="20% - Accent1 2 8 6 4 2" xfId="2180"/>
    <cellStyle name="20% - Accent1 2 8 6 5" xfId="2181"/>
    <cellStyle name="20% - Accent1 2 8 7" xfId="2182"/>
    <cellStyle name="20% - Accent1 2 8 7 2" xfId="2183"/>
    <cellStyle name="20% - Accent1 2 8 7 2 2" xfId="2184"/>
    <cellStyle name="20% - Accent1 2 8 7 2 2 2" xfId="2185"/>
    <cellStyle name="20% - Accent1 2 8 7 2 2 2 2" xfId="2186"/>
    <cellStyle name="20% - Accent1 2 8 7 2 2 3" xfId="2187"/>
    <cellStyle name="20% - Accent1 2 8 7 2 3" xfId="2188"/>
    <cellStyle name="20% - Accent1 2 8 7 2 3 2" xfId="2189"/>
    <cellStyle name="20% - Accent1 2 8 7 2 4" xfId="2190"/>
    <cellStyle name="20% - Accent1 2 8 7 3" xfId="2191"/>
    <cellStyle name="20% - Accent1 2 8 7 3 2" xfId="2192"/>
    <cellStyle name="20% - Accent1 2 8 7 3 2 2" xfId="2193"/>
    <cellStyle name="20% - Accent1 2 8 7 3 3" xfId="2194"/>
    <cellStyle name="20% - Accent1 2 8 7 4" xfId="2195"/>
    <cellStyle name="20% - Accent1 2 8 7 4 2" xfId="2196"/>
    <cellStyle name="20% - Accent1 2 8 7 5" xfId="2197"/>
    <cellStyle name="20% - Accent1 2 8 8" xfId="2198"/>
    <cellStyle name="20% - Accent1 2 8 8 2" xfId="2199"/>
    <cellStyle name="20% - Accent1 2 8 8 2 2" xfId="2200"/>
    <cellStyle name="20% - Accent1 2 8 8 2 2 2" xfId="2201"/>
    <cellStyle name="20% - Accent1 2 8 8 2 3" xfId="2202"/>
    <cellStyle name="20% - Accent1 2 8 8 3" xfId="2203"/>
    <cellStyle name="20% - Accent1 2 8 8 3 2" xfId="2204"/>
    <cellStyle name="20% - Accent1 2 8 8 4" xfId="2205"/>
    <cellStyle name="20% - Accent1 2 8 9" xfId="2206"/>
    <cellStyle name="20% - Accent1 2 8 9 2" xfId="2207"/>
    <cellStyle name="20% - Accent1 2 8 9 2 2" xfId="2208"/>
    <cellStyle name="20% - Accent1 2 8 9 3" xfId="2209"/>
    <cellStyle name="20% - Accent1 2 9" xfId="2210"/>
    <cellStyle name="20% - Accent1 2 9 10" xfId="2211"/>
    <cellStyle name="20% - Accent1 2 9 10 2" xfId="2212"/>
    <cellStyle name="20% - Accent1 2 9 11" xfId="2213"/>
    <cellStyle name="20% - Accent1 2 9 2" xfId="2214"/>
    <cellStyle name="20% - Accent1 2 9 2 10" xfId="2215"/>
    <cellStyle name="20% - Accent1 2 9 2 2" xfId="2216"/>
    <cellStyle name="20% - Accent1 2 9 2 2 2" xfId="2217"/>
    <cellStyle name="20% - Accent1 2 9 2 2 2 2" xfId="2218"/>
    <cellStyle name="20% - Accent1 2 9 2 2 2 2 2" xfId="2219"/>
    <cellStyle name="20% - Accent1 2 9 2 2 2 2 2 2" xfId="2220"/>
    <cellStyle name="20% - Accent1 2 9 2 2 2 2 3" xfId="2221"/>
    <cellStyle name="20% - Accent1 2 9 2 2 2 3" xfId="2222"/>
    <cellStyle name="20% - Accent1 2 9 2 2 2 3 2" xfId="2223"/>
    <cellStyle name="20% - Accent1 2 9 2 2 2 4" xfId="2224"/>
    <cellStyle name="20% - Accent1 2 9 2 2 3" xfId="2225"/>
    <cellStyle name="20% - Accent1 2 9 2 2 3 2" xfId="2226"/>
    <cellStyle name="20% - Accent1 2 9 2 2 3 2 2" xfId="2227"/>
    <cellStyle name="20% - Accent1 2 9 2 2 3 3" xfId="2228"/>
    <cellStyle name="20% - Accent1 2 9 2 2 4" xfId="2229"/>
    <cellStyle name="20% - Accent1 2 9 2 2 4 2" xfId="2230"/>
    <cellStyle name="20% - Accent1 2 9 2 2 5" xfId="2231"/>
    <cellStyle name="20% - Accent1 2 9 2 3" xfId="2232"/>
    <cellStyle name="20% - Accent1 2 9 2 3 2" xfId="2233"/>
    <cellStyle name="20% - Accent1 2 9 2 3 2 2" xfId="2234"/>
    <cellStyle name="20% - Accent1 2 9 2 3 2 2 2" xfId="2235"/>
    <cellStyle name="20% - Accent1 2 9 2 3 2 2 2 2" xfId="2236"/>
    <cellStyle name="20% - Accent1 2 9 2 3 2 2 3" xfId="2237"/>
    <cellStyle name="20% - Accent1 2 9 2 3 2 3" xfId="2238"/>
    <cellStyle name="20% - Accent1 2 9 2 3 2 3 2" xfId="2239"/>
    <cellStyle name="20% - Accent1 2 9 2 3 2 4" xfId="2240"/>
    <cellStyle name="20% - Accent1 2 9 2 3 3" xfId="2241"/>
    <cellStyle name="20% - Accent1 2 9 2 3 3 2" xfId="2242"/>
    <cellStyle name="20% - Accent1 2 9 2 3 3 2 2" xfId="2243"/>
    <cellStyle name="20% - Accent1 2 9 2 3 3 3" xfId="2244"/>
    <cellStyle name="20% - Accent1 2 9 2 3 4" xfId="2245"/>
    <cellStyle name="20% - Accent1 2 9 2 3 4 2" xfId="2246"/>
    <cellStyle name="20% - Accent1 2 9 2 3 5" xfId="2247"/>
    <cellStyle name="20% - Accent1 2 9 2 4" xfId="2248"/>
    <cellStyle name="20% - Accent1 2 9 2 4 2" xfId="2249"/>
    <cellStyle name="20% - Accent1 2 9 2 4 2 2" xfId="2250"/>
    <cellStyle name="20% - Accent1 2 9 2 4 2 2 2" xfId="2251"/>
    <cellStyle name="20% - Accent1 2 9 2 4 2 2 2 2" xfId="2252"/>
    <cellStyle name="20% - Accent1 2 9 2 4 2 2 3" xfId="2253"/>
    <cellStyle name="20% - Accent1 2 9 2 4 2 3" xfId="2254"/>
    <cellStyle name="20% - Accent1 2 9 2 4 2 3 2" xfId="2255"/>
    <cellStyle name="20% - Accent1 2 9 2 4 2 4" xfId="2256"/>
    <cellStyle name="20% - Accent1 2 9 2 4 3" xfId="2257"/>
    <cellStyle name="20% - Accent1 2 9 2 4 3 2" xfId="2258"/>
    <cellStyle name="20% - Accent1 2 9 2 4 3 2 2" xfId="2259"/>
    <cellStyle name="20% - Accent1 2 9 2 4 3 3" xfId="2260"/>
    <cellStyle name="20% - Accent1 2 9 2 4 4" xfId="2261"/>
    <cellStyle name="20% - Accent1 2 9 2 4 4 2" xfId="2262"/>
    <cellStyle name="20% - Accent1 2 9 2 4 5" xfId="2263"/>
    <cellStyle name="20% - Accent1 2 9 2 5" xfId="2264"/>
    <cellStyle name="20% - Accent1 2 9 2 5 2" xfId="2265"/>
    <cellStyle name="20% - Accent1 2 9 2 5 2 2" xfId="2266"/>
    <cellStyle name="20% - Accent1 2 9 2 5 2 2 2" xfId="2267"/>
    <cellStyle name="20% - Accent1 2 9 2 5 2 2 2 2" xfId="2268"/>
    <cellStyle name="20% - Accent1 2 9 2 5 2 2 3" xfId="2269"/>
    <cellStyle name="20% - Accent1 2 9 2 5 2 3" xfId="2270"/>
    <cellStyle name="20% - Accent1 2 9 2 5 2 3 2" xfId="2271"/>
    <cellStyle name="20% - Accent1 2 9 2 5 2 4" xfId="2272"/>
    <cellStyle name="20% - Accent1 2 9 2 5 3" xfId="2273"/>
    <cellStyle name="20% - Accent1 2 9 2 5 3 2" xfId="2274"/>
    <cellStyle name="20% - Accent1 2 9 2 5 3 2 2" xfId="2275"/>
    <cellStyle name="20% - Accent1 2 9 2 5 3 3" xfId="2276"/>
    <cellStyle name="20% - Accent1 2 9 2 5 4" xfId="2277"/>
    <cellStyle name="20% - Accent1 2 9 2 5 4 2" xfId="2278"/>
    <cellStyle name="20% - Accent1 2 9 2 5 5" xfId="2279"/>
    <cellStyle name="20% - Accent1 2 9 2 6" xfId="2280"/>
    <cellStyle name="20% - Accent1 2 9 2 6 2" xfId="2281"/>
    <cellStyle name="20% - Accent1 2 9 2 6 2 2" xfId="2282"/>
    <cellStyle name="20% - Accent1 2 9 2 6 2 2 2" xfId="2283"/>
    <cellStyle name="20% - Accent1 2 9 2 6 2 2 2 2" xfId="2284"/>
    <cellStyle name="20% - Accent1 2 9 2 6 2 2 3" xfId="2285"/>
    <cellStyle name="20% - Accent1 2 9 2 6 2 3" xfId="2286"/>
    <cellStyle name="20% - Accent1 2 9 2 6 2 3 2" xfId="2287"/>
    <cellStyle name="20% - Accent1 2 9 2 6 2 4" xfId="2288"/>
    <cellStyle name="20% - Accent1 2 9 2 6 3" xfId="2289"/>
    <cellStyle name="20% - Accent1 2 9 2 6 3 2" xfId="2290"/>
    <cellStyle name="20% - Accent1 2 9 2 6 3 2 2" xfId="2291"/>
    <cellStyle name="20% - Accent1 2 9 2 6 3 3" xfId="2292"/>
    <cellStyle name="20% - Accent1 2 9 2 6 4" xfId="2293"/>
    <cellStyle name="20% - Accent1 2 9 2 6 4 2" xfId="2294"/>
    <cellStyle name="20% - Accent1 2 9 2 6 5" xfId="2295"/>
    <cellStyle name="20% - Accent1 2 9 2 7" xfId="2296"/>
    <cellStyle name="20% - Accent1 2 9 2 7 2" xfId="2297"/>
    <cellStyle name="20% - Accent1 2 9 2 7 2 2" xfId="2298"/>
    <cellStyle name="20% - Accent1 2 9 2 7 2 2 2" xfId="2299"/>
    <cellStyle name="20% - Accent1 2 9 2 7 2 3" xfId="2300"/>
    <cellStyle name="20% - Accent1 2 9 2 7 3" xfId="2301"/>
    <cellStyle name="20% - Accent1 2 9 2 7 3 2" xfId="2302"/>
    <cellStyle name="20% - Accent1 2 9 2 7 4" xfId="2303"/>
    <cellStyle name="20% - Accent1 2 9 2 8" xfId="2304"/>
    <cellStyle name="20% - Accent1 2 9 2 8 2" xfId="2305"/>
    <cellStyle name="20% - Accent1 2 9 2 8 2 2" xfId="2306"/>
    <cellStyle name="20% - Accent1 2 9 2 8 3" xfId="2307"/>
    <cellStyle name="20% - Accent1 2 9 2 9" xfId="2308"/>
    <cellStyle name="20% - Accent1 2 9 2 9 2" xfId="2309"/>
    <cellStyle name="20% - Accent1 2 9 3" xfId="2310"/>
    <cellStyle name="20% - Accent1 2 9 3 2" xfId="2311"/>
    <cellStyle name="20% - Accent1 2 9 3 2 2" xfId="2312"/>
    <cellStyle name="20% - Accent1 2 9 3 2 2 2" xfId="2313"/>
    <cellStyle name="20% - Accent1 2 9 3 2 2 2 2" xfId="2314"/>
    <cellStyle name="20% - Accent1 2 9 3 2 2 3" xfId="2315"/>
    <cellStyle name="20% - Accent1 2 9 3 2 3" xfId="2316"/>
    <cellStyle name="20% - Accent1 2 9 3 2 3 2" xfId="2317"/>
    <cellStyle name="20% - Accent1 2 9 3 2 4" xfId="2318"/>
    <cellStyle name="20% - Accent1 2 9 3 3" xfId="2319"/>
    <cellStyle name="20% - Accent1 2 9 3 3 2" xfId="2320"/>
    <cellStyle name="20% - Accent1 2 9 3 3 2 2" xfId="2321"/>
    <cellStyle name="20% - Accent1 2 9 3 3 3" xfId="2322"/>
    <cellStyle name="20% - Accent1 2 9 3 4" xfId="2323"/>
    <cellStyle name="20% - Accent1 2 9 3 4 2" xfId="2324"/>
    <cellStyle name="20% - Accent1 2 9 3 5" xfId="2325"/>
    <cellStyle name="20% - Accent1 2 9 4" xfId="2326"/>
    <cellStyle name="20% - Accent1 2 9 4 2" xfId="2327"/>
    <cellStyle name="20% - Accent1 2 9 4 2 2" xfId="2328"/>
    <cellStyle name="20% - Accent1 2 9 4 2 2 2" xfId="2329"/>
    <cellStyle name="20% - Accent1 2 9 4 2 2 2 2" xfId="2330"/>
    <cellStyle name="20% - Accent1 2 9 4 2 2 3" xfId="2331"/>
    <cellStyle name="20% - Accent1 2 9 4 2 3" xfId="2332"/>
    <cellStyle name="20% - Accent1 2 9 4 2 3 2" xfId="2333"/>
    <cellStyle name="20% - Accent1 2 9 4 2 4" xfId="2334"/>
    <cellStyle name="20% - Accent1 2 9 4 3" xfId="2335"/>
    <cellStyle name="20% - Accent1 2 9 4 3 2" xfId="2336"/>
    <cellStyle name="20% - Accent1 2 9 4 3 2 2" xfId="2337"/>
    <cellStyle name="20% - Accent1 2 9 4 3 3" xfId="2338"/>
    <cellStyle name="20% - Accent1 2 9 4 4" xfId="2339"/>
    <cellStyle name="20% - Accent1 2 9 4 4 2" xfId="2340"/>
    <cellStyle name="20% - Accent1 2 9 4 5" xfId="2341"/>
    <cellStyle name="20% - Accent1 2 9 5" xfId="2342"/>
    <cellStyle name="20% - Accent1 2 9 5 2" xfId="2343"/>
    <cellStyle name="20% - Accent1 2 9 5 2 2" xfId="2344"/>
    <cellStyle name="20% - Accent1 2 9 5 2 2 2" xfId="2345"/>
    <cellStyle name="20% - Accent1 2 9 5 2 2 2 2" xfId="2346"/>
    <cellStyle name="20% - Accent1 2 9 5 2 2 3" xfId="2347"/>
    <cellStyle name="20% - Accent1 2 9 5 2 3" xfId="2348"/>
    <cellStyle name="20% - Accent1 2 9 5 2 3 2" xfId="2349"/>
    <cellStyle name="20% - Accent1 2 9 5 2 4" xfId="2350"/>
    <cellStyle name="20% - Accent1 2 9 5 3" xfId="2351"/>
    <cellStyle name="20% - Accent1 2 9 5 3 2" xfId="2352"/>
    <cellStyle name="20% - Accent1 2 9 5 3 2 2" xfId="2353"/>
    <cellStyle name="20% - Accent1 2 9 5 3 3" xfId="2354"/>
    <cellStyle name="20% - Accent1 2 9 5 4" xfId="2355"/>
    <cellStyle name="20% - Accent1 2 9 5 4 2" xfId="2356"/>
    <cellStyle name="20% - Accent1 2 9 5 5" xfId="2357"/>
    <cellStyle name="20% - Accent1 2 9 6" xfId="2358"/>
    <cellStyle name="20% - Accent1 2 9 6 2" xfId="2359"/>
    <cellStyle name="20% - Accent1 2 9 6 2 2" xfId="2360"/>
    <cellStyle name="20% - Accent1 2 9 6 2 2 2" xfId="2361"/>
    <cellStyle name="20% - Accent1 2 9 6 2 2 2 2" xfId="2362"/>
    <cellStyle name="20% - Accent1 2 9 6 2 2 3" xfId="2363"/>
    <cellStyle name="20% - Accent1 2 9 6 2 3" xfId="2364"/>
    <cellStyle name="20% - Accent1 2 9 6 2 3 2" xfId="2365"/>
    <cellStyle name="20% - Accent1 2 9 6 2 4" xfId="2366"/>
    <cellStyle name="20% - Accent1 2 9 6 3" xfId="2367"/>
    <cellStyle name="20% - Accent1 2 9 6 3 2" xfId="2368"/>
    <cellStyle name="20% - Accent1 2 9 6 3 2 2" xfId="2369"/>
    <cellStyle name="20% - Accent1 2 9 6 3 3" xfId="2370"/>
    <cellStyle name="20% - Accent1 2 9 6 4" xfId="2371"/>
    <cellStyle name="20% - Accent1 2 9 6 4 2" xfId="2372"/>
    <cellStyle name="20% - Accent1 2 9 6 5" xfId="2373"/>
    <cellStyle name="20% - Accent1 2 9 7" xfId="2374"/>
    <cellStyle name="20% - Accent1 2 9 7 2" xfId="2375"/>
    <cellStyle name="20% - Accent1 2 9 7 2 2" xfId="2376"/>
    <cellStyle name="20% - Accent1 2 9 7 2 2 2" xfId="2377"/>
    <cellStyle name="20% - Accent1 2 9 7 2 2 2 2" xfId="2378"/>
    <cellStyle name="20% - Accent1 2 9 7 2 2 3" xfId="2379"/>
    <cellStyle name="20% - Accent1 2 9 7 2 3" xfId="2380"/>
    <cellStyle name="20% - Accent1 2 9 7 2 3 2" xfId="2381"/>
    <cellStyle name="20% - Accent1 2 9 7 2 4" xfId="2382"/>
    <cellStyle name="20% - Accent1 2 9 7 3" xfId="2383"/>
    <cellStyle name="20% - Accent1 2 9 7 3 2" xfId="2384"/>
    <cellStyle name="20% - Accent1 2 9 7 3 2 2" xfId="2385"/>
    <cellStyle name="20% - Accent1 2 9 7 3 3" xfId="2386"/>
    <cellStyle name="20% - Accent1 2 9 7 4" xfId="2387"/>
    <cellStyle name="20% - Accent1 2 9 7 4 2" xfId="2388"/>
    <cellStyle name="20% - Accent1 2 9 7 5" xfId="2389"/>
    <cellStyle name="20% - Accent1 2 9 8" xfId="2390"/>
    <cellStyle name="20% - Accent1 2 9 8 2" xfId="2391"/>
    <cellStyle name="20% - Accent1 2 9 8 2 2" xfId="2392"/>
    <cellStyle name="20% - Accent1 2 9 8 2 2 2" xfId="2393"/>
    <cellStyle name="20% - Accent1 2 9 8 2 3" xfId="2394"/>
    <cellStyle name="20% - Accent1 2 9 8 3" xfId="2395"/>
    <cellStyle name="20% - Accent1 2 9 8 3 2" xfId="2396"/>
    <cellStyle name="20% - Accent1 2 9 8 4" xfId="2397"/>
    <cellStyle name="20% - Accent1 2 9 9" xfId="2398"/>
    <cellStyle name="20% - Accent1 2 9 9 2" xfId="2399"/>
    <cellStyle name="20% - Accent1 2 9 9 2 2" xfId="2400"/>
    <cellStyle name="20% - Accent1 2 9 9 3" xfId="2401"/>
    <cellStyle name="20% - Accent1 20" xfId="2402"/>
    <cellStyle name="20% - Accent1 20 2" xfId="2403"/>
    <cellStyle name="20% - Accent1 20 2 2" xfId="2404"/>
    <cellStyle name="20% - Accent1 20 2 2 2" xfId="2405"/>
    <cellStyle name="20% - Accent1 20 2 2 2 2" xfId="2406"/>
    <cellStyle name="20% - Accent1 20 2 2 3" xfId="2407"/>
    <cellStyle name="20% - Accent1 20 2 3" xfId="2408"/>
    <cellStyle name="20% - Accent1 20 2 3 2" xfId="2409"/>
    <cellStyle name="20% - Accent1 20 2 4" xfId="2410"/>
    <cellStyle name="20% - Accent1 20 3" xfId="2411"/>
    <cellStyle name="20% - Accent1 20 3 2" xfId="2412"/>
    <cellStyle name="20% - Accent1 20 3 2 2" xfId="2413"/>
    <cellStyle name="20% - Accent1 20 3 3" xfId="2414"/>
    <cellStyle name="20% - Accent1 20 4" xfId="2415"/>
    <cellStyle name="20% - Accent1 20 4 2" xfId="2416"/>
    <cellStyle name="20% - Accent1 20 5" xfId="2417"/>
    <cellStyle name="20% - Accent1 21" xfId="2418"/>
    <cellStyle name="20% - Accent1 21 2" xfId="2419"/>
    <cellStyle name="20% - Accent1 21 2 2" xfId="2420"/>
    <cellStyle name="20% - Accent1 21 2 2 2" xfId="2421"/>
    <cellStyle name="20% - Accent1 21 2 3" xfId="2422"/>
    <cellStyle name="20% - Accent1 21 3" xfId="2423"/>
    <cellStyle name="20% - Accent1 21 3 2" xfId="2424"/>
    <cellStyle name="20% - Accent1 21 4" xfId="2425"/>
    <cellStyle name="20% - Accent1 22" xfId="2426"/>
    <cellStyle name="20% - Accent1 22 2" xfId="2427"/>
    <cellStyle name="20% - Accent1 22 2 2" xfId="2428"/>
    <cellStyle name="20% - Accent1 22 3" xfId="2429"/>
    <cellStyle name="20% - Accent1 23" xfId="2430"/>
    <cellStyle name="20% - Accent1 23 2" xfId="2431"/>
    <cellStyle name="20% - Accent1 24" xfId="2432"/>
    <cellStyle name="20% - Accent1 3" xfId="2433"/>
    <cellStyle name="20% - Accent1 3 10" xfId="2434"/>
    <cellStyle name="20% - Accent1 3 10 2" xfId="2435"/>
    <cellStyle name="20% - Accent1 3 11" xfId="2436"/>
    <cellStyle name="20% - Accent1 3 2" xfId="2437"/>
    <cellStyle name="20% - Accent1 3 2 10" xfId="2438"/>
    <cellStyle name="20% - Accent1 3 2 2" xfId="2439"/>
    <cellStyle name="20% - Accent1 3 2 2 2" xfId="2440"/>
    <cellStyle name="20% - Accent1 3 2 2 2 2" xfId="2441"/>
    <cellStyle name="20% - Accent1 3 2 2 2 2 2" xfId="2442"/>
    <cellStyle name="20% - Accent1 3 2 2 2 2 2 2" xfId="2443"/>
    <cellStyle name="20% - Accent1 3 2 2 2 2 3" xfId="2444"/>
    <cellStyle name="20% - Accent1 3 2 2 2 3" xfId="2445"/>
    <cellStyle name="20% - Accent1 3 2 2 2 3 2" xfId="2446"/>
    <cellStyle name="20% - Accent1 3 2 2 2 4" xfId="2447"/>
    <cellStyle name="20% - Accent1 3 2 2 3" xfId="2448"/>
    <cellStyle name="20% - Accent1 3 2 2 3 2" xfId="2449"/>
    <cellStyle name="20% - Accent1 3 2 2 3 2 2" xfId="2450"/>
    <cellStyle name="20% - Accent1 3 2 2 3 3" xfId="2451"/>
    <cellStyle name="20% - Accent1 3 2 2 4" xfId="2452"/>
    <cellStyle name="20% - Accent1 3 2 2 4 2" xfId="2453"/>
    <cellStyle name="20% - Accent1 3 2 2 5" xfId="2454"/>
    <cellStyle name="20% - Accent1 3 2 3" xfId="2455"/>
    <cellStyle name="20% - Accent1 3 2 3 2" xfId="2456"/>
    <cellStyle name="20% - Accent1 3 2 3 2 2" xfId="2457"/>
    <cellStyle name="20% - Accent1 3 2 3 2 2 2" xfId="2458"/>
    <cellStyle name="20% - Accent1 3 2 3 2 2 2 2" xfId="2459"/>
    <cellStyle name="20% - Accent1 3 2 3 2 2 3" xfId="2460"/>
    <cellStyle name="20% - Accent1 3 2 3 2 3" xfId="2461"/>
    <cellStyle name="20% - Accent1 3 2 3 2 3 2" xfId="2462"/>
    <cellStyle name="20% - Accent1 3 2 3 2 4" xfId="2463"/>
    <cellStyle name="20% - Accent1 3 2 3 3" xfId="2464"/>
    <cellStyle name="20% - Accent1 3 2 3 3 2" xfId="2465"/>
    <cellStyle name="20% - Accent1 3 2 3 3 2 2" xfId="2466"/>
    <cellStyle name="20% - Accent1 3 2 3 3 3" xfId="2467"/>
    <cellStyle name="20% - Accent1 3 2 3 4" xfId="2468"/>
    <cellStyle name="20% - Accent1 3 2 3 4 2" xfId="2469"/>
    <cellStyle name="20% - Accent1 3 2 3 5" xfId="2470"/>
    <cellStyle name="20% - Accent1 3 2 4" xfId="2471"/>
    <cellStyle name="20% - Accent1 3 2 4 2" xfId="2472"/>
    <cellStyle name="20% - Accent1 3 2 4 2 2" xfId="2473"/>
    <cellStyle name="20% - Accent1 3 2 4 2 2 2" xfId="2474"/>
    <cellStyle name="20% - Accent1 3 2 4 2 2 2 2" xfId="2475"/>
    <cellStyle name="20% - Accent1 3 2 4 2 2 3" xfId="2476"/>
    <cellStyle name="20% - Accent1 3 2 4 2 3" xfId="2477"/>
    <cellStyle name="20% - Accent1 3 2 4 2 3 2" xfId="2478"/>
    <cellStyle name="20% - Accent1 3 2 4 2 4" xfId="2479"/>
    <cellStyle name="20% - Accent1 3 2 4 3" xfId="2480"/>
    <cellStyle name="20% - Accent1 3 2 4 3 2" xfId="2481"/>
    <cellStyle name="20% - Accent1 3 2 4 3 2 2" xfId="2482"/>
    <cellStyle name="20% - Accent1 3 2 4 3 3" xfId="2483"/>
    <cellStyle name="20% - Accent1 3 2 4 4" xfId="2484"/>
    <cellStyle name="20% - Accent1 3 2 4 4 2" xfId="2485"/>
    <cellStyle name="20% - Accent1 3 2 4 5" xfId="2486"/>
    <cellStyle name="20% - Accent1 3 2 5" xfId="2487"/>
    <cellStyle name="20% - Accent1 3 2 5 2" xfId="2488"/>
    <cellStyle name="20% - Accent1 3 2 5 2 2" xfId="2489"/>
    <cellStyle name="20% - Accent1 3 2 5 2 2 2" xfId="2490"/>
    <cellStyle name="20% - Accent1 3 2 5 2 2 2 2" xfId="2491"/>
    <cellStyle name="20% - Accent1 3 2 5 2 2 3" xfId="2492"/>
    <cellStyle name="20% - Accent1 3 2 5 2 3" xfId="2493"/>
    <cellStyle name="20% - Accent1 3 2 5 2 3 2" xfId="2494"/>
    <cellStyle name="20% - Accent1 3 2 5 2 4" xfId="2495"/>
    <cellStyle name="20% - Accent1 3 2 5 3" xfId="2496"/>
    <cellStyle name="20% - Accent1 3 2 5 3 2" xfId="2497"/>
    <cellStyle name="20% - Accent1 3 2 5 3 2 2" xfId="2498"/>
    <cellStyle name="20% - Accent1 3 2 5 3 3" xfId="2499"/>
    <cellStyle name="20% - Accent1 3 2 5 4" xfId="2500"/>
    <cellStyle name="20% - Accent1 3 2 5 4 2" xfId="2501"/>
    <cellStyle name="20% - Accent1 3 2 5 5" xfId="2502"/>
    <cellStyle name="20% - Accent1 3 2 6" xfId="2503"/>
    <cellStyle name="20% - Accent1 3 2 6 2" xfId="2504"/>
    <cellStyle name="20% - Accent1 3 2 6 2 2" xfId="2505"/>
    <cellStyle name="20% - Accent1 3 2 6 2 2 2" xfId="2506"/>
    <cellStyle name="20% - Accent1 3 2 6 2 2 2 2" xfId="2507"/>
    <cellStyle name="20% - Accent1 3 2 6 2 2 3" xfId="2508"/>
    <cellStyle name="20% - Accent1 3 2 6 2 3" xfId="2509"/>
    <cellStyle name="20% - Accent1 3 2 6 2 3 2" xfId="2510"/>
    <cellStyle name="20% - Accent1 3 2 6 2 4" xfId="2511"/>
    <cellStyle name="20% - Accent1 3 2 6 3" xfId="2512"/>
    <cellStyle name="20% - Accent1 3 2 6 3 2" xfId="2513"/>
    <cellStyle name="20% - Accent1 3 2 6 3 2 2" xfId="2514"/>
    <cellStyle name="20% - Accent1 3 2 6 3 3" xfId="2515"/>
    <cellStyle name="20% - Accent1 3 2 6 4" xfId="2516"/>
    <cellStyle name="20% - Accent1 3 2 6 4 2" xfId="2517"/>
    <cellStyle name="20% - Accent1 3 2 6 5" xfId="2518"/>
    <cellStyle name="20% - Accent1 3 2 7" xfId="2519"/>
    <cellStyle name="20% - Accent1 3 2 7 2" xfId="2520"/>
    <cellStyle name="20% - Accent1 3 2 7 2 2" xfId="2521"/>
    <cellStyle name="20% - Accent1 3 2 7 2 2 2" xfId="2522"/>
    <cellStyle name="20% - Accent1 3 2 7 2 3" xfId="2523"/>
    <cellStyle name="20% - Accent1 3 2 7 3" xfId="2524"/>
    <cellStyle name="20% - Accent1 3 2 7 3 2" xfId="2525"/>
    <cellStyle name="20% - Accent1 3 2 7 4" xfId="2526"/>
    <cellStyle name="20% - Accent1 3 2 8" xfId="2527"/>
    <cellStyle name="20% - Accent1 3 2 8 2" xfId="2528"/>
    <cellStyle name="20% - Accent1 3 2 8 2 2" xfId="2529"/>
    <cellStyle name="20% - Accent1 3 2 8 3" xfId="2530"/>
    <cellStyle name="20% - Accent1 3 2 9" xfId="2531"/>
    <cellStyle name="20% - Accent1 3 2 9 2" xfId="2532"/>
    <cellStyle name="20% - Accent1 3 3" xfId="2533"/>
    <cellStyle name="20% - Accent1 3 3 2" xfId="2534"/>
    <cellStyle name="20% - Accent1 3 3 2 2" xfId="2535"/>
    <cellStyle name="20% - Accent1 3 3 2 2 2" xfId="2536"/>
    <cellStyle name="20% - Accent1 3 3 2 2 2 2" xfId="2537"/>
    <cellStyle name="20% - Accent1 3 3 2 2 3" xfId="2538"/>
    <cellStyle name="20% - Accent1 3 3 2 3" xfId="2539"/>
    <cellStyle name="20% - Accent1 3 3 2 3 2" xfId="2540"/>
    <cellStyle name="20% - Accent1 3 3 2 4" xfId="2541"/>
    <cellStyle name="20% - Accent1 3 3 3" xfId="2542"/>
    <cellStyle name="20% - Accent1 3 3 3 2" xfId="2543"/>
    <cellStyle name="20% - Accent1 3 3 3 2 2" xfId="2544"/>
    <cellStyle name="20% - Accent1 3 3 3 3" xfId="2545"/>
    <cellStyle name="20% - Accent1 3 3 4" xfId="2546"/>
    <cellStyle name="20% - Accent1 3 3 4 2" xfId="2547"/>
    <cellStyle name="20% - Accent1 3 3 5" xfId="2548"/>
    <cellStyle name="20% - Accent1 3 4" xfId="2549"/>
    <cellStyle name="20% - Accent1 3 4 2" xfId="2550"/>
    <cellStyle name="20% - Accent1 3 4 2 2" xfId="2551"/>
    <cellStyle name="20% - Accent1 3 4 2 2 2" xfId="2552"/>
    <cellStyle name="20% - Accent1 3 4 2 2 2 2" xfId="2553"/>
    <cellStyle name="20% - Accent1 3 4 2 2 3" xfId="2554"/>
    <cellStyle name="20% - Accent1 3 4 2 3" xfId="2555"/>
    <cellStyle name="20% - Accent1 3 4 2 3 2" xfId="2556"/>
    <cellStyle name="20% - Accent1 3 4 2 4" xfId="2557"/>
    <cellStyle name="20% - Accent1 3 4 3" xfId="2558"/>
    <cellStyle name="20% - Accent1 3 4 3 2" xfId="2559"/>
    <cellStyle name="20% - Accent1 3 4 3 2 2" xfId="2560"/>
    <cellStyle name="20% - Accent1 3 4 3 3" xfId="2561"/>
    <cellStyle name="20% - Accent1 3 4 4" xfId="2562"/>
    <cellStyle name="20% - Accent1 3 4 4 2" xfId="2563"/>
    <cellStyle name="20% - Accent1 3 4 5" xfId="2564"/>
    <cellStyle name="20% - Accent1 3 5" xfId="2565"/>
    <cellStyle name="20% - Accent1 3 5 2" xfId="2566"/>
    <cellStyle name="20% - Accent1 3 5 2 2" xfId="2567"/>
    <cellStyle name="20% - Accent1 3 5 2 2 2" xfId="2568"/>
    <cellStyle name="20% - Accent1 3 5 2 2 2 2" xfId="2569"/>
    <cellStyle name="20% - Accent1 3 5 2 2 3" xfId="2570"/>
    <cellStyle name="20% - Accent1 3 5 2 3" xfId="2571"/>
    <cellStyle name="20% - Accent1 3 5 2 3 2" xfId="2572"/>
    <cellStyle name="20% - Accent1 3 5 2 4" xfId="2573"/>
    <cellStyle name="20% - Accent1 3 5 3" xfId="2574"/>
    <cellStyle name="20% - Accent1 3 5 3 2" xfId="2575"/>
    <cellStyle name="20% - Accent1 3 5 3 2 2" xfId="2576"/>
    <cellStyle name="20% - Accent1 3 5 3 3" xfId="2577"/>
    <cellStyle name="20% - Accent1 3 5 4" xfId="2578"/>
    <cellStyle name="20% - Accent1 3 5 4 2" xfId="2579"/>
    <cellStyle name="20% - Accent1 3 5 5" xfId="2580"/>
    <cellStyle name="20% - Accent1 3 6" xfId="2581"/>
    <cellStyle name="20% - Accent1 3 6 2" xfId="2582"/>
    <cellStyle name="20% - Accent1 3 6 2 2" xfId="2583"/>
    <cellStyle name="20% - Accent1 3 6 2 2 2" xfId="2584"/>
    <cellStyle name="20% - Accent1 3 6 2 2 2 2" xfId="2585"/>
    <cellStyle name="20% - Accent1 3 6 2 2 3" xfId="2586"/>
    <cellStyle name="20% - Accent1 3 6 2 3" xfId="2587"/>
    <cellStyle name="20% - Accent1 3 6 2 3 2" xfId="2588"/>
    <cellStyle name="20% - Accent1 3 6 2 4" xfId="2589"/>
    <cellStyle name="20% - Accent1 3 6 3" xfId="2590"/>
    <cellStyle name="20% - Accent1 3 6 3 2" xfId="2591"/>
    <cellStyle name="20% - Accent1 3 6 3 2 2" xfId="2592"/>
    <cellStyle name="20% - Accent1 3 6 3 3" xfId="2593"/>
    <cellStyle name="20% - Accent1 3 6 4" xfId="2594"/>
    <cellStyle name="20% - Accent1 3 6 4 2" xfId="2595"/>
    <cellStyle name="20% - Accent1 3 6 5" xfId="2596"/>
    <cellStyle name="20% - Accent1 3 7" xfId="2597"/>
    <cellStyle name="20% - Accent1 3 7 2" xfId="2598"/>
    <cellStyle name="20% - Accent1 3 7 2 2" xfId="2599"/>
    <cellStyle name="20% - Accent1 3 7 2 2 2" xfId="2600"/>
    <cellStyle name="20% - Accent1 3 7 2 2 2 2" xfId="2601"/>
    <cellStyle name="20% - Accent1 3 7 2 2 3" xfId="2602"/>
    <cellStyle name="20% - Accent1 3 7 2 3" xfId="2603"/>
    <cellStyle name="20% - Accent1 3 7 2 3 2" xfId="2604"/>
    <cellStyle name="20% - Accent1 3 7 2 4" xfId="2605"/>
    <cellStyle name="20% - Accent1 3 7 3" xfId="2606"/>
    <cellStyle name="20% - Accent1 3 7 3 2" xfId="2607"/>
    <cellStyle name="20% - Accent1 3 7 3 2 2" xfId="2608"/>
    <cellStyle name="20% - Accent1 3 7 3 3" xfId="2609"/>
    <cellStyle name="20% - Accent1 3 7 4" xfId="2610"/>
    <cellStyle name="20% - Accent1 3 7 4 2" xfId="2611"/>
    <cellStyle name="20% - Accent1 3 7 5" xfId="2612"/>
    <cellStyle name="20% - Accent1 3 8" xfId="2613"/>
    <cellStyle name="20% - Accent1 3 8 2" xfId="2614"/>
    <cellStyle name="20% - Accent1 3 8 2 2" xfId="2615"/>
    <cellStyle name="20% - Accent1 3 8 2 2 2" xfId="2616"/>
    <cellStyle name="20% - Accent1 3 8 2 3" xfId="2617"/>
    <cellStyle name="20% - Accent1 3 8 3" xfId="2618"/>
    <cellStyle name="20% - Accent1 3 8 3 2" xfId="2619"/>
    <cellStyle name="20% - Accent1 3 8 4" xfId="2620"/>
    <cellStyle name="20% - Accent1 3 9" xfId="2621"/>
    <cellStyle name="20% - Accent1 3 9 2" xfId="2622"/>
    <cellStyle name="20% - Accent1 3 9 2 2" xfId="2623"/>
    <cellStyle name="20% - Accent1 3 9 3" xfId="2624"/>
    <cellStyle name="20% - Accent1 4" xfId="2625"/>
    <cellStyle name="20% - Accent1 4 10" xfId="2626"/>
    <cellStyle name="20% - Accent1 4 10 2" xfId="2627"/>
    <cellStyle name="20% - Accent1 4 11" xfId="2628"/>
    <cellStyle name="20% - Accent1 4 2" xfId="2629"/>
    <cellStyle name="20% - Accent1 4 2 10" xfId="2630"/>
    <cellStyle name="20% - Accent1 4 2 2" xfId="2631"/>
    <cellStyle name="20% - Accent1 4 2 2 2" xfId="2632"/>
    <cellStyle name="20% - Accent1 4 2 2 2 2" xfId="2633"/>
    <cellStyle name="20% - Accent1 4 2 2 2 2 2" xfId="2634"/>
    <cellStyle name="20% - Accent1 4 2 2 2 2 2 2" xfId="2635"/>
    <cellStyle name="20% - Accent1 4 2 2 2 2 3" xfId="2636"/>
    <cellStyle name="20% - Accent1 4 2 2 2 3" xfId="2637"/>
    <cellStyle name="20% - Accent1 4 2 2 2 3 2" xfId="2638"/>
    <cellStyle name="20% - Accent1 4 2 2 2 4" xfId="2639"/>
    <cellStyle name="20% - Accent1 4 2 2 3" xfId="2640"/>
    <cellStyle name="20% - Accent1 4 2 2 3 2" xfId="2641"/>
    <cellStyle name="20% - Accent1 4 2 2 3 2 2" xfId="2642"/>
    <cellStyle name="20% - Accent1 4 2 2 3 3" xfId="2643"/>
    <cellStyle name="20% - Accent1 4 2 2 4" xfId="2644"/>
    <cellStyle name="20% - Accent1 4 2 2 4 2" xfId="2645"/>
    <cellStyle name="20% - Accent1 4 2 2 5" xfId="2646"/>
    <cellStyle name="20% - Accent1 4 2 3" xfId="2647"/>
    <cellStyle name="20% - Accent1 4 2 3 2" xfId="2648"/>
    <cellStyle name="20% - Accent1 4 2 3 2 2" xfId="2649"/>
    <cellStyle name="20% - Accent1 4 2 3 2 2 2" xfId="2650"/>
    <cellStyle name="20% - Accent1 4 2 3 2 2 2 2" xfId="2651"/>
    <cellStyle name="20% - Accent1 4 2 3 2 2 3" xfId="2652"/>
    <cellStyle name="20% - Accent1 4 2 3 2 3" xfId="2653"/>
    <cellStyle name="20% - Accent1 4 2 3 2 3 2" xfId="2654"/>
    <cellStyle name="20% - Accent1 4 2 3 2 4" xfId="2655"/>
    <cellStyle name="20% - Accent1 4 2 3 3" xfId="2656"/>
    <cellStyle name="20% - Accent1 4 2 3 3 2" xfId="2657"/>
    <cellStyle name="20% - Accent1 4 2 3 3 2 2" xfId="2658"/>
    <cellStyle name="20% - Accent1 4 2 3 3 3" xfId="2659"/>
    <cellStyle name="20% - Accent1 4 2 3 4" xfId="2660"/>
    <cellStyle name="20% - Accent1 4 2 3 4 2" xfId="2661"/>
    <cellStyle name="20% - Accent1 4 2 3 5" xfId="2662"/>
    <cellStyle name="20% - Accent1 4 2 4" xfId="2663"/>
    <cellStyle name="20% - Accent1 4 2 4 2" xfId="2664"/>
    <cellStyle name="20% - Accent1 4 2 4 2 2" xfId="2665"/>
    <cellStyle name="20% - Accent1 4 2 4 2 2 2" xfId="2666"/>
    <cellStyle name="20% - Accent1 4 2 4 2 2 2 2" xfId="2667"/>
    <cellStyle name="20% - Accent1 4 2 4 2 2 3" xfId="2668"/>
    <cellStyle name="20% - Accent1 4 2 4 2 3" xfId="2669"/>
    <cellStyle name="20% - Accent1 4 2 4 2 3 2" xfId="2670"/>
    <cellStyle name="20% - Accent1 4 2 4 2 4" xfId="2671"/>
    <cellStyle name="20% - Accent1 4 2 4 3" xfId="2672"/>
    <cellStyle name="20% - Accent1 4 2 4 3 2" xfId="2673"/>
    <cellStyle name="20% - Accent1 4 2 4 3 2 2" xfId="2674"/>
    <cellStyle name="20% - Accent1 4 2 4 3 3" xfId="2675"/>
    <cellStyle name="20% - Accent1 4 2 4 4" xfId="2676"/>
    <cellStyle name="20% - Accent1 4 2 4 4 2" xfId="2677"/>
    <cellStyle name="20% - Accent1 4 2 4 5" xfId="2678"/>
    <cellStyle name="20% - Accent1 4 2 5" xfId="2679"/>
    <cellStyle name="20% - Accent1 4 2 5 2" xfId="2680"/>
    <cellStyle name="20% - Accent1 4 2 5 2 2" xfId="2681"/>
    <cellStyle name="20% - Accent1 4 2 5 2 2 2" xfId="2682"/>
    <cellStyle name="20% - Accent1 4 2 5 2 2 2 2" xfId="2683"/>
    <cellStyle name="20% - Accent1 4 2 5 2 2 3" xfId="2684"/>
    <cellStyle name="20% - Accent1 4 2 5 2 3" xfId="2685"/>
    <cellStyle name="20% - Accent1 4 2 5 2 3 2" xfId="2686"/>
    <cellStyle name="20% - Accent1 4 2 5 2 4" xfId="2687"/>
    <cellStyle name="20% - Accent1 4 2 5 3" xfId="2688"/>
    <cellStyle name="20% - Accent1 4 2 5 3 2" xfId="2689"/>
    <cellStyle name="20% - Accent1 4 2 5 3 2 2" xfId="2690"/>
    <cellStyle name="20% - Accent1 4 2 5 3 3" xfId="2691"/>
    <cellStyle name="20% - Accent1 4 2 5 4" xfId="2692"/>
    <cellStyle name="20% - Accent1 4 2 5 4 2" xfId="2693"/>
    <cellStyle name="20% - Accent1 4 2 5 5" xfId="2694"/>
    <cellStyle name="20% - Accent1 4 2 6" xfId="2695"/>
    <cellStyle name="20% - Accent1 4 2 6 2" xfId="2696"/>
    <cellStyle name="20% - Accent1 4 2 6 2 2" xfId="2697"/>
    <cellStyle name="20% - Accent1 4 2 6 2 2 2" xfId="2698"/>
    <cellStyle name="20% - Accent1 4 2 6 2 2 2 2" xfId="2699"/>
    <cellStyle name="20% - Accent1 4 2 6 2 2 3" xfId="2700"/>
    <cellStyle name="20% - Accent1 4 2 6 2 3" xfId="2701"/>
    <cellStyle name="20% - Accent1 4 2 6 2 3 2" xfId="2702"/>
    <cellStyle name="20% - Accent1 4 2 6 2 4" xfId="2703"/>
    <cellStyle name="20% - Accent1 4 2 6 3" xfId="2704"/>
    <cellStyle name="20% - Accent1 4 2 6 3 2" xfId="2705"/>
    <cellStyle name="20% - Accent1 4 2 6 3 2 2" xfId="2706"/>
    <cellStyle name="20% - Accent1 4 2 6 3 3" xfId="2707"/>
    <cellStyle name="20% - Accent1 4 2 6 4" xfId="2708"/>
    <cellStyle name="20% - Accent1 4 2 6 4 2" xfId="2709"/>
    <cellStyle name="20% - Accent1 4 2 6 5" xfId="2710"/>
    <cellStyle name="20% - Accent1 4 2 7" xfId="2711"/>
    <cellStyle name="20% - Accent1 4 2 7 2" xfId="2712"/>
    <cellStyle name="20% - Accent1 4 2 7 2 2" xfId="2713"/>
    <cellStyle name="20% - Accent1 4 2 7 2 2 2" xfId="2714"/>
    <cellStyle name="20% - Accent1 4 2 7 2 3" xfId="2715"/>
    <cellStyle name="20% - Accent1 4 2 7 3" xfId="2716"/>
    <cellStyle name="20% - Accent1 4 2 7 3 2" xfId="2717"/>
    <cellStyle name="20% - Accent1 4 2 7 4" xfId="2718"/>
    <cellStyle name="20% - Accent1 4 2 8" xfId="2719"/>
    <cellStyle name="20% - Accent1 4 2 8 2" xfId="2720"/>
    <cellStyle name="20% - Accent1 4 2 8 2 2" xfId="2721"/>
    <cellStyle name="20% - Accent1 4 2 8 3" xfId="2722"/>
    <cellStyle name="20% - Accent1 4 2 9" xfId="2723"/>
    <cellStyle name="20% - Accent1 4 2 9 2" xfId="2724"/>
    <cellStyle name="20% - Accent1 4 3" xfId="2725"/>
    <cellStyle name="20% - Accent1 4 3 2" xfId="2726"/>
    <cellStyle name="20% - Accent1 4 3 2 2" xfId="2727"/>
    <cellStyle name="20% - Accent1 4 3 2 2 2" xfId="2728"/>
    <cellStyle name="20% - Accent1 4 3 2 2 2 2" xfId="2729"/>
    <cellStyle name="20% - Accent1 4 3 2 2 3" xfId="2730"/>
    <cellStyle name="20% - Accent1 4 3 2 3" xfId="2731"/>
    <cellStyle name="20% - Accent1 4 3 2 3 2" xfId="2732"/>
    <cellStyle name="20% - Accent1 4 3 2 4" xfId="2733"/>
    <cellStyle name="20% - Accent1 4 3 3" xfId="2734"/>
    <cellStyle name="20% - Accent1 4 3 3 2" xfId="2735"/>
    <cellStyle name="20% - Accent1 4 3 3 2 2" xfId="2736"/>
    <cellStyle name="20% - Accent1 4 3 3 3" xfId="2737"/>
    <cellStyle name="20% - Accent1 4 3 4" xfId="2738"/>
    <cellStyle name="20% - Accent1 4 3 4 2" xfId="2739"/>
    <cellStyle name="20% - Accent1 4 3 5" xfId="2740"/>
    <cellStyle name="20% - Accent1 4 4" xfId="2741"/>
    <cellStyle name="20% - Accent1 4 4 2" xfId="2742"/>
    <cellStyle name="20% - Accent1 4 4 2 2" xfId="2743"/>
    <cellStyle name="20% - Accent1 4 4 2 2 2" xfId="2744"/>
    <cellStyle name="20% - Accent1 4 4 2 2 2 2" xfId="2745"/>
    <cellStyle name="20% - Accent1 4 4 2 2 3" xfId="2746"/>
    <cellStyle name="20% - Accent1 4 4 2 3" xfId="2747"/>
    <cellStyle name="20% - Accent1 4 4 2 3 2" xfId="2748"/>
    <cellStyle name="20% - Accent1 4 4 2 4" xfId="2749"/>
    <cellStyle name="20% - Accent1 4 4 3" xfId="2750"/>
    <cellStyle name="20% - Accent1 4 4 3 2" xfId="2751"/>
    <cellStyle name="20% - Accent1 4 4 3 2 2" xfId="2752"/>
    <cellStyle name="20% - Accent1 4 4 3 3" xfId="2753"/>
    <cellStyle name="20% - Accent1 4 4 4" xfId="2754"/>
    <cellStyle name="20% - Accent1 4 4 4 2" xfId="2755"/>
    <cellStyle name="20% - Accent1 4 4 5" xfId="2756"/>
    <cellStyle name="20% - Accent1 4 5" xfId="2757"/>
    <cellStyle name="20% - Accent1 4 5 2" xfId="2758"/>
    <cellStyle name="20% - Accent1 4 5 2 2" xfId="2759"/>
    <cellStyle name="20% - Accent1 4 5 2 2 2" xfId="2760"/>
    <cellStyle name="20% - Accent1 4 5 2 2 2 2" xfId="2761"/>
    <cellStyle name="20% - Accent1 4 5 2 2 3" xfId="2762"/>
    <cellStyle name="20% - Accent1 4 5 2 3" xfId="2763"/>
    <cellStyle name="20% - Accent1 4 5 2 3 2" xfId="2764"/>
    <cellStyle name="20% - Accent1 4 5 2 4" xfId="2765"/>
    <cellStyle name="20% - Accent1 4 5 3" xfId="2766"/>
    <cellStyle name="20% - Accent1 4 5 3 2" xfId="2767"/>
    <cellStyle name="20% - Accent1 4 5 3 2 2" xfId="2768"/>
    <cellStyle name="20% - Accent1 4 5 3 3" xfId="2769"/>
    <cellStyle name="20% - Accent1 4 5 4" xfId="2770"/>
    <cellStyle name="20% - Accent1 4 5 4 2" xfId="2771"/>
    <cellStyle name="20% - Accent1 4 5 5" xfId="2772"/>
    <cellStyle name="20% - Accent1 4 6" xfId="2773"/>
    <cellStyle name="20% - Accent1 4 6 2" xfId="2774"/>
    <cellStyle name="20% - Accent1 4 6 2 2" xfId="2775"/>
    <cellStyle name="20% - Accent1 4 6 2 2 2" xfId="2776"/>
    <cellStyle name="20% - Accent1 4 6 2 2 2 2" xfId="2777"/>
    <cellStyle name="20% - Accent1 4 6 2 2 3" xfId="2778"/>
    <cellStyle name="20% - Accent1 4 6 2 3" xfId="2779"/>
    <cellStyle name="20% - Accent1 4 6 2 3 2" xfId="2780"/>
    <cellStyle name="20% - Accent1 4 6 2 4" xfId="2781"/>
    <cellStyle name="20% - Accent1 4 6 3" xfId="2782"/>
    <cellStyle name="20% - Accent1 4 6 3 2" xfId="2783"/>
    <cellStyle name="20% - Accent1 4 6 3 2 2" xfId="2784"/>
    <cellStyle name="20% - Accent1 4 6 3 3" xfId="2785"/>
    <cellStyle name="20% - Accent1 4 6 4" xfId="2786"/>
    <cellStyle name="20% - Accent1 4 6 4 2" xfId="2787"/>
    <cellStyle name="20% - Accent1 4 6 5" xfId="2788"/>
    <cellStyle name="20% - Accent1 4 7" xfId="2789"/>
    <cellStyle name="20% - Accent1 4 7 2" xfId="2790"/>
    <cellStyle name="20% - Accent1 4 7 2 2" xfId="2791"/>
    <cellStyle name="20% - Accent1 4 7 2 2 2" xfId="2792"/>
    <cellStyle name="20% - Accent1 4 7 2 2 2 2" xfId="2793"/>
    <cellStyle name="20% - Accent1 4 7 2 2 3" xfId="2794"/>
    <cellStyle name="20% - Accent1 4 7 2 3" xfId="2795"/>
    <cellStyle name="20% - Accent1 4 7 2 3 2" xfId="2796"/>
    <cellStyle name="20% - Accent1 4 7 2 4" xfId="2797"/>
    <cellStyle name="20% - Accent1 4 7 3" xfId="2798"/>
    <cellStyle name="20% - Accent1 4 7 3 2" xfId="2799"/>
    <cellStyle name="20% - Accent1 4 7 3 2 2" xfId="2800"/>
    <cellStyle name="20% - Accent1 4 7 3 3" xfId="2801"/>
    <cellStyle name="20% - Accent1 4 7 4" xfId="2802"/>
    <cellStyle name="20% - Accent1 4 7 4 2" xfId="2803"/>
    <cellStyle name="20% - Accent1 4 7 5" xfId="2804"/>
    <cellStyle name="20% - Accent1 4 8" xfId="2805"/>
    <cellStyle name="20% - Accent1 4 8 2" xfId="2806"/>
    <cellStyle name="20% - Accent1 4 8 2 2" xfId="2807"/>
    <cellStyle name="20% - Accent1 4 8 2 2 2" xfId="2808"/>
    <cellStyle name="20% - Accent1 4 8 2 3" xfId="2809"/>
    <cellStyle name="20% - Accent1 4 8 3" xfId="2810"/>
    <cellStyle name="20% - Accent1 4 8 3 2" xfId="2811"/>
    <cellStyle name="20% - Accent1 4 8 4" xfId="2812"/>
    <cellStyle name="20% - Accent1 4 9" xfId="2813"/>
    <cellStyle name="20% - Accent1 4 9 2" xfId="2814"/>
    <cellStyle name="20% - Accent1 4 9 2 2" xfId="2815"/>
    <cellStyle name="20% - Accent1 4 9 3" xfId="2816"/>
    <cellStyle name="20% - Accent1 5" xfId="2817"/>
    <cellStyle name="20% - Accent1 5 10" xfId="2818"/>
    <cellStyle name="20% - Accent1 5 10 2" xfId="2819"/>
    <cellStyle name="20% - Accent1 5 11" xfId="2820"/>
    <cellStyle name="20% - Accent1 5 2" xfId="2821"/>
    <cellStyle name="20% - Accent1 5 2 10" xfId="2822"/>
    <cellStyle name="20% - Accent1 5 2 2" xfId="2823"/>
    <cellStyle name="20% - Accent1 5 2 2 2" xfId="2824"/>
    <cellStyle name="20% - Accent1 5 2 2 2 2" xfId="2825"/>
    <cellStyle name="20% - Accent1 5 2 2 2 2 2" xfId="2826"/>
    <cellStyle name="20% - Accent1 5 2 2 2 2 2 2" xfId="2827"/>
    <cellStyle name="20% - Accent1 5 2 2 2 2 3" xfId="2828"/>
    <cellStyle name="20% - Accent1 5 2 2 2 3" xfId="2829"/>
    <cellStyle name="20% - Accent1 5 2 2 2 3 2" xfId="2830"/>
    <cellStyle name="20% - Accent1 5 2 2 2 4" xfId="2831"/>
    <cellStyle name="20% - Accent1 5 2 2 3" xfId="2832"/>
    <cellStyle name="20% - Accent1 5 2 2 3 2" xfId="2833"/>
    <cellStyle name="20% - Accent1 5 2 2 3 2 2" xfId="2834"/>
    <cellStyle name="20% - Accent1 5 2 2 3 3" xfId="2835"/>
    <cellStyle name="20% - Accent1 5 2 2 4" xfId="2836"/>
    <cellStyle name="20% - Accent1 5 2 2 4 2" xfId="2837"/>
    <cellStyle name="20% - Accent1 5 2 2 5" xfId="2838"/>
    <cellStyle name="20% - Accent1 5 2 3" xfId="2839"/>
    <cellStyle name="20% - Accent1 5 2 3 2" xfId="2840"/>
    <cellStyle name="20% - Accent1 5 2 3 2 2" xfId="2841"/>
    <cellStyle name="20% - Accent1 5 2 3 2 2 2" xfId="2842"/>
    <cellStyle name="20% - Accent1 5 2 3 2 2 2 2" xfId="2843"/>
    <cellStyle name="20% - Accent1 5 2 3 2 2 3" xfId="2844"/>
    <cellStyle name="20% - Accent1 5 2 3 2 3" xfId="2845"/>
    <cellStyle name="20% - Accent1 5 2 3 2 3 2" xfId="2846"/>
    <cellStyle name="20% - Accent1 5 2 3 2 4" xfId="2847"/>
    <cellStyle name="20% - Accent1 5 2 3 3" xfId="2848"/>
    <cellStyle name="20% - Accent1 5 2 3 3 2" xfId="2849"/>
    <cellStyle name="20% - Accent1 5 2 3 3 2 2" xfId="2850"/>
    <cellStyle name="20% - Accent1 5 2 3 3 3" xfId="2851"/>
    <cellStyle name="20% - Accent1 5 2 3 4" xfId="2852"/>
    <cellStyle name="20% - Accent1 5 2 3 4 2" xfId="2853"/>
    <cellStyle name="20% - Accent1 5 2 3 5" xfId="2854"/>
    <cellStyle name="20% - Accent1 5 2 4" xfId="2855"/>
    <cellStyle name="20% - Accent1 5 2 4 2" xfId="2856"/>
    <cellStyle name="20% - Accent1 5 2 4 2 2" xfId="2857"/>
    <cellStyle name="20% - Accent1 5 2 4 2 2 2" xfId="2858"/>
    <cellStyle name="20% - Accent1 5 2 4 2 2 2 2" xfId="2859"/>
    <cellStyle name="20% - Accent1 5 2 4 2 2 3" xfId="2860"/>
    <cellStyle name="20% - Accent1 5 2 4 2 3" xfId="2861"/>
    <cellStyle name="20% - Accent1 5 2 4 2 3 2" xfId="2862"/>
    <cellStyle name="20% - Accent1 5 2 4 2 4" xfId="2863"/>
    <cellStyle name="20% - Accent1 5 2 4 3" xfId="2864"/>
    <cellStyle name="20% - Accent1 5 2 4 3 2" xfId="2865"/>
    <cellStyle name="20% - Accent1 5 2 4 3 2 2" xfId="2866"/>
    <cellStyle name="20% - Accent1 5 2 4 3 3" xfId="2867"/>
    <cellStyle name="20% - Accent1 5 2 4 4" xfId="2868"/>
    <cellStyle name="20% - Accent1 5 2 4 4 2" xfId="2869"/>
    <cellStyle name="20% - Accent1 5 2 4 5" xfId="2870"/>
    <cellStyle name="20% - Accent1 5 2 5" xfId="2871"/>
    <cellStyle name="20% - Accent1 5 2 5 2" xfId="2872"/>
    <cellStyle name="20% - Accent1 5 2 5 2 2" xfId="2873"/>
    <cellStyle name="20% - Accent1 5 2 5 2 2 2" xfId="2874"/>
    <cellStyle name="20% - Accent1 5 2 5 2 2 2 2" xfId="2875"/>
    <cellStyle name="20% - Accent1 5 2 5 2 2 3" xfId="2876"/>
    <cellStyle name="20% - Accent1 5 2 5 2 3" xfId="2877"/>
    <cellStyle name="20% - Accent1 5 2 5 2 3 2" xfId="2878"/>
    <cellStyle name="20% - Accent1 5 2 5 2 4" xfId="2879"/>
    <cellStyle name="20% - Accent1 5 2 5 3" xfId="2880"/>
    <cellStyle name="20% - Accent1 5 2 5 3 2" xfId="2881"/>
    <cellStyle name="20% - Accent1 5 2 5 3 2 2" xfId="2882"/>
    <cellStyle name="20% - Accent1 5 2 5 3 3" xfId="2883"/>
    <cellStyle name="20% - Accent1 5 2 5 4" xfId="2884"/>
    <cellStyle name="20% - Accent1 5 2 5 4 2" xfId="2885"/>
    <cellStyle name="20% - Accent1 5 2 5 5" xfId="2886"/>
    <cellStyle name="20% - Accent1 5 2 6" xfId="2887"/>
    <cellStyle name="20% - Accent1 5 2 6 2" xfId="2888"/>
    <cellStyle name="20% - Accent1 5 2 6 2 2" xfId="2889"/>
    <cellStyle name="20% - Accent1 5 2 6 2 2 2" xfId="2890"/>
    <cellStyle name="20% - Accent1 5 2 6 2 2 2 2" xfId="2891"/>
    <cellStyle name="20% - Accent1 5 2 6 2 2 3" xfId="2892"/>
    <cellStyle name="20% - Accent1 5 2 6 2 3" xfId="2893"/>
    <cellStyle name="20% - Accent1 5 2 6 2 3 2" xfId="2894"/>
    <cellStyle name="20% - Accent1 5 2 6 2 4" xfId="2895"/>
    <cellStyle name="20% - Accent1 5 2 6 3" xfId="2896"/>
    <cellStyle name="20% - Accent1 5 2 6 3 2" xfId="2897"/>
    <cellStyle name="20% - Accent1 5 2 6 3 2 2" xfId="2898"/>
    <cellStyle name="20% - Accent1 5 2 6 3 3" xfId="2899"/>
    <cellStyle name="20% - Accent1 5 2 6 4" xfId="2900"/>
    <cellStyle name="20% - Accent1 5 2 6 4 2" xfId="2901"/>
    <cellStyle name="20% - Accent1 5 2 6 5" xfId="2902"/>
    <cellStyle name="20% - Accent1 5 2 7" xfId="2903"/>
    <cellStyle name="20% - Accent1 5 2 7 2" xfId="2904"/>
    <cellStyle name="20% - Accent1 5 2 7 2 2" xfId="2905"/>
    <cellStyle name="20% - Accent1 5 2 7 2 2 2" xfId="2906"/>
    <cellStyle name="20% - Accent1 5 2 7 2 3" xfId="2907"/>
    <cellStyle name="20% - Accent1 5 2 7 3" xfId="2908"/>
    <cellStyle name="20% - Accent1 5 2 7 3 2" xfId="2909"/>
    <cellStyle name="20% - Accent1 5 2 7 4" xfId="2910"/>
    <cellStyle name="20% - Accent1 5 2 8" xfId="2911"/>
    <cellStyle name="20% - Accent1 5 2 8 2" xfId="2912"/>
    <cellStyle name="20% - Accent1 5 2 8 2 2" xfId="2913"/>
    <cellStyle name="20% - Accent1 5 2 8 3" xfId="2914"/>
    <cellStyle name="20% - Accent1 5 2 9" xfId="2915"/>
    <cellStyle name="20% - Accent1 5 2 9 2" xfId="2916"/>
    <cellStyle name="20% - Accent1 5 3" xfId="2917"/>
    <cellStyle name="20% - Accent1 5 3 2" xfId="2918"/>
    <cellStyle name="20% - Accent1 5 3 2 2" xfId="2919"/>
    <cellStyle name="20% - Accent1 5 3 2 2 2" xfId="2920"/>
    <cellStyle name="20% - Accent1 5 3 2 2 2 2" xfId="2921"/>
    <cellStyle name="20% - Accent1 5 3 2 2 3" xfId="2922"/>
    <cellStyle name="20% - Accent1 5 3 2 3" xfId="2923"/>
    <cellStyle name="20% - Accent1 5 3 2 3 2" xfId="2924"/>
    <cellStyle name="20% - Accent1 5 3 2 4" xfId="2925"/>
    <cellStyle name="20% - Accent1 5 3 3" xfId="2926"/>
    <cellStyle name="20% - Accent1 5 3 3 2" xfId="2927"/>
    <cellStyle name="20% - Accent1 5 3 3 2 2" xfId="2928"/>
    <cellStyle name="20% - Accent1 5 3 3 3" xfId="2929"/>
    <cellStyle name="20% - Accent1 5 3 4" xfId="2930"/>
    <cellStyle name="20% - Accent1 5 3 4 2" xfId="2931"/>
    <cellStyle name="20% - Accent1 5 3 5" xfId="2932"/>
    <cellStyle name="20% - Accent1 5 4" xfId="2933"/>
    <cellStyle name="20% - Accent1 5 4 2" xfId="2934"/>
    <cellStyle name="20% - Accent1 5 4 2 2" xfId="2935"/>
    <cellStyle name="20% - Accent1 5 4 2 2 2" xfId="2936"/>
    <cellStyle name="20% - Accent1 5 4 2 2 2 2" xfId="2937"/>
    <cellStyle name="20% - Accent1 5 4 2 2 3" xfId="2938"/>
    <cellStyle name="20% - Accent1 5 4 2 3" xfId="2939"/>
    <cellStyle name="20% - Accent1 5 4 2 3 2" xfId="2940"/>
    <cellStyle name="20% - Accent1 5 4 2 4" xfId="2941"/>
    <cellStyle name="20% - Accent1 5 4 3" xfId="2942"/>
    <cellStyle name="20% - Accent1 5 4 3 2" xfId="2943"/>
    <cellStyle name="20% - Accent1 5 4 3 2 2" xfId="2944"/>
    <cellStyle name="20% - Accent1 5 4 3 3" xfId="2945"/>
    <cellStyle name="20% - Accent1 5 4 4" xfId="2946"/>
    <cellStyle name="20% - Accent1 5 4 4 2" xfId="2947"/>
    <cellStyle name="20% - Accent1 5 4 5" xfId="2948"/>
    <cellStyle name="20% - Accent1 5 5" xfId="2949"/>
    <cellStyle name="20% - Accent1 5 5 2" xfId="2950"/>
    <cellStyle name="20% - Accent1 5 5 2 2" xfId="2951"/>
    <cellStyle name="20% - Accent1 5 5 2 2 2" xfId="2952"/>
    <cellStyle name="20% - Accent1 5 5 2 2 2 2" xfId="2953"/>
    <cellStyle name="20% - Accent1 5 5 2 2 3" xfId="2954"/>
    <cellStyle name="20% - Accent1 5 5 2 3" xfId="2955"/>
    <cellStyle name="20% - Accent1 5 5 2 3 2" xfId="2956"/>
    <cellStyle name="20% - Accent1 5 5 2 4" xfId="2957"/>
    <cellStyle name="20% - Accent1 5 5 3" xfId="2958"/>
    <cellStyle name="20% - Accent1 5 5 3 2" xfId="2959"/>
    <cellStyle name="20% - Accent1 5 5 3 2 2" xfId="2960"/>
    <cellStyle name="20% - Accent1 5 5 3 3" xfId="2961"/>
    <cellStyle name="20% - Accent1 5 5 4" xfId="2962"/>
    <cellStyle name="20% - Accent1 5 5 4 2" xfId="2963"/>
    <cellStyle name="20% - Accent1 5 5 5" xfId="2964"/>
    <cellStyle name="20% - Accent1 5 6" xfId="2965"/>
    <cellStyle name="20% - Accent1 5 6 2" xfId="2966"/>
    <cellStyle name="20% - Accent1 5 6 2 2" xfId="2967"/>
    <cellStyle name="20% - Accent1 5 6 2 2 2" xfId="2968"/>
    <cellStyle name="20% - Accent1 5 6 2 2 2 2" xfId="2969"/>
    <cellStyle name="20% - Accent1 5 6 2 2 3" xfId="2970"/>
    <cellStyle name="20% - Accent1 5 6 2 3" xfId="2971"/>
    <cellStyle name="20% - Accent1 5 6 2 3 2" xfId="2972"/>
    <cellStyle name="20% - Accent1 5 6 2 4" xfId="2973"/>
    <cellStyle name="20% - Accent1 5 6 3" xfId="2974"/>
    <cellStyle name="20% - Accent1 5 6 3 2" xfId="2975"/>
    <cellStyle name="20% - Accent1 5 6 3 2 2" xfId="2976"/>
    <cellStyle name="20% - Accent1 5 6 3 3" xfId="2977"/>
    <cellStyle name="20% - Accent1 5 6 4" xfId="2978"/>
    <cellStyle name="20% - Accent1 5 6 4 2" xfId="2979"/>
    <cellStyle name="20% - Accent1 5 6 5" xfId="2980"/>
    <cellStyle name="20% - Accent1 5 7" xfId="2981"/>
    <cellStyle name="20% - Accent1 5 7 2" xfId="2982"/>
    <cellStyle name="20% - Accent1 5 7 2 2" xfId="2983"/>
    <cellStyle name="20% - Accent1 5 7 2 2 2" xfId="2984"/>
    <cellStyle name="20% - Accent1 5 7 2 2 2 2" xfId="2985"/>
    <cellStyle name="20% - Accent1 5 7 2 2 3" xfId="2986"/>
    <cellStyle name="20% - Accent1 5 7 2 3" xfId="2987"/>
    <cellStyle name="20% - Accent1 5 7 2 3 2" xfId="2988"/>
    <cellStyle name="20% - Accent1 5 7 2 4" xfId="2989"/>
    <cellStyle name="20% - Accent1 5 7 3" xfId="2990"/>
    <cellStyle name="20% - Accent1 5 7 3 2" xfId="2991"/>
    <cellStyle name="20% - Accent1 5 7 3 2 2" xfId="2992"/>
    <cellStyle name="20% - Accent1 5 7 3 3" xfId="2993"/>
    <cellStyle name="20% - Accent1 5 7 4" xfId="2994"/>
    <cellStyle name="20% - Accent1 5 7 4 2" xfId="2995"/>
    <cellStyle name="20% - Accent1 5 7 5" xfId="2996"/>
    <cellStyle name="20% - Accent1 5 8" xfId="2997"/>
    <cellStyle name="20% - Accent1 5 8 2" xfId="2998"/>
    <cellStyle name="20% - Accent1 5 8 2 2" xfId="2999"/>
    <cellStyle name="20% - Accent1 5 8 2 2 2" xfId="3000"/>
    <cellStyle name="20% - Accent1 5 8 2 3" xfId="3001"/>
    <cellStyle name="20% - Accent1 5 8 3" xfId="3002"/>
    <cellStyle name="20% - Accent1 5 8 3 2" xfId="3003"/>
    <cellStyle name="20% - Accent1 5 8 4" xfId="3004"/>
    <cellStyle name="20% - Accent1 5 9" xfId="3005"/>
    <cellStyle name="20% - Accent1 5 9 2" xfId="3006"/>
    <cellStyle name="20% - Accent1 5 9 2 2" xfId="3007"/>
    <cellStyle name="20% - Accent1 5 9 3" xfId="3008"/>
    <cellStyle name="20% - Accent1 6" xfId="3009"/>
    <cellStyle name="20% - Accent1 6 10" xfId="3010"/>
    <cellStyle name="20% - Accent1 6 10 2" xfId="3011"/>
    <cellStyle name="20% - Accent1 6 11" xfId="3012"/>
    <cellStyle name="20% - Accent1 6 2" xfId="3013"/>
    <cellStyle name="20% - Accent1 6 2 10" xfId="3014"/>
    <cellStyle name="20% - Accent1 6 2 2" xfId="3015"/>
    <cellStyle name="20% - Accent1 6 2 2 2" xfId="3016"/>
    <cellStyle name="20% - Accent1 6 2 2 2 2" xfId="3017"/>
    <cellStyle name="20% - Accent1 6 2 2 2 2 2" xfId="3018"/>
    <cellStyle name="20% - Accent1 6 2 2 2 2 2 2" xfId="3019"/>
    <cellStyle name="20% - Accent1 6 2 2 2 2 3" xfId="3020"/>
    <cellStyle name="20% - Accent1 6 2 2 2 3" xfId="3021"/>
    <cellStyle name="20% - Accent1 6 2 2 2 3 2" xfId="3022"/>
    <cellStyle name="20% - Accent1 6 2 2 2 4" xfId="3023"/>
    <cellStyle name="20% - Accent1 6 2 2 3" xfId="3024"/>
    <cellStyle name="20% - Accent1 6 2 2 3 2" xfId="3025"/>
    <cellStyle name="20% - Accent1 6 2 2 3 2 2" xfId="3026"/>
    <cellStyle name="20% - Accent1 6 2 2 3 3" xfId="3027"/>
    <cellStyle name="20% - Accent1 6 2 2 4" xfId="3028"/>
    <cellStyle name="20% - Accent1 6 2 2 4 2" xfId="3029"/>
    <cellStyle name="20% - Accent1 6 2 2 5" xfId="3030"/>
    <cellStyle name="20% - Accent1 6 2 3" xfId="3031"/>
    <cellStyle name="20% - Accent1 6 2 3 2" xfId="3032"/>
    <cellStyle name="20% - Accent1 6 2 3 2 2" xfId="3033"/>
    <cellStyle name="20% - Accent1 6 2 3 2 2 2" xfId="3034"/>
    <cellStyle name="20% - Accent1 6 2 3 2 2 2 2" xfId="3035"/>
    <cellStyle name="20% - Accent1 6 2 3 2 2 3" xfId="3036"/>
    <cellStyle name="20% - Accent1 6 2 3 2 3" xfId="3037"/>
    <cellStyle name="20% - Accent1 6 2 3 2 3 2" xfId="3038"/>
    <cellStyle name="20% - Accent1 6 2 3 2 4" xfId="3039"/>
    <cellStyle name="20% - Accent1 6 2 3 3" xfId="3040"/>
    <cellStyle name="20% - Accent1 6 2 3 3 2" xfId="3041"/>
    <cellStyle name="20% - Accent1 6 2 3 3 2 2" xfId="3042"/>
    <cellStyle name="20% - Accent1 6 2 3 3 3" xfId="3043"/>
    <cellStyle name="20% - Accent1 6 2 3 4" xfId="3044"/>
    <cellStyle name="20% - Accent1 6 2 3 4 2" xfId="3045"/>
    <cellStyle name="20% - Accent1 6 2 3 5" xfId="3046"/>
    <cellStyle name="20% - Accent1 6 2 4" xfId="3047"/>
    <cellStyle name="20% - Accent1 6 2 4 2" xfId="3048"/>
    <cellStyle name="20% - Accent1 6 2 4 2 2" xfId="3049"/>
    <cellStyle name="20% - Accent1 6 2 4 2 2 2" xfId="3050"/>
    <cellStyle name="20% - Accent1 6 2 4 2 2 2 2" xfId="3051"/>
    <cellStyle name="20% - Accent1 6 2 4 2 2 3" xfId="3052"/>
    <cellStyle name="20% - Accent1 6 2 4 2 3" xfId="3053"/>
    <cellStyle name="20% - Accent1 6 2 4 2 3 2" xfId="3054"/>
    <cellStyle name="20% - Accent1 6 2 4 2 4" xfId="3055"/>
    <cellStyle name="20% - Accent1 6 2 4 3" xfId="3056"/>
    <cellStyle name="20% - Accent1 6 2 4 3 2" xfId="3057"/>
    <cellStyle name="20% - Accent1 6 2 4 3 2 2" xfId="3058"/>
    <cellStyle name="20% - Accent1 6 2 4 3 3" xfId="3059"/>
    <cellStyle name="20% - Accent1 6 2 4 4" xfId="3060"/>
    <cellStyle name="20% - Accent1 6 2 4 4 2" xfId="3061"/>
    <cellStyle name="20% - Accent1 6 2 4 5" xfId="3062"/>
    <cellStyle name="20% - Accent1 6 2 5" xfId="3063"/>
    <cellStyle name="20% - Accent1 6 2 5 2" xfId="3064"/>
    <cellStyle name="20% - Accent1 6 2 5 2 2" xfId="3065"/>
    <cellStyle name="20% - Accent1 6 2 5 2 2 2" xfId="3066"/>
    <cellStyle name="20% - Accent1 6 2 5 2 2 2 2" xfId="3067"/>
    <cellStyle name="20% - Accent1 6 2 5 2 2 3" xfId="3068"/>
    <cellStyle name="20% - Accent1 6 2 5 2 3" xfId="3069"/>
    <cellStyle name="20% - Accent1 6 2 5 2 3 2" xfId="3070"/>
    <cellStyle name="20% - Accent1 6 2 5 2 4" xfId="3071"/>
    <cellStyle name="20% - Accent1 6 2 5 3" xfId="3072"/>
    <cellStyle name="20% - Accent1 6 2 5 3 2" xfId="3073"/>
    <cellStyle name="20% - Accent1 6 2 5 3 2 2" xfId="3074"/>
    <cellStyle name="20% - Accent1 6 2 5 3 3" xfId="3075"/>
    <cellStyle name="20% - Accent1 6 2 5 4" xfId="3076"/>
    <cellStyle name="20% - Accent1 6 2 5 4 2" xfId="3077"/>
    <cellStyle name="20% - Accent1 6 2 5 5" xfId="3078"/>
    <cellStyle name="20% - Accent1 6 2 6" xfId="3079"/>
    <cellStyle name="20% - Accent1 6 2 6 2" xfId="3080"/>
    <cellStyle name="20% - Accent1 6 2 6 2 2" xfId="3081"/>
    <cellStyle name="20% - Accent1 6 2 6 2 2 2" xfId="3082"/>
    <cellStyle name="20% - Accent1 6 2 6 2 2 2 2" xfId="3083"/>
    <cellStyle name="20% - Accent1 6 2 6 2 2 3" xfId="3084"/>
    <cellStyle name="20% - Accent1 6 2 6 2 3" xfId="3085"/>
    <cellStyle name="20% - Accent1 6 2 6 2 3 2" xfId="3086"/>
    <cellStyle name="20% - Accent1 6 2 6 2 4" xfId="3087"/>
    <cellStyle name="20% - Accent1 6 2 6 3" xfId="3088"/>
    <cellStyle name="20% - Accent1 6 2 6 3 2" xfId="3089"/>
    <cellStyle name="20% - Accent1 6 2 6 3 2 2" xfId="3090"/>
    <cellStyle name="20% - Accent1 6 2 6 3 3" xfId="3091"/>
    <cellStyle name="20% - Accent1 6 2 6 4" xfId="3092"/>
    <cellStyle name="20% - Accent1 6 2 6 4 2" xfId="3093"/>
    <cellStyle name="20% - Accent1 6 2 6 5" xfId="3094"/>
    <cellStyle name="20% - Accent1 6 2 7" xfId="3095"/>
    <cellStyle name="20% - Accent1 6 2 7 2" xfId="3096"/>
    <cellStyle name="20% - Accent1 6 2 7 2 2" xfId="3097"/>
    <cellStyle name="20% - Accent1 6 2 7 2 2 2" xfId="3098"/>
    <cellStyle name="20% - Accent1 6 2 7 2 3" xfId="3099"/>
    <cellStyle name="20% - Accent1 6 2 7 3" xfId="3100"/>
    <cellStyle name="20% - Accent1 6 2 7 3 2" xfId="3101"/>
    <cellStyle name="20% - Accent1 6 2 7 4" xfId="3102"/>
    <cellStyle name="20% - Accent1 6 2 8" xfId="3103"/>
    <cellStyle name="20% - Accent1 6 2 8 2" xfId="3104"/>
    <cellStyle name="20% - Accent1 6 2 8 2 2" xfId="3105"/>
    <cellStyle name="20% - Accent1 6 2 8 3" xfId="3106"/>
    <cellStyle name="20% - Accent1 6 2 9" xfId="3107"/>
    <cellStyle name="20% - Accent1 6 2 9 2" xfId="3108"/>
    <cellStyle name="20% - Accent1 6 3" xfId="3109"/>
    <cellStyle name="20% - Accent1 6 3 2" xfId="3110"/>
    <cellStyle name="20% - Accent1 6 3 2 2" xfId="3111"/>
    <cellStyle name="20% - Accent1 6 3 2 2 2" xfId="3112"/>
    <cellStyle name="20% - Accent1 6 3 2 2 2 2" xfId="3113"/>
    <cellStyle name="20% - Accent1 6 3 2 2 3" xfId="3114"/>
    <cellStyle name="20% - Accent1 6 3 2 3" xfId="3115"/>
    <cellStyle name="20% - Accent1 6 3 2 3 2" xfId="3116"/>
    <cellStyle name="20% - Accent1 6 3 2 4" xfId="3117"/>
    <cellStyle name="20% - Accent1 6 3 3" xfId="3118"/>
    <cellStyle name="20% - Accent1 6 3 3 2" xfId="3119"/>
    <cellStyle name="20% - Accent1 6 3 3 2 2" xfId="3120"/>
    <cellStyle name="20% - Accent1 6 3 3 3" xfId="3121"/>
    <cellStyle name="20% - Accent1 6 3 4" xfId="3122"/>
    <cellStyle name="20% - Accent1 6 3 4 2" xfId="3123"/>
    <cellStyle name="20% - Accent1 6 3 5" xfId="3124"/>
    <cellStyle name="20% - Accent1 6 4" xfId="3125"/>
    <cellStyle name="20% - Accent1 6 4 2" xfId="3126"/>
    <cellStyle name="20% - Accent1 6 4 2 2" xfId="3127"/>
    <cellStyle name="20% - Accent1 6 4 2 2 2" xfId="3128"/>
    <cellStyle name="20% - Accent1 6 4 2 2 2 2" xfId="3129"/>
    <cellStyle name="20% - Accent1 6 4 2 2 3" xfId="3130"/>
    <cellStyle name="20% - Accent1 6 4 2 3" xfId="3131"/>
    <cellStyle name="20% - Accent1 6 4 2 3 2" xfId="3132"/>
    <cellStyle name="20% - Accent1 6 4 2 4" xfId="3133"/>
    <cellStyle name="20% - Accent1 6 4 3" xfId="3134"/>
    <cellStyle name="20% - Accent1 6 4 3 2" xfId="3135"/>
    <cellStyle name="20% - Accent1 6 4 3 2 2" xfId="3136"/>
    <cellStyle name="20% - Accent1 6 4 3 3" xfId="3137"/>
    <cellStyle name="20% - Accent1 6 4 4" xfId="3138"/>
    <cellStyle name="20% - Accent1 6 4 4 2" xfId="3139"/>
    <cellStyle name="20% - Accent1 6 4 5" xfId="3140"/>
    <cellStyle name="20% - Accent1 6 5" xfId="3141"/>
    <cellStyle name="20% - Accent1 6 5 2" xfId="3142"/>
    <cellStyle name="20% - Accent1 6 5 2 2" xfId="3143"/>
    <cellStyle name="20% - Accent1 6 5 2 2 2" xfId="3144"/>
    <cellStyle name="20% - Accent1 6 5 2 2 2 2" xfId="3145"/>
    <cellStyle name="20% - Accent1 6 5 2 2 3" xfId="3146"/>
    <cellStyle name="20% - Accent1 6 5 2 3" xfId="3147"/>
    <cellStyle name="20% - Accent1 6 5 2 3 2" xfId="3148"/>
    <cellStyle name="20% - Accent1 6 5 2 4" xfId="3149"/>
    <cellStyle name="20% - Accent1 6 5 3" xfId="3150"/>
    <cellStyle name="20% - Accent1 6 5 3 2" xfId="3151"/>
    <cellStyle name="20% - Accent1 6 5 3 2 2" xfId="3152"/>
    <cellStyle name="20% - Accent1 6 5 3 3" xfId="3153"/>
    <cellStyle name="20% - Accent1 6 5 4" xfId="3154"/>
    <cellStyle name="20% - Accent1 6 5 4 2" xfId="3155"/>
    <cellStyle name="20% - Accent1 6 5 5" xfId="3156"/>
    <cellStyle name="20% - Accent1 6 6" xfId="3157"/>
    <cellStyle name="20% - Accent1 6 6 2" xfId="3158"/>
    <cellStyle name="20% - Accent1 6 6 2 2" xfId="3159"/>
    <cellStyle name="20% - Accent1 6 6 2 2 2" xfId="3160"/>
    <cellStyle name="20% - Accent1 6 6 2 2 2 2" xfId="3161"/>
    <cellStyle name="20% - Accent1 6 6 2 2 3" xfId="3162"/>
    <cellStyle name="20% - Accent1 6 6 2 3" xfId="3163"/>
    <cellStyle name="20% - Accent1 6 6 2 3 2" xfId="3164"/>
    <cellStyle name="20% - Accent1 6 6 2 4" xfId="3165"/>
    <cellStyle name="20% - Accent1 6 6 3" xfId="3166"/>
    <cellStyle name="20% - Accent1 6 6 3 2" xfId="3167"/>
    <cellStyle name="20% - Accent1 6 6 3 2 2" xfId="3168"/>
    <cellStyle name="20% - Accent1 6 6 3 3" xfId="3169"/>
    <cellStyle name="20% - Accent1 6 6 4" xfId="3170"/>
    <cellStyle name="20% - Accent1 6 6 4 2" xfId="3171"/>
    <cellStyle name="20% - Accent1 6 6 5" xfId="3172"/>
    <cellStyle name="20% - Accent1 6 7" xfId="3173"/>
    <cellStyle name="20% - Accent1 6 7 2" xfId="3174"/>
    <cellStyle name="20% - Accent1 6 7 2 2" xfId="3175"/>
    <cellStyle name="20% - Accent1 6 7 2 2 2" xfId="3176"/>
    <cellStyle name="20% - Accent1 6 7 2 2 2 2" xfId="3177"/>
    <cellStyle name="20% - Accent1 6 7 2 2 3" xfId="3178"/>
    <cellStyle name="20% - Accent1 6 7 2 3" xfId="3179"/>
    <cellStyle name="20% - Accent1 6 7 2 3 2" xfId="3180"/>
    <cellStyle name="20% - Accent1 6 7 2 4" xfId="3181"/>
    <cellStyle name="20% - Accent1 6 7 3" xfId="3182"/>
    <cellStyle name="20% - Accent1 6 7 3 2" xfId="3183"/>
    <cellStyle name="20% - Accent1 6 7 3 2 2" xfId="3184"/>
    <cellStyle name="20% - Accent1 6 7 3 3" xfId="3185"/>
    <cellStyle name="20% - Accent1 6 7 4" xfId="3186"/>
    <cellStyle name="20% - Accent1 6 7 4 2" xfId="3187"/>
    <cellStyle name="20% - Accent1 6 7 5" xfId="3188"/>
    <cellStyle name="20% - Accent1 6 8" xfId="3189"/>
    <cellStyle name="20% - Accent1 6 8 2" xfId="3190"/>
    <cellStyle name="20% - Accent1 6 8 2 2" xfId="3191"/>
    <cellStyle name="20% - Accent1 6 8 2 2 2" xfId="3192"/>
    <cellStyle name="20% - Accent1 6 8 2 3" xfId="3193"/>
    <cellStyle name="20% - Accent1 6 8 3" xfId="3194"/>
    <cellStyle name="20% - Accent1 6 8 3 2" xfId="3195"/>
    <cellStyle name="20% - Accent1 6 8 4" xfId="3196"/>
    <cellStyle name="20% - Accent1 6 9" xfId="3197"/>
    <cellStyle name="20% - Accent1 6 9 2" xfId="3198"/>
    <cellStyle name="20% - Accent1 6 9 2 2" xfId="3199"/>
    <cellStyle name="20% - Accent1 6 9 3" xfId="3200"/>
    <cellStyle name="20% - Accent1 7" xfId="3201"/>
    <cellStyle name="20% - Accent1 7 10" xfId="3202"/>
    <cellStyle name="20% - Accent1 7 10 2" xfId="3203"/>
    <cellStyle name="20% - Accent1 7 11" xfId="3204"/>
    <cellStyle name="20% - Accent1 7 2" xfId="3205"/>
    <cellStyle name="20% - Accent1 7 2 10" xfId="3206"/>
    <cellStyle name="20% - Accent1 7 2 2" xfId="3207"/>
    <cellStyle name="20% - Accent1 7 2 2 2" xfId="3208"/>
    <cellStyle name="20% - Accent1 7 2 2 2 2" xfId="3209"/>
    <cellStyle name="20% - Accent1 7 2 2 2 2 2" xfId="3210"/>
    <cellStyle name="20% - Accent1 7 2 2 2 2 2 2" xfId="3211"/>
    <cellStyle name="20% - Accent1 7 2 2 2 2 3" xfId="3212"/>
    <cellStyle name="20% - Accent1 7 2 2 2 3" xfId="3213"/>
    <cellStyle name="20% - Accent1 7 2 2 2 3 2" xfId="3214"/>
    <cellStyle name="20% - Accent1 7 2 2 2 4" xfId="3215"/>
    <cellStyle name="20% - Accent1 7 2 2 3" xfId="3216"/>
    <cellStyle name="20% - Accent1 7 2 2 3 2" xfId="3217"/>
    <cellStyle name="20% - Accent1 7 2 2 3 2 2" xfId="3218"/>
    <cellStyle name="20% - Accent1 7 2 2 3 3" xfId="3219"/>
    <cellStyle name="20% - Accent1 7 2 2 4" xfId="3220"/>
    <cellStyle name="20% - Accent1 7 2 2 4 2" xfId="3221"/>
    <cellStyle name="20% - Accent1 7 2 2 5" xfId="3222"/>
    <cellStyle name="20% - Accent1 7 2 3" xfId="3223"/>
    <cellStyle name="20% - Accent1 7 2 3 2" xfId="3224"/>
    <cellStyle name="20% - Accent1 7 2 3 2 2" xfId="3225"/>
    <cellStyle name="20% - Accent1 7 2 3 2 2 2" xfId="3226"/>
    <cellStyle name="20% - Accent1 7 2 3 2 2 2 2" xfId="3227"/>
    <cellStyle name="20% - Accent1 7 2 3 2 2 3" xfId="3228"/>
    <cellStyle name="20% - Accent1 7 2 3 2 3" xfId="3229"/>
    <cellStyle name="20% - Accent1 7 2 3 2 3 2" xfId="3230"/>
    <cellStyle name="20% - Accent1 7 2 3 2 4" xfId="3231"/>
    <cellStyle name="20% - Accent1 7 2 3 3" xfId="3232"/>
    <cellStyle name="20% - Accent1 7 2 3 3 2" xfId="3233"/>
    <cellStyle name="20% - Accent1 7 2 3 3 2 2" xfId="3234"/>
    <cellStyle name="20% - Accent1 7 2 3 3 3" xfId="3235"/>
    <cellStyle name="20% - Accent1 7 2 3 4" xfId="3236"/>
    <cellStyle name="20% - Accent1 7 2 3 4 2" xfId="3237"/>
    <cellStyle name="20% - Accent1 7 2 3 5" xfId="3238"/>
    <cellStyle name="20% - Accent1 7 2 4" xfId="3239"/>
    <cellStyle name="20% - Accent1 7 2 4 2" xfId="3240"/>
    <cellStyle name="20% - Accent1 7 2 4 2 2" xfId="3241"/>
    <cellStyle name="20% - Accent1 7 2 4 2 2 2" xfId="3242"/>
    <cellStyle name="20% - Accent1 7 2 4 2 2 2 2" xfId="3243"/>
    <cellStyle name="20% - Accent1 7 2 4 2 2 3" xfId="3244"/>
    <cellStyle name="20% - Accent1 7 2 4 2 3" xfId="3245"/>
    <cellStyle name="20% - Accent1 7 2 4 2 3 2" xfId="3246"/>
    <cellStyle name="20% - Accent1 7 2 4 2 4" xfId="3247"/>
    <cellStyle name="20% - Accent1 7 2 4 3" xfId="3248"/>
    <cellStyle name="20% - Accent1 7 2 4 3 2" xfId="3249"/>
    <cellStyle name="20% - Accent1 7 2 4 3 2 2" xfId="3250"/>
    <cellStyle name="20% - Accent1 7 2 4 3 3" xfId="3251"/>
    <cellStyle name="20% - Accent1 7 2 4 4" xfId="3252"/>
    <cellStyle name="20% - Accent1 7 2 4 4 2" xfId="3253"/>
    <cellStyle name="20% - Accent1 7 2 4 5" xfId="3254"/>
    <cellStyle name="20% - Accent1 7 2 5" xfId="3255"/>
    <cellStyle name="20% - Accent1 7 2 5 2" xfId="3256"/>
    <cellStyle name="20% - Accent1 7 2 5 2 2" xfId="3257"/>
    <cellStyle name="20% - Accent1 7 2 5 2 2 2" xfId="3258"/>
    <cellStyle name="20% - Accent1 7 2 5 2 2 2 2" xfId="3259"/>
    <cellStyle name="20% - Accent1 7 2 5 2 2 3" xfId="3260"/>
    <cellStyle name="20% - Accent1 7 2 5 2 3" xfId="3261"/>
    <cellStyle name="20% - Accent1 7 2 5 2 3 2" xfId="3262"/>
    <cellStyle name="20% - Accent1 7 2 5 2 4" xfId="3263"/>
    <cellStyle name="20% - Accent1 7 2 5 3" xfId="3264"/>
    <cellStyle name="20% - Accent1 7 2 5 3 2" xfId="3265"/>
    <cellStyle name="20% - Accent1 7 2 5 3 2 2" xfId="3266"/>
    <cellStyle name="20% - Accent1 7 2 5 3 3" xfId="3267"/>
    <cellStyle name="20% - Accent1 7 2 5 4" xfId="3268"/>
    <cellStyle name="20% - Accent1 7 2 5 4 2" xfId="3269"/>
    <cellStyle name="20% - Accent1 7 2 5 5" xfId="3270"/>
    <cellStyle name="20% - Accent1 7 2 6" xfId="3271"/>
    <cellStyle name="20% - Accent1 7 2 6 2" xfId="3272"/>
    <cellStyle name="20% - Accent1 7 2 6 2 2" xfId="3273"/>
    <cellStyle name="20% - Accent1 7 2 6 2 2 2" xfId="3274"/>
    <cellStyle name="20% - Accent1 7 2 6 2 2 2 2" xfId="3275"/>
    <cellStyle name="20% - Accent1 7 2 6 2 2 3" xfId="3276"/>
    <cellStyle name="20% - Accent1 7 2 6 2 3" xfId="3277"/>
    <cellStyle name="20% - Accent1 7 2 6 2 3 2" xfId="3278"/>
    <cellStyle name="20% - Accent1 7 2 6 2 4" xfId="3279"/>
    <cellStyle name="20% - Accent1 7 2 6 3" xfId="3280"/>
    <cellStyle name="20% - Accent1 7 2 6 3 2" xfId="3281"/>
    <cellStyle name="20% - Accent1 7 2 6 3 2 2" xfId="3282"/>
    <cellStyle name="20% - Accent1 7 2 6 3 3" xfId="3283"/>
    <cellStyle name="20% - Accent1 7 2 6 4" xfId="3284"/>
    <cellStyle name="20% - Accent1 7 2 6 4 2" xfId="3285"/>
    <cellStyle name="20% - Accent1 7 2 6 5" xfId="3286"/>
    <cellStyle name="20% - Accent1 7 2 7" xfId="3287"/>
    <cellStyle name="20% - Accent1 7 2 7 2" xfId="3288"/>
    <cellStyle name="20% - Accent1 7 2 7 2 2" xfId="3289"/>
    <cellStyle name="20% - Accent1 7 2 7 2 2 2" xfId="3290"/>
    <cellStyle name="20% - Accent1 7 2 7 2 3" xfId="3291"/>
    <cellStyle name="20% - Accent1 7 2 7 3" xfId="3292"/>
    <cellStyle name="20% - Accent1 7 2 7 3 2" xfId="3293"/>
    <cellStyle name="20% - Accent1 7 2 7 4" xfId="3294"/>
    <cellStyle name="20% - Accent1 7 2 8" xfId="3295"/>
    <cellStyle name="20% - Accent1 7 2 8 2" xfId="3296"/>
    <cellStyle name="20% - Accent1 7 2 8 2 2" xfId="3297"/>
    <cellStyle name="20% - Accent1 7 2 8 3" xfId="3298"/>
    <cellStyle name="20% - Accent1 7 2 9" xfId="3299"/>
    <cellStyle name="20% - Accent1 7 2 9 2" xfId="3300"/>
    <cellStyle name="20% - Accent1 7 3" xfId="3301"/>
    <cellStyle name="20% - Accent1 7 3 2" xfId="3302"/>
    <cellStyle name="20% - Accent1 7 3 2 2" xfId="3303"/>
    <cellStyle name="20% - Accent1 7 3 2 2 2" xfId="3304"/>
    <cellStyle name="20% - Accent1 7 3 2 2 2 2" xfId="3305"/>
    <cellStyle name="20% - Accent1 7 3 2 2 3" xfId="3306"/>
    <cellStyle name="20% - Accent1 7 3 2 3" xfId="3307"/>
    <cellStyle name="20% - Accent1 7 3 2 3 2" xfId="3308"/>
    <cellStyle name="20% - Accent1 7 3 2 4" xfId="3309"/>
    <cellStyle name="20% - Accent1 7 3 3" xfId="3310"/>
    <cellStyle name="20% - Accent1 7 3 3 2" xfId="3311"/>
    <cellStyle name="20% - Accent1 7 3 3 2 2" xfId="3312"/>
    <cellStyle name="20% - Accent1 7 3 3 3" xfId="3313"/>
    <cellStyle name="20% - Accent1 7 3 4" xfId="3314"/>
    <cellStyle name="20% - Accent1 7 3 4 2" xfId="3315"/>
    <cellStyle name="20% - Accent1 7 3 5" xfId="3316"/>
    <cellStyle name="20% - Accent1 7 4" xfId="3317"/>
    <cellStyle name="20% - Accent1 7 4 2" xfId="3318"/>
    <cellStyle name="20% - Accent1 7 4 2 2" xfId="3319"/>
    <cellStyle name="20% - Accent1 7 4 2 2 2" xfId="3320"/>
    <cellStyle name="20% - Accent1 7 4 2 2 2 2" xfId="3321"/>
    <cellStyle name="20% - Accent1 7 4 2 2 3" xfId="3322"/>
    <cellStyle name="20% - Accent1 7 4 2 3" xfId="3323"/>
    <cellStyle name="20% - Accent1 7 4 2 3 2" xfId="3324"/>
    <cellStyle name="20% - Accent1 7 4 2 4" xfId="3325"/>
    <cellStyle name="20% - Accent1 7 4 3" xfId="3326"/>
    <cellStyle name="20% - Accent1 7 4 3 2" xfId="3327"/>
    <cellStyle name="20% - Accent1 7 4 3 2 2" xfId="3328"/>
    <cellStyle name="20% - Accent1 7 4 3 3" xfId="3329"/>
    <cellStyle name="20% - Accent1 7 4 4" xfId="3330"/>
    <cellStyle name="20% - Accent1 7 4 4 2" xfId="3331"/>
    <cellStyle name="20% - Accent1 7 4 5" xfId="3332"/>
    <cellStyle name="20% - Accent1 7 5" xfId="3333"/>
    <cellStyle name="20% - Accent1 7 5 2" xfId="3334"/>
    <cellStyle name="20% - Accent1 7 5 2 2" xfId="3335"/>
    <cellStyle name="20% - Accent1 7 5 2 2 2" xfId="3336"/>
    <cellStyle name="20% - Accent1 7 5 2 2 2 2" xfId="3337"/>
    <cellStyle name="20% - Accent1 7 5 2 2 3" xfId="3338"/>
    <cellStyle name="20% - Accent1 7 5 2 3" xfId="3339"/>
    <cellStyle name="20% - Accent1 7 5 2 3 2" xfId="3340"/>
    <cellStyle name="20% - Accent1 7 5 2 4" xfId="3341"/>
    <cellStyle name="20% - Accent1 7 5 3" xfId="3342"/>
    <cellStyle name="20% - Accent1 7 5 3 2" xfId="3343"/>
    <cellStyle name="20% - Accent1 7 5 3 2 2" xfId="3344"/>
    <cellStyle name="20% - Accent1 7 5 3 3" xfId="3345"/>
    <cellStyle name="20% - Accent1 7 5 4" xfId="3346"/>
    <cellStyle name="20% - Accent1 7 5 4 2" xfId="3347"/>
    <cellStyle name="20% - Accent1 7 5 5" xfId="3348"/>
    <cellStyle name="20% - Accent1 7 6" xfId="3349"/>
    <cellStyle name="20% - Accent1 7 6 2" xfId="3350"/>
    <cellStyle name="20% - Accent1 7 6 2 2" xfId="3351"/>
    <cellStyle name="20% - Accent1 7 6 2 2 2" xfId="3352"/>
    <cellStyle name="20% - Accent1 7 6 2 2 2 2" xfId="3353"/>
    <cellStyle name="20% - Accent1 7 6 2 2 3" xfId="3354"/>
    <cellStyle name="20% - Accent1 7 6 2 3" xfId="3355"/>
    <cellStyle name="20% - Accent1 7 6 2 3 2" xfId="3356"/>
    <cellStyle name="20% - Accent1 7 6 2 4" xfId="3357"/>
    <cellStyle name="20% - Accent1 7 6 3" xfId="3358"/>
    <cellStyle name="20% - Accent1 7 6 3 2" xfId="3359"/>
    <cellStyle name="20% - Accent1 7 6 3 2 2" xfId="3360"/>
    <cellStyle name="20% - Accent1 7 6 3 3" xfId="3361"/>
    <cellStyle name="20% - Accent1 7 6 4" xfId="3362"/>
    <cellStyle name="20% - Accent1 7 6 4 2" xfId="3363"/>
    <cellStyle name="20% - Accent1 7 6 5" xfId="3364"/>
    <cellStyle name="20% - Accent1 7 7" xfId="3365"/>
    <cellStyle name="20% - Accent1 7 7 2" xfId="3366"/>
    <cellStyle name="20% - Accent1 7 7 2 2" xfId="3367"/>
    <cellStyle name="20% - Accent1 7 7 2 2 2" xfId="3368"/>
    <cellStyle name="20% - Accent1 7 7 2 2 2 2" xfId="3369"/>
    <cellStyle name="20% - Accent1 7 7 2 2 3" xfId="3370"/>
    <cellStyle name="20% - Accent1 7 7 2 3" xfId="3371"/>
    <cellStyle name="20% - Accent1 7 7 2 3 2" xfId="3372"/>
    <cellStyle name="20% - Accent1 7 7 2 4" xfId="3373"/>
    <cellStyle name="20% - Accent1 7 7 3" xfId="3374"/>
    <cellStyle name="20% - Accent1 7 7 3 2" xfId="3375"/>
    <cellStyle name="20% - Accent1 7 7 3 2 2" xfId="3376"/>
    <cellStyle name="20% - Accent1 7 7 3 3" xfId="3377"/>
    <cellStyle name="20% - Accent1 7 7 4" xfId="3378"/>
    <cellStyle name="20% - Accent1 7 7 4 2" xfId="3379"/>
    <cellStyle name="20% - Accent1 7 7 5" xfId="3380"/>
    <cellStyle name="20% - Accent1 7 8" xfId="3381"/>
    <cellStyle name="20% - Accent1 7 8 2" xfId="3382"/>
    <cellStyle name="20% - Accent1 7 8 2 2" xfId="3383"/>
    <cellStyle name="20% - Accent1 7 8 2 2 2" xfId="3384"/>
    <cellStyle name="20% - Accent1 7 8 2 3" xfId="3385"/>
    <cellStyle name="20% - Accent1 7 8 3" xfId="3386"/>
    <cellStyle name="20% - Accent1 7 8 3 2" xfId="3387"/>
    <cellStyle name="20% - Accent1 7 8 4" xfId="3388"/>
    <cellStyle name="20% - Accent1 7 9" xfId="3389"/>
    <cellStyle name="20% - Accent1 7 9 2" xfId="3390"/>
    <cellStyle name="20% - Accent1 7 9 2 2" xfId="3391"/>
    <cellStyle name="20% - Accent1 7 9 3" xfId="3392"/>
    <cellStyle name="20% - Accent1 8" xfId="3393"/>
    <cellStyle name="20% - Accent1 8 10" xfId="3394"/>
    <cellStyle name="20% - Accent1 8 10 2" xfId="3395"/>
    <cellStyle name="20% - Accent1 8 11" xfId="3396"/>
    <cellStyle name="20% - Accent1 8 2" xfId="3397"/>
    <cellStyle name="20% - Accent1 8 2 10" xfId="3398"/>
    <cellStyle name="20% - Accent1 8 2 2" xfId="3399"/>
    <cellStyle name="20% - Accent1 8 2 2 2" xfId="3400"/>
    <cellStyle name="20% - Accent1 8 2 2 2 2" xfId="3401"/>
    <cellStyle name="20% - Accent1 8 2 2 2 2 2" xfId="3402"/>
    <cellStyle name="20% - Accent1 8 2 2 2 2 2 2" xfId="3403"/>
    <cellStyle name="20% - Accent1 8 2 2 2 2 3" xfId="3404"/>
    <cellStyle name="20% - Accent1 8 2 2 2 3" xfId="3405"/>
    <cellStyle name="20% - Accent1 8 2 2 2 3 2" xfId="3406"/>
    <cellStyle name="20% - Accent1 8 2 2 2 4" xfId="3407"/>
    <cellStyle name="20% - Accent1 8 2 2 3" xfId="3408"/>
    <cellStyle name="20% - Accent1 8 2 2 3 2" xfId="3409"/>
    <cellStyle name="20% - Accent1 8 2 2 3 2 2" xfId="3410"/>
    <cellStyle name="20% - Accent1 8 2 2 3 3" xfId="3411"/>
    <cellStyle name="20% - Accent1 8 2 2 4" xfId="3412"/>
    <cellStyle name="20% - Accent1 8 2 2 4 2" xfId="3413"/>
    <cellStyle name="20% - Accent1 8 2 2 5" xfId="3414"/>
    <cellStyle name="20% - Accent1 8 2 3" xfId="3415"/>
    <cellStyle name="20% - Accent1 8 2 3 2" xfId="3416"/>
    <cellStyle name="20% - Accent1 8 2 3 2 2" xfId="3417"/>
    <cellStyle name="20% - Accent1 8 2 3 2 2 2" xfId="3418"/>
    <cellStyle name="20% - Accent1 8 2 3 2 2 2 2" xfId="3419"/>
    <cellStyle name="20% - Accent1 8 2 3 2 2 3" xfId="3420"/>
    <cellStyle name="20% - Accent1 8 2 3 2 3" xfId="3421"/>
    <cellStyle name="20% - Accent1 8 2 3 2 3 2" xfId="3422"/>
    <cellStyle name="20% - Accent1 8 2 3 2 4" xfId="3423"/>
    <cellStyle name="20% - Accent1 8 2 3 3" xfId="3424"/>
    <cellStyle name="20% - Accent1 8 2 3 3 2" xfId="3425"/>
    <cellStyle name="20% - Accent1 8 2 3 3 2 2" xfId="3426"/>
    <cellStyle name="20% - Accent1 8 2 3 3 3" xfId="3427"/>
    <cellStyle name="20% - Accent1 8 2 3 4" xfId="3428"/>
    <cellStyle name="20% - Accent1 8 2 3 4 2" xfId="3429"/>
    <cellStyle name="20% - Accent1 8 2 3 5" xfId="3430"/>
    <cellStyle name="20% - Accent1 8 2 4" xfId="3431"/>
    <cellStyle name="20% - Accent1 8 2 4 2" xfId="3432"/>
    <cellStyle name="20% - Accent1 8 2 4 2 2" xfId="3433"/>
    <cellStyle name="20% - Accent1 8 2 4 2 2 2" xfId="3434"/>
    <cellStyle name="20% - Accent1 8 2 4 2 2 2 2" xfId="3435"/>
    <cellStyle name="20% - Accent1 8 2 4 2 2 3" xfId="3436"/>
    <cellStyle name="20% - Accent1 8 2 4 2 3" xfId="3437"/>
    <cellStyle name="20% - Accent1 8 2 4 2 3 2" xfId="3438"/>
    <cellStyle name="20% - Accent1 8 2 4 2 4" xfId="3439"/>
    <cellStyle name="20% - Accent1 8 2 4 3" xfId="3440"/>
    <cellStyle name="20% - Accent1 8 2 4 3 2" xfId="3441"/>
    <cellStyle name="20% - Accent1 8 2 4 3 2 2" xfId="3442"/>
    <cellStyle name="20% - Accent1 8 2 4 3 3" xfId="3443"/>
    <cellStyle name="20% - Accent1 8 2 4 4" xfId="3444"/>
    <cellStyle name="20% - Accent1 8 2 4 4 2" xfId="3445"/>
    <cellStyle name="20% - Accent1 8 2 4 5" xfId="3446"/>
    <cellStyle name="20% - Accent1 8 2 5" xfId="3447"/>
    <cellStyle name="20% - Accent1 8 2 5 2" xfId="3448"/>
    <cellStyle name="20% - Accent1 8 2 5 2 2" xfId="3449"/>
    <cellStyle name="20% - Accent1 8 2 5 2 2 2" xfId="3450"/>
    <cellStyle name="20% - Accent1 8 2 5 2 2 2 2" xfId="3451"/>
    <cellStyle name="20% - Accent1 8 2 5 2 2 3" xfId="3452"/>
    <cellStyle name="20% - Accent1 8 2 5 2 3" xfId="3453"/>
    <cellStyle name="20% - Accent1 8 2 5 2 3 2" xfId="3454"/>
    <cellStyle name="20% - Accent1 8 2 5 2 4" xfId="3455"/>
    <cellStyle name="20% - Accent1 8 2 5 3" xfId="3456"/>
    <cellStyle name="20% - Accent1 8 2 5 3 2" xfId="3457"/>
    <cellStyle name="20% - Accent1 8 2 5 3 2 2" xfId="3458"/>
    <cellStyle name="20% - Accent1 8 2 5 3 3" xfId="3459"/>
    <cellStyle name="20% - Accent1 8 2 5 4" xfId="3460"/>
    <cellStyle name="20% - Accent1 8 2 5 4 2" xfId="3461"/>
    <cellStyle name="20% - Accent1 8 2 5 5" xfId="3462"/>
    <cellStyle name="20% - Accent1 8 2 6" xfId="3463"/>
    <cellStyle name="20% - Accent1 8 2 6 2" xfId="3464"/>
    <cellStyle name="20% - Accent1 8 2 6 2 2" xfId="3465"/>
    <cellStyle name="20% - Accent1 8 2 6 2 2 2" xfId="3466"/>
    <cellStyle name="20% - Accent1 8 2 6 2 2 2 2" xfId="3467"/>
    <cellStyle name="20% - Accent1 8 2 6 2 2 3" xfId="3468"/>
    <cellStyle name="20% - Accent1 8 2 6 2 3" xfId="3469"/>
    <cellStyle name="20% - Accent1 8 2 6 2 3 2" xfId="3470"/>
    <cellStyle name="20% - Accent1 8 2 6 2 4" xfId="3471"/>
    <cellStyle name="20% - Accent1 8 2 6 3" xfId="3472"/>
    <cellStyle name="20% - Accent1 8 2 6 3 2" xfId="3473"/>
    <cellStyle name="20% - Accent1 8 2 6 3 2 2" xfId="3474"/>
    <cellStyle name="20% - Accent1 8 2 6 3 3" xfId="3475"/>
    <cellStyle name="20% - Accent1 8 2 6 4" xfId="3476"/>
    <cellStyle name="20% - Accent1 8 2 6 4 2" xfId="3477"/>
    <cellStyle name="20% - Accent1 8 2 6 5" xfId="3478"/>
    <cellStyle name="20% - Accent1 8 2 7" xfId="3479"/>
    <cellStyle name="20% - Accent1 8 2 7 2" xfId="3480"/>
    <cellStyle name="20% - Accent1 8 2 7 2 2" xfId="3481"/>
    <cellStyle name="20% - Accent1 8 2 7 2 2 2" xfId="3482"/>
    <cellStyle name="20% - Accent1 8 2 7 2 3" xfId="3483"/>
    <cellStyle name="20% - Accent1 8 2 7 3" xfId="3484"/>
    <cellStyle name="20% - Accent1 8 2 7 3 2" xfId="3485"/>
    <cellStyle name="20% - Accent1 8 2 7 4" xfId="3486"/>
    <cellStyle name="20% - Accent1 8 2 8" xfId="3487"/>
    <cellStyle name="20% - Accent1 8 2 8 2" xfId="3488"/>
    <cellStyle name="20% - Accent1 8 2 8 2 2" xfId="3489"/>
    <cellStyle name="20% - Accent1 8 2 8 3" xfId="3490"/>
    <cellStyle name="20% - Accent1 8 2 9" xfId="3491"/>
    <cellStyle name="20% - Accent1 8 2 9 2" xfId="3492"/>
    <cellStyle name="20% - Accent1 8 3" xfId="3493"/>
    <cellStyle name="20% - Accent1 8 3 2" xfId="3494"/>
    <cellStyle name="20% - Accent1 8 3 2 2" xfId="3495"/>
    <cellStyle name="20% - Accent1 8 3 2 2 2" xfId="3496"/>
    <cellStyle name="20% - Accent1 8 3 2 2 2 2" xfId="3497"/>
    <cellStyle name="20% - Accent1 8 3 2 2 3" xfId="3498"/>
    <cellStyle name="20% - Accent1 8 3 2 3" xfId="3499"/>
    <cellStyle name="20% - Accent1 8 3 2 3 2" xfId="3500"/>
    <cellStyle name="20% - Accent1 8 3 2 4" xfId="3501"/>
    <cellStyle name="20% - Accent1 8 3 3" xfId="3502"/>
    <cellStyle name="20% - Accent1 8 3 3 2" xfId="3503"/>
    <cellStyle name="20% - Accent1 8 3 3 2 2" xfId="3504"/>
    <cellStyle name="20% - Accent1 8 3 3 3" xfId="3505"/>
    <cellStyle name="20% - Accent1 8 3 4" xfId="3506"/>
    <cellStyle name="20% - Accent1 8 3 4 2" xfId="3507"/>
    <cellStyle name="20% - Accent1 8 3 5" xfId="3508"/>
    <cellStyle name="20% - Accent1 8 4" xfId="3509"/>
    <cellStyle name="20% - Accent1 8 4 2" xfId="3510"/>
    <cellStyle name="20% - Accent1 8 4 2 2" xfId="3511"/>
    <cellStyle name="20% - Accent1 8 4 2 2 2" xfId="3512"/>
    <cellStyle name="20% - Accent1 8 4 2 2 2 2" xfId="3513"/>
    <cellStyle name="20% - Accent1 8 4 2 2 3" xfId="3514"/>
    <cellStyle name="20% - Accent1 8 4 2 3" xfId="3515"/>
    <cellStyle name="20% - Accent1 8 4 2 3 2" xfId="3516"/>
    <cellStyle name="20% - Accent1 8 4 2 4" xfId="3517"/>
    <cellStyle name="20% - Accent1 8 4 3" xfId="3518"/>
    <cellStyle name="20% - Accent1 8 4 3 2" xfId="3519"/>
    <cellStyle name="20% - Accent1 8 4 3 2 2" xfId="3520"/>
    <cellStyle name="20% - Accent1 8 4 3 3" xfId="3521"/>
    <cellStyle name="20% - Accent1 8 4 4" xfId="3522"/>
    <cellStyle name="20% - Accent1 8 4 4 2" xfId="3523"/>
    <cellStyle name="20% - Accent1 8 4 5" xfId="3524"/>
    <cellStyle name="20% - Accent1 8 5" xfId="3525"/>
    <cellStyle name="20% - Accent1 8 5 2" xfId="3526"/>
    <cellStyle name="20% - Accent1 8 5 2 2" xfId="3527"/>
    <cellStyle name="20% - Accent1 8 5 2 2 2" xfId="3528"/>
    <cellStyle name="20% - Accent1 8 5 2 2 2 2" xfId="3529"/>
    <cellStyle name="20% - Accent1 8 5 2 2 3" xfId="3530"/>
    <cellStyle name="20% - Accent1 8 5 2 3" xfId="3531"/>
    <cellStyle name="20% - Accent1 8 5 2 3 2" xfId="3532"/>
    <cellStyle name="20% - Accent1 8 5 2 4" xfId="3533"/>
    <cellStyle name="20% - Accent1 8 5 3" xfId="3534"/>
    <cellStyle name="20% - Accent1 8 5 3 2" xfId="3535"/>
    <cellStyle name="20% - Accent1 8 5 3 2 2" xfId="3536"/>
    <cellStyle name="20% - Accent1 8 5 3 3" xfId="3537"/>
    <cellStyle name="20% - Accent1 8 5 4" xfId="3538"/>
    <cellStyle name="20% - Accent1 8 5 4 2" xfId="3539"/>
    <cellStyle name="20% - Accent1 8 5 5" xfId="3540"/>
    <cellStyle name="20% - Accent1 8 6" xfId="3541"/>
    <cellStyle name="20% - Accent1 8 6 2" xfId="3542"/>
    <cellStyle name="20% - Accent1 8 6 2 2" xfId="3543"/>
    <cellStyle name="20% - Accent1 8 6 2 2 2" xfId="3544"/>
    <cellStyle name="20% - Accent1 8 6 2 2 2 2" xfId="3545"/>
    <cellStyle name="20% - Accent1 8 6 2 2 3" xfId="3546"/>
    <cellStyle name="20% - Accent1 8 6 2 3" xfId="3547"/>
    <cellStyle name="20% - Accent1 8 6 2 3 2" xfId="3548"/>
    <cellStyle name="20% - Accent1 8 6 2 4" xfId="3549"/>
    <cellStyle name="20% - Accent1 8 6 3" xfId="3550"/>
    <cellStyle name="20% - Accent1 8 6 3 2" xfId="3551"/>
    <cellStyle name="20% - Accent1 8 6 3 2 2" xfId="3552"/>
    <cellStyle name="20% - Accent1 8 6 3 3" xfId="3553"/>
    <cellStyle name="20% - Accent1 8 6 4" xfId="3554"/>
    <cellStyle name="20% - Accent1 8 6 4 2" xfId="3555"/>
    <cellStyle name="20% - Accent1 8 6 5" xfId="3556"/>
    <cellStyle name="20% - Accent1 8 7" xfId="3557"/>
    <cellStyle name="20% - Accent1 8 7 2" xfId="3558"/>
    <cellStyle name="20% - Accent1 8 7 2 2" xfId="3559"/>
    <cellStyle name="20% - Accent1 8 7 2 2 2" xfId="3560"/>
    <cellStyle name="20% - Accent1 8 7 2 2 2 2" xfId="3561"/>
    <cellStyle name="20% - Accent1 8 7 2 2 3" xfId="3562"/>
    <cellStyle name="20% - Accent1 8 7 2 3" xfId="3563"/>
    <cellStyle name="20% - Accent1 8 7 2 3 2" xfId="3564"/>
    <cellStyle name="20% - Accent1 8 7 2 4" xfId="3565"/>
    <cellStyle name="20% - Accent1 8 7 3" xfId="3566"/>
    <cellStyle name="20% - Accent1 8 7 3 2" xfId="3567"/>
    <cellStyle name="20% - Accent1 8 7 3 2 2" xfId="3568"/>
    <cellStyle name="20% - Accent1 8 7 3 3" xfId="3569"/>
    <cellStyle name="20% - Accent1 8 7 4" xfId="3570"/>
    <cellStyle name="20% - Accent1 8 7 4 2" xfId="3571"/>
    <cellStyle name="20% - Accent1 8 7 5" xfId="3572"/>
    <cellStyle name="20% - Accent1 8 8" xfId="3573"/>
    <cellStyle name="20% - Accent1 8 8 2" xfId="3574"/>
    <cellStyle name="20% - Accent1 8 8 2 2" xfId="3575"/>
    <cellStyle name="20% - Accent1 8 8 2 2 2" xfId="3576"/>
    <cellStyle name="20% - Accent1 8 8 2 3" xfId="3577"/>
    <cellStyle name="20% - Accent1 8 8 3" xfId="3578"/>
    <cellStyle name="20% - Accent1 8 8 3 2" xfId="3579"/>
    <cellStyle name="20% - Accent1 8 8 4" xfId="3580"/>
    <cellStyle name="20% - Accent1 8 9" xfId="3581"/>
    <cellStyle name="20% - Accent1 8 9 2" xfId="3582"/>
    <cellStyle name="20% - Accent1 8 9 2 2" xfId="3583"/>
    <cellStyle name="20% - Accent1 8 9 3" xfId="3584"/>
    <cellStyle name="20% - Accent1 9" xfId="3585"/>
    <cellStyle name="20% - Accent1 9 10" xfId="3586"/>
    <cellStyle name="20% - Accent1 9 10 2" xfId="3587"/>
    <cellStyle name="20% - Accent1 9 11" xfId="3588"/>
    <cellStyle name="20% - Accent1 9 2" xfId="3589"/>
    <cellStyle name="20% - Accent1 9 2 10" xfId="3590"/>
    <cellStyle name="20% - Accent1 9 2 2" xfId="3591"/>
    <cellStyle name="20% - Accent1 9 2 2 2" xfId="3592"/>
    <cellStyle name="20% - Accent1 9 2 2 2 2" xfId="3593"/>
    <cellStyle name="20% - Accent1 9 2 2 2 2 2" xfId="3594"/>
    <cellStyle name="20% - Accent1 9 2 2 2 2 2 2" xfId="3595"/>
    <cellStyle name="20% - Accent1 9 2 2 2 2 3" xfId="3596"/>
    <cellStyle name="20% - Accent1 9 2 2 2 3" xfId="3597"/>
    <cellStyle name="20% - Accent1 9 2 2 2 3 2" xfId="3598"/>
    <cellStyle name="20% - Accent1 9 2 2 2 4" xfId="3599"/>
    <cellStyle name="20% - Accent1 9 2 2 3" xfId="3600"/>
    <cellStyle name="20% - Accent1 9 2 2 3 2" xfId="3601"/>
    <cellStyle name="20% - Accent1 9 2 2 3 2 2" xfId="3602"/>
    <cellStyle name="20% - Accent1 9 2 2 3 3" xfId="3603"/>
    <cellStyle name="20% - Accent1 9 2 2 4" xfId="3604"/>
    <cellStyle name="20% - Accent1 9 2 2 4 2" xfId="3605"/>
    <cellStyle name="20% - Accent1 9 2 2 5" xfId="3606"/>
    <cellStyle name="20% - Accent1 9 2 3" xfId="3607"/>
    <cellStyle name="20% - Accent1 9 2 3 2" xfId="3608"/>
    <cellStyle name="20% - Accent1 9 2 3 2 2" xfId="3609"/>
    <cellStyle name="20% - Accent1 9 2 3 2 2 2" xfId="3610"/>
    <cellStyle name="20% - Accent1 9 2 3 2 2 2 2" xfId="3611"/>
    <cellStyle name="20% - Accent1 9 2 3 2 2 3" xfId="3612"/>
    <cellStyle name="20% - Accent1 9 2 3 2 3" xfId="3613"/>
    <cellStyle name="20% - Accent1 9 2 3 2 3 2" xfId="3614"/>
    <cellStyle name="20% - Accent1 9 2 3 2 4" xfId="3615"/>
    <cellStyle name="20% - Accent1 9 2 3 3" xfId="3616"/>
    <cellStyle name="20% - Accent1 9 2 3 3 2" xfId="3617"/>
    <cellStyle name="20% - Accent1 9 2 3 3 2 2" xfId="3618"/>
    <cellStyle name="20% - Accent1 9 2 3 3 3" xfId="3619"/>
    <cellStyle name="20% - Accent1 9 2 3 4" xfId="3620"/>
    <cellStyle name="20% - Accent1 9 2 3 4 2" xfId="3621"/>
    <cellStyle name="20% - Accent1 9 2 3 5" xfId="3622"/>
    <cellStyle name="20% - Accent1 9 2 4" xfId="3623"/>
    <cellStyle name="20% - Accent1 9 2 4 2" xfId="3624"/>
    <cellStyle name="20% - Accent1 9 2 4 2 2" xfId="3625"/>
    <cellStyle name="20% - Accent1 9 2 4 2 2 2" xfId="3626"/>
    <cellStyle name="20% - Accent1 9 2 4 2 2 2 2" xfId="3627"/>
    <cellStyle name="20% - Accent1 9 2 4 2 2 3" xfId="3628"/>
    <cellStyle name="20% - Accent1 9 2 4 2 3" xfId="3629"/>
    <cellStyle name="20% - Accent1 9 2 4 2 3 2" xfId="3630"/>
    <cellStyle name="20% - Accent1 9 2 4 2 4" xfId="3631"/>
    <cellStyle name="20% - Accent1 9 2 4 3" xfId="3632"/>
    <cellStyle name="20% - Accent1 9 2 4 3 2" xfId="3633"/>
    <cellStyle name="20% - Accent1 9 2 4 3 2 2" xfId="3634"/>
    <cellStyle name="20% - Accent1 9 2 4 3 3" xfId="3635"/>
    <cellStyle name="20% - Accent1 9 2 4 4" xfId="3636"/>
    <cellStyle name="20% - Accent1 9 2 4 4 2" xfId="3637"/>
    <cellStyle name="20% - Accent1 9 2 4 5" xfId="3638"/>
    <cellStyle name="20% - Accent1 9 2 5" xfId="3639"/>
    <cellStyle name="20% - Accent1 9 2 5 2" xfId="3640"/>
    <cellStyle name="20% - Accent1 9 2 5 2 2" xfId="3641"/>
    <cellStyle name="20% - Accent1 9 2 5 2 2 2" xfId="3642"/>
    <cellStyle name="20% - Accent1 9 2 5 2 2 2 2" xfId="3643"/>
    <cellStyle name="20% - Accent1 9 2 5 2 2 3" xfId="3644"/>
    <cellStyle name="20% - Accent1 9 2 5 2 3" xfId="3645"/>
    <cellStyle name="20% - Accent1 9 2 5 2 3 2" xfId="3646"/>
    <cellStyle name="20% - Accent1 9 2 5 2 4" xfId="3647"/>
    <cellStyle name="20% - Accent1 9 2 5 3" xfId="3648"/>
    <cellStyle name="20% - Accent1 9 2 5 3 2" xfId="3649"/>
    <cellStyle name="20% - Accent1 9 2 5 3 2 2" xfId="3650"/>
    <cellStyle name="20% - Accent1 9 2 5 3 3" xfId="3651"/>
    <cellStyle name="20% - Accent1 9 2 5 4" xfId="3652"/>
    <cellStyle name="20% - Accent1 9 2 5 4 2" xfId="3653"/>
    <cellStyle name="20% - Accent1 9 2 5 5" xfId="3654"/>
    <cellStyle name="20% - Accent1 9 2 6" xfId="3655"/>
    <cellStyle name="20% - Accent1 9 2 6 2" xfId="3656"/>
    <cellStyle name="20% - Accent1 9 2 6 2 2" xfId="3657"/>
    <cellStyle name="20% - Accent1 9 2 6 2 2 2" xfId="3658"/>
    <cellStyle name="20% - Accent1 9 2 6 2 2 2 2" xfId="3659"/>
    <cellStyle name="20% - Accent1 9 2 6 2 2 3" xfId="3660"/>
    <cellStyle name="20% - Accent1 9 2 6 2 3" xfId="3661"/>
    <cellStyle name="20% - Accent1 9 2 6 2 3 2" xfId="3662"/>
    <cellStyle name="20% - Accent1 9 2 6 2 4" xfId="3663"/>
    <cellStyle name="20% - Accent1 9 2 6 3" xfId="3664"/>
    <cellStyle name="20% - Accent1 9 2 6 3 2" xfId="3665"/>
    <cellStyle name="20% - Accent1 9 2 6 3 2 2" xfId="3666"/>
    <cellStyle name="20% - Accent1 9 2 6 3 3" xfId="3667"/>
    <cellStyle name="20% - Accent1 9 2 6 4" xfId="3668"/>
    <cellStyle name="20% - Accent1 9 2 6 4 2" xfId="3669"/>
    <cellStyle name="20% - Accent1 9 2 6 5" xfId="3670"/>
    <cellStyle name="20% - Accent1 9 2 7" xfId="3671"/>
    <cellStyle name="20% - Accent1 9 2 7 2" xfId="3672"/>
    <cellStyle name="20% - Accent1 9 2 7 2 2" xfId="3673"/>
    <cellStyle name="20% - Accent1 9 2 7 2 2 2" xfId="3674"/>
    <cellStyle name="20% - Accent1 9 2 7 2 3" xfId="3675"/>
    <cellStyle name="20% - Accent1 9 2 7 3" xfId="3676"/>
    <cellStyle name="20% - Accent1 9 2 7 3 2" xfId="3677"/>
    <cellStyle name="20% - Accent1 9 2 7 4" xfId="3678"/>
    <cellStyle name="20% - Accent1 9 2 8" xfId="3679"/>
    <cellStyle name="20% - Accent1 9 2 8 2" xfId="3680"/>
    <cellStyle name="20% - Accent1 9 2 8 2 2" xfId="3681"/>
    <cellStyle name="20% - Accent1 9 2 8 3" xfId="3682"/>
    <cellStyle name="20% - Accent1 9 2 9" xfId="3683"/>
    <cellStyle name="20% - Accent1 9 2 9 2" xfId="3684"/>
    <cellStyle name="20% - Accent1 9 3" xfId="3685"/>
    <cellStyle name="20% - Accent1 9 3 2" xfId="3686"/>
    <cellStyle name="20% - Accent1 9 3 2 2" xfId="3687"/>
    <cellStyle name="20% - Accent1 9 3 2 2 2" xfId="3688"/>
    <cellStyle name="20% - Accent1 9 3 2 2 2 2" xfId="3689"/>
    <cellStyle name="20% - Accent1 9 3 2 2 3" xfId="3690"/>
    <cellStyle name="20% - Accent1 9 3 2 3" xfId="3691"/>
    <cellStyle name="20% - Accent1 9 3 2 3 2" xfId="3692"/>
    <cellStyle name="20% - Accent1 9 3 2 4" xfId="3693"/>
    <cellStyle name="20% - Accent1 9 3 3" xfId="3694"/>
    <cellStyle name="20% - Accent1 9 3 3 2" xfId="3695"/>
    <cellStyle name="20% - Accent1 9 3 3 2 2" xfId="3696"/>
    <cellStyle name="20% - Accent1 9 3 3 3" xfId="3697"/>
    <cellStyle name="20% - Accent1 9 3 4" xfId="3698"/>
    <cellStyle name="20% - Accent1 9 3 4 2" xfId="3699"/>
    <cellStyle name="20% - Accent1 9 3 5" xfId="3700"/>
    <cellStyle name="20% - Accent1 9 4" xfId="3701"/>
    <cellStyle name="20% - Accent1 9 4 2" xfId="3702"/>
    <cellStyle name="20% - Accent1 9 4 2 2" xfId="3703"/>
    <cellStyle name="20% - Accent1 9 4 2 2 2" xfId="3704"/>
    <cellStyle name="20% - Accent1 9 4 2 2 2 2" xfId="3705"/>
    <cellStyle name="20% - Accent1 9 4 2 2 3" xfId="3706"/>
    <cellStyle name="20% - Accent1 9 4 2 3" xfId="3707"/>
    <cellStyle name="20% - Accent1 9 4 2 3 2" xfId="3708"/>
    <cellStyle name="20% - Accent1 9 4 2 4" xfId="3709"/>
    <cellStyle name="20% - Accent1 9 4 3" xfId="3710"/>
    <cellStyle name="20% - Accent1 9 4 3 2" xfId="3711"/>
    <cellStyle name="20% - Accent1 9 4 3 2 2" xfId="3712"/>
    <cellStyle name="20% - Accent1 9 4 3 3" xfId="3713"/>
    <cellStyle name="20% - Accent1 9 4 4" xfId="3714"/>
    <cellStyle name="20% - Accent1 9 4 4 2" xfId="3715"/>
    <cellStyle name="20% - Accent1 9 4 5" xfId="3716"/>
    <cellStyle name="20% - Accent1 9 5" xfId="3717"/>
    <cellStyle name="20% - Accent1 9 5 2" xfId="3718"/>
    <cellStyle name="20% - Accent1 9 5 2 2" xfId="3719"/>
    <cellStyle name="20% - Accent1 9 5 2 2 2" xfId="3720"/>
    <cellStyle name="20% - Accent1 9 5 2 2 2 2" xfId="3721"/>
    <cellStyle name="20% - Accent1 9 5 2 2 3" xfId="3722"/>
    <cellStyle name="20% - Accent1 9 5 2 3" xfId="3723"/>
    <cellStyle name="20% - Accent1 9 5 2 3 2" xfId="3724"/>
    <cellStyle name="20% - Accent1 9 5 2 4" xfId="3725"/>
    <cellStyle name="20% - Accent1 9 5 3" xfId="3726"/>
    <cellStyle name="20% - Accent1 9 5 3 2" xfId="3727"/>
    <cellStyle name="20% - Accent1 9 5 3 2 2" xfId="3728"/>
    <cellStyle name="20% - Accent1 9 5 3 3" xfId="3729"/>
    <cellStyle name="20% - Accent1 9 5 4" xfId="3730"/>
    <cellStyle name="20% - Accent1 9 5 4 2" xfId="3731"/>
    <cellStyle name="20% - Accent1 9 5 5" xfId="3732"/>
    <cellStyle name="20% - Accent1 9 6" xfId="3733"/>
    <cellStyle name="20% - Accent1 9 6 2" xfId="3734"/>
    <cellStyle name="20% - Accent1 9 6 2 2" xfId="3735"/>
    <cellStyle name="20% - Accent1 9 6 2 2 2" xfId="3736"/>
    <cellStyle name="20% - Accent1 9 6 2 2 2 2" xfId="3737"/>
    <cellStyle name="20% - Accent1 9 6 2 2 3" xfId="3738"/>
    <cellStyle name="20% - Accent1 9 6 2 3" xfId="3739"/>
    <cellStyle name="20% - Accent1 9 6 2 3 2" xfId="3740"/>
    <cellStyle name="20% - Accent1 9 6 2 4" xfId="3741"/>
    <cellStyle name="20% - Accent1 9 6 3" xfId="3742"/>
    <cellStyle name="20% - Accent1 9 6 3 2" xfId="3743"/>
    <cellStyle name="20% - Accent1 9 6 3 2 2" xfId="3744"/>
    <cellStyle name="20% - Accent1 9 6 3 3" xfId="3745"/>
    <cellStyle name="20% - Accent1 9 6 4" xfId="3746"/>
    <cellStyle name="20% - Accent1 9 6 4 2" xfId="3747"/>
    <cellStyle name="20% - Accent1 9 6 5" xfId="3748"/>
    <cellStyle name="20% - Accent1 9 7" xfId="3749"/>
    <cellStyle name="20% - Accent1 9 7 2" xfId="3750"/>
    <cellStyle name="20% - Accent1 9 7 2 2" xfId="3751"/>
    <cellStyle name="20% - Accent1 9 7 2 2 2" xfId="3752"/>
    <cellStyle name="20% - Accent1 9 7 2 2 2 2" xfId="3753"/>
    <cellStyle name="20% - Accent1 9 7 2 2 3" xfId="3754"/>
    <cellStyle name="20% - Accent1 9 7 2 3" xfId="3755"/>
    <cellStyle name="20% - Accent1 9 7 2 3 2" xfId="3756"/>
    <cellStyle name="20% - Accent1 9 7 2 4" xfId="3757"/>
    <cellStyle name="20% - Accent1 9 7 3" xfId="3758"/>
    <cellStyle name="20% - Accent1 9 7 3 2" xfId="3759"/>
    <cellStyle name="20% - Accent1 9 7 3 2 2" xfId="3760"/>
    <cellStyle name="20% - Accent1 9 7 3 3" xfId="3761"/>
    <cellStyle name="20% - Accent1 9 7 4" xfId="3762"/>
    <cellStyle name="20% - Accent1 9 7 4 2" xfId="3763"/>
    <cellStyle name="20% - Accent1 9 7 5" xfId="3764"/>
    <cellStyle name="20% - Accent1 9 8" xfId="3765"/>
    <cellStyle name="20% - Accent1 9 8 2" xfId="3766"/>
    <cellStyle name="20% - Accent1 9 8 2 2" xfId="3767"/>
    <cellStyle name="20% - Accent1 9 8 2 2 2" xfId="3768"/>
    <cellStyle name="20% - Accent1 9 8 2 3" xfId="3769"/>
    <cellStyle name="20% - Accent1 9 8 3" xfId="3770"/>
    <cellStyle name="20% - Accent1 9 8 3 2" xfId="3771"/>
    <cellStyle name="20% - Accent1 9 8 4" xfId="3772"/>
    <cellStyle name="20% - Accent1 9 9" xfId="3773"/>
    <cellStyle name="20% - Accent1 9 9 2" xfId="3774"/>
    <cellStyle name="20% - Accent1 9 9 2 2" xfId="3775"/>
    <cellStyle name="20% - Accent1 9 9 3" xfId="3776"/>
    <cellStyle name="20% - Accent2" xfId="52853" builtinId="34" customBuiltin="1"/>
    <cellStyle name="20% - Accent2 10" xfId="3777"/>
    <cellStyle name="20% - Accent2 10 10" xfId="3778"/>
    <cellStyle name="20% - Accent2 10 10 2" xfId="3779"/>
    <cellStyle name="20% - Accent2 10 11" xfId="3780"/>
    <cellStyle name="20% - Accent2 10 2" xfId="3781"/>
    <cellStyle name="20% - Accent2 10 2 10" xfId="3782"/>
    <cellStyle name="20% - Accent2 10 2 2" xfId="3783"/>
    <cellStyle name="20% - Accent2 10 2 2 2" xfId="3784"/>
    <cellStyle name="20% - Accent2 10 2 2 2 2" xfId="3785"/>
    <cellStyle name="20% - Accent2 10 2 2 2 2 2" xfId="3786"/>
    <cellStyle name="20% - Accent2 10 2 2 2 2 2 2" xfId="3787"/>
    <cellStyle name="20% - Accent2 10 2 2 2 2 3" xfId="3788"/>
    <cellStyle name="20% - Accent2 10 2 2 2 3" xfId="3789"/>
    <cellStyle name="20% - Accent2 10 2 2 2 3 2" xfId="3790"/>
    <cellStyle name="20% - Accent2 10 2 2 2 4" xfId="3791"/>
    <cellStyle name="20% - Accent2 10 2 2 3" xfId="3792"/>
    <cellStyle name="20% - Accent2 10 2 2 3 2" xfId="3793"/>
    <cellStyle name="20% - Accent2 10 2 2 3 2 2" xfId="3794"/>
    <cellStyle name="20% - Accent2 10 2 2 3 3" xfId="3795"/>
    <cellStyle name="20% - Accent2 10 2 2 4" xfId="3796"/>
    <cellStyle name="20% - Accent2 10 2 2 4 2" xfId="3797"/>
    <cellStyle name="20% - Accent2 10 2 2 5" xfId="3798"/>
    <cellStyle name="20% - Accent2 10 2 3" xfId="3799"/>
    <cellStyle name="20% - Accent2 10 2 3 2" xfId="3800"/>
    <cellStyle name="20% - Accent2 10 2 3 2 2" xfId="3801"/>
    <cellStyle name="20% - Accent2 10 2 3 2 2 2" xfId="3802"/>
    <cellStyle name="20% - Accent2 10 2 3 2 2 2 2" xfId="3803"/>
    <cellStyle name="20% - Accent2 10 2 3 2 2 3" xfId="3804"/>
    <cellStyle name="20% - Accent2 10 2 3 2 3" xfId="3805"/>
    <cellStyle name="20% - Accent2 10 2 3 2 3 2" xfId="3806"/>
    <cellStyle name="20% - Accent2 10 2 3 2 4" xfId="3807"/>
    <cellStyle name="20% - Accent2 10 2 3 3" xfId="3808"/>
    <cellStyle name="20% - Accent2 10 2 3 3 2" xfId="3809"/>
    <cellStyle name="20% - Accent2 10 2 3 3 2 2" xfId="3810"/>
    <cellStyle name="20% - Accent2 10 2 3 3 3" xfId="3811"/>
    <cellStyle name="20% - Accent2 10 2 3 4" xfId="3812"/>
    <cellStyle name="20% - Accent2 10 2 3 4 2" xfId="3813"/>
    <cellStyle name="20% - Accent2 10 2 3 5" xfId="3814"/>
    <cellStyle name="20% - Accent2 10 2 4" xfId="3815"/>
    <cellStyle name="20% - Accent2 10 2 4 2" xfId="3816"/>
    <cellStyle name="20% - Accent2 10 2 4 2 2" xfId="3817"/>
    <cellStyle name="20% - Accent2 10 2 4 2 2 2" xfId="3818"/>
    <cellStyle name="20% - Accent2 10 2 4 2 2 2 2" xfId="3819"/>
    <cellStyle name="20% - Accent2 10 2 4 2 2 3" xfId="3820"/>
    <cellStyle name="20% - Accent2 10 2 4 2 3" xfId="3821"/>
    <cellStyle name="20% - Accent2 10 2 4 2 3 2" xfId="3822"/>
    <cellStyle name="20% - Accent2 10 2 4 2 4" xfId="3823"/>
    <cellStyle name="20% - Accent2 10 2 4 3" xfId="3824"/>
    <cellStyle name="20% - Accent2 10 2 4 3 2" xfId="3825"/>
    <cellStyle name="20% - Accent2 10 2 4 3 2 2" xfId="3826"/>
    <cellStyle name="20% - Accent2 10 2 4 3 3" xfId="3827"/>
    <cellStyle name="20% - Accent2 10 2 4 4" xfId="3828"/>
    <cellStyle name="20% - Accent2 10 2 4 4 2" xfId="3829"/>
    <cellStyle name="20% - Accent2 10 2 4 5" xfId="3830"/>
    <cellStyle name="20% - Accent2 10 2 5" xfId="3831"/>
    <cellStyle name="20% - Accent2 10 2 5 2" xfId="3832"/>
    <cellStyle name="20% - Accent2 10 2 5 2 2" xfId="3833"/>
    <cellStyle name="20% - Accent2 10 2 5 2 2 2" xfId="3834"/>
    <cellStyle name="20% - Accent2 10 2 5 2 2 2 2" xfId="3835"/>
    <cellStyle name="20% - Accent2 10 2 5 2 2 3" xfId="3836"/>
    <cellStyle name="20% - Accent2 10 2 5 2 3" xfId="3837"/>
    <cellStyle name="20% - Accent2 10 2 5 2 3 2" xfId="3838"/>
    <cellStyle name="20% - Accent2 10 2 5 2 4" xfId="3839"/>
    <cellStyle name="20% - Accent2 10 2 5 3" xfId="3840"/>
    <cellStyle name="20% - Accent2 10 2 5 3 2" xfId="3841"/>
    <cellStyle name="20% - Accent2 10 2 5 3 2 2" xfId="3842"/>
    <cellStyle name="20% - Accent2 10 2 5 3 3" xfId="3843"/>
    <cellStyle name="20% - Accent2 10 2 5 4" xfId="3844"/>
    <cellStyle name="20% - Accent2 10 2 5 4 2" xfId="3845"/>
    <cellStyle name="20% - Accent2 10 2 5 5" xfId="3846"/>
    <cellStyle name="20% - Accent2 10 2 6" xfId="3847"/>
    <cellStyle name="20% - Accent2 10 2 6 2" xfId="3848"/>
    <cellStyle name="20% - Accent2 10 2 6 2 2" xfId="3849"/>
    <cellStyle name="20% - Accent2 10 2 6 2 2 2" xfId="3850"/>
    <cellStyle name="20% - Accent2 10 2 6 2 2 2 2" xfId="3851"/>
    <cellStyle name="20% - Accent2 10 2 6 2 2 3" xfId="3852"/>
    <cellStyle name="20% - Accent2 10 2 6 2 3" xfId="3853"/>
    <cellStyle name="20% - Accent2 10 2 6 2 3 2" xfId="3854"/>
    <cellStyle name="20% - Accent2 10 2 6 2 4" xfId="3855"/>
    <cellStyle name="20% - Accent2 10 2 6 3" xfId="3856"/>
    <cellStyle name="20% - Accent2 10 2 6 3 2" xfId="3857"/>
    <cellStyle name="20% - Accent2 10 2 6 3 2 2" xfId="3858"/>
    <cellStyle name="20% - Accent2 10 2 6 3 3" xfId="3859"/>
    <cellStyle name="20% - Accent2 10 2 6 4" xfId="3860"/>
    <cellStyle name="20% - Accent2 10 2 6 4 2" xfId="3861"/>
    <cellStyle name="20% - Accent2 10 2 6 5" xfId="3862"/>
    <cellStyle name="20% - Accent2 10 2 7" xfId="3863"/>
    <cellStyle name="20% - Accent2 10 2 7 2" xfId="3864"/>
    <cellStyle name="20% - Accent2 10 2 7 2 2" xfId="3865"/>
    <cellStyle name="20% - Accent2 10 2 7 2 2 2" xfId="3866"/>
    <cellStyle name="20% - Accent2 10 2 7 2 3" xfId="3867"/>
    <cellStyle name="20% - Accent2 10 2 7 3" xfId="3868"/>
    <cellStyle name="20% - Accent2 10 2 7 3 2" xfId="3869"/>
    <cellStyle name="20% - Accent2 10 2 7 4" xfId="3870"/>
    <cellStyle name="20% - Accent2 10 2 8" xfId="3871"/>
    <cellStyle name="20% - Accent2 10 2 8 2" xfId="3872"/>
    <cellStyle name="20% - Accent2 10 2 8 2 2" xfId="3873"/>
    <cellStyle name="20% - Accent2 10 2 8 3" xfId="3874"/>
    <cellStyle name="20% - Accent2 10 2 9" xfId="3875"/>
    <cellStyle name="20% - Accent2 10 2 9 2" xfId="3876"/>
    <cellStyle name="20% - Accent2 10 3" xfId="3877"/>
    <cellStyle name="20% - Accent2 10 3 2" xfId="3878"/>
    <cellStyle name="20% - Accent2 10 3 2 2" xfId="3879"/>
    <cellStyle name="20% - Accent2 10 3 2 2 2" xfId="3880"/>
    <cellStyle name="20% - Accent2 10 3 2 2 2 2" xfId="3881"/>
    <cellStyle name="20% - Accent2 10 3 2 2 3" xfId="3882"/>
    <cellStyle name="20% - Accent2 10 3 2 3" xfId="3883"/>
    <cellStyle name="20% - Accent2 10 3 2 3 2" xfId="3884"/>
    <cellStyle name="20% - Accent2 10 3 2 4" xfId="3885"/>
    <cellStyle name="20% - Accent2 10 3 3" xfId="3886"/>
    <cellStyle name="20% - Accent2 10 3 3 2" xfId="3887"/>
    <cellStyle name="20% - Accent2 10 3 3 2 2" xfId="3888"/>
    <cellStyle name="20% - Accent2 10 3 3 3" xfId="3889"/>
    <cellStyle name="20% - Accent2 10 3 4" xfId="3890"/>
    <cellStyle name="20% - Accent2 10 3 4 2" xfId="3891"/>
    <cellStyle name="20% - Accent2 10 3 5" xfId="3892"/>
    <cellStyle name="20% - Accent2 10 4" xfId="3893"/>
    <cellStyle name="20% - Accent2 10 4 2" xfId="3894"/>
    <cellStyle name="20% - Accent2 10 4 2 2" xfId="3895"/>
    <cellStyle name="20% - Accent2 10 4 2 2 2" xfId="3896"/>
    <cellStyle name="20% - Accent2 10 4 2 2 2 2" xfId="3897"/>
    <cellStyle name="20% - Accent2 10 4 2 2 3" xfId="3898"/>
    <cellStyle name="20% - Accent2 10 4 2 3" xfId="3899"/>
    <cellStyle name="20% - Accent2 10 4 2 3 2" xfId="3900"/>
    <cellStyle name="20% - Accent2 10 4 2 4" xfId="3901"/>
    <cellStyle name="20% - Accent2 10 4 3" xfId="3902"/>
    <cellStyle name="20% - Accent2 10 4 3 2" xfId="3903"/>
    <cellStyle name="20% - Accent2 10 4 3 2 2" xfId="3904"/>
    <cellStyle name="20% - Accent2 10 4 3 3" xfId="3905"/>
    <cellStyle name="20% - Accent2 10 4 4" xfId="3906"/>
    <cellStyle name="20% - Accent2 10 4 4 2" xfId="3907"/>
    <cellStyle name="20% - Accent2 10 4 5" xfId="3908"/>
    <cellStyle name="20% - Accent2 10 5" xfId="3909"/>
    <cellStyle name="20% - Accent2 10 5 2" xfId="3910"/>
    <cellStyle name="20% - Accent2 10 5 2 2" xfId="3911"/>
    <cellStyle name="20% - Accent2 10 5 2 2 2" xfId="3912"/>
    <cellStyle name="20% - Accent2 10 5 2 2 2 2" xfId="3913"/>
    <cellStyle name="20% - Accent2 10 5 2 2 3" xfId="3914"/>
    <cellStyle name="20% - Accent2 10 5 2 3" xfId="3915"/>
    <cellStyle name="20% - Accent2 10 5 2 3 2" xfId="3916"/>
    <cellStyle name="20% - Accent2 10 5 2 4" xfId="3917"/>
    <cellStyle name="20% - Accent2 10 5 3" xfId="3918"/>
    <cellStyle name="20% - Accent2 10 5 3 2" xfId="3919"/>
    <cellStyle name="20% - Accent2 10 5 3 2 2" xfId="3920"/>
    <cellStyle name="20% - Accent2 10 5 3 3" xfId="3921"/>
    <cellStyle name="20% - Accent2 10 5 4" xfId="3922"/>
    <cellStyle name="20% - Accent2 10 5 4 2" xfId="3923"/>
    <cellStyle name="20% - Accent2 10 5 5" xfId="3924"/>
    <cellStyle name="20% - Accent2 10 6" xfId="3925"/>
    <cellStyle name="20% - Accent2 10 6 2" xfId="3926"/>
    <cellStyle name="20% - Accent2 10 6 2 2" xfId="3927"/>
    <cellStyle name="20% - Accent2 10 6 2 2 2" xfId="3928"/>
    <cellStyle name="20% - Accent2 10 6 2 2 2 2" xfId="3929"/>
    <cellStyle name="20% - Accent2 10 6 2 2 3" xfId="3930"/>
    <cellStyle name="20% - Accent2 10 6 2 3" xfId="3931"/>
    <cellStyle name="20% - Accent2 10 6 2 3 2" xfId="3932"/>
    <cellStyle name="20% - Accent2 10 6 2 4" xfId="3933"/>
    <cellStyle name="20% - Accent2 10 6 3" xfId="3934"/>
    <cellStyle name="20% - Accent2 10 6 3 2" xfId="3935"/>
    <cellStyle name="20% - Accent2 10 6 3 2 2" xfId="3936"/>
    <cellStyle name="20% - Accent2 10 6 3 3" xfId="3937"/>
    <cellStyle name="20% - Accent2 10 6 4" xfId="3938"/>
    <cellStyle name="20% - Accent2 10 6 4 2" xfId="3939"/>
    <cellStyle name="20% - Accent2 10 6 5" xfId="3940"/>
    <cellStyle name="20% - Accent2 10 7" xfId="3941"/>
    <cellStyle name="20% - Accent2 10 7 2" xfId="3942"/>
    <cellStyle name="20% - Accent2 10 7 2 2" xfId="3943"/>
    <cellStyle name="20% - Accent2 10 7 2 2 2" xfId="3944"/>
    <cellStyle name="20% - Accent2 10 7 2 2 2 2" xfId="3945"/>
    <cellStyle name="20% - Accent2 10 7 2 2 3" xfId="3946"/>
    <cellStyle name="20% - Accent2 10 7 2 3" xfId="3947"/>
    <cellStyle name="20% - Accent2 10 7 2 3 2" xfId="3948"/>
    <cellStyle name="20% - Accent2 10 7 2 4" xfId="3949"/>
    <cellStyle name="20% - Accent2 10 7 3" xfId="3950"/>
    <cellStyle name="20% - Accent2 10 7 3 2" xfId="3951"/>
    <cellStyle name="20% - Accent2 10 7 3 2 2" xfId="3952"/>
    <cellStyle name="20% - Accent2 10 7 3 3" xfId="3953"/>
    <cellStyle name="20% - Accent2 10 7 4" xfId="3954"/>
    <cellStyle name="20% - Accent2 10 7 4 2" xfId="3955"/>
    <cellStyle name="20% - Accent2 10 7 5" xfId="3956"/>
    <cellStyle name="20% - Accent2 10 8" xfId="3957"/>
    <cellStyle name="20% - Accent2 10 8 2" xfId="3958"/>
    <cellStyle name="20% - Accent2 10 8 2 2" xfId="3959"/>
    <cellStyle name="20% - Accent2 10 8 2 2 2" xfId="3960"/>
    <cellStyle name="20% - Accent2 10 8 2 3" xfId="3961"/>
    <cellStyle name="20% - Accent2 10 8 3" xfId="3962"/>
    <cellStyle name="20% - Accent2 10 8 3 2" xfId="3963"/>
    <cellStyle name="20% - Accent2 10 8 4" xfId="3964"/>
    <cellStyle name="20% - Accent2 10 9" xfId="3965"/>
    <cellStyle name="20% - Accent2 10 9 2" xfId="3966"/>
    <cellStyle name="20% - Accent2 10 9 2 2" xfId="3967"/>
    <cellStyle name="20% - Accent2 10 9 3" xfId="3968"/>
    <cellStyle name="20% - Accent2 11" xfId="3969"/>
    <cellStyle name="20% - Accent2 11 10" xfId="3970"/>
    <cellStyle name="20% - Accent2 11 10 2" xfId="3971"/>
    <cellStyle name="20% - Accent2 11 11" xfId="3972"/>
    <cellStyle name="20% - Accent2 11 2" xfId="3973"/>
    <cellStyle name="20% - Accent2 11 2 10" xfId="3974"/>
    <cellStyle name="20% - Accent2 11 2 2" xfId="3975"/>
    <cellStyle name="20% - Accent2 11 2 2 2" xfId="3976"/>
    <cellStyle name="20% - Accent2 11 2 2 2 2" xfId="3977"/>
    <cellStyle name="20% - Accent2 11 2 2 2 2 2" xfId="3978"/>
    <cellStyle name="20% - Accent2 11 2 2 2 2 2 2" xfId="3979"/>
    <cellStyle name="20% - Accent2 11 2 2 2 2 3" xfId="3980"/>
    <cellStyle name="20% - Accent2 11 2 2 2 3" xfId="3981"/>
    <cellStyle name="20% - Accent2 11 2 2 2 3 2" xfId="3982"/>
    <cellStyle name="20% - Accent2 11 2 2 2 4" xfId="3983"/>
    <cellStyle name="20% - Accent2 11 2 2 3" xfId="3984"/>
    <cellStyle name="20% - Accent2 11 2 2 3 2" xfId="3985"/>
    <cellStyle name="20% - Accent2 11 2 2 3 2 2" xfId="3986"/>
    <cellStyle name="20% - Accent2 11 2 2 3 3" xfId="3987"/>
    <cellStyle name="20% - Accent2 11 2 2 4" xfId="3988"/>
    <cellStyle name="20% - Accent2 11 2 2 4 2" xfId="3989"/>
    <cellStyle name="20% - Accent2 11 2 2 5" xfId="3990"/>
    <cellStyle name="20% - Accent2 11 2 3" xfId="3991"/>
    <cellStyle name="20% - Accent2 11 2 3 2" xfId="3992"/>
    <cellStyle name="20% - Accent2 11 2 3 2 2" xfId="3993"/>
    <cellStyle name="20% - Accent2 11 2 3 2 2 2" xfId="3994"/>
    <cellStyle name="20% - Accent2 11 2 3 2 2 2 2" xfId="3995"/>
    <cellStyle name="20% - Accent2 11 2 3 2 2 3" xfId="3996"/>
    <cellStyle name="20% - Accent2 11 2 3 2 3" xfId="3997"/>
    <cellStyle name="20% - Accent2 11 2 3 2 3 2" xfId="3998"/>
    <cellStyle name="20% - Accent2 11 2 3 2 4" xfId="3999"/>
    <cellStyle name="20% - Accent2 11 2 3 3" xfId="4000"/>
    <cellStyle name="20% - Accent2 11 2 3 3 2" xfId="4001"/>
    <cellStyle name="20% - Accent2 11 2 3 3 2 2" xfId="4002"/>
    <cellStyle name="20% - Accent2 11 2 3 3 3" xfId="4003"/>
    <cellStyle name="20% - Accent2 11 2 3 4" xfId="4004"/>
    <cellStyle name="20% - Accent2 11 2 3 4 2" xfId="4005"/>
    <cellStyle name="20% - Accent2 11 2 3 5" xfId="4006"/>
    <cellStyle name="20% - Accent2 11 2 4" xfId="4007"/>
    <cellStyle name="20% - Accent2 11 2 4 2" xfId="4008"/>
    <cellStyle name="20% - Accent2 11 2 4 2 2" xfId="4009"/>
    <cellStyle name="20% - Accent2 11 2 4 2 2 2" xfId="4010"/>
    <cellStyle name="20% - Accent2 11 2 4 2 2 2 2" xfId="4011"/>
    <cellStyle name="20% - Accent2 11 2 4 2 2 3" xfId="4012"/>
    <cellStyle name="20% - Accent2 11 2 4 2 3" xfId="4013"/>
    <cellStyle name="20% - Accent2 11 2 4 2 3 2" xfId="4014"/>
    <cellStyle name="20% - Accent2 11 2 4 2 4" xfId="4015"/>
    <cellStyle name="20% - Accent2 11 2 4 3" xfId="4016"/>
    <cellStyle name="20% - Accent2 11 2 4 3 2" xfId="4017"/>
    <cellStyle name="20% - Accent2 11 2 4 3 2 2" xfId="4018"/>
    <cellStyle name="20% - Accent2 11 2 4 3 3" xfId="4019"/>
    <cellStyle name="20% - Accent2 11 2 4 4" xfId="4020"/>
    <cellStyle name="20% - Accent2 11 2 4 4 2" xfId="4021"/>
    <cellStyle name="20% - Accent2 11 2 4 5" xfId="4022"/>
    <cellStyle name="20% - Accent2 11 2 5" xfId="4023"/>
    <cellStyle name="20% - Accent2 11 2 5 2" xfId="4024"/>
    <cellStyle name="20% - Accent2 11 2 5 2 2" xfId="4025"/>
    <cellStyle name="20% - Accent2 11 2 5 2 2 2" xfId="4026"/>
    <cellStyle name="20% - Accent2 11 2 5 2 2 2 2" xfId="4027"/>
    <cellStyle name="20% - Accent2 11 2 5 2 2 3" xfId="4028"/>
    <cellStyle name="20% - Accent2 11 2 5 2 3" xfId="4029"/>
    <cellStyle name="20% - Accent2 11 2 5 2 3 2" xfId="4030"/>
    <cellStyle name="20% - Accent2 11 2 5 2 4" xfId="4031"/>
    <cellStyle name="20% - Accent2 11 2 5 3" xfId="4032"/>
    <cellStyle name="20% - Accent2 11 2 5 3 2" xfId="4033"/>
    <cellStyle name="20% - Accent2 11 2 5 3 2 2" xfId="4034"/>
    <cellStyle name="20% - Accent2 11 2 5 3 3" xfId="4035"/>
    <cellStyle name="20% - Accent2 11 2 5 4" xfId="4036"/>
    <cellStyle name="20% - Accent2 11 2 5 4 2" xfId="4037"/>
    <cellStyle name="20% - Accent2 11 2 5 5" xfId="4038"/>
    <cellStyle name="20% - Accent2 11 2 6" xfId="4039"/>
    <cellStyle name="20% - Accent2 11 2 6 2" xfId="4040"/>
    <cellStyle name="20% - Accent2 11 2 6 2 2" xfId="4041"/>
    <cellStyle name="20% - Accent2 11 2 6 2 2 2" xfId="4042"/>
    <cellStyle name="20% - Accent2 11 2 6 2 2 2 2" xfId="4043"/>
    <cellStyle name="20% - Accent2 11 2 6 2 2 3" xfId="4044"/>
    <cellStyle name="20% - Accent2 11 2 6 2 3" xfId="4045"/>
    <cellStyle name="20% - Accent2 11 2 6 2 3 2" xfId="4046"/>
    <cellStyle name="20% - Accent2 11 2 6 2 4" xfId="4047"/>
    <cellStyle name="20% - Accent2 11 2 6 3" xfId="4048"/>
    <cellStyle name="20% - Accent2 11 2 6 3 2" xfId="4049"/>
    <cellStyle name="20% - Accent2 11 2 6 3 2 2" xfId="4050"/>
    <cellStyle name="20% - Accent2 11 2 6 3 3" xfId="4051"/>
    <cellStyle name="20% - Accent2 11 2 6 4" xfId="4052"/>
    <cellStyle name="20% - Accent2 11 2 6 4 2" xfId="4053"/>
    <cellStyle name="20% - Accent2 11 2 6 5" xfId="4054"/>
    <cellStyle name="20% - Accent2 11 2 7" xfId="4055"/>
    <cellStyle name="20% - Accent2 11 2 7 2" xfId="4056"/>
    <cellStyle name="20% - Accent2 11 2 7 2 2" xfId="4057"/>
    <cellStyle name="20% - Accent2 11 2 7 2 2 2" xfId="4058"/>
    <cellStyle name="20% - Accent2 11 2 7 2 3" xfId="4059"/>
    <cellStyle name="20% - Accent2 11 2 7 3" xfId="4060"/>
    <cellStyle name="20% - Accent2 11 2 7 3 2" xfId="4061"/>
    <cellStyle name="20% - Accent2 11 2 7 4" xfId="4062"/>
    <cellStyle name="20% - Accent2 11 2 8" xfId="4063"/>
    <cellStyle name="20% - Accent2 11 2 8 2" xfId="4064"/>
    <cellStyle name="20% - Accent2 11 2 8 2 2" xfId="4065"/>
    <cellStyle name="20% - Accent2 11 2 8 3" xfId="4066"/>
    <cellStyle name="20% - Accent2 11 2 9" xfId="4067"/>
    <cellStyle name="20% - Accent2 11 2 9 2" xfId="4068"/>
    <cellStyle name="20% - Accent2 11 3" xfId="4069"/>
    <cellStyle name="20% - Accent2 11 3 2" xfId="4070"/>
    <cellStyle name="20% - Accent2 11 3 2 2" xfId="4071"/>
    <cellStyle name="20% - Accent2 11 3 2 2 2" xfId="4072"/>
    <cellStyle name="20% - Accent2 11 3 2 2 2 2" xfId="4073"/>
    <cellStyle name="20% - Accent2 11 3 2 2 3" xfId="4074"/>
    <cellStyle name="20% - Accent2 11 3 2 3" xfId="4075"/>
    <cellStyle name="20% - Accent2 11 3 2 3 2" xfId="4076"/>
    <cellStyle name="20% - Accent2 11 3 2 4" xfId="4077"/>
    <cellStyle name="20% - Accent2 11 3 3" xfId="4078"/>
    <cellStyle name="20% - Accent2 11 3 3 2" xfId="4079"/>
    <cellStyle name="20% - Accent2 11 3 3 2 2" xfId="4080"/>
    <cellStyle name="20% - Accent2 11 3 3 3" xfId="4081"/>
    <cellStyle name="20% - Accent2 11 3 4" xfId="4082"/>
    <cellStyle name="20% - Accent2 11 3 4 2" xfId="4083"/>
    <cellStyle name="20% - Accent2 11 3 5" xfId="4084"/>
    <cellStyle name="20% - Accent2 11 4" xfId="4085"/>
    <cellStyle name="20% - Accent2 11 4 2" xfId="4086"/>
    <cellStyle name="20% - Accent2 11 4 2 2" xfId="4087"/>
    <cellStyle name="20% - Accent2 11 4 2 2 2" xfId="4088"/>
    <cellStyle name="20% - Accent2 11 4 2 2 2 2" xfId="4089"/>
    <cellStyle name="20% - Accent2 11 4 2 2 3" xfId="4090"/>
    <cellStyle name="20% - Accent2 11 4 2 3" xfId="4091"/>
    <cellStyle name="20% - Accent2 11 4 2 3 2" xfId="4092"/>
    <cellStyle name="20% - Accent2 11 4 2 4" xfId="4093"/>
    <cellStyle name="20% - Accent2 11 4 3" xfId="4094"/>
    <cellStyle name="20% - Accent2 11 4 3 2" xfId="4095"/>
    <cellStyle name="20% - Accent2 11 4 3 2 2" xfId="4096"/>
    <cellStyle name="20% - Accent2 11 4 3 3" xfId="4097"/>
    <cellStyle name="20% - Accent2 11 4 4" xfId="4098"/>
    <cellStyle name="20% - Accent2 11 4 4 2" xfId="4099"/>
    <cellStyle name="20% - Accent2 11 4 5" xfId="4100"/>
    <cellStyle name="20% - Accent2 11 5" xfId="4101"/>
    <cellStyle name="20% - Accent2 11 5 2" xfId="4102"/>
    <cellStyle name="20% - Accent2 11 5 2 2" xfId="4103"/>
    <cellStyle name="20% - Accent2 11 5 2 2 2" xfId="4104"/>
    <cellStyle name="20% - Accent2 11 5 2 2 2 2" xfId="4105"/>
    <cellStyle name="20% - Accent2 11 5 2 2 3" xfId="4106"/>
    <cellStyle name="20% - Accent2 11 5 2 3" xfId="4107"/>
    <cellStyle name="20% - Accent2 11 5 2 3 2" xfId="4108"/>
    <cellStyle name="20% - Accent2 11 5 2 4" xfId="4109"/>
    <cellStyle name="20% - Accent2 11 5 3" xfId="4110"/>
    <cellStyle name="20% - Accent2 11 5 3 2" xfId="4111"/>
    <cellStyle name="20% - Accent2 11 5 3 2 2" xfId="4112"/>
    <cellStyle name="20% - Accent2 11 5 3 3" xfId="4113"/>
    <cellStyle name="20% - Accent2 11 5 4" xfId="4114"/>
    <cellStyle name="20% - Accent2 11 5 4 2" xfId="4115"/>
    <cellStyle name="20% - Accent2 11 5 5" xfId="4116"/>
    <cellStyle name="20% - Accent2 11 6" xfId="4117"/>
    <cellStyle name="20% - Accent2 11 6 2" xfId="4118"/>
    <cellStyle name="20% - Accent2 11 6 2 2" xfId="4119"/>
    <cellStyle name="20% - Accent2 11 6 2 2 2" xfId="4120"/>
    <cellStyle name="20% - Accent2 11 6 2 2 2 2" xfId="4121"/>
    <cellStyle name="20% - Accent2 11 6 2 2 3" xfId="4122"/>
    <cellStyle name="20% - Accent2 11 6 2 3" xfId="4123"/>
    <cellStyle name="20% - Accent2 11 6 2 3 2" xfId="4124"/>
    <cellStyle name="20% - Accent2 11 6 2 4" xfId="4125"/>
    <cellStyle name="20% - Accent2 11 6 3" xfId="4126"/>
    <cellStyle name="20% - Accent2 11 6 3 2" xfId="4127"/>
    <cellStyle name="20% - Accent2 11 6 3 2 2" xfId="4128"/>
    <cellStyle name="20% - Accent2 11 6 3 3" xfId="4129"/>
    <cellStyle name="20% - Accent2 11 6 4" xfId="4130"/>
    <cellStyle name="20% - Accent2 11 6 4 2" xfId="4131"/>
    <cellStyle name="20% - Accent2 11 6 5" xfId="4132"/>
    <cellStyle name="20% - Accent2 11 7" xfId="4133"/>
    <cellStyle name="20% - Accent2 11 7 2" xfId="4134"/>
    <cellStyle name="20% - Accent2 11 7 2 2" xfId="4135"/>
    <cellStyle name="20% - Accent2 11 7 2 2 2" xfId="4136"/>
    <cellStyle name="20% - Accent2 11 7 2 2 2 2" xfId="4137"/>
    <cellStyle name="20% - Accent2 11 7 2 2 3" xfId="4138"/>
    <cellStyle name="20% - Accent2 11 7 2 3" xfId="4139"/>
    <cellStyle name="20% - Accent2 11 7 2 3 2" xfId="4140"/>
    <cellStyle name="20% - Accent2 11 7 2 4" xfId="4141"/>
    <cellStyle name="20% - Accent2 11 7 3" xfId="4142"/>
    <cellStyle name="20% - Accent2 11 7 3 2" xfId="4143"/>
    <cellStyle name="20% - Accent2 11 7 3 2 2" xfId="4144"/>
    <cellStyle name="20% - Accent2 11 7 3 3" xfId="4145"/>
    <cellStyle name="20% - Accent2 11 7 4" xfId="4146"/>
    <cellStyle name="20% - Accent2 11 7 4 2" xfId="4147"/>
    <cellStyle name="20% - Accent2 11 7 5" xfId="4148"/>
    <cellStyle name="20% - Accent2 11 8" xfId="4149"/>
    <cellStyle name="20% - Accent2 11 8 2" xfId="4150"/>
    <cellStyle name="20% - Accent2 11 8 2 2" xfId="4151"/>
    <cellStyle name="20% - Accent2 11 8 2 2 2" xfId="4152"/>
    <cellStyle name="20% - Accent2 11 8 2 3" xfId="4153"/>
    <cellStyle name="20% - Accent2 11 8 3" xfId="4154"/>
    <cellStyle name="20% - Accent2 11 8 3 2" xfId="4155"/>
    <cellStyle name="20% - Accent2 11 8 4" xfId="4156"/>
    <cellStyle name="20% - Accent2 11 9" xfId="4157"/>
    <cellStyle name="20% - Accent2 11 9 2" xfId="4158"/>
    <cellStyle name="20% - Accent2 11 9 2 2" xfId="4159"/>
    <cellStyle name="20% - Accent2 11 9 3" xfId="4160"/>
    <cellStyle name="20% - Accent2 12" xfId="4161"/>
    <cellStyle name="20% - Accent2 12 10" xfId="4162"/>
    <cellStyle name="20% - Accent2 12 2" xfId="4163"/>
    <cellStyle name="20% - Accent2 12 2 2" xfId="4164"/>
    <cellStyle name="20% - Accent2 12 2 2 2" xfId="4165"/>
    <cellStyle name="20% - Accent2 12 2 2 2 2" xfId="4166"/>
    <cellStyle name="20% - Accent2 12 2 2 2 2 2" xfId="4167"/>
    <cellStyle name="20% - Accent2 12 2 2 2 3" xfId="4168"/>
    <cellStyle name="20% - Accent2 12 2 2 3" xfId="4169"/>
    <cellStyle name="20% - Accent2 12 2 2 3 2" xfId="4170"/>
    <cellStyle name="20% - Accent2 12 2 2 4" xfId="4171"/>
    <cellStyle name="20% - Accent2 12 2 3" xfId="4172"/>
    <cellStyle name="20% - Accent2 12 2 3 2" xfId="4173"/>
    <cellStyle name="20% - Accent2 12 2 3 2 2" xfId="4174"/>
    <cellStyle name="20% - Accent2 12 2 3 3" xfId="4175"/>
    <cellStyle name="20% - Accent2 12 2 4" xfId="4176"/>
    <cellStyle name="20% - Accent2 12 2 4 2" xfId="4177"/>
    <cellStyle name="20% - Accent2 12 2 5" xfId="4178"/>
    <cellStyle name="20% - Accent2 12 3" xfId="4179"/>
    <cellStyle name="20% - Accent2 12 3 2" xfId="4180"/>
    <cellStyle name="20% - Accent2 12 3 2 2" xfId="4181"/>
    <cellStyle name="20% - Accent2 12 3 2 2 2" xfId="4182"/>
    <cellStyle name="20% - Accent2 12 3 2 2 2 2" xfId="4183"/>
    <cellStyle name="20% - Accent2 12 3 2 2 3" xfId="4184"/>
    <cellStyle name="20% - Accent2 12 3 2 3" xfId="4185"/>
    <cellStyle name="20% - Accent2 12 3 2 3 2" xfId="4186"/>
    <cellStyle name="20% - Accent2 12 3 2 4" xfId="4187"/>
    <cellStyle name="20% - Accent2 12 3 3" xfId="4188"/>
    <cellStyle name="20% - Accent2 12 3 3 2" xfId="4189"/>
    <cellStyle name="20% - Accent2 12 3 3 2 2" xfId="4190"/>
    <cellStyle name="20% - Accent2 12 3 3 3" xfId="4191"/>
    <cellStyle name="20% - Accent2 12 3 4" xfId="4192"/>
    <cellStyle name="20% - Accent2 12 3 4 2" xfId="4193"/>
    <cellStyle name="20% - Accent2 12 3 5" xfId="4194"/>
    <cellStyle name="20% - Accent2 12 4" xfId="4195"/>
    <cellStyle name="20% - Accent2 12 4 2" xfId="4196"/>
    <cellStyle name="20% - Accent2 12 4 2 2" xfId="4197"/>
    <cellStyle name="20% - Accent2 12 4 2 2 2" xfId="4198"/>
    <cellStyle name="20% - Accent2 12 4 2 2 2 2" xfId="4199"/>
    <cellStyle name="20% - Accent2 12 4 2 2 3" xfId="4200"/>
    <cellStyle name="20% - Accent2 12 4 2 3" xfId="4201"/>
    <cellStyle name="20% - Accent2 12 4 2 3 2" xfId="4202"/>
    <cellStyle name="20% - Accent2 12 4 2 4" xfId="4203"/>
    <cellStyle name="20% - Accent2 12 4 3" xfId="4204"/>
    <cellStyle name="20% - Accent2 12 4 3 2" xfId="4205"/>
    <cellStyle name="20% - Accent2 12 4 3 2 2" xfId="4206"/>
    <cellStyle name="20% - Accent2 12 4 3 3" xfId="4207"/>
    <cellStyle name="20% - Accent2 12 4 4" xfId="4208"/>
    <cellStyle name="20% - Accent2 12 4 4 2" xfId="4209"/>
    <cellStyle name="20% - Accent2 12 4 5" xfId="4210"/>
    <cellStyle name="20% - Accent2 12 5" xfId="4211"/>
    <cellStyle name="20% - Accent2 12 5 2" xfId="4212"/>
    <cellStyle name="20% - Accent2 12 5 2 2" xfId="4213"/>
    <cellStyle name="20% - Accent2 12 5 2 2 2" xfId="4214"/>
    <cellStyle name="20% - Accent2 12 5 2 2 2 2" xfId="4215"/>
    <cellStyle name="20% - Accent2 12 5 2 2 3" xfId="4216"/>
    <cellStyle name="20% - Accent2 12 5 2 3" xfId="4217"/>
    <cellStyle name="20% - Accent2 12 5 2 3 2" xfId="4218"/>
    <cellStyle name="20% - Accent2 12 5 2 4" xfId="4219"/>
    <cellStyle name="20% - Accent2 12 5 3" xfId="4220"/>
    <cellStyle name="20% - Accent2 12 5 3 2" xfId="4221"/>
    <cellStyle name="20% - Accent2 12 5 3 2 2" xfId="4222"/>
    <cellStyle name="20% - Accent2 12 5 3 3" xfId="4223"/>
    <cellStyle name="20% - Accent2 12 5 4" xfId="4224"/>
    <cellStyle name="20% - Accent2 12 5 4 2" xfId="4225"/>
    <cellStyle name="20% - Accent2 12 5 5" xfId="4226"/>
    <cellStyle name="20% - Accent2 12 6" xfId="4227"/>
    <cellStyle name="20% - Accent2 12 6 2" xfId="4228"/>
    <cellStyle name="20% - Accent2 12 6 2 2" xfId="4229"/>
    <cellStyle name="20% - Accent2 12 6 2 2 2" xfId="4230"/>
    <cellStyle name="20% - Accent2 12 6 2 2 2 2" xfId="4231"/>
    <cellStyle name="20% - Accent2 12 6 2 2 3" xfId="4232"/>
    <cellStyle name="20% - Accent2 12 6 2 3" xfId="4233"/>
    <cellStyle name="20% - Accent2 12 6 2 3 2" xfId="4234"/>
    <cellStyle name="20% - Accent2 12 6 2 4" xfId="4235"/>
    <cellStyle name="20% - Accent2 12 6 3" xfId="4236"/>
    <cellStyle name="20% - Accent2 12 6 3 2" xfId="4237"/>
    <cellStyle name="20% - Accent2 12 6 3 2 2" xfId="4238"/>
    <cellStyle name="20% - Accent2 12 6 3 3" xfId="4239"/>
    <cellStyle name="20% - Accent2 12 6 4" xfId="4240"/>
    <cellStyle name="20% - Accent2 12 6 4 2" xfId="4241"/>
    <cellStyle name="20% - Accent2 12 6 5" xfId="4242"/>
    <cellStyle name="20% - Accent2 12 7" xfId="4243"/>
    <cellStyle name="20% - Accent2 12 7 2" xfId="4244"/>
    <cellStyle name="20% - Accent2 12 7 2 2" xfId="4245"/>
    <cellStyle name="20% - Accent2 12 7 2 2 2" xfId="4246"/>
    <cellStyle name="20% - Accent2 12 7 2 3" xfId="4247"/>
    <cellStyle name="20% - Accent2 12 7 3" xfId="4248"/>
    <cellStyle name="20% - Accent2 12 7 3 2" xfId="4249"/>
    <cellStyle name="20% - Accent2 12 7 4" xfId="4250"/>
    <cellStyle name="20% - Accent2 12 8" xfId="4251"/>
    <cellStyle name="20% - Accent2 12 8 2" xfId="4252"/>
    <cellStyle name="20% - Accent2 12 8 2 2" xfId="4253"/>
    <cellStyle name="20% - Accent2 12 8 3" xfId="4254"/>
    <cellStyle name="20% - Accent2 12 9" xfId="4255"/>
    <cellStyle name="20% - Accent2 12 9 2" xfId="4256"/>
    <cellStyle name="20% - Accent2 13" xfId="4257"/>
    <cellStyle name="20% - Accent2 13 10" xfId="4258"/>
    <cellStyle name="20% - Accent2 13 2" xfId="4259"/>
    <cellStyle name="20% - Accent2 13 2 2" xfId="4260"/>
    <cellStyle name="20% - Accent2 13 2 2 2" xfId="4261"/>
    <cellStyle name="20% - Accent2 13 2 2 2 2" xfId="4262"/>
    <cellStyle name="20% - Accent2 13 2 2 2 2 2" xfId="4263"/>
    <cellStyle name="20% - Accent2 13 2 2 2 3" xfId="4264"/>
    <cellStyle name="20% - Accent2 13 2 2 3" xfId="4265"/>
    <cellStyle name="20% - Accent2 13 2 2 3 2" xfId="4266"/>
    <cellStyle name="20% - Accent2 13 2 2 4" xfId="4267"/>
    <cellStyle name="20% - Accent2 13 2 3" xfId="4268"/>
    <cellStyle name="20% - Accent2 13 2 3 2" xfId="4269"/>
    <cellStyle name="20% - Accent2 13 2 3 2 2" xfId="4270"/>
    <cellStyle name="20% - Accent2 13 2 3 3" xfId="4271"/>
    <cellStyle name="20% - Accent2 13 2 4" xfId="4272"/>
    <cellStyle name="20% - Accent2 13 2 4 2" xfId="4273"/>
    <cellStyle name="20% - Accent2 13 2 5" xfId="4274"/>
    <cellStyle name="20% - Accent2 13 3" xfId="4275"/>
    <cellStyle name="20% - Accent2 13 3 2" xfId="4276"/>
    <cellStyle name="20% - Accent2 13 3 2 2" xfId="4277"/>
    <cellStyle name="20% - Accent2 13 3 2 2 2" xfId="4278"/>
    <cellStyle name="20% - Accent2 13 3 2 2 2 2" xfId="4279"/>
    <cellStyle name="20% - Accent2 13 3 2 2 3" xfId="4280"/>
    <cellStyle name="20% - Accent2 13 3 2 3" xfId="4281"/>
    <cellStyle name="20% - Accent2 13 3 2 3 2" xfId="4282"/>
    <cellStyle name="20% - Accent2 13 3 2 4" xfId="4283"/>
    <cellStyle name="20% - Accent2 13 3 3" xfId="4284"/>
    <cellStyle name="20% - Accent2 13 3 3 2" xfId="4285"/>
    <cellStyle name="20% - Accent2 13 3 3 2 2" xfId="4286"/>
    <cellStyle name="20% - Accent2 13 3 3 3" xfId="4287"/>
    <cellStyle name="20% - Accent2 13 3 4" xfId="4288"/>
    <cellStyle name="20% - Accent2 13 3 4 2" xfId="4289"/>
    <cellStyle name="20% - Accent2 13 3 5" xfId="4290"/>
    <cellStyle name="20% - Accent2 13 4" xfId="4291"/>
    <cellStyle name="20% - Accent2 13 4 2" xfId="4292"/>
    <cellStyle name="20% - Accent2 13 4 2 2" xfId="4293"/>
    <cellStyle name="20% - Accent2 13 4 2 2 2" xfId="4294"/>
    <cellStyle name="20% - Accent2 13 4 2 2 2 2" xfId="4295"/>
    <cellStyle name="20% - Accent2 13 4 2 2 3" xfId="4296"/>
    <cellStyle name="20% - Accent2 13 4 2 3" xfId="4297"/>
    <cellStyle name="20% - Accent2 13 4 2 3 2" xfId="4298"/>
    <cellStyle name="20% - Accent2 13 4 2 4" xfId="4299"/>
    <cellStyle name="20% - Accent2 13 4 3" xfId="4300"/>
    <cellStyle name="20% - Accent2 13 4 3 2" xfId="4301"/>
    <cellStyle name="20% - Accent2 13 4 3 2 2" xfId="4302"/>
    <cellStyle name="20% - Accent2 13 4 3 3" xfId="4303"/>
    <cellStyle name="20% - Accent2 13 4 4" xfId="4304"/>
    <cellStyle name="20% - Accent2 13 4 4 2" xfId="4305"/>
    <cellStyle name="20% - Accent2 13 4 5" xfId="4306"/>
    <cellStyle name="20% - Accent2 13 5" xfId="4307"/>
    <cellStyle name="20% - Accent2 13 5 2" xfId="4308"/>
    <cellStyle name="20% - Accent2 13 5 2 2" xfId="4309"/>
    <cellStyle name="20% - Accent2 13 5 2 2 2" xfId="4310"/>
    <cellStyle name="20% - Accent2 13 5 2 2 2 2" xfId="4311"/>
    <cellStyle name="20% - Accent2 13 5 2 2 3" xfId="4312"/>
    <cellStyle name="20% - Accent2 13 5 2 3" xfId="4313"/>
    <cellStyle name="20% - Accent2 13 5 2 3 2" xfId="4314"/>
    <cellStyle name="20% - Accent2 13 5 2 4" xfId="4315"/>
    <cellStyle name="20% - Accent2 13 5 3" xfId="4316"/>
    <cellStyle name="20% - Accent2 13 5 3 2" xfId="4317"/>
    <cellStyle name="20% - Accent2 13 5 3 2 2" xfId="4318"/>
    <cellStyle name="20% - Accent2 13 5 3 3" xfId="4319"/>
    <cellStyle name="20% - Accent2 13 5 4" xfId="4320"/>
    <cellStyle name="20% - Accent2 13 5 4 2" xfId="4321"/>
    <cellStyle name="20% - Accent2 13 5 5" xfId="4322"/>
    <cellStyle name="20% - Accent2 13 6" xfId="4323"/>
    <cellStyle name="20% - Accent2 13 6 2" xfId="4324"/>
    <cellStyle name="20% - Accent2 13 6 2 2" xfId="4325"/>
    <cellStyle name="20% - Accent2 13 6 2 2 2" xfId="4326"/>
    <cellStyle name="20% - Accent2 13 6 2 2 2 2" xfId="4327"/>
    <cellStyle name="20% - Accent2 13 6 2 2 3" xfId="4328"/>
    <cellStyle name="20% - Accent2 13 6 2 3" xfId="4329"/>
    <cellStyle name="20% - Accent2 13 6 2 3 2" xfId="4330"/>
    <cellStyle name="20% - Accent2 13 6 2 4" xfId="4331"/>
    <cellStyle name="20% - Accent2 13 6 3" xfId="4332"/>
    <cellStyle name="20% - Accent2 13 6 3 2" xfId="4333"/>
    <cellStyle name="20% - Accent2 13 6 3 2 2" xfId="4334"/>
    <cellStyle name="20% - Accent2 13 6 3 3" xfId="4335"/>
    <cellStyle name="20% - Accent2 13 6 4" xfId="4336"/>
    <cellStyle name="20% - Accent2 13 6 4 2" xfId="4337"/>
    <cellStyle name="20% - Accent2 13 6 5" xfId="4338"/>
    <cellStyle name="20% - Accent2 13 7" xfId="4339"/>
    <cellStyle name="20% - Accent2 13 7 2" xfId="4340"/>
    <cellStyle name="20% - Accent2 13 7 2 2" xfId="4341"/>
    <cellStyle name="20% - Accent2 13 7 2 2 2" xfId="4342"/>
    <cellStyle name="20% - Accent2 13 7 2 3" xfId="4343"/>
    <cellStyle name="20% - Accent2 13 7 3" xfId="4344"/>
    <cellStyle name="20% - Accent2 13 7 3 2" xfId="4345"/>
    <cellStyle name="20% - Accent2 13 7 4" xfId="4346"/>
    <cellStyle name="20% - Accent2 13 8" xfId="4347"/>
    <cellStyle name="20% - Accent2 13 8 2" xfId="4348"/>
    <cellStyle name="20% - Accent2 13 8 2 2" xfId="4349"/>
    <cellStyle name="20% - Accent2 13 8 3" xfId="4350"/>
    <cellStyle name="20% - Accent2 13 9" xfId="4351"/>
    <cellStyle name="20% - Accent2 13 9 2" xfId="4352"/>
    <cellStyle name="20% - Accent2 14" xfId="4353"/>
    <cellStyle name="20% - Accent2 14 2" xfId="4354"/>
    <cellStyle name="20% - Accent2 14 2 2" xfId="4355"/>
    <cellStyle name="20% - Accent2 14 2 2 2" xfId="4356"/>
    <cellStyle name="20% - Accent2 14 2 2 2 2" xfId="4357"/>
    <cellStyle name="20% - Accent2 14 2 2 3" xfId="4358"/>
    <cellStyle name="20% - Accent2 14 2 3" xfId="4359"/>
    <cellStyle name="20% - Accent2 14 2 3 2" xfId="4360"/>
    <cellStyle name="20% - Accent2 14 2 4" xfId="4361"/>
    <cellStyle name="20% - Accent2 14 3" xfId="4362"/>
    <cellStyle name="20% - Accent2 14 3 2" xfId="4363"/>
    <cellStyle name="20% - Accent2 14 3 2 2" xfId="4364"/>
    <cellStyle name="20% - Accent2 14 3 3" xfId="4365"/>
    <cellStyle name="20% - Accent2 14 4" xfId="4366"/>
    <cellStyle name="20% - Accent2 14 4 2" xfId="4367"/>
    <cellStyle name="20% - Accent2 14 5" xfId="4368"/>
    <cellStyle name="20% - Accent2 15" xfId="4369"/>
    <cellStyle name="20% - Accent2 15 2" xfId="4370"/>
    <cellStyle name="20% - Accent2 15 2 2" xfId="4371"/>
    <cellStyle name="20% - Accent2 15 2 2 2" xfId="4372"/>
    <cellStyle name="20% - Accent2 15 2 2 2 2" xfId="4373"/>
    <cellStyle name="20% - Accent2 15 2 2 3" xfId="4374"/>
    <cellStyle name="20% - Accent2 15 2 3" xfId="4375"/>
    <cellStyle name="20% - Accent2 15 2 3 2" xfId="4376"/>
    <cellStyle name="20% - Accent2 15 2 4" xfId="4377"/>
    <cellStyle name="20% - Accent2 15 3" xfId="4378"/>
    <cellStyle name="20% - Accent2 15 3 2" xfId="4379"/>
    <cellStyle name="20% - Accent2 15 3 2 2" xfId="4380"/>
    <cellStyle name="20% - Accent2 15 3 3" xfId="4381"/>
    <cellStyle name="20% - Accent2 15 4" xfId="4382"/>
    <cellStyle name="20% - Accent2 15 4 2" xfId="4383"/>
    <cellStyle name="20% - Accent2 15 5" xfId="4384"/>
    <cellStyle name="20% - Accent2 16" xfId="4385"/>
    <cellStyle name="20% - Accent2 16 2" xfId="4386"/>
    <cellStyle name="20% - Accent2 16 2 2" xfId="4387"/>
    <cellStyle name="20% - Accent2 16 2 2 2" xfId="4388"/>
    <cellStyle name="20% - Accent2 16 2 2 2 2" xfId="4389"/>
    <cellStyle name="20% - Accent2 16 2 2 3" xfId="4390"/>
    <cellStyle name="20% - Accent2 16 2 3" xfId="4391"/>
    <cellStyle name="20% - Accent2 16 2 3 2" xfId="4392"/>
    <cellStyle name="20% - Accent2 16 2 4" xfId="4393"/>
    <cellStyle name="20% - Accent2 16 3" xfId="4394"/>
    <cellStyle name="20% - Accent2 16 3 2" xfId="4395"/>
    <cellStyle name="20% - Accent2 16 3 2 2" xfId="4396"/>
    <cellStyle name="20% - Accent2 16 3 3" xfId="4397"/>
    <cellStyle name="20% - Accent2 16 4" xfId="4398"/>
    <cellStyle name="20% - Accent2 16 4 2" xfId="4399"/>
    <cellStyle name="20% - Accent2 16 5" xfId="4400"/>
    <cellStyle name="20% - Accent2 17" xfId="4401"/>
    <cellStyle name="20% - Accent2 17 2" xfId="4402"/>
    <cellStyle name="20% - Accent2 17 2 2" xfId="4403"/>
    <cellStyle name="20% - Accent2 17 2 2 2" xfId="4404"/>
    <cellStyle name="20% - Accent2 17 2 2 2 2" xfId="4405"/>
    <cellStyle name="20% - Accent2 17 2 2 3" xfId="4406"/>
    <cellStyle name="20% - Accent2 17 2 3" xfId="4407"/>
    <cellStyle name="20% - Accent2 17 2 3 2" xfId="4408"/>
    <cellStyle name="20% - Accent2 17 2 4" xfId="4409"/>
    <cellStyle name="20% - Accent2 17 3" xfId="4410"/>
    <cellStyle name="20% - Accent2 17 3 2" xfId="4411"/>
    <cellStyle name="20% - Accent2 17 3 2 2" xfId="4412"/>
    <cellStyle name="20% - Accent2 17 3 3" xfId="4413"/>
    <cellStyle name="20% - Accent2 17 4" xfId="4414"/>
    <cellStyle name="20% - Accent2 17 4 2" xfId="4415"/>
    <cellStyle name="20% - Accent2 17 5" xfId="4416"/>
    <cellStyle name="20% - Accent2 18" xfId="4417"/>
    <cellStyle name="20% - Accent2 18 2" xfId="4418"/>
    <cellStyle name="20% - Accent2 18 2 2" xfId="4419"/>
    <cellStyle name="20% - Accent2 18 2 2 2" xfId="4420"/>
    <cellStyle name="20% - Accent2 18 2 2 2 2" xfId="4421"/>
    <cellStyle name="20% - Accent2 18 2 2 3" xfId="4422"/>
    <cellStyle name="20% - Accent2 18 2 3" xfId="4423"/>
    <cellStyle name="20% - Accent2 18 2 3 2" xfId="4424"/>
    <cellStyle name="20% - Accent2 18 2 4" xfId="4425"/>
    <cellStyle name="20% - Accent2 18 3" xfId="4426"/>
    <cellStyle name="20% - Accent2 18 3 2" xfId="4427"/>
    <cellStyle name="20% - Accent2 18 3 2 2" xfId="4428"/>
    <cellStyle name="20% - Accent2 18 3 3" xfId="4429"/>
    <cellStyle name="20% - Accent2 18 4" xfId="4430"/>
    <cellStyle name="20% - Accent2 18 4 2" xfId="4431"/>
    <cellStyle name="20% - Accent2 18 5" xfId="4432"/>
    <cellStyle name="20% - Accent2 19" xfId="4433"/>
    <cellStyle name="20% - Accent2 19 2" xfId="4434"/>
    <cellStyle name="20% - Accent2 19 2 2" xfId="4435"/>
    <cellStyle name="20% - Accent2 19 2 2 2" xfId="4436"/>
    <cellStyle name="20% - Accent2 19 2 2 2 2" xfId="4437"/>
    <cellStyle name="20% - Accent2 19 2 2 3" xfId="4438"/>
    <cellStyle name="20% - Accent2 19 2 3" xfId="4439"/>
    <cellStyle name="20% - Accent2 19 2 3 2" xfId="4440"/>
    <cellStyle name="20% - Accent2 19 2 4" xfId="4441"/>
    <cellStyle name="20% - Accent2 19 3" xfId="4442"/>
    <cellStyle name="20% - Accent2 19 3 2" xfId="4443"/>
    <cellStyle name="20% - Accent2 19 3 2 2" xfId="4444"/>
    <cellStyle name="20% - Accent2 19 3 3" xfId="4445"/>
    <cellStyle name="20% - Accent2 19 4" xfId="4446"/>
    <cellStyle name="20% - Accent2 19 4 2" xfId="4447"/>
    <cellStyle name="20% - Accent2 19 5" xfId="4448"/>
    <cellStyle name="20% - Accent2 2" xfId="4449"/>
    <cellStyle name="20% - Accent2 2 10" xfId="4450"/>
    <cellStyle name="20% - Accent2 2 10 10" xfId="4451"/>
    <cellStyle name="20% - Accent2 2 10 2" xfId="4452"/>
    <cellStyle name="20% - Accent2 2 10 2 2" xfId="4453"/>
    <cellStyle name="20% - Accent2 2 10 2 2 2" xfId="4454"/>
    <cellStyle name="20% - Accent2 2 10 2 2 2 2" xfId="4455"/>
    <cellStyle name="20% - Accent2 2 10 2 2 2 2 2" xfId="4456"/>
    <cellStyle name="20% - Accent2 2 10 2 2 2 3" xfId="4457"/>
    <cellStyle name="20% - Accent2 2 10 2 2 3" xfId="4458"/>
    <cellStyle name="20% - Accent2 2 10 2 2 3 2" xfId="4459"/>
    <cellStyle name="20% - Accent2 2 10 2 2 4" xfId="4460"/>
    <cellStyle name="20% - Accent2 2 10 2 3" xfId="4461"/>
    <cellStyle name="20% - Accent2 2 10 2 3 2" xfId="4462"/>
    <cellStyle name="20% - Accent2 2 10 2 3 2 2" xfId="4463"/>
    <cellStyle name="20% - Accent2 2 10 2 3 3" xfId="4464"/>
    <cellStyle name="20% - Accent2 2 10 2 4" xfId="4465"/>
    <cellStyle name="20% - Accent2 2 10 2 4 2" xfId="4466"/>
    <cellStyle name="20% - Accent2 2 10 2 5" xfId="4467"/>
    <cellStyle name="20% - Accent2 2 10 3" xfId="4468"/>
    <cellStyle name="20% - Accent2 2 10 3 2" xfId="4469"/>
    <cellStyle name="20% - Accent2 2 10 3 2 2" xfId="4470"/>
    <cellStyle name="20% - Accent2 2 10 3 2 2 2" xfId="4471"/>
    <cellStyle name="20% - Accent2 2 10 3 2 2 2 2" xfId="4472"/>
    <cellStyle name="20% - Accent2 2 10 3 2 2 3" xfId="4473"/>
    <cellStyle name="20% - Accent2 2 10 3 2 3" xfId="4474"/>
    <cellStyle name="20% - Accent2 2 10 3 2 3 2" xfId="4475"/>
    <cellStyle name="20% - Accent2 2 10 3 2 4" xfId="4476"/>
    <cellStyle name="20% - Accent2 2 10 3 3" xfId="4477"/>
    <cellStyle name="20% - Accent2 2 10 3 3 2" xfId="4478"/>
    <cellStyle name="20% - Accent2 2 10 3 3 2 2" xfId="4479"/>
    <cellStyle name="20% - Accent2 2 10 3 3 3" xfId="4480"/>
    <cellStyle name="20% - Accent2 2 10 3 4" xfId="4481"/>
    <cellStyle name="20% - Accent2 2 10 3 4 2" xfId="4482"/>
    <cellStyle name="20% - Accent2 2 10 3 5" xfId="4483"/>
    <cellStyle name="20% - Accent2 2 10 4" xfId="4484"/>
    <cellStyle name="20% - Accent2 2 10 4 2" xfId="4485"/>
    <cellStyle name="20% - Accent2 2 10 4 2 2" xfId="4486"/>
    <cellStyle name="20% - Accent2 2 10 4 2 2 2" xfId="4487"/>
    <cellStyle name="20% - Accent2 2 10 4 2 2 2 2" xfId="4488"/>
    <cellStyle name="20% - Accent2 2 10 4 2 2 3" xfId="4489"/>
    <cellStyle name="20% - Accent2 2 10 4 2 3" xfId="4490"/>
    <cellStyle name="20% - Accent2 2 10 4 2 3 2" xfId="4491"/>
    <cellStyle name="20% - Accent2 2 10 4 2 4" xfId="4492"/>
    <cellStyle name="20% - Accent2 2 10 4 3" xfId="4493"/>
    <cellStyle name="20% - Accent2 2 10 4 3 2" xfId="4494"/>
    <cellStyle name="20% - Accent2 2 10 4 3 2 2" xfId="4495"/>
    <cellStyle name="20% - Accent2 2 10 4 3 3" xfId="4496"/>
    <cellStyle name="20% - Accent2 2 10 4 4" xfId="4497"/>
    <cellStyle name="20% - Accent2 2 10 4 4 2" xfId="4498"/>
    <cellStyle name="20% - Accent2 2 10 4 5" xfId="4499"/>
    <cellStyle name="20% - Accent2 2 10 5" xfId="4500"/>
    <cellStyle name="20% - Accent2 2 10 5 2" xfId="4501"/>
    <cellStyle name="20% - Accent2 2 10 5 2 2" xfId="4502"/>
    <cellStyle name="20% - Accent2 2 10 5 2 2 2" xfId="4503"/>
    <cellStyle name="20% - Accent2 2 10 5 2 2 2 2" xfId="4504"/>
    <cellStyle name="20% - Accent2 2 10 5 2 2 3" xfId="4505"/>
    <cellStyle name="20% - Accent2 2 10 5 2 3" xfId="4506"/>
    <cellStyle name="20% - Accent2 2 10 5 2 3 2" xfId="4507"/>
    <cellStyle name="20% - Accent2 2 10 5 2 4" xfId="4508"/>
    <cellStyle name="20% - Accent2 2 10 5 3" xfId="4509"/>
    <cellStyle name="20% - Accent2 2 10 5 3 2" xfId="4510"/>
    <cellStyle name="20% - Accent2 2 10 5 3 2 2" xfId="4511"/>
    <cellStyle name="20% - Accent2 2 10 5 3 3" xfId="4512"/>
    <cellStyle name="20% - Accent2 2 10 5 4" xfId="4513"/>
    <cellStyle name="20% - Accent2 2 10 5 4 2" xfId="4514"/>
    <cellStyle name="20% - Accent2 2 10 5 5" xfId="4515"/>
    <cellStyle name="20% - Accent2 2 10 6" xfId="4516"/>
    <cellStyle name="20% - Accent2 2 10 6 2" xfId="4517"/>
    <cellStyle name="20% - Accent2 2 10 6 2 2" xfId="4518"/>
    <cellStyle name="20% - Accent2 2 10 6 2 2 2" xfId="4519"/>
    <cellStyle name="20% - Accent2 2 10 6 2 2 2 2" xfId="4520"/>
    <cellStyle name="20% - Accent2 2 10 6 2 2 3" xfId="4521"/>
    <cellStyle name="20% - Accent2 2 10 6 2 3" xfId="4522"/>
    <cellStyle name="20% - Accent2 2 10 6 2 3 2" xfId="4523"/>
    <cellStyle name="20% - Accent2 2 10 6 2 4" xfId="4524"/>
    <cellStyle name="20% - Accent2 2 10 6 3" xfId="4525"/>
    <cellStyle name="20% - Accent2 2 10 6 3 2" xfId="4526"/>
    <cellStyle name="20% - Accent2 2 10 6 3 2 2" xfId="4527"/>
    <cellStyle name="20% - Accent2 2 10 6 3 3" xfId="4528"/>
    <cellStyle name="20% - Accent2 2 10 6 4" xfId="4529"/>
    <cellStyle name="20% - Accent2 2 10 6 4 2" xfId="4530"/>
    <cellStyle name="20% - Accent2 2 10 6 5" xfId="4531"/>
    <cellStyle name="20% - Accent2 2 10 7" xfId="4532"/>
    <cellStyle name="20% - Accent2 2 10 7 2" xfId="4533"/>
    <cellStyle name="20% - Accent2 2 10 7 2 2" xfId="4534"/>
    <cellStyle name="20% - Accent2 2 10 7 2 2 2" xfId="4535"/>
    <cellStyle name="20% - Accent2 2 10 7 2 3" xfId="4536"/>
    <cellStyle name="20% - Accent2 2 10 7 3" xfId="4537"/>
    <cellStyle name="20% - Accent2 2 10 7 3 2" xfId="4538"/>
    <cellStyle name="20% - Accent2 2 10 7 4" xfId="4539"/>
    <cellStyle name="20% - Accent2 2 10 8" xfId="4540"/>
    <cellStyle name="20% - Accent2 2 10 8 2" xfId="4541"/>
    <cellStyle name="20% - Accent2 2 10 8 2 2" xfId="4542"/>
    <cellStyle name="20% - Accent2 2 10 8 3" xfId="4543"/>
    <cellStyle name="20% - Accent2 2 10 9" xfId="4544"/>
    <cellStyle name="20% - Accent2 2 10 9 2" xfId="4545"/>
    <cellStyle name="20% - Accent2 2 11" xfId="4546"/>
    <cellStyle name="20% - Accent2 2 11 2" xfId="4547"/>
    <cellStyle name="20% - Accent2 2 11 2 2" xfId="4548"/>
    <cellStyle name="20% - Accent2 2 11 2 2 2" xfId="4549"/>
    <cellStyle name="20% - Accent2 2 11 2 2 2 2" xfId="4550"/>
    <cellStyle name="20% - Accent2 2 11 2 2 3" xfId="4551"/>
    <cellStyle name="20% - Accent2 2 11 2 3" xfId="4552"/>
    <cellStyle name="20% - Accent2 2 11 2 3 2" xfId="4553"/>
    <cellStyle name="20% - Accent2 2 11 2 4" xfId="4554"/>
    <cellStyle name="20% - Accent2 2 11 3" xfId="4555"/>
    <cellStyle name="20% - Accent2 2 11 3 2" xfId="4556"/>
    <cellStyle name="20% - Accent2 2 11 3 2 2" xfId="4557"/>
    <cellStyle name="20% - Accent2 2 11 3 3" xfId="4558"/>
    <cellStyle name="20% - Accent2 2 11 4" xfId="4559"/>
    <cellStyle name="20% - Accent2 2 11 4 2" xfId="4560"/>
    <cellStyle name="20% - Accent2 2 11 5" xfId="4561"/>
    <cellStyle name="20% - Accent2 2 12" xfId="4562"/>
    <cellStyle name="20% - Accent2 2 12 2" xfId="4563"/>
    <cellStyle name="20% - Accent2 2 12 2 2" xfId="4564"/>
    <cellStyle name="20% - Accent2 2 12 2 2 2" xfId="4565"/>
    <cellStyle name="20% - Accent2 2 12 2 2 2 2" xfId="4566"/>
    <cellStyle name="20% - Accent2 2 12 2 2 3" xfId="4567"/>
    <cellStyle name="20% - Accent2 2 12 2 3" xfId="4568"/>
    <cellStyle name="20% - Accent2 2 12 2 3 2" xfId="4569"/>
    <cellStyle name="20% - Accent2 2 12 2 4" xfId="4570"/>
    <cellStyle name="20% - Accent2 2 12 3" xfId="4571"/>
    <cellStyle name="20% - Accent2 2 12 3 2" xfId="4572"/>
    <cellStyle name="20% - Accent2 2 12 3 2 2" xfId="4573"/>
    <cellStyle name="20% - Accent2 2 12 3 3" xfId="4574"/>
    <cellStyle name="20% - Accent2 2 12 4" xfId="4575"/>
    <cellStyle name="20% - Accent2 2 12 4 2" xfId="4576"/>
    <cellStyle name="20% - Accent2 2 12 5" xfId="4577"/>
    <cellStyle name="20% - Accent2 2 13" xfId="4578"/>
    <cellStyle name="20% - Accent2 2 13 2" xfId="4579"/>
    <cellStyle name="20% - Accent2 2 13 2 2" xfId="4580"/>
    <cellStyle name="20% - Accent2 2 13 2 2 2" xfId="4581"/>
    <cellStyle name="20% - Accent2 2 13 2 2 2 2" xfId="4582"/>
    <cellStyle name="20% - Accent2 2 13 2 2 3" xfId="4583"/>
    <cellStyle name="20% - Accent2 2 13 2 3" xfId="4584"/>
    <cellStyle name="20% - Accent2 2 13 2 3 2" xfId="4585"/>
    <cellStyle name="20% - Accent2 2 13 2 4" xfId="4586"/>
    <cellStyle name="20% - Accent2 2 13 3" xfId="4587"/>
    <cellStyle name="20% - Accent2 2 13 3 2" xfId="4588"/>
    <cellStyle name="20% - Accent2 2 13 3 2 2" xfId="4589"/>
    <cellStyle name="20% - Accent2 2 13 3 3" xfId="4590"/>
    <cellStyle name="20% - Accent2 2 13 4" xfId="4591"/>
    <cellStyle name="20% - Accent2 2 13 4 2" xfId="4592"/>
    <cellStyle name="20% - Accent2 2 13 5" xfId="4593"/>
    <cellStyle name="20% - Accent2 2 14" xfId="4594"/>
    <cellStyle name="20% - Accent2 2 14 2" xfId="4595"/>
    <cellStyle name="20% - Accent2 2 14 2 2" xfId="4596"/>
    <cellStyle name="20% - Accent2 2 14 2 2 2" xfId="4597"/>
    <cellStyle name="20% - Accent2 2 14 2 2 2 2" xfId="4598"/>
    <cellStyle name="20% - Accent2 2 14 2 2 3" xfId="4599"/>
    <cellStyle name="20% - Accent2 2 14 2 3" xfId="4600"/>
    <cellStyle name="20% - Accent2 2 14 2 3 2" xfId="4601"/>
    <cellStyle name="20% - Accent2 2 14 2 4" xfId="4602"/>
    <cellStyle name="20% - Accent2 2 14 3" xfId="4603"/>
    <cellStyle name="20% - Accent2 2 14 3 2" xfId="4604"/>
    <cellStyle name="20% - Accent2 2 14 3 2 2" xfId="4605"/>
    <cellStyle name="20% - Accent2 2 14 3 3" xfId="4606"/>
    <cellStyle name="20% - Accent2 2 14 4" xfId="4607"/>
    <cellStyle name="20% - Accent2 2 14 4 2" xfId="4608"/>
    <cellStyle name="20% - Accent2 2 14 5" xfId="4609"/>
    <cellStyle name="20% - Accent2 2 15" xfId="4610"/>
    <cellStyle name="20% - Accent2 2 15 2" xfId="4611"/>
    <cellStyle name="20% - Accent2 2 15 2 2" xfId="4612"/>
    <cellStyle name="20% - Accent2 2 15 2 2 2" xfId="4613"/>
    <cellStyle name="20% - Accent2 2 15 2 2 2 2" xfId="4614"/>
    <cellStyle name="20% - Accent2 2 15 2 2 3" xfId="4615"/>
    <cellStyle name="20% - Accent2 2 15 2 3" xfId="4616"/>
    <cellStyle name="20% - Accent2 2 15 2 3 2" xfId="4617"/>
    <cellStyle name="20% - Accent2 2 15 2 4" xfId="4618"/>
    <cellStyle name="20% - Accent2 2 15 3" xfId="4619"/>
    <cellStyle name="20% - Accent2 2 15 3 2" xfId="4620"/>
    <cellStyle name="20% - Accent2 2 15 3 2 2" xfId="4621"/>
    <cellStyle name="20% - Accent2 2 15 3 3" xfId="4622"/>
    <cellStyle name="20% - Accent2 2 15 4" xfId="4623"/>
    <cellStyle name="20% - Accent2 2 15 4 2" xfId="4624"/>
    <cellStyle name="20% - Accent2 2 15 5" xfId="4625"/>
    <cellStyle name="20% - Accent2 2 16" xfId="4626"/>
    <cellStyle name="20% - Accent2 2 16 2" xfId="4627"/>
    <cellStyle name="20% - Accent2 2 16 2 2" xfId="4628"/>
    <cellStyle name="20% - Accent2 2 16 2 2 2" xfId="4629"/>
    <cellStyle name="20% - Accent2 2 16 2 3" xfId="4630"/>
    <cellStyle name="20% - Accent2 2 16 3" xfId="4631"/>
    <cellStyle name="20% - Accent2 2 16 3 2" xfId="4632"/>
    <cellStyle name="20% - Accent2 2 16 4" xfId="4633"/>
    <cellStyle name="20% - Accent2 2 17" xfId="4634"/>
    <cellStyle name="20% - Accent2 2 17 2" xfId="4635"/>
    <cellStyle name="20% - Accent2 2 17 2 2" xfId="4636"/>
    <cellStyle name="20% - Accent2 2 17 3" xfId="4637"/>
    <cellStyle name="20% - Accent2 2 18" xfId="4638"/>
    <cellStyle name="20% - Accent2 2 18 2" xfId="4639"/>
    <cellStyle name="20% - Accent2 2 19" xfId="4640"/>
    <cellStyle name="20% - Accent2 2 2" xfId="4641"/>
    <cellStyle name="20% - Accent2 2 2 10" xfId="4642"/>
    <cellStyle name="20% - Accent2 2 2 10 2" xfId="4643"/>
    <cellStyle name="20% - Accent2 2 2 11" xfId="4644"/>
    <cellStyle name="20% - Accent2 2 2 2" xfId="4645"/>
    <cellStyle name="20% - Accent2 2 2 2 10" xfId="4646"/>
    <cellStyle name="20% - Accent2 2 2 2 2" xfId="4647"/>
    <cellStyle name="20% - Accent2 2 2 2 2 2" xfId="4648"/>
    <cellStyle name="20% - Accent2 2 2 2 2 2 2" xfId="4649"/>
    <cellStyle name="20% - Accent2 2 2 2 2 2 2 2" xfId="4650"/>
    <cellStyle name="20% - Accent2 2 2 2 2 2 2 2 2" xfId="4651"/>
    <cellStyle name="20% - Accent2 2 2 2 2 2 2 3" xfId="4652"/>
    <cellStyle name="20% - Accent2 2 2 2 2 2 3" xfId="4653"/>
    <cellStyle name="20% - Accent2 2 2 2 2 2 3 2" xfId="4654"/>
    <cellStyle name="20% - Accent2 2 2 2 2 2 4" xfId="4655"/>
    <cellStyle name="20% - Accent2 2 2 2 2 3" xfId="4656"/>
    <cellStyle name="20% - Accent2 2 2 2 2 3 2" xfId="4657"/>
    <cellStyle name="20% - Accent2 2 2 2 2 3 2 2" xfId="4658"/>
    <cellStyle name="20% - Accent2 2 2 2 2 3 3" xfId="4659"/>
    <cellStyle name="20% - Accent2 2 2 2 2 4" xfId="4660"/>
    <cellStyle name="20% - Accent2 2 2 2 2 4 2" xfId="4661"/>
    <cellStyle name="20% - Accent2 2 2 2 2 5" xfId="4662"/>
    <cellStyle name="20% - Accent2 2 2 2 3" xfId="4663"/>
    <cellStyle name="20% - Accent2 2 2 2 3 2" xfId="4664"/>
    <cellStyle name="20% - Accent2 2 2 2 3 2 2" xfId="4665"/>
    <cellStyle name="20% - Accent2 2 2 2 3 2 2 2" xfId="4666"/>
    <cellStyle name="20% - Accent2 2 2 2 3 2 2 2 2" xfId="4667"/>
    <cellStyle name="20% - Accent2 2 2 2 3 2 2 3" xfId="4668"/>
    <cellStyle name="20% - Accent2 2 2 2 3 2 3" xfId="4669"/>
    <cellStyle name="20% - Accent2 2 2 2 3 2 3 2" xfId="4670"/>
    <cellStyle name="20% - Accent2 2 2 2 3 2 4" xfId="4671"/>
    <cellStyle name="20% - Accent2 2 2 2 3 3" xfId="4672"/>
    <cellStyle name="20% - Accent2 2 2 2 3 3 2" xfId="4673"/>
    <cellStyle name="20% - Accent2 2 2 2 3 3 2 2" xfId="4674"/>
    <cellStyle name="20% - Accent2 2 2 2 3 3 3" xfId="4675"/>
    <cellStyle name="20% - Accent2 2 2 2 3 4" xfId="4676"/>
    <cellStyle name="20% - Accent2 2 2 2 3 4 2" xfId="4677"/>
    <cellStyle name="20% - Accent2 2 2 2 3 5" xfId="4678"/>
    <cellStyle name="20% - Accent2 2 2 2 4" xfId="4679"/>
    <cellStyle name="20% - Accent2 2 2 2 4 2" xfId="4680"/>
    <cellStyle name="20% - Accent2 2 2 2 4 2 2" xfId="4681"/>
    <cellStyle name="20% - Accent2 2 2 2 4 2 2 2" xfId="4682"/>
    <cellStyle name="20% - Accent2 2 2 2 4 2 2 2 2" xfId="4683"/>
    <cellStyle name="20% - Accent2 2 2 2 4 2 2 3" xfId="4684"/>
    <cellStyle name="20% - Accent2 2 2 2 4 2 3" xfId="4685"/>
    <cellStyle name="20% - Accent2 2 2 2 4 2 3 2" xfId="4686"/>
    <cellStyle name="20% - Accent2 2 2 2 4 2 4" xfId="4687"/>
    <cellStyle name="20% - Accent2 2 2 2 4 3" xfId="4688"/>
    <cellStyle name="20% - Accent2 2 2 2 4 3 2" xfId="4689"/>
    <cellStyle name="20% - Accent2 2 2 2 4 3 2 2" xfId="4690"/>
    <cellStyle name="20% - Accent2 2 2 2 4 3 3" xfId="4691"/>
    <cellStyle name="20% - Accent2 2 2 2 4 4" xfId="4692"/>
    <cellStyle name="20% - Accent2 2 2 2 4 4 2" xfId="4693"/>
    <cellStyle name="20% - Accent2 2 2 2 4 5" xfId="4694"/>
    <cellStyle name="20% - Accent2 2 2 2 5" xfId="4695"/>
    <cellStyle name="20% - Accent2 2 2 2 5 2" xfId="4696"/>
    <cellStyle name="20% - Accent2 2 2 2 5 2 2" xfId="4697"/>
    <cellStyle name="20% - Accent2 2 2 2 5 2 2 2" xfId="4698"/>
    <cellStyle name="20% - Accent2 2 2 2 5 2 2 2 2" xfId="4699"/>
    <cellStyle name="20% - Accent2 2 2 2 5 2 2 3" xfId="4700"/>
    <cellStyle name="20% - Accent2 2 2 2 5 2 3" xfId="4701"/>
    <cellStyle name="20% - Accent2 2 2 2 5 2 3 2" xfId="4702"/>
    <cellStyle name="20% - Accent2 2 2 2 5 2 4" xfId="4703"/>
    <cellStyle name="20% - Accent2 2 2 2 5 3" xfId="4704"/>
    <cellStyle name="20% - Accent2 2 2 2 5 3 2" xfId="4705"/>
    <cellStyle name="20% - Accent2 2 2 2 5 3 2 2" xfId="4706"/>
    <cellStyle name="20% - Accent2 2 2 2 5 3 3" xfId="4707"/>
    <cellStyle name="20% - Accent2 2 2 2 5 4" xfId="4708"/>
    <cellStyle name="20% - Accent2 2 2 2 5 4 2" xfId="4709"/>
    <cellStyle name="20% - Accent2 2 2 2 5 5" xfId="4710"/>
    <cellStyle name="20% - Accent2 2 2 2 6" xfId="4711"/>
    <cellStyle name="20% - Accent2 2 2 2 6 2" xfId="4712"/>
    <cellStyle name="20% - Accent2 2 2 2 6 2 2" xfId="4713"/>
    <cellStyle name="20% - Accent2 2 2 2 6 2 2 2" xfId="4714"/>
    <cellStyle name="20% - Accent2 2 2 2 6 2 2 2 2" xfId="4715"/>
    <cellStyle name="20% - Accent2 2 2 2 6 2 2 3" xfId="4716"/>
    <cellStyle name="20% - Accent2 2 2 2 6 2 3" xfId="4717"/>
    <cellStyle name="20% - Accent2 2 2 2 6 2 3 2" xfId="4718"/>
    <cellStyle name="20% - Accent2 2 2 2 6 2 4" xfId="4719"/>
    <cellStyle name="20% - Accent2 2 2 2 6 3" xfId="4720"/>
    <cellStyle name="20% - Accent2 2 2 2 6 3 2" xfId="4721"/>
    <cellStyle name="20% - Accent2 2 2 2 6 3 2 2" xfId="4722"/>
    <cellStyle name="20% - Accent2 2 2 2 6 3 3" xfId="4723"/>
    <cellStyle name="20% - Accent2 2 2 2 6 4" xfId="4724"/>
    <cellStyle name="20% - Accent2 2 2 2 6 4 2" xfId="4725"/>
    <cellStyle name="20% - Accent2 2 2 2 6 5" xfId="4726"/>
    <cellStyle name="20% - Accent2 2 2 2 7" xfId="4727"/>
    <cellStyle name="20% - Accent2 2 2 2 7 2" xfId="4728"/>
    <cellStyle name="20% - Accent2 2 2 2 7 2 2" xfId="4729"/>
    <cellStyle name="20% - Accent2 2 2 2 7 2 2 2" xfId="4730"/>
    <cellStyle name="20% - Accent2 2 2 2 7 2 3" xfId="4731"/>
    <cellStyle name="20% - Accent2 2 2 2 7 3" xfId="4732"/>
    <cellStyle name="20% - Accent2 2 2 2 7 3 2" xfId="4733"/>
    <cellStyle name="20% - Accent2 2 2 2 7 4" xfId="4734"/>
    <cellStyle name="20% - Accent2 2 2 2 8" xfId="4735"/>
    <cellStyle name="20% - Accent2 2 2 2 8 2" xfId="4736"/>
    <cellStyle name="20% - Accent2 2 2 2 8 2 2" xfId="4737"/>
    <cellStyle name="20% - Accent2 2 2 2 8 3" xfId="4738"/>
    <cellStyle name="20% - Accent2 2 2 2 9" xfId="4739"/>
    <cellStyle name="20% - Accent2 2 2 2 9 2" xfId="4740"/>
    <cellStyle name="20% - Accent2 2 2 3" xfId="4741"/>
    <cellStyle name="20% - Accent2 2 2 3 2" xfId="4742"/>
    <cellStyle name="20% - Accent2 2 2 3 2 2" xfId="4743"/>
    <cellStyle name="20% - Accent2 2 2 3 2 2 2" xfId="4744"/>
    <cellStyle name="20% - Accent2 2 2 3 2 2 2 2" xfId="4745"/>
    <cellStyle name="20% - Accent2 2 2 3 2 2 3" xfId="4746"/>
    <cellStyle name="20% - Accent2 2 2 3 2 3" xfId="4747"/>
    <cellStyle name="20% - Accent2 2 2 3 2 3 2" xfId="4748"/>
    <cellStyle name="20% - Accent2 2 2 3 2 4" xfId="4749"/>
    <cellStyle name="20% - Accent2 2 2 3 3" xfId="4750"/>
    <cellStyle name="20% - Accent2 2 2 3 3 2" xfId="4751"/>
    <cellStyle name="20% - Accent2 2 2 3 3 2 2" xfId="4752"/>
    <cellStyle name="20% - Accent2 2 2 3 3 3" xfId="4753"/>
    <cellStyle name="20% - Accent2 2 2 3 4" xfId="4754"/>
    <cellStyle name="20% - Accent2 2 2 3 4 2" xfId="4755"/>
    <cellStyle name="20% - Accent2 2 2 3 5" xfId="4756"/>
    <cellStyle name="20% - Accent2 2 2 4" xfId="4757"/>
    <cellStyle name="20% - Accent2 2 2 4 2" xfId="4758"/>
    <cellStyle name="20% - Accent2 2 2 4 2 2" xfId="4759"/>
    <cellStyle name="20% - Accent2 2 2 4 2 2 2" xfId="4760"/>
    <cellStyle name="20% - Accent2 2 2 4 2 2 2 2" xfId="4761"/>
    <cellStyle name="20% - Accent2 2 2 4 2 2 3" xfId="4762"/>
    <cellStyle name="20% - Accent2 2 2 4 2 3" xfId="4763"/>
    <cellStyle name="20% - Accent2 2 2 4 2 3 2" xfId="4764"/>
    <cellStyle name="20% - Accent2 2 2 4 2 4" xfId="4765"/>
    <cellStyle name="20% - Accent2 2 2 4 3" xfId="4766"/>
    <cellStyle name="20% - Accent2 2 2 4 3 2" xfId="4767"/>
    <cellStyle name="20% - Accent2 2 2 4 3 2 2" xfId="4768"/>
    <cellStyle name="20% - Accent2 2 2 4 3 3" xfId="4769"/>
    <cellStyle name="20% - Accent2 2 2 4 4" xfId="4770"/>
    <cellStyle name="20% - Accent2 2 2 4 4 2" xfId="4771"/>
    <cellStyle name="20% - Accent2 2 2 4 5" xfId="4772"/>
    <cellStyle name="20% - Accent2 2 2 5" xfId="4773"/>
    <cellStyle name="20% - Accent2 2 2 5 2" xfId="4774"/>
    <cellStyle name="20% - Accent2 2 2 5 2 2" xfId="4775"/>
    <cellStyle name="20% - Accent2 2 2 5 2 2 2" xfId="4776"/>
    <cellStyle name="20% - Accent2 2 2 5 2 2 2 2" xfId="4777"/>
    <cellStyle name="20% - Accent2 2 2 5 2 2 3" xfId="4778"/>
    <cellStyle name="20% - Accent2 2 2 5 2 3" xfId="4779"/>
    <cellStyle name="20% - Accent2 2 2 5 2 3 2" xfId="4780"/>
    <cellStyle name="20% - Accent2 2 2 5 2 4" xfId="4781"/>
    <cellStyle name="20% - Accent2 2 2 5 3" xfId="4782"/>
    <cellStyle name="20% - Accent2 2 2 5 3 2" xfId="4783"/>
    <cellStyle name="20% - Accent2 2 2 5 3 2 2" xfId="4784"/>
    <cellStyle name="20% - Accent2 2 2 5 3 3" xfId="4785"/>
    <cellStyle name="20% - Accent2 2 2 5 4" xfId="4786"/>
    <cellStyle name="20% - Accent2 2 2 5 4 2" xfId="4787"/>
    <cellStyle name="20% - Accent2 2 2 5 5" xfId="4788"/>
    <cellStyle name="20% - Accent2 2 2 6" xfId="4789"/>
    <cellStyle name="20% - Accent2 2 2 6 2" xfId="4790"/>
    <cellStyle name="20% - Accent2 2 2 6 2 2" xfId="4791"/>
    <cellStyle name="20% - Accent2 2 2 6 2 2 2" xfId="4792"/>
    <cellStyle name="20% - Accent2 2 2 6 2 2 2 2" xfId="4793"/>
    <cellStyle name="20% - Accent2 2 2 6 2 2 3" xfId="4794"/>
    <cellStyle name="20% - Accent2 2 2 6 2 3" xfId="4795"/>
    <cellStyle name="20% - Accent2 2 2 6 2 3 2" xfId="4796"/>
    <cellStyle name="20% - Accent2 2 2 6 2 4" xfId="4797"/>
    <cellStyle name="20% - Accent2 2 2 6 3" xfId="4798"/>
    <cellStyle name="20% - Accent2 2 2 6 3 2" xfId="4799"/>
    <cellStyle name="20% - Accent2 2 2 6 3 2 2" xfId="4800"/>
    <cellStyle name="20% - Accent2 2 2 6 3 3" xfId="4801"/>
    <cellStyle name="20% - Accent2 2 2 6 4" xfId="4802"/>
    <cellStyle name="20% - Accent2 2 2 6 4 2" xfId="4803"/>
    <cellStyle name="20% - Accent2 2 2 6 5" xfId="4804"/>
    <cellStyle name="20% - Accent2 2 2 7" xfId="4805"/>
    <cellStyle name="20% - Accent2 2 2 7 2" xfId="4806"/>
    <cellStyle name="20% - Accent2 2 2 7 2 2" xfId="4807"/>
    <cellStyle name="20% - Accent2 2 2 7 2 2 2" xfId="4808"/>
    <cellStyle name="20% - Accent2 2 2 7 2 2 2 2" xfId="4809"/>
    <cellStyle name="20% - Accent2 2 2 7 2 2 3" xfId="4810"/>
    <cellStyle name="20% - Accent2 2 2 7 2 3" xfId="4811"/>
    <cellStyle name="20% - Accent2 2 2 7 2 3 2" xfId="4812"/>
    <cellStyle name="20% - Accent2 2 2 7 2 4" xfId="4813"/>
    <cellStyle name="20% - Accent2 2 2 7 3" xfId="4814"/>
    <cellStyle name="20% - Accent2 2 2 7 3 2" xfId="4815"/>
    <cellStyle name="20% - Accent2 2 2 7 3 2 2" xfId="4816"/>
    <cellStyle name="20% - Accent2 2 2 7 3 3" xfId="4817"/>
    <cellStyle name="20% - Accent2 2 2 7 4" xfId="4818"/>
    <cellStyle name="20% - Accent2 2 2 7 4 2" xfId="4819"/>
    <cellStyle name="20% - Accent2 2 2 7 5" xfId="4820"/>
    <cellStyle name="20% - Accent2 2 2 8" xfId="4821"/>
    <cellStyle name="20% - Accent2 2 2 8 2" xfId="4822"/>
    <cellStyle name="20% - Accent2 2 2 8 2 2" xfId="4823"/>
    <cellStyle name="20% - Accent2 2 2 8 2 2 2" xfId="4824"/>
    <cellStyle name="20% - Accent2 2 2 8 2 3" xfId="4825"/>
    <cellStyle name="20% - Accent2 2 2 8 3" xfId="4826"/>
    <cellStyle name="20% - Accent2 2 2 8 3 2" xfId="4827"/>
    <cellStyle name="20% - Accent2 2 2 8 4" xfId="4828"/>
    <cellStyle name="20% - Accent2 2 2 9" xfId="4829"/>
    <cellStyle name="20% - Accent2 2 2 9 2" xfId="4830"/>
    <cellStyle name="20% - Accent2 2 2 9 2 2" xfId="4831"/>
    <cellStyle name="20% - Accent2 2 2 9 3" xfId="4832"/>
    <cellStyle name="20% - Accent2 2 3" xfId="4833"/>
    <cellStyle name="20% - Accent2 2 3 10" xfId="4834"/>
    <cellStyle name="20% - Accent2 2 3 10 2" xfId="4835"/>
    <cellStyle name="20% - Accent2 2 3 11" xfId="4836"/>
    <cellStyle name="20% - Accent2 2 3 2" xfId="4837"/>
    <cellStyle name="20% - Accent2 2 3 2 10" xfId="4838"/>
    <cellStyle name="20% - Accent2 2 3 2 2" xfId="4839"/>
    <cellStyle name="20% - Accent2 2 3 2 2 2" xfId="4840"/>
    <cellStyle name="20% - Accent2 2 3 2 2 2 2" xfId="4841"/>
    <cellStyle name="20% - Accent2 2 3 2 2 2 2 2" xfId="4842"/>
    <cellStyle name="20% - Accent2 2 3 2 2 2 2 2 2" xfId="4843"/>
    <cellStyle name="20% - Accent2 2 3 2 2 2 2 3" xfId="4844"/>
    <cellStyle name="20% - Accent2 2 3 2 2 2 3" xfId="4845"/>
    <cellStyle name="20% - Accent2 2 3 2 2 2 3 2" xfId="4846"/>
    <cellStyle name="20% - Accent2 2 3 2 2 2 4" xfId="4847"/>
    <cellStyle name="20% - Accent2 2 3 2 2 3" xfId="4848"/>
    <cellStyle name="20% - Accent2 2 3 2 2 3 2" xfId="4849"/>
    <cellStyle name="20% - Accent2 2 3 2 2 3 2 2" xfId="4850"/>
    <cellStyle name="20% - Accent2 2 3 2 2 3 3" xfId="4851"/>
    <cellStyle name="20% - Accent2 2 3 2 2 4" xfId="4852"/>
    <cellStyle name="20% - Accent2 2 3 2 2 4 2" xfId="4853"/>
    <cellStyle name="20% - Accent2 2 3 2 2 5" xfId="4854"/>
    <cellStyle name="20% - Accent2 2 3 2 3" xfId="4855"/>
    <cellStyle name="20% - Accent2 2 3 2 3 2" xfId="4856"/>
    <cellStyle name="20% - Accent2 2 3 2 3 2 2" xfId="4857"/>
    <cellStyle name="20% - Accent2 2 3 2 3 2 2 2" xfId="4858"/>
    <cellStyle name="20% - Accent2 2 3 2 3 2 2 2 2" xfId="4859"/>
    <cellStyle name="20% - Accent2 2 3 2 3 2 2 3" xfId="4860"/>
    <cellStyle name="20% - Accent2 2 3 2 3 2 3" xfId="4861"/>
    <cellStyle name="20% - Accent2 2 3 2 3 2 3 2" xfId="4862"/>
    <cellStyle name="20% - Accent2 2 3 2 3 2 4" xfId="4863"/>
    <cellStyle name="20% - Accent2 2 3 2 3 3" xfId="4864"/>
    <cellStyle name="20% - Accent2 2 3 2 3 3 2" xfId="4865"/>
    <cellStyle name="20% - Accent2 2 3 2 3 3 2 2" xfId="4866"/>
    <cellStyle name="20% - Accent2 2 3 2 3 3 3" xfId="4867"/>
    <cellStyle name="20% - Accent2 2 3 2 3 4" xfId="4868"/>
    <cellStyle name="20% - Accent2 2 3 2 3 4 2" xfId="4869"/>
    <cellStyle name="20% - Accent2 2 3 2 3 5" xfId="4870"/>
    <cellStyle name="20% - Accent2 2 3 2 4" xfId="4871"/>
    <cellStyle name="20% - Accent2 2 3 2 4 2" xfId="4872"/>
    <cellStyle name="20% - Accent2 2 3 2 4 2 2" xfId="4873"/>
    <cellStyle name="20% - Accent2 2 3 2 4 2 2 2" xfId="4874"/>
    <cellStyle name="20% - Accent2 2 3 2 4 2 2 2 2" xfId="4875"/>
    <cellStyle name="20% - Accent2 2 3 2 4 2 2 3" xfId="4876"/>
    <cellStyle name="20% - Accent2 2 3 2 4 2 3" xfId="4877"/>
    <cellStyle name="20% - Accent2 2 3 2 4 2 3 2" xfId="4878"/>
    <cellStyle name="20% - Accent2 2 3 2 4 2 4" xfId="4879"/>
    <cellStyle name="20% - Accent2 2 3 2 4 3" xfId="4880"/>
    <cellStyle name="20% - Accent2 2 3 2 4 3 2" xfId="4881"/>
    <cellStyle name="20% - Accent2 2 3 2 4 3 2 2" xfId="4882"/>
    <cellStyle name="20% - Accent2 2 3 2 4 3 3" xfId="4883"/>
    <cellStyle name="20% - Accent2 2 3 2 4 4" xfId="4884"/>
    <cellStyle name="20% - Accent2 2 3 2 4 4 2" xfId="4885"/>
    <cellStyle name="20% - Accent2 2 3 2 4 5" xfId="4886"/>
    <cellStyle name="20% - Accent2 2 3 2 5" xfId="4887"/>
    <cellStyle name="20% - Accent2 2 3 2 5 2" xfId="4888"/>
    <cellStyle name="20% - Accent2 2 3 2 5 2 2" xfId="4889"/>
    <cellStyle name="20% - Accent2 2 3 2 5 2 2 2" xfId="4890"/>
    <cellStyle name="20% - Accent2 2 3 2 5 2 2 2 2" xfId="4891"/>
    <cellStyle name="20% - Accent2 2 3 2 5 2 2 3" xfId="4892"/>
    <cellStyle name="20% - Accent2 2 3 2 5 2 3" xfId="4893"/>
    <cellStyle name="20% - Accent2 2 3 2 5 2 3 2" xfId="4894"/>
    <cellStyle name="20% - Accent2 2 3 2 5 2 4" xfId="4895"/>
    <cellStyle name="20% - Accent2 2 3 2 5 3" xfId="4896"/>
    <cellStyle name="20% - Accent2 2 3 2 5 3 2" xfId="4897"/>
    <cellStyle name="20% - Accent2 2 3 2 5 3 2 2" xfId="4898"/>
    <cellStyle name="20% - Accent2 2 3 2 5 3 3" xfId="4899"/>
    <cellStyle name="20% - Accent2 2 3 2 5 4" xfId="4900"/>
    <cellStyle name="20% - Accent2 2 3 2 5 4 2" xfId="4901"/>
    <cellStyle name="20% - Accent2 2 3 2 5 5" xfId="4902"/>
    <cellStyle name="20% - Accent2 2 3 2 6" xfId="4903"/>
    <cellStyle name="20% - Accent2 2 3 2 6 2" xfId="4904"/>
    <cellStyle name="20% - Accent2 2 3 2 6 2 2" xfId="4905"/>
    <cellStyle name="20% - Accent2 2 3 2 6 2 2 2" xfId="4906"/>
    <cellStyle name="20% - Accent2 2 3 2 6 2 2 2 2" xfId="4907"/>
    <cellStyle name="20% - Accent2 2 3 2 6 2 2 3" xfId="4908"/>
    <cellStyle name="20% - Accent2 2 3 2 6 2 3" xfId="4909"/>
    <cellStyle name="20% - Accent2 2 3 2 6 2 3 2" xfId="4910"/>
    <cellStyle name="20% - Accent2 2 3 2 6 2 4" xfId="4911"/>
    <cellStyle name="20% - Accent2 2 3 2 6 3" xfId="4912"/>
    <cellStyle name="20% - Accent2 2 3 2 6 3 2" xfId="4913"/>
    <cellStyle name="20% - Accent2 2 3 2 6 3 2 2" xfId="4914"/>
    <cellStyle name="20% - Accent2 2 3 2 6 3 3" xfId="4915"/>
    <cellStyle name="20% - Accent2 2 3 2 6 4" xfId="4916"/>
    <cellStyle name="20% - Accent2 2 3 2 6 4 2" xfId="4917"/>
    <cellStyle name="20% - Accent2 2 3 2 6 5" xfId="4918"/>
    <cellStyle name="20% - Accent2 2 3 2 7" xfId="4919"/>
    <cellStyle name="20% - Accent2 2 3 2 7 2" xfId="4920"/>
    <cellStyle name="20% - Accent2 2 3 2 7 2 2" xfId="4921"/>
    <cellStyle name="20% - Accent2 2 3 2 7 2 2 2" xfId="4922"/>
    <cellStyle name="20% - Accent2 2 3 2 7 2 3" xfId="4923"/>
    <cellStyle name="20% - Accent2 2 3 2 7 3" xfId="4924"/>
    <cellStyle name="20% - Accent2 2 3 2 7 3 2" xfId="4925"/>
    <cellStyle name="20% - Accent2 2 3 2 7 4" xfId="4926"/>
    <cellStyle name="20% - Accent2 2 3 2 8" xfId="4927"/>
    <cellStyle name="20% - Accent2 2 3 2 8 2" xfId="4928"/>
    <cellStyle name="20% - Accent2 2 3 2 8 2 2" xfId="4929"/>
    <cellStyle name="20% - Accent2 2 3 2 8 3" xfId="4930"/>
    <cellStyle name="20% - Accent2 2 3 2 9" xfId="4931"/>
    <cellStyle name="20% - Accent2 2 3 2 9 2" xfId="4932"/>
    <cellStyle name="20% - Accent2 2 3 3" xfId="4933"/>
    <cellStyle name="20% - Accent2 2 3 3 2" xfId="4934"/>
    <cellStyle name="20% - Accent2 2 3 3 2 2" xfId="4935"/>
    <cellStyle name="20% - Accent2 2 3 3 2 2 2" xfId="4936"/>
    <cellStyle name="20% - Accent2 2 3 3 2 2 2 2" xfId="4937"/>
    <cellStyle name="20% - Accent2 2 3 3 2 2 3" xfId="4938"/>
    <cellStyle name="20% - Accent2 2 3 3 2 3" xfId="4939"/>
    <cellStyle name="20% - Accent2 2 3 3 2 3 2" xfId="4940"/>
    <cellStyle name="20% - Accent2 2 3 3 2 4" xfId="4941"/>
    <cellStyle name="20% - Accent2 2 3 3 3" xfId="4942"/>
    <cellStyle name="20% - Accent2 2 3 3 3 2" xfId="4943"/>
    <cellStyle name="20% - Accent2 2 3 3 3 2 2" xfId="4944"/>
    <cellStyle name="20% - Accent2 2 3 3 3 3" xfId="4945"/>
    <cellStyle name="20% - Accent2 2 3 3 4" xfId="4946"/>
    <cellStyle name="20% - Accent2 2 3 3 4 2" xfId="4947"/>
    <cellStyle name="20% - Accent2 2 3 3 5" xfId="4948"/>
    <cellStyle name="20% - Accent2 2 3 4" xfId="4949"/>
    <cellStyle name="20% - Accent2 2 3 4 2" xfId="4950"/>
    <cellStyle name="20% - Accent2 2 3 4 2 2" xfId="4951"/>
    <cellStyle name="20% - Accent2 2 3 4 2 2 2" xfId="4952"/>
    <cellStyle name="20% - Accent2 2 3 4 2 2 2 2" xfId="4953"/>
    <cellStyle name="20% - Accent2 2 3 4 2 2 3" xfId="4954"/>
    <cellStyle name="20% - Accent2 2 3 4 2 3" xfId="4955"/>
    <cellStyle name="20% - Accent2 2 3 4 2 3 2" xfId="4956"/>
    <cellStyle name="20% - Accent2 2 3 4 2 4" xfId="4957"/>
    <cellStyle name="20% - Accent2 2 3 4 3" xfId="4958"/>
    <cellStyle name="20% - Accent2 2 3 4 3 2" xfId="4959"/>
    <cellStyle name="20% - Accent2 2 3 4 3 2 2" xfId="4960"/>
    <cellStyle name="20% - Accent2 2 3 4 3 3" xfId="4961"/>
    <cellStyle name="20% - Accent2 2 3 4 4" xfId="4962"/>
    <cellStyle name="20% - Accent2 2 3 4 4 2" xfId="4963"/>
    <cellStyle name="20% - Accent2 2 3 4 5" xfId="4964"/>
    <cellStyle name="20% - Accent2 2 3 5" xfId="4965"/>
    <cellStyle name="20% - Accent2 2 3 5 2" xfId="4966"/>
    <cellStyle name="20% - Accent2 2 3 5 2 2" xfId="4967"/>
    <cellStyle name="20% - Accent2 2 3 5 2 2 2" xfId="4968"/>
    <cellStyle name="20% - Accent2 2 3 5 2 2 2 2" xfId="4969"/>
    <cellStyle name="20% - Accent2 2 3 5 2 2 3" xfId="4970"/>
    <cellStyle name="20% - Accent2 2 3 5 2 3" xfId="4971"/>
    <cellStyle name="20% - Accent2 2 3 5 2 3 2" xfId="4972"/>
    <cellStyle name="20% - Accent2 2 3 5 2 4" xfId="4973"/>
    <cellStyle name="20% - Accent2 2 3 5 3" xfId="4974"/>
    <cellStyle name="20% - Accent2 2 3 5 3 2" xfId="4975"/>
    <cellStyle name="20% - Accent2 2 3 5 3 2 2" xfId="4976"/>
    <cellStyle name="20% - Accent2 2 3 5 3 3" xfId="4977"/>
    <cellStyle name="20% - Accent2 2 3 5 4" xfId="4978"/>
    <cellStyle name="20% - Accent2 2 3 5 4 2" xfId="4979"/>
    <cellStyle name="20% - Accent2 2 3 5 5" xfId="4980"/>
    <cellStyle name="20% - Accent2 2 3 6" xfId="4981"/>
    <cellStyle name="20% - Accent2 2 3 6 2" xfId="4982"/>
    <cellStyle name="20% - Accent2 2 3 6 2 2" xfId="4983"/>
    <cellStyle name="20% - Accent2 2 3 6 2 2 2" xfId="4984"/>
    <cellStyle name="20% - Accent2 2 3 6 2 2 2 2" xfId="4985"/>
    <cellStyle name="20% - Accent2 2 3 6 2 2 3" xfId="4986"/>
    <cellStyle name="20% - Accent2 2 3 6 2 3" xfId="4987"/>
    <cellStyle name="20% - Accent2 2 3 6 2 3 2" xfId="4988"/>
    <cellStyle name="20% - Accent2 2 3 6 2 4" xfId="4989"/>
    <cellStyle name="20% - Accent2 2 3 6 3" xfId="4990"/>
    <cellStyle name="20% - Accent2 2 3 6 3 2" xfId="4991"/>
    <cellStyle name="20% - Accent2 2 3 6 3 2 2" xfId="4992"/>
    <cellStyle name="20% - Accent2 2 3 6 3 3" xfId="4993"/>
    <cellStyle name="20% - Accent2 2 3 6 4" xfId="4994"/>
    <cellStyle name="20% - Accent2 2 3 6 4 2" xfId="4995"/>
    <cellStyle name="20% - Accent2 2 3 6 5" xfId="4996"/>
    <cellStyle name="20% - Accent2 2 3 7" xfId="4997"/>
    <cellStyle name="20% - Accent2 2 3 7 2" xfId="4998"/>
    <cellStyle name="20% - Accent2 2 3 7 2 2" xfId="4999"/>
    <cellStyle name="20% - Accent2 2 3 7 2 2 2" xfId="5000"/>
    <cellStyle name="20% - Accent2 2 3 7 2 2 2 2" xfId="5001"/>
    <cellStyle name="20% - Accent2 2 3 7 2 2 3" xfId="5002"/>
    <cellStyle name="20% - Accent2 2 3 7 2 3" xfId="5003"/>
    <cellStyle name="20% - Accent2 2 3 7 2 3 2" xfId="5004"/>
    <cellStyle name="20% - Accent2 2 3 7 2 4" xfId="5005"/>
    <cellStyle name="20% - Accent2 2 3 7 3" xfId="5006"/>
    <cellStyle name="20% - Accent2 2 3 7 3 2" xfId="5007"/>
    <cellStyle name="20% - Accent2 2 3 7 3 2 2" xfId="5008"/>
    <cellStyle name="20% - Accent2 2 3 7 3 3" xfId="5009"/>
    <cellStyle name="20% - Accent2 2 3 7 4" xfId="5010"/>
    <cellStyle name="20% - Accent2 2 3 7 4 2" xfId="5011"/>
    <cellStyle name="20% - Accent2 2 3 7 5" xfId="5012"/>
    <cellStyle name="20% - Accent2 2 3 8" xfId="5013"/>
    <cellStyle name="20% - Accent2 2 3 8 2" xfId="5014"/>
    <cellStyle name="20% - Accent2 2 3 8 2 2" xfId="5015"/>
    <cellStyle name="20% - Accent2 2 3 8 2 2 2" xfId="5016"/>
    <cellStyle name="20% - Accent2 2 3 8 2 3" xfId="5017"/>
    <cellStyle name="20% - Accent2 2 3 8 3" xfId="5018"/>
    <cellStyle name="20% - Accent2 2 3 8 3 2" xfId="5019"/>
    <cellStyle name="20% - Accent2 2 3 8 4" xfId="5020"/>
    <cellStyle name="20% - Accent2 2 3 9" xfId="5021"/>
    <cellStyle name="20% - Accent2 2 3 9 2" xfId="5022"/>
    <cellStyle name="20% - Accent2 2 3 9 2 2" xfId="5023"/>
    <cellStyle name="20% - Accent2 2 3 9 3" xfId="5024"/>
    <cellStyle name="20% - Accent2 2 4" xfId="5025"/>
    <cellStyle name="20% - Accent2 2 4 10" xfId="5026"/>
    <cellStyle name="20% - Accent2 2 4 10 2" xfId="5027"/>
    <cellStyle name="20% - Accent2 2 4 11" xfId="5028"/>
    <cellStyle name="20% - Accent2 2 4 2" xfId="5029"/>
    <cellStyle name="20% - Accent2 2 4 2 10" xfId="5030"/>
    <cellStyle name="20% - Accent2 2 4 2 2" xfId="5031"/>
    <cellStyle name="20% - Accent2 2 4 2 2 2" xfId="5032"/>
    <cellStyle name="20% - Accent2 2 4 2 2 2 2" xfId="5033"/>
    <cellStyle name="20% - Accent2 2 4 2 2 2 2 2" xfId="5034"/>
    <cellStyle name="20% - Accent2 2 4 2 2 2 2 2 2" xfId="5035"/>
    <cellStyle name="20% - Accent2 2 4 2 2 2 2 3" xfId="5036"/>
    <cellStyle name="20% - Accent2 2 4 2 2 2 3" xfId="5037"/>
    <cellStyle name="20% - Accent2 2 4 2 2 2 3 2" xfId="5038"/>
    <cellStyle name="20% - Accent2 2 4 2 2 2 4" xfId="5039"/>
    <cellStyle name="20% - Accent2 2 4 2 2 3" xfId="5040"/>
    <cellStyle name="20% - Accent2 2 4 2 2 3 2" xfId="5041"/>
    <cellStyle name="20% - Accent2 2 4 2 2 3 2 2" xfId="5042"/>
    <cellStyle name="20% - Accent2 2 4 2 2 3 3" xfId="5043"/>
    <cellStyle name="20% - Accent2 2 4 2 2 4" xfId="5044"/>
    <cellStyle name="20% - Accent2 2 4 2 2 4 2" xfId="5045"/>
    <cellStyle name="20% - Accent2 2 4 2 2 5" xfId="5046"/>
    <cellStyle name="20% - Accent2 2 4 2 3" xfId="5047"/>
    <cellStyle name="20% - Accent2 2 4 2 3 2" xfId="5048"/>
    <cellStyle name="20% - Accent2 2 4 2 3 2 2" xfId="5049"/>
    <cellStyle name="20% - Accent2 2 4 2 3 2 2 2" xfId="5050"/>
    <cellStyle name="20% - Accent2 2 4 2 3 2 2 2 2" xfId="5051"/>
    <cellStyle name="20% - Accent2 2 4 2 3 2 2 3" xfId="5052"/>
    <cellStyle name="20% - Accent2 2 4 2 3 2 3" xfId="5053"/>
    <cellStyle name="20% - Accent2 2 4 2 3 2 3 2" xfId="5054"/>
    <cellStyle name="20% - Accent2 2 4 2 3 2 4" xfId="5055"/>
    <cellStyle name="20% - Accent2 2 4 2 3 3" xfId="5056"/>
    <cellStyle name="20% - Accent2 2 4 2 3 3 2" xfId="5057"/>
    <cellStyle name="20% - Accent2 2 4 2 3 3 2 2" xfId="5058"/>
    <cellStyle name="20% - Accent2 2 4 2 3 3 3" xfId="5059"/>
    <cellStyle name="20% - Accent2 2 4 2 3 4" xfId="5060"/>
    <cellStyle name="20% - Accent2 2 4 2 3 4 2" xfId="5061"/>
    <cellStyle name="20% - Accent2 2 4 2 3 5" xfId="5062"/>
    <cellStyle name="20% - Accent2 2 4 2 4" xfId="5063"/>
    <cellStyle name="20% - Accent2 2 4 2 4 2" xfId="5064"/>
    <cellStyle name="20% - Accent2 2 4 2 4 2 2" xfId="5065"/>
    <cellStyle name="20% - Accent2 2 4 2 4 2 2 2" xfId="5066"/>
    <cellStyle name="20% - Accent2 2 4 2 4 2 2 2 2" xfId="5067"/>
    <cellStyle name="20% - Accent2 2 4 2 4 2 2 3" xfId="5068"/>
    <cellStyle name="20% - Accent2 2 4 2 4 2 3" xfId="5069"/>
    <cellStyle name="20% - Accent2 2 4 2 4 2 3 2" xfId="5070"/>
    <cellStyle name="20% - Accent2 2 4 2 4 2 4" xfId="5071"/>
    <cellStyle name="20% - Accent2 2 4 2 4 3" xfId="5072"/>
    <cellStyle name="20% - Accent2 2 4 2 4 3 2" xfId="5073"/>
    <cellStyle name="20% - Accent2 2 4 2 4 3 2 2" xfId="5074"/>
    <cellStyle name="20% - Accent2 2 4 2 4 3 3" xfId="5075"/>
    <cellStyle name="20% - Accent2 2 4 2 4 4" xfId="5076"/>
    <cellStyle name="20% - Accent2 2 4 2 4 4 2" xfId="5077"/>
    <cellStyle name="20% - Accent2 2 4 2 4 5" xfId="5078"/>
    <cellStyle name="20% - Accent2 2 4 2 5" xfId="5079"/>
    <cellStyle name="20% - Accent2 2 4 2 5 2" xfId="5080"/>
    <cellStyle name="20% - Accent2 2 4 2 5 2 2" xfId="5081"/>
    <cellStyle name="20% - Accent2 2 4 2 5 2 2 2" xfId="5082"/>
    <cellStyle name="20% - Accent2 2 4 2 5 2 2 2 2" xfId="5083"/>
    <cellStyle name="20% - Accent2 2 4 2 5 2 2 3" xfId="5084"/>
    <cellStyle name="20% - Accent2 2 4 2 5 2 3" xfId="5085"/>
    <cellStyle name="20% - Accent2 2 4 2 5 2 3 2" xfId="5086"/>
    <cellStyle name="20% - Accent2 2 4 2 5 2 4" xfId="5087"/>
    <cellStyle name="20% - Accent2 2 4 2 5 3" xfId="5088"/>
    <cellStyle name="20% - Accent2 2 4 2 5 3 2" xfId="5089"/>
    <cellStyle name="20% - Accent2 2 4 2 5 3 2 2" xfId="5090"/>
    <cellStyle name="20% - Accent2 2 4 2 5 3 3" xfId="5091"/>
    <cellStyle name="20% - Accent2 2 4 2 5 4" xfId="5092"/>
    <cellStyle name="20% - Accent2 2 4 2 5 4 2" xfId="5093"/>
    <cellStyle name="20% - Accent2 2 4 2 5 5" xfId="5094"/>
    <cellStyle name="20% - Accent2 2 4 2 6" xfId="5095"/>
    <cellStyle name="20% - Accent2 2 4 2 6 2" xfId="5096"/>
    <cellStyle name="20% - Accent2 2 4 2 6 2 2" xfId="5097"/>
    <cellStyle name="20% - Accent2 2 4 2 6 2 2 2" xfId="5098"/>
    <cellStyle name="20% - Accent2 2 4 2 6 2 2 2 2" xfId="5099"/>
    <cellStyle name="20% - Accent2 2 4 2 6 2 2 3" xfId="5100"/>
    <cellStyle name="20% - Accent2 2 4 2 6 2 3" xfId="5101"/>
    <cellStyle name="20% - Accent2 2 4 2 6 2 3 2" xfId="5102"/>
    <cellStyle name="20% - Accent2 2 4 2 6 2 4" xfId="5103"/>
    <cellStyle name="20% - Accent2 2 4 2 6 3" xfId="5104"/>
    <cellStyle name="20% - Accent2 2 4 2 6 3 2" xfId="5105"/>
    <cellStyle name="20% - Accent2 2 4 2 6 3 2 2" xfId="5106"/>
    <cellStyle name="20% - Accent2 2 4 2 6 3 3" xfId="5107"/>
    <cellStyle name="20% - Accent2 2 4 2 6 4" xfId="5108"/>
    <cellStyle name="20% - Accent2 2 4 2 6 4 2" xfId="5109"/>
    <cellStyle name="20% - Accent2 2 4 2 6 5" xfId="5110"/>
    <cellStyle name="20% - Accent2 2 4 2 7" xfId="5111"/>
    <cellStyle name="20% - Accent2 2 4 2 7 2" xfId="5112"/>
    <cellStyle name="20% - Accent2 2 4 2 7 2 2" xfId="5113"/>
    <cellStyle name="20% - Accent2 2 4 2 7 2 2 2" xfId="5114"/>
    <cellStyle name="20% - Accent2 2 4 2 7 2 3" xfId="5115"/>
    <cellStyle name="20% - Accent2 2 4 2 7 3" xfId="5116"/>
    <cellStyle name="20% - Accent2 2 4 2 7 3 2" xfId="5117"/>
    <cellStyle name="20% - Accent2 2 4 2 7 4" xfId="5118"/>
    <cellStyle name="20% - Accent2 2 4 2 8" xfId="5119"/>
    <cellStyle name="20% - Accent2 2 4 2 8 2" xfId="5120"/>
    <cellStyle name="20% - Accent2 2 4 2 8 2 2" xfId="5121"/>
    <cellStyle name="20% - Accent2 2 4 2 8 3" xfId="5122"/>
    <cellStyle name="20% - Accent2 2 4 2 9" xfId="5123"/>
    <cellStyle name="20% - Accent2 2 4 2 9 2" xfId="5124"/>
    <cellStyle name="20% - Accent2 2 4 3" xfId="5125"/>
    <cellStyle name="20% - Accent2 2 4 3 2" xfId="5126"/>
    <cellStyle name="20% - Accent2 2 4 3 2 2" xfId="5127"/>
    <cellStyle name="20% - Accent2 2 4 3 2 2 2" xfId="5128"/>
    <cellStyle name="20% - Accent2 2 4 3 2 2 2 2" xfId="5129"/>
    <cellStyle name="20% - Accent2 2 4 3 2 2 3" xfId="5130"/>
    <cellStyle name="20% - Accent2 2 4 3 2 3" xfId="5131"/>
    <cellStyle name="20% - Accent2 2 4 3 2 3 2" xfId="5132"/>
    <cellStyle name="20% - Accent2 2 4 3 2 4" xfId="5133"/>
    <cellStyle name="20% - Accent2 2 4 3 3" xfId="5134"/>
    <cellStyle name="20% - Accent2 2 4 3 3 2" xfId="5135"/>
    <cellStyle name="20% - Accent2 2 4 3 3 2 2" xfId="5136"/>
    <cellStyle name="20% - Accent2 2 4 3 3 3" xfId="5137"/>
    <cellStyle name="20% - Accent2 2 4 3 4" xfId="5138"/>
    <cellStyle name="20% - Accent2 2 4 3 4 2" xfId="5139"/>
    <cellStyle name="20% - Accent2 2 4 3 5" xfId="5140"/>
    <cellStyle name="20% - Accent2 2 4 4" xfId="5141"/>
    <cellStyle name="20% - Accent2 2 4 4 2" xfId="5142"/>
    <cellStyle name="20% - Accent2 2 4 4 2 2" xfId="5143"/>
    <cellStyle name="20% - Accent2 2 4 4 2 2 2" xfId="5144"/>
    <cellStyle name="20% - Accent2 2 4 4 2 2 2 2" xfId="5145"/>
    <cellStyle name="20% - Accent2 2 4 4 2 2 3" xfId="5146"/>
    <cellStyle name="20% - Accent2 2 4 4 2 3" xfId="5147"/>
    <cellStyle name="20% - Accent2 2 4 4 2 3 2" xfId="5148"/>
    <cellStyle name="20% - Accent2 2 4 4 2 4" xfId="5149"/>
    <cellStyle name="20% - Accent2 2 4 4 3" xfId="5150"/>
    <cellStyle name="20% - Accent2 2 4 4 3 2" xfId="5151"/>
    <cellStyle name="20% - Accent2 2 4 4 3 2 2" xfId="5152"/>
    <cellStyle name="20% - Accent2 2 4 4 3 3" xfId="5153"/>
    <cellStyle name="20% - Accent2 2 4 4 4" xfId="5154"/>
    <cellStyle name="20% - Accent2 2 4 4 4 2" xfId="5155"/>
    <cellStyle name="20% - Accent2 2 4 4 5" xfId="5156"/>
    <cellStyle name="20% - Accent2 2 4 5" xfId="5157"/>
    <cellStyle name="20% - Accent2 2 4 5 2" xfId="5158"/>
    <cellStyle name="20% - Accent2 2 4 5 2 2" xfId="5159"/>
    <cellStyle name="20% - Accent2 2 4 5 2 2 2" xfId="5160"/>
    <cellStyle name="20% - Accent2 2 4 5 2 2 2 2" xfId="5161"/>
    <cellStyle name="20% - Accent2 2 4 5 2 2 3" xfId="5162"/>
    <cellStyle name="20% - Accent2 2 4 5 2 3" xfId="5163"/>
    <cellStyle name="20% - Accent2 2 4 5 2 3 2" xfId="5164"/>
    <cellStyle name="20% - Accent2 2 4 5 2 4" xfId="5165"/>
    <cellStyle name="20% - Accent2 2 4 5 3" xfId="5166"/>
    <cellStyle name="20% - Accent2 2 4 5 3 2" xfId="5167"/>
    <cellStyle name="20% - Accent2 2 4 5 3 2 2" xfId="5168"/>
    <cellStyle name="20% - Accent2 2 4 5 3 3" xfId="5169"/>
    <cellStyle name="20% - Accent2 2 4 5 4" xfId="5170"/>
    <cellStyle name="20% - Accent2 2 4 5 4 2" xfId="5171"/>
    <cellStyle name="20% - Accent2 2 4 5 5" xfId="5172"/>
    <cellStyle name="20% - Accent2 2 4 6" xfId="5173"/>
    <cellStyle name="20% - Accent2 2 4 6 2" xfId="5174"/>
    <cellStyle name="20% - Accent2 2 4 6 2 2" xfId="5175"/>
    <cellStyle name="20% - Accent2 2 4 6 2 2 2" xfId="5176"/>
    <cellStyle name="20% - Accent2 2 4 6 2 2 2 2" xfId="5177"/>
    <cellStyle name="20% - Accent2 2 4 6 2 2 3" xfId="5178"/>
    <cellStyle name="20% - Accent2 2 4 6 2 3" xfId="5179"/>
    <cellStyle name="20% - Accent2 2 4 6 2 3 2" xfId="5180"/>
    <cellStyle name="20% - Accent2 2 4 6 2 4" xfId="5181"/>
    <cellStyle name="20% - Accent2 2 4 6 3" xfId="5182"/>
    <cellStyle name="20% - Accent2 2 4 6 3 2" xfId="5183"/>
    <cellStyle name="20% - Accent2 2 4 6 3 2 2" xfId="5184"/>
    <cellStyle name="20% - Accent2 2 4 6 3 3" xfId="5185"/>
    <cellStyle name="20% - Accent2 2 4 6 4" xfId="5186"/>
    <cellStyle name="20% - Accent2 2 4 6 4 2" xfId="5187"/>
    <cellStyle name="20% - Accent2 2 4 6 5" xfId="5188"/>
    <cellStyle name="20% - Accent2 2 4 7" xfId="5189"/>
    <cellStyle name="20% - Accent2 2 4 7 2" xfId="5190"/>
    <cellStyle name="20% - Accent2 2 4 7 2 2" xfId="5191"/>
    <cellStyle name="20% - Accent2 2 4 7 2 2 2" xfId="5192"/>
    <cellStyle name="20% - Accent2 2 4 7 2 2 2 2" xfId="5193"/>
    <cellStyle name="20% - Accent2 2 4 7 2 2 3" xfId="5194"/>
    <cellStyle name="20% - Accent2 2 4 7 2 3" xfId="5195"/>
    <cellStyle name="20% - Accent2 2 4 7 2 3 2" xfId="5196"/>
    <cellStyle name="20% - Accent2 2 4 7 2 4" xfId="5197"/>
    <cellStyle name="20% - Accent2 2 4 7 3" xfId="5198"/>
    <cellStyle name="20% - Accent2 2 4 7 3 2" xfId="5199"/>
    <cellStyle name="20% - Accent2 2 4 7 3 2 2" xfId="5200"/>
    <cellStyle name="20% - Accent2 2 4 7 3 3" xfId="5201"/>
    <cellStyle name="20% - Accent2 2 4 7 4" xfId="5202"/>
    <cellStyle name="20% - Accent2 2 4 7 4 2" xfId="5203"/>
    <cellStyle name="20% - Accent2 2 4 7 5" xfId="5204"/>
    <cellStyle name="20% - Accent2 2 4 8" xfId="5205"/>
    <cellStyle name="20% - Accent2 2 4 8 2" xfId="5206"/>
    <cellStyle name="20% - Accent2 2 4 8 2 2" xfId="5207"/>
    <cellStyle name="20% - Accent2 2 4 8 2 2 2" xfId="5208"/>
    <cellStyle name="20% - Accent2 2 4 8 2 3" xfId="5209"/>
    <cellStyle name="20% - Accent2 2 4 8 3" xfId="5210"/>
    <cellStyle name="20% - Accent2 2 4 8 3 2" xfId="5211"/>
    <cellStyle name="20% - Accent2 2 4 8 4" xfId="5212"/>
    <cellStyle name="20% - Accent2 2 4 9" xfId="5213"/>
    <cellStyle name="20% - Accent2 2 4 9 2" xfId="5214"/>
    <cellStyle name="20% - Accent2 2 4 9 2 2" xfId="5215"/>
    <cellStyle name="20% - Accent2 2 4 9 3" xfId="5216"/>
    <cellStyle name="20% - Accent2 2 5" xfId="5217"/>
    <cellStyle name="20% - Accent2 2 5 10" xfId="5218"/>
    <cellStyle name="20% - Accent2 2 5 10 2" xfId="5219"/>
    <cellStyle name="20% - Accent2 2 5 11" xfId="5220"/>
    <cellStyle name="20% - Accent2 2 5 2" xfId="5221"/>
    <cellStyle name="20% - Accent2 2 5 2 10" xfId="5222"/>
    <cellStyle name="20% - Accent2 2 5 2 2" xfId="5223"/>
    <cellStyle name="20% - Accent2 2 5 2 2 2" xfId="5224"/>
    <cellStyle name="20% - Accent2 2 5 2 2 2 2" xfId="5225"/>
    <cellStyle name="20% - Accent2 2 5 2 2 2 2 2" xfId="5226"/>
    <cellStyle name="20% - Accent2 2 5 2 2 2 2 2 2" xfId="5227"/>
    <cellStyle name="20% - Accent2 2 5 2 2 2 2 3" xfId="5228"/>
    <cellStyle name="20% - Accent2 2 5 2 2 2 3" xfId="5229"/>
    <cellStyle name="20% - Accent2 2 5 2 2 2 3 2" xfId="5230"/>
    <cellStyle name="20% - Accent2 2 5 2 2 2 4" xfId="5231"/>
    <cellStyle name="20% - Accent2 2 5 2 2 3" xfId="5232"/>
    <cellStyle name="20% - Accent2 2 5 2 2 3 2" xfId="5233"/>
    <cellStyle name="20% - Accent2 2 5 2 2 3 2 2" xfId="5234"/>
    <cellStyle name="20% - Accent2 2 5 2 2 3 3" xfId="5235"/>
    <cellStyle name="20% - Accent2 2 5 2 2 4" xfId="5236"/>
    <cellStyle name="20% - Accent2 2 5 2 2 4 2" xfId="5237"/>
    <cellStyle name="20% - Accent2 2 5 2 2 5" xfId="5238"/>
    <cellStyle name="20% - Accent2 2 5 2 3" xfId="5239"/>
    <cellStyle name="20% - Accent2 2 5 2 3 2" xfId="5240"/>
    <cellStyle name="20% - Accent2 2 5 2 3 2 2" xfId="5241"/>
    <cellStyle name="20% - Accent2 2 5 2 3 2 2 2" xfId="5242"/>
    <cellStyle name="20% - Accent2 2 5 2 3 2 2 2 2" xfId="5243"/>
    <cellStyle name="20% - Accent2 2 5 2 3 2 2 3" xfId="5244"/>
    <cellStyle name="20% - Accent2 2 5 2 3 2 3" xfId="5245"/>
    <cellStyle name="20% - Accent2 2 5 2 3 2 3 2" xfId="5246"/>
    <cellStyle name="20% - Accent2 2 5 2 3 2 4" xfId="5247"/>
    <cellStyle name="20% - Accent2 2 5 2 3 3" xfId="5248"/>
    <cellStyle name="20% - Accent2 2 5 2 3 3 2" xfId="5249"/>
    <cellStyle name="20% - Accent2 2 5 2 3 3 2 2" xfId="5250"/>
    <cellStyle name="20% - Accent2 2 5 2 3 3 3" xfId="5251"/>
    <cellStyle name="20% - Accent2 2 5 2 3 4" xfId="5252"/>
    <cellStyle name="20% - Accent2 2 5 2 3 4 2" xfId="5253"/>
    <cellStyle name="20% - Accent2 2 5 2 3 5" xfId="5254"/>
    <cellStyle name="20% - Accent2 2 5 2 4" xfId="5255"/>
    <cellStyle name="20% - Accent2 2 5 2 4 2" xfId="5256"/>
    <cellStyle name="20% - Accent2 2 5 2 4 2 2" xfId="5257"/>
    <cellStyle name="20% - Accent2 2 5 2 4 2 2 2" xfId="5258"/>
    <cellStyle name="20% - Accent2 2 5 2 4 2 2 2 2" xfId="5259"/>
    <cellStyle name="20% - Accent2 2 5 2 4 2 2 3" xfId="5260"/>
    <cellStyle name="20% - Accent2 2 5 2 4 2 3" xfId="5261"/>
    <cellStyle name="20% - Accent2 2 5 2 4 2 3 2" xfId="5262"/>
    <cellStyle name="20% - Accent2 2 5 2 4 2 4" xfId="5263"/>
    <cellStyle name="20% - Accent2 2 5 2 4 3" xfId="5264"/>
    <cellStyle name="20% - Accent2 2 5 2 4 3 2" xfId="5265"/>
    <cellStyle name="20% - Accent2 2 5 2 4 3 2 2" xfId="5266"/>
    <cellStyle name="20% - Accent2 2 5 2 4 3 3" xfId="5267"/>
    <cellStyle name="20% - Accent2 2 5 2 4 4" xfId="5268"/>
    <cellStyle name="20% - Accent2 2 5 2 4 4 2" xfId="5269"/>
    <cellStyle name="20% - Accent2 2 5 2 4 5" xfId="5270"/>
    <cellStyle name="20% - Accent2 2 5 2 5" xfId="5271"/>
    <cellStyle name="20% - Accent2 2 5 2 5 2" xfId="5272"/>
    <cellStyle name="20% - Accent2 2 5 2 5 2 2" xfId="5273"/>
    <cellStyle name="20% - Accent2 2 5 2 5 2 2 2" xfId="5274"/>
    <cellStyle name="20% - Accent2 2 5 2 5 2 2 2 2" xfId="5275"/>
    <cellStyle name="20% - Accent2 2 5 2 5 2 2 3" xfId="5276"/>
    <cellStyle name="20% - Accent2 2 5 2 5 2 3" xfId="5277"/>
    <cellStyle name="20% - Accent2 2 5 2 5 2 3 2" xfId="5278"/>
    <cellStyle name="20% - Accent2 2 5 2 5 2 4" xfId="5279"/>
    <cellStyle name="20% - Accent2 2 5 2 5 3" xfId="5280"/>
    <cellStyle name="20% - Accent2 2 5 2 5 3 2" xfId="5281"/>
    <cellStyle name="20% - Accent2 2 5 2 5 3 2 2" xfId="5282"/>
    <cellStyle name="20% - Accent2 2 5 2 5 3 3" xfId="5283"/>
    <cellStyle name="20% - Accent2 2 5 2 5 4" xfId="5284"/>
    <cellStyle name="20% - Accent2 2 5 2 5 4 2" xfId="5285"/>
    <cellStyle name="20% - Accent2 2 5 2 5 5" xfId="5286"/>
    <cellStyle name="20% - Accent2 2 5 2 6" xfId="5287"/>
    <cellStyle name="20% - Accent2 2 5 2 6 2" xfId="5288"/>
    <cellStyle name="20% - Accent2 2 5 2 6 2 2" xfId="5289"/>
    <cellStyle name="20% - Accent2 2 5 2 6 2 2 2" xfId="5290"/>
    <cellStyle name="20% - Accent2 2 5 2 6 2 2 2 2" xfId="5291"/>
    <cellStyle name="20% - Accent2 2 5 2 6 2 2 3" xfId="5292"/>
    <cellStyle name="20% - Accent2 2 5 2 6 2 3" xfId="5293"/>
    <cellStyle name="20% - Accent2 2 5 2 6 2 3 2" xfId="5294"/>
    <cellStyle name="20% - Accent2 2 5 2 6 2 4" xfId="5295"/>
    <cellStyle name="20% - Accent2 2 5 2 6 3" xfId="5296"/>
    <cellStyle name="20% - Accent2 2 5 2 6 3 2" xfId="5297"/>
    <cellStyle name="20% - Accent2 2 5 2 6 3 2 2" xfId="5298"/>
    <cellStyle name="20% - Accent2 2 5 2 6 3 3" xfId="5299"/>
    <cellStyle name="20% - Accent2 2 5 2 6 4" xfId="5300"/>
    <cellStyle name="20% - Accent2 2 5 2 6 4 2" xfId="5301"/>
    <cellStyle name="20% - Accent2 2 5 2 6 5" xfId="5302"/>
    <cellStyle name="20% - Accent2 2 5 2 7" xfId="5303"/>
    <cellStyle name="20% - Accent2 2 5 2 7 2" xfId="5304"/>
    <cellStyle name="20% - Accent2 2 5 2 7 2 2" xfId="5305"/>
    <cellStyle name="20% - Accent2 2 5 2 7 2 2 2" xfId="5306"/>
    <cellStyle name="20% - Accent2 2 5 2 7 2 3" xfId="5307"/>
    <cellStyle name="20% - Accent2 2 5 2 7 3" xfId="5308"/>
    <cellStyle name="20% - Accent2 2 5 2 7 3 2" xfId="5309"/>
    <cellStyle name="20% - Accent2 2 5 2 7 4" xfId="5310"/>
    <cellStyle name="20% - Accent2 2 5 2 8" xfId="5311"/>
    <cellStyle name="20% - Accent2 2 5 2 8 2" xfId="5312"/>
    <cellStyle name="20% - Accent2 2 5 2 8 2 2" xfId="5313"/>
    <cellStyle name="20% - Accent2 2 5 2 8 3" xfId="5314"/>
    <cellStyle name="20% - Accent2 2 5 2 9" xfId="5315"/>
    <cellStyle name="20% - Accent2 2 5 2 9 2" xfId="5316"/>
    <cellStyle name="20% - Accent2 2 5 3" xfId="5317"/>
    <cellStyle name="20% - Accent2 2 5 3 2" xfId="5318"/>
    <cellStyle name="20% - Accent2 2 5 3 2 2" xfId="5319"/>
    <cellStyle name="20% - Accent2 2 5 3 2 2 2" xfId="5320"/>
    <cellStyle name="20% - Accent2 2 5 3 2 2 2 2" xfId="5321"/>
    <cellStyle name="20% - Accent2 2 5 3 2 2 3" xfId="5322"/>
    <cellStyle name="20% - Accent2 2 5 3 2 3" xfId="5323"/>
    <cellStyle name="20% - Accent2 2 5 3 2 3 2" xfId="5324"/>
    <cellStyle name="20% - Accent2 2 5 3 2 4" xfId="5325"/>
    <cellStyle name="20% - Accent2 2 5 3 3" xfId="5326"/>
    <cellStyle name="20% - Accent2 2 5 3 3 2" xfId="5327"/>
    <cellStyle name="20% - Accent2 2 5 3 3 2 2" xfId="5328"/>
    <cellStyle name="20% - Accent2 2 5 3 3 3" xfId="5329"/>
    <cellStyle name="20% - Accent2 2 5 3 4" xfId="5330"/>
    <cellStyle name="20% - Accent2 2 5 3 4 2" xfId="5331"/>
    <cellStyle name="20% - Accent2 2 5 3 5" xfId="5332"/>
    <cellStyle name="20% - Accent2 2 5 4" xfId="5333"/>
    <cellStyle name="20% - Accent2 2 5 4 2" xfId="5334"/>
    <cellStyle name="20% - Accent2 2 5 4 2 2" xfId="5335"/>
    <cellStyle name="20% - Accent2 2 5 4 2 2 2" xfId="5336"/>
    <cellStyle name="20% - Accent2 2 5 4 2 2 2 2" xfId="5337"/>
    <cellStyle name="20% - Accent2 2 5 4 2 2 3" xfId="5338"/>
    <cellStyle name="20% - Accent2 2 5 4 2 3" xfId="5339"/>
    <cellStyle name="20% - Accent2 2 5 4 2 3 2" xfId="5340"/>
    <cellStyle name="20% - Accent2 2 5 4 2 4" xfId="5341"/>
    <cellStyle name="20% - Accent2 2 5 4 3" xfId="5342"/>
    <cellStyle name="20% - Accent2 2 5 4 3 2" xfId="5343"/>
    <cellStyle name="20% - Accent2 2 5 4 3 2 2" xfId="5344"/>
    <cellStyle name="20% - Accent2 2 5 4 3 3" xfId="5345"/>
    <cellStyle name="20% - Accent2 2 5 4 4" xfId="5346"/>
    <cellStyle name="20% - Accent2 2 5 4 4 2" xfId="5347"/>
    <cellStyle name="20% - Accent2 2 5 4 5" xfId="5348"/>
    <cellStyle name="20% - Accent2 2 5 5" xfId="5349"/>
    <cellStyle name="20% - Accent2 2 5 5 2" xfId="5350"/>
    <cellStyle name="20% - Accent2 2 5 5 2 2" xfId="5351"/>
    <cellStyle name="20% - Accent2 2 5 5 2 2 2" xfId="5352"/>
    <cellStyle name="20% - Accent2 2 5 5 2 2 2 2" xfId="5353"/>
    <cellStyle name="20% - Accent2 2 5 5 2 2 3" xfId="5354"/>
    <cellStyle name="20% - Accent2 2 5 5 2 3" xfId="5355"/>
    <cellStyle name="20% - Accent2 2 5 5 2 3 2" xfId="5356"/>
    <cellStyle name="20% - Accent2 2 5 5 2 4" xfId="5357"/>
    <cellStyle name="20% - Accent2 2 5 5 3" xfId="5358"/>
    <cellStyle name="20% - Accent2 2 5 5 3 2" xfId="5359"/>
    <cellStyle name="20% - Accent2 2 5 5 3 2 2" xfId="5360"/>
    <cellStyle name="20% - Accent2 2 5 5 3 3" xfId="5361"/>
    <cellStyle name="20% - Accent2 2 5 5 4" xfId="5362"/>
    <cellStyle name="20% - Accent2 2 5 5 4 2" xfId="5363"/>
    <cellStyle name="20% - Accent2 2 5 5 5" xfId="5364"/>
    <cellStyle name="20% - Accent2 2 5 6" xfId="5365"/>
    <cellStyle name="20% - Accent2 2 5 6 2" xfId="5366"/>
    <cellStyle name="20% - Accent2 2 5 6 2 2" xfId="5367"/>
    <cellStyle name="20% - Accent2 2 5 6 2 2 2" xfId="5368"/>
    <cellStyle name="20% - Accent2 2 5 6 2 2 2 2" xfId="5369"/>
    <cellStyle name="20% - Accent2 2 5 6 2 2 3" xfId="5370"/>
    <cellStyle name="20% - Accent2 2 5 6 2 3" xfId="5371"/>
    <cellStyle name="20% - Accent2 2 5 6 2 3 2" xfId="5372"/>
    <cellStyle name="20% - Accent2 2 5 6 2 4" xfId="5373"/>
    <cellStyle name="20% - Accent2 2 5 6 3" xfId="5374"/>
    <cellStyle name="20% - Accent2 2 5 6 3 2" xfId="5375"/>
    <cellStyle name="20% - Accent2 2 5 6 3 2 2" xfId="5376"/>
    <cellStyle name="20% - Accent2 2 5 6 3 3" xfId="5377"/>
    <cellStyle name="20% - Accent2 2 5 6 4" xfId="5378"/>
    <cellStyle name="20% - Accent2 2 5 6 4 2" xfId="5379"/>
    <cellStyle name="20% - Accent2 2 5 6 5" xfId="5380"/>
    <cellStyle name="20% - Accent2 2 5 7" xfId="5381"/>
    <cellStyle name="20% - Accent2 2 5 7 2" xfId="5382"/>
    <cellStyle name="20% - Accent2 2 5 7 2 2" xfId="5383"/>
    <cellStyle name="20% - Accent2 2 5 7 2 2 2" xfId="5384"/>
    <cellStyle name="20% - Accent2 2 5 7 2 2 2 2" xfId="5385"/>
    <cellStyle name="20% - Accent2 2 5 7 2 2 3" xfId="5386"/>
    <cellStyle name="20% - Accent2 2 5 7 2 3" xfId="5387"/>
    <cellStyle name="20% - Accent2 2 5 7 2 3 2" xfId="5388"/>
    <cellStyle name="20% - Accent2 2 5 7 2 4" xfId="5389"/>
    <cellStyle name="20% - Accent2 2 5 7 3" xfId="5390"/>
    <cellStyle name="20% - Accent2 2 5 7 3 2" xfId="5391"/>
    <cellStyle name="20% - Accent2 2 5 7 3 2 2" xfId="5392"/>
    <cellStyle name="20% - Accent2 2 5 7 3 3" xfId="5393"/>
    <cellStyle name="20% - Accent2 2 5 7 4" xfId="5394"/>
    <cellStyle name="20% - Accent2 2 5 7 4 2" xfId="5395"/>
    <cellStyle name="20% - Accent2 2 5 7 5" xfId="5396"/>
    <cellStyle name="20% - Accent2 2 5 8" xfId="5397"/>
    <cellStyle name="20% - Accent2 2 5 8 2" xfId="5398"/>
    <cellStyle name="20% - Accent2 2 5 8 2 2" xfId="5399"/>
    <cellStyle name="20% - Accent2 2 5 8 2 2 2" xfId="5400"/>
    <cellStyle name="20% - Accent2 2 5 8 2 3" xfId="5401"/>
    <cellStyle name="20% - Accent2 2 5 8 3" xfId="5402"/>
    <cellStyle name="20% - Accent2 2 5 8 3 2" xfId="5403"/>
    <cellStyle name="20% - Accent2 2 5 8 4" xfId="5404"/>
    <cellStyle name="20% - Accent2 2 5 9" xfId="5405"/>
    <cellStyle name="20% - Accent2 2 5 9 2" xfId="5406"/>
    <cellStyle name="20% - Accent2 2 5 9 2 2" xfId="5407"/>
    <cellStyle name="20% - Accent2 2 5 9 3" xfId="5408"/>
    <cellStyle name="20% - Accent2 2 6" xfId="5409"/>
    <cellStyle name="20% - Accent2 2 6 10" xfId="5410"/>
    <cellStyle name="20% - Accent2 2 6 10 2" xfId="5411"/>
    <cellStyle name="20% - Accent2 2 6 11" xfId="5412"/>
    <cellStyle name="20% - Accent2 2 6 2" xfId="5413"/>
    <cellStyle name="20% - Accent2 2 6 2 10" xfId="5414"/>
    <cellStyle name="20% - Accent2 2 6 2 2" xfId="5415"/>
    <cellStyle name="20% - Accent2 2 6 2 2 2" xfId="5416"/>
    <cellStyle name="20% - Accent2 2 6 2 2 2 2" xfId="5417"/>
    <cellStyle name="20% - Accent2 2 6 2 2 2 2 2" xfId="5418"/>
    <cellStyle name="20% - Accent2 2 6 2 2 2 2 2 2" xfId="5419"/>
    <cellStyle name="20% - Accent2 2 6 2 2 2 2 3" xfId="5420"/>
    <cellStyle name="20% - Accent2 2 6 2 2 2 3" xfId="5421"/>
    <cellStyle name="20% - Accent2 2 6 2 2 2 3 2" xfId="5422"/>
    <cellStyle name="20% - Accent2 2 6 2 2 2 4" xfId="5423"/>
    <cellStyle name="20% - Accent2 2 6 2 2 3" xfId="5424"/>
    <cellStyle name="20% - Accent2 2 6 2 2 3 2" xfId="5425"/>
    <cellStyle name="20% - Accent2 2 6 2 2 3 2 2" xfId="5426"/>
    <cellStyle name="20% - Accent2 2 6 2 2 3 3" xfId="5427"/>
    <cellStyle name="20% - Accent2 2 6 2 2 4" xfId="5428"/>
    <cellStyle name="20% - Accent2 2 6 2 2 4 2" xfId="5429"/>
    <cellStyle name="20% - Accent2 2 6 2 2 5" xfId="5430"/>
    <cellStyle name="20% - Accent2 2 6 2 3" xfId="5431"/>
    <cellStyle name="20% - Accent2 2 6 2 3 2" xfId="5432"/>
    <cellStyle name="20% - Accent2 2 6 2 3 2 2" xfId="5433"/>
    <cellStyle name="20% - Accent2 2 6 2 3 2 2 2" xfId="5434"/>
    <cellStyle name="20% - Accent2 2 6 2 3 2 2 2 2" xfId="5435"/>
    <cellStyle name="20% - Accent2 2 6 2 3 2 2 3" xfId="5436"/>
    <cellStyle name="20% - Accent2 2 6 2 3 2 3" xfId="5437"/>
    <cellStyle name="20% - Accent2 2 6 2 3 2 3 2" xfId="5438"/>
    <cellStyle name="20% - Accent2 2 6 2 3 2 4" xfId="5439"/>
    <cellStyle name="20% - Accent2 2 6 2 3 3" xfId="5440"/>
    <cellStyle name="20% - Accent2 2 6 2 3 3 2" xfId="5441"/>
    <cellStyle name="20% - Accent2 2 6 2 3 3 2 2" xfId="5442"/>
    <cellStyle name="20% - Accent2 2 6 2 3 3 3" xfId="5443"/>
    <cellStyle name="20% - Accent2 2 6 2 3 4" xfId="5444"/>
    <cellStyle name="20% - Accent2 2 6 2 3 4 2" xfId="5445"/>
    <cellStyle name="20% - Accent2 2 6 2 3 5" xfId="5446"/>
    <cellStyle name="20% - Accent2 2 6 2 4" xfId="5447"/>
    <cellStyle name="20% - Accent2 2 6 2 4 2" xfId="5448"/>
    <cellStyle name="20% - Accent2 2 6 2 4 2 2" xfId="5449"/>
    <cellStyle name="20% - Accent2 2 6 2 4 2 2 2" xfId="5450"/>
    <cellStyle name="20% - Accent2 2 6 2 4 2 2 2 2" xfId="5451"/>
    <cellStyle name="20% - Accent2 2 6 2 4 2 2 3" xfId="5452"/>
    <cellStyle name="20% - Accent2 2 6 2 4 2 3" xfId="5453"/>
    <cellStyle name="20% - Accent2 2 6 2 4 2 3 2" xfId="5454"/>
    <cellStyle name="20% - Accent2 2 6 2 4 2 4" xfId="5455"/>
    <cellStyle name="20% - Accent2 2 6 2 4 3" xfId="5456"/>
    <cellStyle name="20% - Accent2 2 6 2 4 3 2" xfId="5457"/>
    <cellStyle name="20% - Accent2 2 6 2 4 3 2 2" xfId="5458"/>
    <cellStyle name="20% - Accent2 2 6 2 4 3 3" xfId="5459"/>
    <cellStyle name="20% - Accent2 2 6 2 4 4" xfId="5460"/>
    <cellStyle name="20% - Accent2 2 6 2 4 4 2" xfId="5461"/>
    <cellStyle name="20% - Accent2 2 6 2 4 5" xfId="5462"/>
    <cellStyle name="20% - Accent2 2 6 2 5" xfId="5463"/>
    <cellStyle name="20% - Accent2 2 6 2 5 2" xfId="5464"/>
    <cellStyle name="20% - Accent2 2 6 2 5 2 2" xfId="5465"/>
    <cellStyle name="20% - Accent2 2 6 2 5 2 2 2" xfId="5466"/>
    <cellStyle name="20% - Accent2 2 6 2 5 2 2 2 2" xfId="5467"/>
    <cellStyle name="20% - Accent2 2 6 2 5 2 2 3" xfId="5468"/>
    <cellStyle name="20% - Accent2 2 6 2 5 2 3" xfId="5469"/>
    <cellStyle name="20% - Accent2 2 6 2 5 2 3 2" xfId="5470"/>
    <cellStyle name="20% - Accent2 2 6 2 5 2 4" xfId="5471"/>
    <cellStyle name="20% - Accent2 2 6 2 5 3" xfId="5472"/>
    <cellStyle name="20% - Accent2 2 6 2 5 3 2" xfId="5473"/>
    <cellStyle name="20% - Accent2 2 6 2 5 3 2 2" xfId="5474"/>
    <cellStyle name="20% - Accent2 2 6 2 5 3 3" xfId="5475"/>
    <cellStyle name="20% - Accent2 2 6 2 5 4" xfId="5476"/>
    <cellStyle name="20% - Accent2 2 6 2 5 4 2" xfId="5477"/>
    <cellStyle name="20% - Accent2 2 6 2 5 5" xfId="5478"/>
    <cellStyle name="20% - Accent2 2 6 2 6" xfId="5479"/>
    <cellStyle name="20% - Accent2 2 6 2 6 2" xfId="5480"/>
    <cellStyle name="20% - Accent2 2 6 2 6 2 2" xfId="5481"/>
    <cellStyle name="20% - Accent2 2 6 2 6 2 2 2" xfId="5482"/>
    <cellStyle name="20% - Accent2 2 6 2 6 2 2 2 2" xfId="5483"/>
    <cellStyle name="20% - Accent2 2 6 2 6 2 2 3" xfId="5484"/>
    <cellStyle name="20% - Accent2 2 6 2 6 2 3" xfId="5485"/>
    <cellStyle name="20% - Accent2 2 6 2 6 2 3 2" xfId="5486"/>
    <cellStyle name="20% - Accent2 2 6 2 6 2 4" xfId="5487"/>
    <cellStyle name="20% - Accent2 2 6 2 6 3" xfId="5488"/>
    <cellStyle name="20% - Accent2 2 6 2 6 3 2" xfId="5489"/>
    <cellStyle name="20% - Accent2 2 6 2 6 3 2 2" xfId="5490"/>
    <cellStyle name="20% - Accent2 2 6 2 6 3 3" xfId="5491"/>
    <cellStyle name="20% - Accent2 2 6 2 6 4" xfId="5492"/>
    <cellStyle name="20% - Accent2 2 6 2 6 4 2" xfId="5493"/>
    <cellStyle name="20% - Accent2 2 6 2 6 5" xfId="5494"/>
    <cellStyle name="20% - Accent2 2 6 2 7" xfId="5495"/>
    <cellStyle name="20% - Accent2 2 6 2 7 2" xfId="5496"/>
    <cellStyle name="20% - Accent2 2 6 2 7 2 2" xfId="5497"/>
    <cellStyle name="20% - Accent2 2 6 2 7 2 2 2" xfId="5498"/>
    <cellStyle name="20% - Accent2 2 6 2 7 2 3" xfId="5499"/>
    <cellStyle name="20% - Accent2 2 6 2 7 3" xfId="5500"/>
    <cellStyle name="20% - Accent2 2 6 2 7 3 2" xfId="5501"/>
    <cellStyle name="20% - Accent2 2 6 2 7 4" xfId="5502"/>
    <cellStyle name="20% - Accent2 2 6 2 8" xfId="5503"/>
    <cellStyle name="20% - Accent2 2 6 2 8 2" xfId="5504"/>
    <cellStyle name="20% - Accent2 2 6 2 8 2 2" xfId="5505"/>
    <cellStyle name="20% - Accent2 2 6 2 8 3" xfId="5506"/>
    <cellStyle name="20% - Accent2 2 6 2 9" xfId="5507"/>
    <cellStyle name="20% - Accent2 2 6 2 9 2" xfId="5508"/>
    <cellStyle name="20% - Accent2 2 6 3" xfId="5509"/>
    <cellStyle name="20% - Accent2 2 6 3 2" xfId="5510"/>
    <cellStyle name="20% - Accent2 2 6 3 2 2" xfId="5511"/>
    <cellStyle name="20% - Accent2 2 6 3 2 2 2" xfId="5512"/>
    <cellStyle name="20% - Accent2 2 6 3 2 2 2 2" xfId="5513"/>
    <cellStyle name="20% - Accent2 2 6 3 2 2 3" xfId="5514"/>
    <cellStyle name="20% - Accent2 2 6 3 2 3" xfId="5515"/>
    <cellStyle name="20% - Accent2 2 6 3 2 3 2" xfId="5516"/>
    <cellStyle name="20% - Accent2 2 6 3 2 4" xfId="5517"/>
    <cellStyle name="20% - Accent2 2 6 3 3" xfId="5518"/>
    <cellStyle name="20% - Accent2 2 6 3 3 2" xfId="5519"/>
    <cellStyle name="20% - Accent2 2 6 3 3 2 2" xfId="5520"/>
    <cellStyle name="20% - Accent2 2 6 3 3 3" xfId="5521"/>
    <cellStyle name="20% - Accent2 2 6 3 4" xfId="5522"/>
    <cellStyle name="20% - Accent2 2 6 3 4 2" xfId="5523"/>
    <cellStyle name="20% - Accent2 2 6 3 5" xfId="5524"/>
    <cellStyle name="20% - Accent2 2 6 4" xfId="5525"/>
    <cellStyle name="20% - Accent2 2 6 4 2" xfId="5526"/>
    <cellStyle name="20% - Accent2 2 6 4 2 2" xfId="5527"/>
    <cellStyle name="20% - Accent2 2 6 4 2 2 2" xfId="5528"/>
    <cellStyle name="20% - Accent2 2 6 4 2 2 2 2" xfId="5529"/>
    <cellStyle name="20% - Accent2 2 6 4 2 2 3" xfId="5530"/>
    <cellStyle name="20% - Accent2 2 6 4 2 3" xfId="5531"/>
    <cellStyle name="20% - Accent2 2 6 4 2 3 2" xfId="5532"/>
    <cellStyle name="20% - Accent2 2 6 4 2 4" xfId="5533"/>
    <cellStyle name="20% - Accent2 2 6 4 3" xfId="5534"/>
    <cellStyle name="20% - Accent2 2 6 4 3 2" xfId="5535"/>
    <cellStyle name="20% - Accent2 2 6 4 3 2 2" xfId="5536"/>
    <cellStyle name="20% - Accent2 2 6 4 3 3" xfId="5537"/>
    <cellStyle name="20% - Accent2 2 6 4 4" xfId="5538"/>
    <cellStyle name="20% - Accent2 2 6 4 4 2" xfId="5539"/>
    <cellStyle name="20% - Accent2 2 6 4 5" xfId="5540"/>
    <cellStyle name="20% - Accent2 2 6 5" xfId="5541"/>
    <cellStyle name="20% - Accent2 2 6 5 2" xfId="5542"/>
    <cellStyle name="20% - Accent2 2 6 5 2 2" xfId="5543"/>
    <cellStyle name="20% - Accent2 2 6 5 2 2 2" xfId="5544"/>
    <cellStyle name="20% - Accent2 2 6 5 2 2 2 2" xfId="5545"/>
    <cellStyle name="20% - Accent2 2 6 5 2 2 3" xfId="5546"/>
    <cellStyle name="20% - Accent2 2 6 5 2 3" xfId="5547"/>
    <cellStyle name="20% - Accent2 2 6 5 2 3 2" xfId="5548"/>
    <cellStyle name="20% - Accent2 2 6 5 2 4" xfId="5549"/>
    <cellStyle name="20% - Accent2 2 6 5 3" xfId="5550"/>
    <cellStyle name="20% - Accent2 2 6 5 3 2" xfId="5551"/>
    <cellStyle name="20% - Accent2 2 6 5 3 2 2" xfId="5552"/>
    <cellStyle name="20% - Accent2 2 6 5 3 3" xfId="5553"/>
    <cellStyle name="20% - Accent2 2 6 5 4" xfId="5554"/>
    <cellStyle name="20% - Accent2 2 6 5 4 2" xfId="5555"/>
    <cellStyle name="20% - Accent2 2 6 5 5" xfId="5556"/>
    <cellStyle name="20% - Accent2 2 6 6" xfId="5557"/>
    <cellStyle name="20% - Accent2 2 6 6 2" xfId="5558"/>
    <cellStyle name="20% - Accent2 2 6 6 2 2" xfId="5559"/>
    <cellStyle name="20% - Accent2 2 6 6 2 2 2" xfId="5560"/>
    <cellStyle name="20% - Accent2 2 6 6 2 2 2 2" xfId="5561"/>
    <cellStyle name="20% - Accent2 2 6 6 2 2 3" xfId="5562"/>
    <cellStyle name="20% - Accent2 2 6 6 2 3" xfId="5563"/>
    <cellStyle name="20% - Accent2 2 6 6 2 3 2" xfId="5564"/>
    <cellStyle name="20% - Accent2 2 6 6 2 4" xfId="5565"/>
    <cellStyle name="20% - Accent2 2 6 6 3" xfId="5566"/>
    <cellStyle name="20% - Accent2 2 6 6 3 2" xfId="5567"/>
    <cellStyle name="20% - Accent2 2 6 6 3 2 2" xfId="5568"/>
    <cellStyle name="20% - Accent2 2 6 6 3 3" xfId="5569"/>
    <cellStyle name="20% - Accent2 2 6 6 4" xfId="5570"/>
    <cellStyle name="20% - Accent2 2 6 6 4 2" xfId="5571"/>
    <cellStyle name="20% - Accent2 2 6 6 5" xfId="5572"/>
    <cellStyle name="20% - Accent2 2 6 7" xfId="5573"/>
    <cellStyle name="20% - Accent2 2 6 7 2" xfId="5574"/>
    <cellStyle name="20% - Accent2 2 6 7 2 2" xfId="5575"/>
    <cellStyle name="20% - Accent2 2 6 7 2 2 2" xfId="5576"/>
    <cellStyle name="20% - Accent2 2 6 7 2 2 2 2" xfId="5577"/>
    <cellStyle name="20% - Accent2 2 6 7 2 2 3" xfId="5578"/>
    <cellStyle name="20% - Accent2 2 6 7 2 3" xfId="5579"/>
    <cellStyle name="20% - Accent2 2 6 7 2 3 2" xfId="5580"/>
    <cellStyle name="20% - Accent2 2 6 7 2 4" xfId="5581"/>
    <cellStyle name="20% - Accent2 2 6 7 3" xfId="5582"/>
    <cellStyle name="20% - Accent2 2 6 7 3 2" xfId="5583"/>
    <cellStyle name="20% - Accent2 2 6 7 3 2 2" xfId="5584"/>
    <cellStyle name="20% - Accent2 2 6 7 3 3" xfId="5585"/>
    <cellStyle name="20% - Accent2 2 6 7 4" xfId="5586"/>
    <cellStyle name="20% - Accent2 2 6 7 4 2" xfId="5587"/>
    <cellStyle name="20% - Accent2 2 6 7 5" xfId="5588"/>
    <cellStyle name="20% - Accent2 2 6 8" xfId="5589"/>
    <cellStyle name="20% - Accent2 2 6 8 2" xfId="5590"/>
    <cellStyle name="20% - Accent2 2 6 8 2 2" xfId="5591"/>
    <cellStyle name="20% - Accent2 2 6 8 2 2 2" xfId="5592"/>
    <cellStyle name="20% - Accent2 2 6 8 2 3" xfId="5593"/>
    <cellStyle name="20% - Accent2 2 6 8 3" xfId="5594"/>
    <cellStyle name="20% - Accent2 2 6 8 3 2" xfId="5595"/>
    <cellStyle name="20% - Accent2 2 6 8 4" xfId="5596"/>
    <cellStyle name="20% - Accent2 2 6 9" xfId="5597"/>
    <cellStyle name="20% - Accent2 2 6 9 2" xfId="5598"/>
    <cellStyle name="20% - Accent2 2 6 9 2 2" xfId="5599"/>
    <cellStyle name="20% - Accent2 2 6 9 3" xfId="5600"/>
    <cellStyle name="20% - Accent2 2 7" xfId="5601"/>
    <cellStyle name="20% - Accent2 2 7 10" xfId="5602"/>
    <cellStyle name="20% - Accent2 2 7 10 2" xfId="5603"/>
    <cellStyle name="20% - Accent2 2 7 11" xfId="5604"/>
    <cellStyle name="20% - Accent2 2 7 2" xfId="5605"/>
    <cellStyle name="20% - Accent2 2 7 2 10" xfId="5606"/>
    <cellStyle name="20% - Accent2 2 7 2 2" xfId="5607"/>
    <cellStyle name="20% - Accent2 2 7 2 2 2" xfId="5608"/>
    <cellStyle name="20% - Accent2 2 7 2 2 2 2" xfId="5609"/>
    <cellStyle name="20% - Accent2 2 7 2 2 2 2 2" xfId="5610"/>
    <cellStyle name="20% - Accent2 2 7 2 2 2 2 2 2" xfId="5611"/>
    <cellStyle name="20% - Accent2 2 7 2 2 2 2 3" xfId="5612"/>
    <cellStyle name="20% - Accent2 2 7 2 2 2 3" xfId="5613"/>
    <cellStyle name="20% - Accent2 2 7 2 2 2 3 2" xfId="5614"/>
    <cellStyle name="20% - Accent2 2 7 2 2 2 4" xfId="5615"/>
    <cellStyle name="20% - Accent2 2 7 2 2 3" xfId="5616"/>
    <cellStyle name="20% - Accent2 2 7 2 2 3 2" xfId="5617"/>
    <cellStyle name="20% - Accent2 2 7 2 2 3 2 2" xfId="5618"/>
    <cellStyle name="20% - Accent2 2 7 2 2 3 3" xfId="5619"/>
    <cellStyle name="20% - Accent2 2 7 2 2 4" xfId="5620"/>
    <cellStyle name="20% - Accent2 2 7 2 2 4 2" xfId="5621"/>
    <cellStyle name="20% - Accent2 2 7 2 2 5" xfId="5622"/>
    <cellStyle name="20% - Accent2 2 7 2 3" xfId="5623"/>
    <cellStyle name="20% - Accent2 2 7 2 3 2" xfId="5624"/>
    <cellStyle name="20% - Accent2 2 7 2 3 2 2" xfId="5625"/>
    <cellStyle name="20% - Accent2 2 7 2 3 2 2 2" xfId="5626"/>
    <cellStyle name="20% - Accent2 2 7 2 3 2 2 2 2" xfId="5627"/>
    <cellStyle name="20% - Accent2 2 7 2 3 2 2 3" xfId="5628"/>
    <cellStyle name="20% - Accent2 2 7 2 3 2 3" xfId="5629"/>
    <cellStyle name="20% - Accent2 2 7 2 3 2 3 2" xfId="5630"/>
    <cellStyle name="20% - Accent2 2 7 2 3 2 4" xfId="5631"/>
    <cellStyle name="20% - Accent2 2 7 2 3 3" xfId="5632"/>
    <cellStyle name="20% - Accent2 2 7 2 3 3 2" xfId="5633"/>
    <cellStyle name="20% - Accent2 2 7 2 3 3 2 2" xfId="5634"/>
    <cellStyle name="20% - Accent2 2 7 2 3 3 3" xfId="5635"/>
    <cellStyle name="20% - Accent2 2 7 2 3 4" xfId="5636"/>
    <cellStyle name="20% - Accent2 2 7 2 3 4 2" xfId="5637"/>
    <cellStyle name="20% - Accent2 2 7 2 3 5" xfId="5638"/>
    <cellStyle name="20% - Accent2 2 7 2 4" xfId="5639"/>
    <cellStyle name="20% - Accent2 2 7 2 4 2" xfId="5640"/>
    <cellStyle name="20% - Accent2 2 7 2 4 2 2" xfId="5641"/>
    <cellStyle name="20% - Accent2 2 7 2 4 2 2 2" xfId="5642"/>
    <cellStyle name="20% - Accent2 2 7 2 4 2 2 2 2" xfId="5643"/>
    <cellStyle name="20% - Accent2 2 7 2 4 2 2 3" xfId="5644"/>
    <cellStyle name="20% - Accent2 2 7 2 4 2 3" xfId="5645"/>
    <cellStyle name="20% - Accent2 2 7 2 4 2 3 2" xfId="5646"/>
    <cellStyle name="20% - Accent2 2 7 2 4 2 4" xfId="5647"/>
    <cellStyle name="20% - Accent2 2 7 2 4 3" xfId="5648"/>
    <cellStyle name="20% - Accent2 2 7 2 4 3 2" xfId="5649"/>
    <cellStyle name="20% - Accent2 2 7 2 4 3 2 2" xfId="5650"/>
    <cellStyle name="20% - Accent2 2 7 2 4 3 3" xfId="5651"/>
    <cellStyle name="20% - Accent2 2 7 2 4 4" xfId="5652"/>
    <cellStyle name="20% - Accent2 2 7 2 4 4 2" xfId="5653"/>
    <cellStyle name="20% - Accent2 2 7 2 4 5" xfId="5654"/>
    <cellStyle name="20% - Accent2 2 7 2 5" xfId="5655"/>
    <cellStyle name="20% - Accent2 2 7 2 5 2" xfId="5656"/>
    <cellStyle name="20% - Accent2 2 7 2 5 2 2" xfId="5657"/>
    <cellStyle name="20% - Accent2 2 7 2 5 2 2 2" xfId="5658"/>
    <cellStyle name="20% - Accent2 2 7 2 5 2 2 2 2" xfId="5659"/>
    <cellStyle name="20% - Accent2 2 7 2 5 2 2 3" xfId="5660"/>
    <cellStyle name="20% - Accent2 2 7 2 5 2 3" xfId="5661"/>
    <cellStyle name="20% - Accent2 2 7 2 5 2 3 2" xfId="5662"/>
    <cellStyle name="20% - Accent2 2 7 2 5 2 4" xfId="5663"/>
    <cellStyle name="20% - Accent2 2 7 2 5 3" xfId="5664"/>
    <cellStyle name="20% - Accent2 2 7 2 5 3 2" xfId="5665"/>
    <cellStyle name="20% - Accent2 2 7 2 5 3 2 2" xfId="5666"/>
    <cellStyle name="20% - Accent2 2 7 2 5 3 3" xfId="5667"/>
    <cellStyle name="20% - Accent2 2 7 2 5 4" xfId="5668"/>
    <cellStyle name="20% - Accent2 2 7 2 5 4 2" xfId="5669"/>
    <cellStyle name="20% - Accent2 2 7 2 5 5" xfId="5670"/>
    <cellStyle name="20% - Accent2 2 7 2 6" xfId="5671"/>
    <cellStyle name="20% - Accent2 2 7 2 6 2" xfId="5672"/>
    <cellStyle name="20% - Accent2 2 7 2 6 2 2" xfId="5673"/>
    <cellStyle name="20% - Accent2 2 7 2 6 2 2 2" xfId="5674"/>
    <cellStyle name="20% - Accent2 2 7 2 6 2 2 2 2" xfId="5675"/>
    <cellStyle name="20% - Accent2 2 7 2 6 2 2 3" xfId="5676"/>
    <cellStyle name="20% - Accent2 2 7 2 6 2 3" xfId="5677"/>
    <cellStyle name="20% - Accent2 2 7 2 6 2 3 2" xfId="5678"/>
    <cellStyle name="20% - Accent2 2 7 2 6 2 4" xfId="5679"/>
    <cellStyle name="20% - Accent2 2 7 2 6 3" xfId="5680"/>
    <cellStyle name="20% - Accent2 2 7 2 6 3 2" xfId="5681"/>
    <cellStyle name="20% - Accent2 2 7 2 6 3 2 2" xfId="5682"/>
    <cellStyle name="20% - Accent2 2 7 2 6 3 3" xfId="5683"/>
    <cellStyle name="20% - Accent2 2 7 2 6 4" xfId="5684"/>
    <cellStyle name="20% - Accent2 2 7 2 6 4 2" xfId="5685"/>
    <cellStyle name="20% - Accent2 2 7 2 6 5" xfId="5686"/>
    <cellStyle name="20% - Accent2 2 7 2 7" xfId="5687"/>
    <cellStyle name="20% - Accent2 2 7 2 7 2" xfId="5688"/>
    <cellStyle name="20% - Accent2 2 7 2 7 2 2" xfId="5689"/>
    <cellStyle name="20% - Accent2 2 7 2 7 2 2 2" xfId="5690"/>
    <cellStyle name="20% - Accent2 2 7 2 7 2 3" xfId="5691"/>
    <cellStyle name="20% - Accent2 2 7 2 7 3" xfId="5692"/>
    <cellStyle name="20% - Accent2 2 7 2 7 3 2" xfId="5693"/>
    <cellStyle name="20% - Accent2 2 7 2 7 4" xfId="5694"/>
    <cellStyle name="20% - Accent2 2 7 2 8" xfId="5695"/>
    <cellStyle name="20% - Accent2 2 7 2 8 2" xfId="5696"/>
    <cellStyle name="20% - Accent2 2 7 2 8 2 2" xfId="5697"/>
    <cellStyle name="20% - Accent2 2 7 2 8 3" xfId="5698"/>
    <cellStyle name="20% - Accent2 2 7 2 9" xfId="5699"/>
    <cellStyle name="20% - Accent2 2 7 2 9 2" xfId="5700"/>
    <cellStyle name="20% - Accent2 2 7 3" xfId="5701"/>
    <cellStyle name="20% - Accent2 2 7 3 2" xfId="5702"/>
    <cellStyle name="20% - Accent2 2 7 3 2 2" xfId="5703"/>
    <cellStyle name="20% - Accent2 2 7 3 2 2 2" xfId="5704"/>
    <cellStyle name="20% - Accent2 2 7 3 2 2 2 2" xfId="5705"/>
    <cellStyle name="20% - Accent2 2 7 3 2 2 3" xfId="5706"/>
    <cellStyle name="20% - Accent2 2 7 3 2 3" xfId="5707"/>
    <cellStyle name="20% - Accent2 2 7 3 2 3 2" xfId="5708"/>
    <cellStyle name="20% - Accent2 2 7 3 2 4" xfId="5709"/>
    <cellStyle name="20% - Accent2 2 7 3 3" xfId="5710"/>
    <cellStyle name="20% - Accent2 2 7 3 3 2" xfId="5711"/>
    <cellStyle name="20% - Accent2 2 7 3 3 2 2" xfId="5712"/>
    <cellStyle name="20% - Accent2 2 7 3 3 3" xfId="5713"/>
    <cellStyle name="20% - Accent2 2 7 3 4" xfId="5714"/>
    <cellStyle name="20% - Accent2 2 7 3 4 2" xfId="5715"/>
    <cellStyle name="20% - Accent2 2 7 3 5" xfId="5716"/>
    <cellStyle name="20% - Accent2 2 7 4" xfId="5717"/>
    <cellStyle name="20% - Accent2 2 7 4 2" xfId="5718"/>
    <cellStyle name="20% - Accent2 2 7 4 2 2" xfId="5719"/>
    <cellStyle name="20% - Accent2 2 7 4 2 2 2" xfId="5720"/>
    <cellStyle name="20% - Accent2 2 7 4 2 2 2 2" xfId="5721"/>
    <cellStyle name="20% - Accent2 2 7 4 2 2 3" xfId="5722"/>
    <cellStyle name="20% - Accent2 2 7 4 2 3" xfId="5723"/>
    <cellStyle name="20% - Accent2 2 7 4 2 3 2" xfId="5724"/>
    <cellStyle name="20% - Accent2 2 7 4 2 4" xfId="5725"/>
    <cellStyle name="20% - Accent2 2 7 4 3" xfId="5726"/>
    <cellStyle name="20% - Accent2 2 7 4 3 2" xfId="5727"/>
    <cellStyle name="20% - Accent2 2 7 4 3 2 2" xfId="5728"/>
    <cellStyle name="20% - Accent2 2 7 4 3 3" xfId="5729"/>
    <cellStyle name="20% - Accent2 2 7 4 4" xfId="5730"/>
    <cellStyle name="20% - Accent2 2 7 4 4 2" xfId="5731"/>
    <cellStyle name="20% - Accent2 2 7 4 5" xfId="5732"/>
    <cellStyle name="20% - Accent2 2 7 5" xfId="5733"/>
    <cellStyle name="20% - Accent2 2 7 5 2" xfId="5734"/>
    <cellStyle name="20% - Accent2 2 7 5 2 2" xfId="5735"/>
    <cellStyle name="20% - Accent2 2 7 5 2 2 2" xfId="5736"/>
    <cellStyle name="20% - Accent2 2 7 5 2 2 2 2" xfId="5737"/>
    <cellStyle name="20% - Accent2 2 7 5 2 2 3" xfId="5738"/>
    <cellStyle name="20% - Accent2 2 7 5 2 3" xfId="5739"/>
    <cellStyle name="20% - Accent2 2 7 5 2 3 2" xfId="5740"/>
    <cellStyle name="20% - Accent2 2 7 5 2 4" xfId="5741"/>
    <cellStyle name="20% - Accent2 2 7 5 3" xfId="5742"/>
    <cellStyle name="20% - Accent2 2 7 5 3 2" xfId="5743"/>
    <cellStyle name="20% - Accent2 2 7 5 3 2 2" xfId="5744"/>
    <cellStyle name="20% - Accent2 2 7 5 3 3" xfId="5745"/>
    <cellStyle name="20% - Accent2 2 7 5 4" xfId="5746"/>
    <cellStyle name="20% - Accent2 2 7 5 4 2" xfId="5747"/>
    <cellStyle name="20% - Accent2 2 7 5 5" xfId="5748"/>
    <cellStyle name="20% - Accent2 2 7 6" xfId="5749"/>
    <cellStyle name="20% - Accent2 2 7 6 2" xfId="5750"/>
    <cellStyle name="20% - Accent2 2 7 6 2 2" xfId="5751"/>
    <cellStyle name="20% - Accent2 2 7 6 2 2 2" xfId="5752"/>
    <cellStyle name="20% - Accent2 2 7 6 2 2 2 2" xfId="5753"/>
    <cellStyle name="20% - Accent2 2 7 6 2 2 3" xfId="5754"/>
    <cellStyle name="20% - Accent2 2 7 6 2 3" xfId="5755"/>
    <cellStyle name="20% - Accent2 2 7 6 2 3 2" xfId="5756"/>
    <cellStyle name="20% - Accent2 2 7 6 2 4" xfId="5757"/>
    <cellStyle name="20% - Accent2 2 7 6 3" xfId="5758"/>
    <cellStyle name="20% - Accent2 2 7 6 3 2" xfId="5759"/>
    <cellStyle name="20% - Accent2 2 7 6 3 2 2" xfId="5760"/>
    <cellStyle name="20% - Accent2 2 7 6 3 3" xfId="5761"/>
    <cellStyle name="20% - Accent2 2 7 6 4" xfId="5762"/>
    <cellStyle name="20% - Accent2 2 7 6 4 2" xfId="5763"/>
    <cellStyle name="20% - Accent2 2 7 6 5" xfId="5764"/>
    <cellStyle name="20% - Accent2 2 7 7" xfId="5765"/>
    <cellStyle name="20% - Accent2 2 7 7 2" xfId="5766"/>
    <cellStyle name="20% - Accent2 2 7 7 2 2" xfId="5767"/>
    <cellStyle name="20% - Accent2 2 7 7 2 2 2" xfId="5768"/>
    <cellStyle name="20% - Accent2 2 7 7 2 2 2 2" xfId="5769"/>
    <cellStyle name="20% - Accent2 2 7 7 2 2 3" xfId="5770"/>
    <cellStyle name="20% - Accent2 2 7 7 2 3" xfId="5771"/>
    <cellStyle name="20% - Accent2 2 7 7 2 3 2" xfId="5772"/>
    <cellStyle name="20% - Accent2 2 7 7 2 4" xfId="5773"/>
    <cellStyle name="20% - Accent2 2 7 7 3" xfId="5774"/>
    <cellStyle name="20% - Accent2 2 7 7 3 2" xfId="5775"/>
    <cellStyle name="20% - Accent2 2 7 7 3 2 2" xfId="5776"/>
    <cellStyle name="20% - Accent2 2 7 7 3 3" xfId="5777"/>
    <cellStyle name="20% - Accent2 2 7 7 4" xfId="5778"/>
    <cellStyle name="20% - Accent2 2 7 7 4 2" xfId="5779"/>
    <cellStyle name="20% - Accent2 2 7 7 5" xfId="5780"/>
    <cellStyle name="20% - Accent2 2 7 8" xfId="5781"/>
    <cellStyle name="20% - Accent2 2 7 8 2" xfId="5782"/>
    <cellStyle name="20% - Accent2 2 7 8 2 2" xfId="5783"/>
    <cellStyle name="20% - Accent2 2 7 8 2 2 2" xfId="5784"/>
    <cellStyle name="20% - Accent2 2 7 8 2 3" xfId="5785"/>
    <cellStyle name="20% - Accent2 2 7 8 3" xfId="5786"/>
    <cellStyle name="20% - Accent2 2 7 8 3 2" xfId="5787"/>
    <cellStyle name="20% - Accent2 2 7 8 4" xfId="5788"/>
    <cellStyle name="20% - Accent2 2 7 9" xfId="5789"/>
    <cellStyle name="20% - Accent2 2 7 9 2" xfId="5790"/>
    <cellStyle name="20% - Accent2 2 7 9 2 2" xfId="5791"/>
    <cellStyle name="20% - Accent2 2 7 9 3" xfId="5792"/>
    <cellStyle name="20% - Accent2 2 8" xfId="5793"/>
    <cellStyle name="20% - Accent2 2 8 10" xfId="5794"/>
    <cellStyle name="20% - Accent2 2 8 10 2" xfId="5795"/>
    <cellStyle name="20% - Accent2 2 8 11" xfId="5796"/>
    <cellStyle name="20% - Accent2 2 8 2" xfId="5797"/>
    <cellStyle name="20% - Accent2 2 8 2 10" xfId="5798"/>
    <cellStyle name="20% - Accent2 2 8 2 2" xfId="5799"/>
    <cellStyle name="20% - Accent2 2 8 2 2 2" xfId="5800"/>
    <cellStyle name="20% - Accent2 2 8 2 2 2 2" xfId="5801"/>
    <cellStyle name="20% - Accent2 2 8 2 2 2 2 2" xfId="5802"/>
    <cellStyle name="20% - Accent2 2 8 2 2 2 2 2 2" xfId="5803"/>
    <cellStyle name="20% - Accent2 2 8 2 2 2 2 3" xfId="5804"/>
    <cellStyle name="20% - Accent2 2 8 2 2 2 3" xfId="5805"/>
    <cellStyle name="20% - Accent2 2 8 2 2 2 3 2" xfId="5806"/>
    <cellStyle name="20% - Accent2 2 8 2 2 2 4" xfId="5807"/>
    <cellStyle name="20% - Accent2 2 8 2 2 3" xfId="5808"/>
    <cellStyle name="20% - Accent2 2 8 2 2 3 2" xfId="5809"/>
    <cellStyle name="20% - Accent2 2 8 2 2 3 2 2" xfId="5810"/>
    <cellStyle name="20% - Accent2 2 8 2 2 3 3" xfId="5811"/>
    <cellStyle name="20% - Accent2 2 8 2 2 4" xfId="5812"/>
    <cellStyle name="20% - Accent2 2 8 2 2 4 2" xfId="5813"/>
    <cellStyle name="20% - Accent2 2 8 2 2 5" xfId="5814"/>
    <cellStyle name="20% - Accent2 2 8 2 3" xfId="5815"/>
    <cellStyle name="20% - Accent2 2 8 2 3 2" xfId="5816"/>
    <cellStyle name="20% - Accent2 2 8 2 3 2 2" xfId="5817"/>
    <cellStyle name="20% - Accent2 2 8 2 3 2 2 2" xfId="5818"/>
    <cellStyle name="20% - Accent2 2 8 2 3 2 2 2 2" xfId="5819"/>
    <cellStyle name="20% - Accent2 2 8 2 3 2 2 3" xfId="5820"/>
    <cellStyle name="20% - Accent2 2 8 2 3 2 3" xfId="5821"/>
    <cellStyle name="20% - Accent2 2 8 2 3 2 3 2" xfId="5822"/>
    <cellStyle name="20% - Accent2 2 8 2 3 2 4" xfId="5823"/>
    <cellStyle name="20% - Accent2 2 8 2 3 3" xfId="5824"/>
    <cellStyle name="20% - Accent2 2 8 2 3 3 2" xfId="5825"/>
    <cellStyle name="20% - Accent2 2 8 2 3 3 2 2" xfId="5826"/>
    <cellStyle name="20% - Accent2 2 8 2 3 3 3" xfId="5827"/>
    <cellStyle name="20% - Accent2 2 8 2 3 4" xfId="5828"/>
    <cellStyle name="20% - Accent2 2 8 2 3 4 2" xfId="5829"/>
    <cellStyle name="20% - Accent2 2 8 2 3 5" xfId="5830"/>
    <cellStyle name="20% - Accent2 2 8 2 4" xfId="5831"/>
    <cellStyle name="20% - Accent2 2 8 2 4 2" xfId="5832"/>
    <cellStyle name="20% - Accent2 2 8 2 4 2 2" xfId="5833"/>
    <cellStyle name="20% - Accent2 2 8 2 4 2 2 2" xfId="5834"/>
    <cellStyle name="20% - Accent2 2 8 2 4 2 2 2 2" xfId="5835"/>
    <cellStyle name="20% - Accent2 2 8 2 4 2 2 3" xfId="5836"/>
    <cellStyle name="20% - Accent2 2 8 2 4 2 3" xfId="5837"/>
    <cellStyle name="20% - Accent2 2 8 2 4 2 3 2" xfId="5838"/>
    <cellStyle name="20% - Accent2 2 8 2 4 2 4" xfId="5839"/>
    <cellStyle name="20% - Accent2 2 8 2 4 3" xfId="5840"/>
    <cellStyle name="20% - Accent2 2 8 2 4 3 2" xfId="5841"/>
    <cellStyle name="20% - Accent2 2 8 2 4 3 2 2" xfId="5842"/>
    <cellStyle name="20% - Accent2 2 8 2 4 3 3" xfId="5843"/>
    <cellStyle name="20% - Accent2 2 8 2 4 4" xfId="5844"/>
    <cellStyle name="20% - Accent2 2 8 2 4 4 2" xfId="5845"/>
    <cellStyle name="20% - Accent2 2 8 2 4 5" xfId="5846"/>
    <cellStyle name="20% - Accent2 2 8 2 5" xfId="5847"/>
    <cellStyle name="20% - Accent2 2 8 2 5 2" xfId="5848"/>
    <cellStyle name="20% - Accent2 2 8 2 5 2 2" xfId="5849"/>
    <cellStyle name="20% - Accent2 2 8 2 5 2 2 2" xfId="5850"/>
    <cellStyle name="20% - Accent2 2 8 2 5 2 2 2 2" xfId="5851"/>
    <cellStyle name="20% - Accent2 2 8 2 5 2 2 3" xfId="5852"/>
    <cellStyle name="20% - Accent2 2 8 2 5 2 3" xfId="5853"/>
    <cellStyle name="20% - Accent2 2 8 2 5 2 3 2" xfId="5854"/>
    <cellStyle name="20% - Accent2 2 8 2 5 2 4" xfId="5855"/>
    <cellStyle name="20% - Accent2 2 8 2 5 3" xfId="5856"/>
    <cellStyle name="20% - Accent2 2 8 2 5 3 2" xfId="5857"/>
    <cellStyle name="20% - Accent2 2 8 2 5 3 2 2" xfId="5858"/>
    <cellStyle name="20% - Accent2 2 8 2 5 3 3" xfId="5859"/>
    <cellStyle name="20% - Accent2 2 8 2 5 4" xfId="5860"/>
    <cellStyle name="20% - Accent2 2 8 2 5 4 2" xfId="5861"/>
    <cellStyle name="20% - Accent2 2 8 2 5 5" xfId="5862"/>
    <cellStyle name="20% - Accent2 2 8 2 6" xfId="5863"/>
    <cellStyle name="20% - Accent2 2 8 2 6 2" xfId="5864"/>
    <cellStyle name="20% - Accent2 2 8 2 6 2 2" xfId="5865"/>
    <cellStyle name="20% - Accent2 2 8 2 6 2 2 2" xfId="5866"/>
    <cellStyle name="20% - Accent2 2 8 2 6 2 2 2 2" xfId="5867"/>
    <cellStyle name="20% - Accent2 2 8 2 6 2 2 3" xfId="5868"/>
    <cellStyle name="20% - Accent2 2 8 2 6 2 3" xfId="5869"/>
    <cellStyle name="20% - Accent2 2 8 2 6 2 3 2" xfId="5870"/>
    <cellStyle name="20% - Accent2 2 8 2 6 2 4" xfId="5871"/>
    <cellStyle name="20% - Accent2 2 8 2 6 3" xfId="5872"/>
    <cellStyle name="20% - Accent2 2 8 2 6 3 2" xfId="5873"/>
    <cellStyle name="20% - Accent2 2 8 2 6 3 2 2" xfId="5874"/>
    <cellStyle name="20% - Accent2 2 8 2 6 3 3" xfId="5875"/>
    <cellStyle name="20% - Accent2 2 8 2 6 4" xfId="5876"/>
    <cellStyle name="20% - Accent2 2 8 2 6 4 2" xfId="5877"/>
    <cellStyle name="20% - Accent2 2 8 2 6 5" xfId="5878"/>
    <cellStyle name="20% - Accent2 2 8 2 7" xfId="5879"/>
    <cellStyle name="20% - Accent2 2 8 2 7 2" xfId="5880"/>
    <cellStyle name="20% - Accent2 2 8 2 7 2 2" xfId="5881"/>
    <cellStyle name="20% - Accent2 2 8 2 7 2 2 2" xfId="5882"/>
    <cellStyle name="20% - Accent2 2 8 2 7 2 3" xfId="5883"/>
    <cellStyle name="20% - Accent2 2 8 2 7 3" xfId="5884"/>
    <cellStyle name="20% - Accent2 2 8 2 7 3 2" xfId="5885"/>
    <cellStyle name="20% - Accent2 2 8 2 7 4" xfId="5886"/>
    <cellStyle name="20% - Accent2 2 8 2 8" xfId="5887"/>
    <cellStyle name="20% - Accent2 2 8 2 8 2" xfId="5888"/>
    <cellStyle name="20% - Accent2 2 8 2 8 2 2" xfId="5889"/>
    <cellStyle name="20% - Accent2 2 8 2 8 3" xfId="5890"/>
    <cellStyle name="20% - Accent2 2 8 2 9" xfId="5891"/>
    <cellStyle name="20% - Accent2 2 8 2 9 2" xfId="5892"/>
    <cellStyle name="20% - Accent2 2 8 3" xfId="5893"/>
    <cellStyle name="20% - Accent2 2 8 3 2" xfId="5894"/>
    <cellStyle name="20% - Accent2 2 8 3 2 2" xfId="5895"/>
    <cellStyle name="20% - Accent2 2 8 3 2 2 2" xfId="5896"/>
    <cellStyle name="20% - Accent2 2 8 3 2 2 2 2" xfId="5897"/>
    <cellStyle name="20% - Accent2 2 8 3 2 2 3" xfId="5898"/>
    <cellStyle name="20% - Accent2 2 8 3 2 3" xfId="5899"/>
    <cellStyle name="20% - Accent2 2 8 3 2 3 2" xfId="5900"/>
    <cellStyle name="20% - Accent2 2 8 3 2 4" xfId="5901"/>
    <cellStyle name="20% - Accent2 2 8 3 3" xfId="5902"/>
    <cellStyle name="20% - Accent2 2 8 3 3 2" xfId="5903"/>
    <cellStyle name="20% - Accent2 2 8 3 3 2 2" xfId="5904"/>
    <cellStyle name="20% - Accent2 2 8 3 3 3" xfId="5905"/>
    <cellStyle name="20% - Accent2 2 8 3 4" xfId="5906"/>
    <cellStyle name="20% - Accent2 2 8 3 4 2" xfId="5907"/>
    <cellStyle name="20% - Accent2 2 8 3 5" xfId="5908"/>
    <cellStyle name="20% - Accent2 2 8 4" xfId="5909"/>
    <cellStyle name="20% - Accent2 2 8 4 2" xfId="5910"/>
    <cellStyle name="20% - Accent2 2 8 4 2 2" xfId="5911"/>
    <cellStyle name="20% - Accent2 2 8 4 2 2 2" xfId="5912"/>
    <cellStyle name="20% - Accent2 2 8 4 2 2 2 2" xfId="5913"/>
    <cellStyle name="20% - Accent2 2 8 4 2 2 3" xfId="5914"/>
    <cellStyle name="20% - Accent2 2 8 4 2 3" xfId="5915"/>
    <cellStyle name="20% - Accent2 2 8 4 2 3 2" xfId="5916"/>
    <cellStyle name="20% - Accent2 2 8 4 2 4" xfId="5917"/>
    <cellStyle name="20% - Accent2 2 8 4 3" xfId="5918"/>
    <cellStyle name="20% - Accent2 2 8 4 3 2" xfId="5919"/>
    <cellStyle name="20% - Accent2 2 8 4 3 2 2" xfId="5920"/>
    <cellStyle name="20% - Accent2 2 8 4 3 3" xfId="5921"/>
    <cellStyle name="20% - Accent2 2 8 4 4" xfId="5922"/>
    <cellStyle name="20% - Accent2 2 8 4 4 2" xfId="5923"/>
    <cellStyle name="20% - Accent2 2 8 4 5" xfId="5924"/>
    <cellStyle name="20% - Accent2 2 8 5" xfId="5925"/>
    <cellStyle name="20% - Accent2 2 8 5 2" xfId="5926"/>
    <cellStyle name="20% - Accent2 2 8 5 2 2" xfId="5927"/>
    <cellStyle name="20% - Accent2 2 8 5 2 2 2" xfId="5928"/>
    <cellStyle name="20% - Accent2 2 8 5 2 2 2 2" xfId="5929"/>
    <cellStyle name="20% - Accent2 2 8 5 2 2 3" xfId="5930"/>
    <cellStyle name="20% - Accent2 2 8 5 2 3" xfId="5931"/>
    <cellStyle name="20% - Accent2 2 8 5 2 3 2" xfId="5932"/>
    <cellStyle name="20% - Accent2 2 8 5 2 4" xfId="5933"/>
    <cellStyle name="20% - Accent2 2 8 5 3" xfId="5934"/>
    <cellStyle name="20% - Accent2 2 8 5 3 2" xfId="5935"/>
    <cellStyle name="20% - Accent2 2 8 5 3 2 2" xfId="5936"/>
    <cellStyle name="20% - Accent2 2 8 5 3 3" xfId="5937"/>
    <cellStyle name="20% - Accent2 2 8 5 4" xfId="5938"/>
    <cellStyle name="20% - Accent2 2 8 5 4 2" xfId="5939"/>
    <cellStyle name="20% - Accent2 2 8 5 5" xfId="5940"/>
    <cellStyle name="20% - Accent2 2 8 6" xfId="5941"/>
    <cellStyle name="20% - Accent2 2 8 6 2" xfId="5942"/>
    <cellStyle name="20% - Accent2 2 8 6 2 2" xfId="5943"/>
    <cellStyle name="20% - Accent2 2 8 6 2 2 2" xfId="5944"/>
    <cellStyle name="20% - Accent2 2 8 6 2 2 2 2" xfId="5945"/>
    <cellStyle name="20% - Accent2 2 8 6 2 2 3" xfId="5946"/>
    <cellStyle name="20% - Accent2 2 8 6 2 3" xfId="5947"/>
    <cellStyle name="20% - Accent2 2 8 6 2 3 2" xfId="5948"/>
    <cellStyle name="20% - Accent2 2 8 6 2 4" xfId="5949"/>
    <cellStyle name="20% - Accent2 2 8 6 3" xfId="5950"/>
    <cellStyle name="20% - Accent2 2 8 6 3 2" xfId="5951"/>
    <cellStyle name="20% - Accent2 2 8 6 3 2 2" xfId="5952"/>
    <cellStyle name="20% - Accent2 2 8 6 3 3" xfId="5953"/>
    <cellStyle name="20% - Accent2 2 8 6 4" xfId="5954"/>
    <cellStyle name="20% - Accent2 2 8 6 4 2" xfId="5955"/>
    <cellStyle name="20% - Accent2 2 8 6 5" xfId="5956"/>
    <cellStyle name="20% - Accent2 2 8 7" xfId="5957"/>
    <cellStyle name="20% - Accent2 2 8 7 2" xfId="5958"/>
    <cellStyle name="20% - Accent2 2 8 7 2 2" xfId="5959"/>
    <cellStyle name="20% - Accent2 2 8 7 2 2 2" xfId="5960"/>
    <cellStyle name="20% - Accent2 2 8 7 2 2 2 2" xfId="5961"/>
    <cellStyle name="20% - Accent2 2 8 7 2 2 3" xfId="5962"/>
    <cellStyle name="20% - Accent2 2 8 7 2 3" xfId="5963"/>
    <cellStyle name="20% - Accent2 2 8 7 2 3 2" xfId="5964"/>
    <cellStyle name="20% - Accent2 2 8 7 2 4" xfId="5965"/>
    <cellStyle name="20% - Accent2 2 8 7 3" xfId="5966"/>
    <cellStyle name="20% - Accent2 2 8 7 3 2" xfId="5967"/>
    <cellStyle name="20% - Accent2 2 8 7 3 2 2" xfId="5968"/>
    <cellStyle name="20% - Accent2 2 8 7 3 3" xfId="5969"/>
    <cellStyle name="20% - Accent2 2 8 7 4" xfId="5970"/>
    <cellStyle name="20% - Accent2 2 8 7 4 2" xfId="5971"/>
    <cellStyle name="20% - Accent2 2 8 7 5" xfId="5972"/>
    <cellStyle name="20% - Accent2 2 8 8" xfId="5973"/>
    <cellStyle name="20% - Accent2 2 8 8 2" xfId="5974"/>
    <cellStyle name="20% - Accent2 2 8 8 2 2" xfId="5975"/>
    <cellStyle name="20% - Accent2 2 8 8 2 2 2" xfId="5976"/>
    <cellStyle name="20% - Accent2 2 8 8 2 3" xfId="5977"/>
    <cellStyle name="20% - Accent2 2 8 8 3" xfId="5978"/>
    <cellStyle name="20% - Accent2 2 8 8 3 2" xfId="5979"/>
    <cellStyle name="20% - Accent2 2 8 8 4" xfId="5980"/>
    <cellStyle name="20% - Accent2 2 8 9" xfId="5981"/>
    <cellStyle name="20% - Accent2 2 8 9 2" xfId="5982"/>
    <cellStyle name="20% - Accent2 2 8 9 2 2" xfId="5983"/>
    <cellStyle name="20% - Accent2 2 8 9 3" xfId="5984"/>
    <cellStyle name="20% - Accent2 2 9" xfId="5985"/>
    <cellStyle name="20% - Accent2 2 9 10" xfId="5986"/>
    <cellStyle name="20% - Accent2 2 9 10 2" xfId="5987"/>
    <cellStyle name="20% - Accent2 2 9 11" xfId="5988"/>
    <cellStyle name="20% - Accent2 2 9 2" xfId="5989"/>
    <cellStyle name="20% - Accent2 2 9 2 10" xfId="5990"/>
    <cellStyle name="20% - Accent2 2 9 2 2" xfId="5991"/>
    <cellStyle name="20% - Accent2 2 9 2 2 2" xfId="5992"/>
    <cellStyle name="20% - Accent2 2 9 2 2 2 2" xfId="5993"/>
    <cellStyle name="20% - Accent2 2 9 2 2 2 2 2" xfId="5994"/>
    <cellStyle name="20% - Accent2 2 9 2 2 2 2 2 2" xfId="5995"/>
    <cellStyle name="20% - Accent2 2 9 2 2 2 2 3" xfId="5996"/>
    <cellStyle name="20% - Accent2 2 9 2 2 2 3" xfId="5997"/>
    <cellStyle name="20% - Accent2 2 9 2 2 2 3 2" xfId="5998"/>
    <cellStyle name="20% - Accent2 2 9 2 2 2 4" xfId="5999"/>
    <cellStyle name="20% - Accent2 2 9 2 2 3" xfId="6000"/>
    <cellStyle name="20% - Accent2 2 9 2 2 3 2" xfId="6001"/>
    <cellStyle name="20% - Accent2 2 9 2 2 3 2 2" xfId="6002"/>
    <cellStyle name="20% - Accent2 2 9 2 2 3 3" xfId="6003"/>
    <cellStyle name="20% - Accent2 2 9 2 2 4" xfId="6004"/>
    <cellStyle name="20% - Accent2 2 9 2 2 4 2" xfId="6005"/>
    <cellStyle name="20% - Accent2 2 9 2 2 5" xfId="6006"/>
    <cellStyle name="20% - Accent2 2 9 2 3" xfId="6007"/>
    <cellStyle name="20% - Accent2 2 9 2 3 2" xfId="6008"/>
    <cellStyle name="20% - Accent2 2 9 2 3 2 2" xfId="6009"/>
    <cellStyle name="20% - Accent2 2 9 2 3 2 2 2" xfId="6010"/>
    <cellStyle name="20% - Accent2 2 9 2 3 2 2 2 2" xfId="6011"/>
    <cellStyle name="20% - Accent2 2 9 2 3 2 2 3" xfId="6012"/>
    <cellStyle name="20% - Accent2 2 9 2 3 2 3" xfId="6013"/>
    <cellStyle name="20% - Accent2 2 9 2 3 2 3 2" xfId="6014"/>
    <cellStyle name="20% - Accent2 2 9 2 3 2 4" xfId="6015"/>
    <cellStyle name="20% - Accent2 2 9 2 3 3" xfId="6016"/>
    <cellStyle name="20% - Accent2 2 9 2 3 3 2" xfId="6017"/>
    <cellStyle name="20% - Accent2 2 9 2 3 3 2 2" xfId="6018"/>
    <cellStyle name="20% - Accent2 2 9 2 3 3 3" xfId="6019"/>
    <cellStyle name="20% - Accent2 2 9 2 3 4" xfId="6020"/>
    <cellStyle name="20% - Accent2 2 9 2 3 4 2" xfId="6021"/>
    <cellStyle name="20% - Accent2 2 9 2 3 5" xfId="6022"/>
    <cellStyle name="20% - Accent2 2 9 2 4" xfId="6023"/>
    <cellStyle name="20% - Accent2 2 9 2 4 2" xfId="6024"/>
    <cellStyle name="20% - Accent2 2 9 2 4 2 2" xfId="6025"/>
    <cellStyle name="20% - Accent2 2 9 2 4 2 2 2" xfId="6026"/>
    <cellStyle name="20% - Accent2 2 9 2 4 2 2 2 2" xfId="6027"/>
    <cellStyle name="20% - Accent2 2 9 2 4 2 2 3" xfId="6028"/>
    <cellStyle name="20% - Accent2 2 9 2 4 2 3" xfId="6029"/>
    <cellStyle name="20% - Accent2 2 9 2 4 2 3 2" xfId="6030"/>
    <cellStyle name="20% - Accent2 2 9 2 4 2 4" xfId="6031"/>
    <cellStyle name="20% - Accent2 2 9 2 4 3" xfId="6032"/>
    <cellStyle name="20% - Accent2 2 9 2 4 3 2" xfId="6033"/>
    <cellStyle name="20% - Accent2 2 9 2 4 3 2 2" xfId="6034"/>
    <cellStyle name="20% - Accent2 2 9 2 4 3 3" xfId="6035"/>
    <cellStyle name="20% - Accent2 2 9 2 4 4" xfId="6036"/>
    <cellStyle name="20% - Accent2 2 9 2 4 4 2" xfId="6037"/>
    <cellStyle name="20% - Accent2 2 9 2 4 5" xfId="6038"/>
    <cellStyle name="20% - Accent2 2 9 2 5" xfId="6039"/>
    <cellStyle name="20% - Accent2 2 9 2 5 2" xfId="6040"/>
    <cellStyle name="20% - Accent2 2 9 2 5 2 2" xfId="6041"/>
    <cellStyle name="20% - Accent2 2 9 2 5 2 2 2" xfId="6042"/>
    <cellStyle name="20% - Accent2 2 9 2 5 2 2 2 2" xfId="6043"/>
    <cellStyle name="20% - Accent2 2 9 2 5 2 2 3" xfId="6044"/>
    <cellStyle name="20% - Accent2 2 9 2 5 2 3" xfId="6045"/>
    <cellStyle name="20% - Accent2 2 9 2 5 2 3 2" xfId="6046"/>
    <cellStyle name="20% - Accent2 2 9 2 5 2 4" xfId="6047"/>
    <cellStyle name="20% - Accent2 2 9 2 5 3" xfId="6048"/>
    <cellStyle name="20% - Accent2 2 9 2 5 3 2" xfId="6049"/>
    <cellStyle name="20% - Accent2 2 9 2 5 3 2 2" xfId="6050"/>
    <cellStyle name="20% - Accent2 2 9 2 5 3 3" xfId="6051"/>
    <cellStyle name="20% - Accent2 2 9 2 5 4" xfId="6052"/>
    <cellStyle name="20% - Accent2 2 9 2 5 4 2" xfId="6053"/>
    <cellStyle name="20% - Accent2 2 9 2 5 5" xfId="6054"/>
    <cellStyle name="20% - Accent2 2 9 2 6" xfId="6055"/>
    <cellStyle name="20% - Accent2 2 9 2 6 2" xfId="6056"/>
    <cellStyle name="20% - Accent2 2 9 2 6 2 2" xfId="6057"/>
    <cellStyle name="20% - Accent2 2 9 2 6 2 2 2" xfId="6058"/>
    <cellStyle name="20% - Accent2 2 9 2 6 2 2 2 2" xfId="6059"/>
    <cellStyle name="20% - Accent2 2 9 2 6 2 2 3" xfId="6060"/>
    <cellStyle name="20% - Accent2 2 9 2 6 2 3" xfId="6061"/>
    <cellStyle name="20% - Accent2 2 9 2 6 2 3 2" xfId="6062"/>
    <cellStyle name="20% - Accent2 2 9 2 6 2 4" xfId="6063"/>
    <cellStyle name="20% - Accent2 2 9 2 6 3" xfId="6064"/>
    <cellStyle name="20% - Accent2 2 9 2 6 3 2" xfId="6065"/>
    <cellStyle name="20% - Accent2 2 9 2 6 3 2 2" xfId="6066"/>
    <cellStyle name="20% - Accent2 2 9 2 6 3 3" xfId="6067"/>
    <cellStyle name="20% - Accent2 2 9 2 6 4" xfId="6068"/>
    <cellStyle name="20% - Accent2 2 9 2 6 4 2" xfId="6069"/>
    <cellStyle name="20% - Accent2 2 9 2 6 5" xfId="6070"/>
    <cellStyle name="20% - Accent2 2 9 2 7" xfId="6071"/>
    <cellStyle name="20% - Accent2 2 9 2 7 2" xfId="6072"/>
    <cellStyle name="20% - Accent2 2 9 2 7 2 2" xfId="6073"/>
    <cellStyle name="20% - Accent2 2 9 2 7 2 2 2" xfId="6074"/>
    <cellStyle name="20% - Accent2 2 9 2 7 2 3" xfId="6075"/>
    <cellStyle name="20% - Accent2 2 9 2 7 3" xfId="6076"/>
    <cellStyle name="20% - Accent2 2 9 2 7 3 2" xfId="6077"/>
    <cellStyle name="20% - Accent2 2 9 2 7 4" xfId="6078"/>
    <cellStyle name="20% - Accent2 2 9 2 8" xfId="6079"/>
    <cellStyle name="20% - Accent2 2 9 2 8 2" xfId="6080"/>
    <cellStyle name="20% - Accent2 2 9 2 8 2 2" xfId="6081"/>
    <cellStyle name="20% - Accent2 2 9 2 8 3" xfId="6082"/>
    <cellStyle name="20% - Accent2 2 9 2 9" xfId="6083"/>
    <cellStyle name="20% - Accent2 2 9 2 9 2" xfId="6084"/>
    <cellStyle name="20% - Accent2 2 9 3" xfId="6085"/>
    <cellStyle name="20% - Accent2 2 9 3 2" xfId="6086"/>
    <cellStyle name="20% - Accent2 2 9 3 2 2" xfId="6087"/>
    <cellStyle name="20% - Accent2 2 9 3 2 2 2" xfId="6088"/>
    <cellStyle name="20% - Accent2 2 9 3 2 2 2 2" xfId="6089"/>
    <cellStyle name="20% - Accent2 2 9 3 2 2 3" xfId="6090"/>
    <cellStyle name="20% - Accent2 2 9 3 2 3" xfId="6091"/>
    <cellStyle name="20% - Accent2 2 9 3 2 3 2" xfId="6092"/>
    <cellStyle name="20% - Accent2 2 9 3 2 4" xfId="6093"/>
    <cellStyle name="20% - Accent2 2 9 3 3" xfId="6094"/>
    <cellStyle name="20% - Accent2 2 9 3 3 2" xfId="6095"/>
    <cellStyle name="20% - Accent2 2 9 3 3 2 2" xfId="6096"/>
    <cellStyle name="20% - Accent2 2 9 3 3 3" xfId="6097"/>
    <cellStyle name="20% - Accent2 2 9 3 4" xfId="6098"/>
    <cellStyle name="20% - Accent2 2 9 3 4 2" xfId="6099"/>
    <cellStyle name="20% - Accent2 2 9 3 5" xfId="6100"/>
    <cellStyle name="20% - Accent2 2 9 4" xfId="6101"/>
    <cellStyle name="20% - Accent2 2 9 4 2" xfId="6102"/>
    <cellStyle name="20% - Accent2 2 9 4 2 2" xfId="6103"/>
    <cellStyle name="20% - Accent2 2 9 4 2 2 2" xfId="6104"/>
    <cellStyle name="20% - Accent2 2 9 4 2 2 2 2" xfId="6105"/>
    <cellStyle name="20% - Accent2 2 9 4 2 2 3" xfId="6106"/>
    <cellStyle name="20% - Accent2 2 9 4 2 3" xfId="6107"/>
    <cellStyle name="20% - Accent2 2 9 4 2 3 2" xfId="6108"/>
    <cellStyle name="20% - Accent2 2 9 4 2 4" xfId="6109"/>
    <cellStyle name="20% - Accent2 2 9 4 3" xfId="6110"/>
    <cellStyle name="20% - Accent2 2 9 4 3 2" xfId="6111"/>
    <cellStyle name="20% - Accent2 2 9 4 3 2 2" xfId="6112"/>
    <cellStyle name="20% - Accent2 2 9 4 3 3" xfId="6113"/>
    <cellStyle name="20% - Accent2 2 9 4 4" xfId="6114"/>
    <cellStyle name="20% - Accent2 2 9 4 4 2" xfId="6115"/>
    <cellStyle name="20% - Accent2 2 9 4 5" xfId="6116"/>
    <cellStyle name="20% - Accent2 2 9 5" xfId="6117"/>
    <cellStyle name="20% - Accent2 2 9 5 2" xfId="6118"/>
    <cellStyle name="20% - Accent2 2 9 5 2 2" xfId="6119"/>
    <cellStyle name="20% - Accent2 2 9 5 2 2 2" xfId="6120"/>
    <cellStyle name="20% - Accent2 2 9 5 2 2 2 2" xfId="6121"/>
    <cellStyle name="20% - Accent2 2 9 5 2 2 3" xfId="6122"/>
    <cellStyle name="20% - Accent2 2 9 5 2 3" xfId="6123"/>
    <cellStyle name="20% - Accent2 2 9 5 2 3 2" xfId="6124"/>
    <cellStyle name="20% - Accent2 2 9 5 2 4" xfId="6125"/>
    <cellStyle name="20% - Accent2 2 9 5 3" xfId="6126"/>
    <cellStyle name="20% - Accent2 2 9 5 3 2" xfId="6127"/>
    <cellStyle name="20% - Accent2 2 9 5 3 2 2" xfId="6128"/>
    <cellStyle name="20% - Accent2 2 9 5 3 3" xfId="6129"/>
    <cellStyle name="20% - Accent2 2 9 5 4" xfId="6130"/>
    <cellStyle name="20% - Accent2 2 9 5 4 2" xfId="6131"/>
    <cellStyle name="20% - Accent2 2 9 5 5" xfId="6132"/>
    <cellStyle name="20% - Accent2 2 9 6" xfId="6133"/>
    <cellStyle name="20% - Accent2 2 9 6 2" xfId="6134"/>
    <cellStyle name="20% - Accent2 2 9 6 2 2" xfId="6135"/>
    <cellStyle name="20% - Accent2 2 9 6 2 2 2" xfId="6136"/>
    <cellStyle name="20% - Accent2 2 9 6 2 2 2 2" xfId="6137"/>
    <cellStyle name="20% - Accent2 2 9 6 2 2 3" xfId="6138"/>
    <cellStyle name="20% - Accent2 2 9 6 2 3" xfId="6139"/>
    <cellStyle name="20% - Accent2 2 9 6 2 3 2" xfId="6140"/>
    <cellStyle name="20% - Accent2 2 9 6 2 4" xfId="6141"/>
    <cellStyle name="20% - Accent2 2 9 6 3" xfId="6142"/>
    <cellStyle name="20% - Accent2 2 9 6 3 2" xfId="6143"/>
    <cellStyle name="20% - Accent2 2 9 6 3 2 2" xfId="6144"/>
    <cellStyle name="20% - Accent2 2 9 6 3 3" xfId="6145"/>
    <cellStyle name="20% - Accent2 2 9 6 4" xfId="6146"/>
    <cellStyle name="20% - Accent2 2 9 6 4 2" xfId="6147"/>
    <cellStyle name="20% - Accent2 2 9 6 5" xfId="6148"/>
    <cellStyle name="20% - Accent2 2 9 7" xfId="6149"/>
    <cellStyle name="20% - Accent2 2 9 7 2" xfId="6150"/>
    <cellStyle name="20% - Accent2 2 9 7 2 2" xfId="6151"/>
    <cellStyle name="20% - Accent2 2 9 7 2 2 2" xfId="6152"/>
    <cellStyle name="20% - Accent2 2 9 7 2 2 2 2" xfId="6153"/>
    <cellStyle name="20% - Accent2 2 9 7 2 2 3" xfId="6154"/>
    <cellStyle name="20% - Accent2 2 9 7 2 3" xfId="6155"/>
    <cellStyle name="20% - Accent2 2 9 7 2 3 2" xfId="6156"/>
    <cellStyle name="20% - Accent2 2 9 7 2 4" xfId="6157"/>
    <cellStyle name="20% - Accent2 2 9 7 3" xfId="6158"/>
    <cellStyle name="20% - Accent2 2 9 7 3 2" xfId="6159"/>
    <cellStyle name="20% - Accent2 2 9 7 3 2 2" xfId="6160"/>
    <cellStyle name="20% - Accent2 2 9 7 3 3" xfId="6161"/>
    <cellStyle name="20% - Accent2 2 9 7 4" xfId="6162"/>
    <cellStyle name="20% - Accent2 2 9 7 4 2" xfId="6163"/>
    <cellStyle name="20% - Accent2 2 9 7 5" xfId="6164"/>
    <cellStyle name="20% - Accent2 2 9 8" xfId="6165"/>
    <cellStyle name="20% - Accent2 2 9 8 2" xfId="6166"/>
    <cellStyle name="20% - Accent2 2 9 8 2 2" xfId="6167"/>
    <cellStyle name="20% - Accent2 2 9 8 2 2 2" xfId="6168"/>
    <cellStyle name="20% - Accent2 2 9 8 2 3" xfId="6169"/>
    <cellStyle name="20% - Accent2 2 9 8 3" xfId="6170"/>
    <cellStyle name="20% - Accent2 2 9 8 3 2" xfId="6171"/>
    <cellStyle name="20% - Accent2 2 9 8 4" xfId="6172"/>
    <cellStyle name="20% - Accent2 2 9 9" xfId="6173"/>
    <cellStyle name="20% - Accent2 2 9 9 2" xfId="6174"/>
    <cellStyle name="20% - Accent2 2 9 9 2 2" xfId="6175"/>
    <cellStyle name="20% - Accent2 2 9 9 3" xfId="6176"/>
    <cellStyle name="20% - Accent2 20" xfId="6177"/>
    <cellStyle name="20% - Accent2 20 2" xfId="6178"/>
    <cellStyle name="20% - Accent2 20 2 2" xfId="6179"/>
    <cellStyle name="20% - Accent2 20 2 2 2" xfId="6180"/>
    <cellStyle name="20% - Accent2 20 2 2 2 2" xfId="6181"/>
    <cellStyle name="20% - Accent2 20 2 2 3" xfId="6182"/>
    <cellStyle name="20% - Accent2 20 2 3" xfId="6183"/>
    <cellStyle name="20% - Accent2 20 2 3 2" xfId="6184"/>
    <cellStyle name="20% - Accent2 20 2 4" xfId="6185"/>
    <cellStyle name="20% - Accent2 20 3" xfId="6186"/>
    <cellStyle name="20% - Accent2 20 3 2" xfId="6187"/>
    <cellStyle name="20% - Accent2 20 3 2 2" xfId="6188"/>
    <cellStyle name="20% - Accent2 20 3 3" xfId="6189"/>
    <cellStyle name="20% - Accent2 20 4" xfId="6190"/>
    <cellStyle name="20% - Accent2 20 4 2" xfId="6191"/>
    <cellStyle name="20% - Accent2 20 5" xfId="6192"/>
    <cellStyle name="20% - Accent2 21" xfId="6193"/>
    <cellStyle name="20% - Accent2 21 2" xfId="6194"/>
    <cellStyle name="20% - Accent2 21 2 2" xfId="6195"/>
    <cellStyle name="20% - Accent2 21 2 2 2" xfId="6196"/>
    <cellStyle name="20% - Accent2 21 2 3" xfId="6197"/>
    <cellStyle name="20% - Accent2 21 3" xfId="6198"/>
    <cellStyle name="20% - Accent2 21 3 2" xfId="6199"/>
    <cellStyle name="20% - Accent2 21 4" xfId="6200"/>
    <cellStyle name="20% - Accent2 22" xfId="6201"/>
    <cellStyle name="20% - Accent2 22 2" xfId="6202"/>
    <cellStyle name="20% - Accent2 22 2 2" xfId="6203"/>
    <cellStyle name="20% - Accent2 22 3" xfId="6204"/>
    <cellStyle name="20% - Accent2 23" xfId="6205"/>
    <cellStyle name="20% - Accent2 23 2" xfId="6206"/>
    <cellStyle name="20% - Accent2 24" xfId="6207"/>
    <cellStyle name="20% - Accent2 3" xfId="6208"/>
    <cellStyle name="20% - Accent2 3 10" xfId="6209"/>
    <cellStyle name="20% - Accent2 3 10 2" xfId="6210"/>
    <cellStyle name="20% - Accent2 3 11" xfId="6211"/>
    <cellStyle name="20% - Accent2 3 2" xfId="6212"/>
    <cellStyle name="20% - Accent2 3 2 10" xfId="6213"/>
    <cellStyle name="20% - Accent2 3 2 2" xfId="6214"/>
    <cellStyle name="20% - Accent2 3 2 2 2" xfId="6215"/>
    <cellStyle name="20% - Accent2 3 2 2 2 2" xfId="6216"/>
    <cellStyle name="20% - Accent2 3 2 2 2 2 2" xfId="6217"/>
    <cellStyle name="20% - Accent2 3 2 2 2 2 2 2" xfId="6218"/>
    <cellStyle name="20% - Accent2 3 2 2 2 2 3" xfId="6219"/>
    <cellStyle name="20% - Accent2 3 2 2 2 3" xfId="6220"/>
    <cellStyle name="20% - Accent2 3 2 2 2 3 2" xfId="6221"/>
    <cellStyle name="20% - Accent2 3 2 2 2 4" xfId="6222"/>
    <cellStyle name="20% - Accent2 3 2 2 3" xfId="6223"/>
    <cellStyle name="20% - Accent2 3 2 2 3 2" xfId="6224"/>
    <cellStyle name="20% - Accent2 3 2 2 3 2 2" xfId="6225"/>
    <cellStyle name="20% - Accent2 3 2 2 3 3" xfId="6226"/>
    <cellStyle name="20% - Accent2 3 2 2 4" xfId="6227"/>
    <cellStyle name="20% - Accent2 3 2 2 4 2" xfId="6228"/>
    <cellStyle name="20% - Accent2 3 2 2 5" xfId="6229"/>
    <cellStyle name="20% - Accent2 3 2 3" xfId="6230"/>
    <cellStyle name="20% - Accent2 3 2 3 2" xfId="6231"/>
    <cellStyle name="20% - Accent2 3 2 3 2 2" xfId="6232"/>
    <cellStyle name="20% - Accent2 3 2 3 2 2 2" xfId="6233"/>
    <cellStyle name="20% - Accent2 3 2 3 2 2 2 2" xfId="6234"/>
    <cellStyle name="20% - Accent2 3 2 3 2 2 3" xfId="6235"/>
    <cellStyle name="20% - Accent2 3 2 3 2 3" xfId="6236"/>
    <cellStyle name="20% - Accent2 3 2 3 2 3 2" xfId="6237"/>
    <cellStyle name="20% - Accent2 3 2 3 2 4" xfId="6238"/>
    <cellStyle name="20% - Accent2 3 2 3 3" xfId="6239"/>
    <cellStyle name="20% - Accent2 3 2 3 3 2" xfId="6240"/>
    <cellStyle name="20% - Accent2 3 2 3 3 2 2" xfId="6241"/>
    <cellStyle name="20% - Accent2 3 2 3 3 3" xfId="6242"/>
    <cellStyle name="20% - Accent2 3 2 3 4" xfId="6243"/>
    <cellStyle name="20% - Accent2 3 2 3 4 2" xfId="6244"/>
    <cellStyle name="20% - Accent2 3 2 3 5" xfId="6245"/>
    <cellStyle name="20% - Accent2 3 2 4" xfId="6246"/>
    <cellStyle name="20% - Accent2 3 2 4 2" xfId="6247"/>
    <cellStyle name="20% - Accent2 3 2 4 2 2" xfId="6248"/>
    <cellStyle name="20% - Accent2 3 2 4 2 2 2" xfId="6249"/>
    <cellStyle name="20% - Accent2 3 2 4 2 2 2 2" xfId="6250"/>
    <cellStyle name="20% - Accent2 3 2 4 2 2 3" xfId="6251"/>
    <cellStyle name="20% - Accent2 3 2 4 2 3" xfId="6252"/>
    <cellStyle name="20% - Accent2 3 2 4 2 3 2" xfId="6253"/>
    <cellStyle name="20% - Accent2 3 2 4 2 4" xfId="6254"/>
    <cellStyle name="20% - Accent2 3 2 4 3" xfId="6255"/>
    <cellStyle name="20% - Accent2 3 2 4 3 2" xfId="6256"/>
    <cellStyle name="20% - Accent2 3 2 4 3 2 2" xfId="6257"/>
    <cellStyle name="20% - Accent2 3 2 4 3 3" xfId="6258"/>
    <cellStyle name="20% - Accent2 3 2 4 4" xfId="6259"/>
    <cellStyle name="20% - Accent2 3 2 4 4 2" xfId="6260"/>
    <cellStyle name="20% - Accent2 3 2 4 5" xfId="6261"/>
    <cellStyle name="20% - Accent2 3 2 5" xfId="6262"/>
    <cellStyle name="20% - Accent2 3 2 5 2" xfId="6263"/>
    <cellStyle name="20% - Accent2 3 2 5 2 2" xfId="6264"/>
    <cellStyle name="20% - Accent2 3 2 5 2 2 2" xfId="6265"/>
    <cellStyle name="20% - Accent2 3 2 5 2 2 2 2" xfId="6266"/>
    <cellStyle name="20% - Accent2 3 2 5 2 2 3" xfId="6267"/>
    <cellStyle name="20% - Accent2 3 2 5 2 3" xfId="6268"/>
    <cellStyle name="20% - Accent2 3 2 5 2 3 2" xfId="6269"/>
    <cellStyle name="20% - Accent2 3 2 5 2 4" xfId="6270"/>
    <cellStyle name="20% - Accent2 3 2 5 3" xfId="6271"/>
    <cellStyle name="20% - Accent2 3 2 5 3 2" xfId="6272"/>
    <cellStyle name="20% - Accent2 3 2 5 3 2 2" xfId="6273"/>
    <cellStyle name="20% - Accent2 3 2 5 3 3" xfId="6274"/>
    <cellStyle name="20% - Accent2 3 2 5 4" xfId="6275"/>
    <cellStyle name="20% - Accent2 3 2 5 4 2" xfId="6276"/>
    <cellStyle name="20% - Accent2 3 2 5 5" xfId="6277"/>
    <cellStyle name="20% - Accent2 3 2 6" xfId="6278"/>
    <cellStyle name="20% - Accent2 3 2 6 2" xfId="6279"/>
    <cellStyle name="20% - Accent2 3 2 6 2 2" xfId="6280"/>
    <cellStyle name="20% - Accent2 3 2 6 2 2 2" xfId="6281"/>
    <cellStyle name="20% - Accent2 3 2 6 2 2 2 2" xfId="6282"/>
    <cellStyle name="20% - Accent2 3 2 6 2 2 3" xfId="6283"/>
    <cellStyle name="20% - Accent2 3 2 6 2 3" xfId="6284"/>
    <cellStyle name="20% - Accent2 3 2 6 2 3 2" xfId="6285"/>
    <cellStyle name="20% - Accent2 3 2 6 2 4" xfId="6286"/>
    <cellStyle name="20% - Accent2 3 2 6 3" xfId="6287"/>
    <cellStyle name="20% - Accent2 3 2 6 3 2" xfId="6288"/>
    <cellStyle name="20% - Accent2 3 2 6 3 2 2" xfId="6289"/>
    <cellStyle name="20% - Accent2 3 2 6 3 3" xfId="6290"/>
    <cellStyle name="20% - Accent2 3 2 6 4" xfId="6291"/>
    <cellStyle name="20% - Accent2 3 2 6 4 2" xfId="6292"/>
    <cellStyle name="20% - Accent2 3 2 6 5" xfId="6293"/>
    <cellStyle name="20% - Accent2 3 2 7" xfId="6294"/>
    <cellStyle name="20% - Accent2 3 2 7 2" xfId="6295"/>
    <cellStyle name="20% - Accent2 3 2 7 2 2" xfId="6296"/>
    <cellStyle name="20% - Accent2 3 2 7 2 2 2" xfId="6297"/>
    <cellStyle name="20% - Accent2 3 2 7 2 3" xfId="6298"/>
    <cellStyle name="20% - Accent2 3 2 7 3" xfId="6299"/>
    <cellStyle name="20% - Accent2 3 2 7 3 2" xfId="6300"/>
    <cellStyle name="20% - Accent2 3 2 7 4" xfId="6301"/>
    <cellStyle name="20% - Accent2 3 2 8" xfId="6302"/>
    <cellStyle name="20% - Accent2 3 2 8 2" xfId="6303"/>
    <cellStyle name="20% - Accent2 3 2 8 2 2" xfId="6304"/>
    <cellStyle name="20% - Accent2 3 2 8 3" xfId="6305"/>
    <cellStyle name="20% - Accent2 3 2 9" xfId="6306"/>
    <cellStyle name="20% - Accent2 3 2 9 2" xfId="6307"/>
    <cellStyle name="20% - Accent2 3 3" xfId="6308"/>
    <cellStyle name="20% - Accent2 3 3 2" xfId="6309"/>
    <cellStyle name="20% - Accent2 3 3 2 2" xfId="6310"/>
    <cellStyle name="20% - Accent2 3 3 2 2 2" xfId="6311"/>
    <cellStyle name="20% - Accent2 3 3 2 2 2 2" xfId="6312"/>
    <cellStyle name="20% - Accent2 3 3 2 2 3" xfId="6313"/>
    <cellStyle name="20% - Accent2 3 3 2 3" xfId="6314"/>
    <cellStyle name="20% - Accent2 3 3 2 3 2" xfId="6315"/>
    <cellStyle name="20% - Accent2 3 3 2 4" xfId="6316"/>
    <cellStyle name="20% - Accent2 3 3 3" xfId="6317"/>
    <cellStyle name="20% - Accent2 3 3 3 2" xfId="6318"/>
    <cellStyle name="20% - Accent2 3 3 3 2 2" xfId="6319"/>
    <cellStyle name="20% - Accent2 3 3 3 3" xfId="6320"/>
    <cellStyle name="20% - Accent2 3 3 4" xfId="6321"/>
    <cellStyle name="20% - Accent2 3 3 4 2" xfId="6322"/>
    <cellStyle name="20% - Accent2 3 3 5" xfId="6323"/>
    <cellStyle name="20% - Accent2 3 4" xfId="6324"/>
    <cellStyle name="20% - Accent2 3 4 2" xfId="6325"/>
    <cellStyle name="20% - Accent2 3 4 2 2" xfId="6326"/>
    <cellStyle name="20% - Accent2 3 4 2 2 2" xfId="6327"/>
    <cellStyle name="20% - Accent2 3 4 2 2 2 2" xfId="6328"/>
    <cellStyle name="20% - Accent2 3 4 2 2 3" xfId="6329"/>
    <cellStyle name="20% - Accent2 3 4 2 3" xfId="6330"/>
    <cellStyle name="20% - Accent2 3 4 2 3 2" xfId="6331"/>
    <cellStyle name="20% - Accent2 3 4 2 4" xfId="6332"/>
    <cellStyle name="20% - Accent2 3 4 3" xfId="6333"/>
    <cellStyle name="20% - Accent2 3 4 3 2" xfId="6334"/>
    <cellStyle name="20% - Accent2 3 4 3 2 2" xfId="6335"/>
    <cellStyle name="20% - Accent2 3 4 3 3" xfId="6336"/>
    <cellStyle name="20% - Accent2 3 4 4" xfId="6337"/>
    <cellStyle name="20% - Accent2 3 4 4 2" xfId="6338"/>
    <cellStyle name="20% - Accent2 3 4 5" xfId="6339"/>
    <cellStyle name="20% - Accent2 3 5" xfId="6340"/>
    <cellStyle name="20% - Accent2 3 5 2" xfId="6341"/>
    <cellStyle name="20% - Accent2 3 5 2 2" xfId="6342"/>
    <cellStyle name="20% - Accent2 3 5 2 2 2" xfId="6343"/>
    <cellStyle name="20% - Accent2 3 5 2 2 2 2" xfId="6344"/>
    <cellStyle name="20% - Accent2 3 5 2 2 3" xfId="6345"/>
    <cellStyle name="20% - Accent2 3 5 2 3" xfId="6346"/>
    <cellStyle name="20% - Accent2 3 5 2 3 2" xfId="6347"/>
    <cellStyle name="20% - Accent2 3 5 2 4" xfId="6348"/>
    <cellStyle name="20% - Accent2 3 5 3" xfId="6349"/>
    <cellStyle name="20% - Accent2 3 5 3 2" xfId="6350"/>
    <cellStyle name="20% - Accent2 3 5 3 2 2" xfId="6351"/>
    <cellStyle name="20% - Accent2 3 5 3 3" xfId="6352"/>
    <cellStyle name="20% - Accent2 3 5 4" xfId="6353"/>
    <cellStyle name="20% - Accent2 3 5 4 2" xfId="6354"/>
    <cellStyle name="20% - Accent2 3 5 5" xfId="6355"/>
    <cellStyle name="20% - Accent2 3 6" xfId="6356"/>
    <cellStyle name="20% - Accent2 3 6 2" xfId="6357"/>
    <cellStyle name="20% - Accent2 3 6 2 2" xfId="6358"/>
    <cellStyle name="20% - Accent2 3 6 2 2 2" xfId="6359"/>
    <cellStyle name="20% - Accent2 3 6 2 2 2 2" xfId="6360"/>
    <cellStyle name="20% - Accent2 3 6 2 2 3" xfId="6361"/>
    <cellStyle name="20% - Accent2 3 6 2 3" xfId="6362"/>
    <cellStyle name="20% - Accent2 3 6 2 3 2" xfId="6363"/>
    <cellStyle name="20% - Accent2 3 6 2 4" xfId="6364"/>
    <cellStyle name="20% - Accent2 3 6 3" xfId="6365"/>
    <cellStyle name="20% - Accent2 3 6 3 2" xfId="6366"/>
    <cellStyle name="20% - Accent2 3 6 3 2 2" xfId="6367"/>
    <cellStyle name="20% - Accent2 3 6 3 3" xfId="6368"/>
    <cellStyle name="20% - Accent2 3 6 4" xfId="6369"/>
    <cellStyle name="20% - Accent2 3 6 4 2" xfId="6370"/>
    <cellStyle name="20% - Accent2 3 6 5" xfId="6371"/>
    <cellStyle name="20% - Accent2 3 7" xfId="6372"/>
    <cellStyle name="20% - Accent2 3 7 2" xfId="6373"/>
    <cellStyle name="20% - Accent2 3 7 2 2" xfId="6374"/>
    <cellStyle name="20% - Accent2 3 7 2 2 2" xfId="6375"/>
    <cellStyle name="20% - Accent2 3 7 2 2 2 2" xfId="6376"/>
    <cellStyle name="20% - Accent2 3 7 2 2 3" xfId="6377"/>
    <cellStyle name="20% - Accent2 3 7 2 3" xfId="6378"/>
    <cellStyle name="20% - Accent2 3 7 2 3 2" xfId="6379"/>
    <cellStyle name="20% - Accent2 3 7 2 4" xfId="6380"/>
    <cellStyle name="20% - Accent2 3 7 3" xfId="6381"/>
    <cellStyle name="20% - Accent2 3 7 3 2" xfId="6382"/>
    <cellStyle name="20% - Accent2 3 7 3 2 2" xfId="6383"/>
    <cellStyle name="20% - Accent2 3 7 3 3" xfId="6384"/>
    <cellStyle name="20% - Accent2 3 7 4" xfId="6385"/>
    <cellStyle name="20% - Accent2 3 7 4 2" xfId="6386"/>
    <cellStyle name="20% - Accent2 3 7 5" xfId="6387"/>
    <cellStyle name="20% - Accent2 3 8" xfId="6388"/>
    <cellStyle name="20% - Accent2 3 8 2" xfId="6389"/>
    <cellStyle name="20% - Accent2 3 8 2 2" xfId="6390"/>
    <cellStyle name="20% - Accent2 3 8 2 2 2" xfId="6391"/>
    <cellStyle name="20% - Accent2 3 8 2 3" xfId="6392"/>
    <cellStyle name="20% - Accent2 3 8 3" xfId="6393"/>
    <cellStyle name="20% - Accent2 3 8 3 2" xfId="6394"/>
    <cellStyle name="20% - Accent2 3 8 4" xfId="6395"/>
    <cellStyle name="20% - Accent2 3 9" xfId="6396"/>
    <cellStyle name="20% - Accent2 3 9 2" xfId="6397"/>
    <cellStyle name="20% - Accent2 3 9 2 2" xfId="6398"/>
    <cellStyle name="20% - Accent2 3 9 3" xfId="6399"/>
    <cellStyle name="20% - Accent2 4" xfId="6400"/>
    <cellStyle name="20% - Accent2 4 10" xfId="6401"/>
    <cellStyle name="20% - Accent2 4 10 2" xfId="6402"/>
    <cellStyle name="20% - Accent2 4 11" xfId="6403"/>
    <cellStyle name="20% - Accent2 4 2" xfId="6404"/>
    <cellStyle name="20% - Accent2 4 2 10" xfId="6405"/>
    <cellStyle name="20% - Accent2 4 2 2" xfId="6406"/>
    <cellStyle name="20% - Accent2 4 2 2 2" xfId="6407"/>
    <cellStyle name="20% - Accent2 4 2 2 2 2" xfId="6408"/>
    <cellStyle name="20% - Accent2 4 2 2 2 2 2" xfId="6409"/>
    <cellStyle name="20% - Accent2 4 2 2 2 2 2 2" xfId="6410"/>
    <cellStyle name="20% - Accent2 4 2 2 2 2 3" xfId="6411"/>
    <cellStyle name="20% - Accent2 4 2 2 2 3" xfId="6412"/>
    <cellStyle name="20% - Accent2 4 2 2 2 3 2" xfId="6413"/>
    <cellStyle name="20% - Accent2 4 2 2 2 4" xfId="6414"/>
    <cellStyle name="20% - Accent2 4 2 2 3" xfId="6415"/>
    <cellStyle name="20% - Accent2 4 2 2 3 2" xfId="6416"/>
    <cellStyle name="20% - Accent2 4 2 2 3 2 2" xfId="6417"/>
    <cellStyle name="20% - Accent2 4 2 2 3 3" xfId="6418"/>
    <cellStyle name="20% - Accent2 4 2 2 4" xfId="6419"/>
    <cellStyle name="20% - Accent2 4 2 2 4 2" xfId="6420"/>
    <cellStyle name="20% - Accent2 4 2 2 5" xfId="6421"/>
    <cellStyle name="20% - Accent2 4 2 3" xfId="6422"/>
    <cellStyle name="20% - Accent2 4 2 3 2" xfId="6423"/>
    <cellStyle name="20% - Accent2 4 2 3 2 2" xfId="6424"/>
    <cellStyle name="20% - Accent2 4 2 3 2 2 2" xfId="6425"/>
    <cellStyle name="20% - Accent2 4 2 3 2 2 2 2" xfId="6426"/>
    <cellStyle name="20% - Accent2 4 2 3 2 2 3" xfId="6427"/>
    <cellStyle name="20% - Accent2 4 2 3 2 3" xfId="6428"/>
    <cellStyle name="20% - Accent2 4 2 3 2 3 2" xfId="6429"/>
    <cellStyle name="20% - Accent2 4 2 3 2 4" xfId="6430"/>
    <cellStyle name="20% - Accent2 4 2 3 3" xfId="6431"/>
    <cellStyle name="20% - Accent2 4 2 3 3 2" xfId="6432"/>
    <cellStyle name="20% - Accent2 4 2 3 3 2 2" xfId="6433"/>
    <cellStyle name="20% - Accent2 4 2 3 3 3" xfId="6434"/>
    <cellStyle name="20% - Accent2 4 2 3 4" xfId="6435"/>
    <cellStyle name="20% - Accent2 4 2 3 4 2" xfId="6436"/>
    <cellStyle name="20% - Accent2 4 2 3 5" xfId="6437"/>
    <cellStyle name="20% - Accent2 4 2 4" xfId="6438"/>
    <cellStyle name="20% - Accent2 4 2 4 2" xfId="6439"/>
    <cellStyle name="20% - Accent2 4 2 4 2 2" xfId="6440"/>
    <cellStyle name="20% - Accent2 4 2 4 2 2 2" xfId="6441"/>
    <cellStyle name="20% - Accent2 4 2 4 2 2 2 2" xfId="6442"/>
    <cellStyle name="20% - Accent2 4 2 4 2 2 3" xfId="6443"/>
    <cellStyle name="20% - Accent2 4 2 4 2 3" xfId="6444"/>
    <cellStyle name="20% - Accent2 4 2 4 2 3 2" xfId="6445"/>
    <cellStyle name="20% - Accent2 4 2 4 2 4" xfId="6446"/>
    <cellStyle name="20% - Accent2 4 2 4 3" xfId="6447"/>
    <cellStyle name="20% - Accent2 4 2 4 3 2" xfId="6448"/>
    <cellStyle name="20% - Accent2 4 2 4 3 2 2" xfId="6449"/>
    <cellStyle name="20% - Accent2 4 2 4 3 3" xfId="6450"/>
    <cellStyle name="20% - Accent2 4 2 4 4" xfId="6451"/>
    <cellStyle name="20% - Accent2 4 2 4 4 2" xfId="6452"/>
    <cellStyle name="20% - Accent2 4 2 4 5" xfId="6453"/>
    <cellStyle name="20% - Accent2 4 2 5" xfId="6454"/>
    <cellStyle name="20% - Accent2 4 2 5 2" xfId="6455"/>
    <cellStyle name="20% - Accent2 4 2 5 2 2" xfId="6456"/>
    <cellStyle name="20% - Accent2 4 2 5 2 2 2" xfId="6457"/>
    <cellStyle name="20% - Accent2 4 2 5 2 2 2 2" xfId="6458"/>
    <cellStyle name="20% - Accent2 4 2 5 2 2 3" xfId="6459"/>
    <cellStyle name="20% - Accent2 4 2 5 2 3" xfId="6460"/>
    <cellStyle name="20% - Accent2 4 2 5 2 3 2" xfId="6461"/>
    <cellStyle name="20% - Accent2 4 2 5 2 4" xfId="6462"/>
    <cellStyle name="20% - Accent2 4 2 5 3" xfId="6463"/>
    <cellStyle name="20% - Accent2 4 2 5 3 2" xfId="6464"/>
    <cellStyle name="20% - Accent2 4 2 5 3 2 2" xfId="6465"/>
    <cellStyle name="20% - Accent2 4 2 5 3 3" xfId="6466"/>
    <cellStyle name="20% - Accent2 4 2 5 4" xfId="6467"/>
    <cellStyle name="20% - Accent2 4 2 5 4 2" xfId="6468"/>
    <cellStyle name="20% - Accent2 4 2 5 5" xfId="6469"/>
    <cellStyle name="20% - Accent2 4 2 6" xfId="6470"/>
    <cellStyle name="20% - Accent2 4 2 6 2" xfId="6471"/>
    <cellStyle name="20% - Accent2 4 2 6 2 2" xfId="6472"/>
    <cellStyle name="20% - Accent2 4 2 6 2 2 2" xfId="6473"/>
    <cellStyle name="20% - Accent2 4 2 6 2 2 2 2" xfId="6474"/>
    <cellStyle name="20% - Accent2 4 2 6 2 2 3" xfId="6475"/>
    <cellStyle name="20% - Accent2 4 2 6 2 3" xfId="6476"/>
    <cellStyle name="20% - Accent2 4 2 6 2 3 2" xfId="6477"/>
    <cellStyle name="20% - Accent2 4 2 6 2 4" xfId="6478"/>
    <cellStyle name="20% - Accent2 4 2 6 3" xfId="6479"/>
    <cellStyle name="20% - Accent2 4 2 6 3 2" xfId="6480"/>
    <cellStyle name="20% - Accent2 4 2 6 3 2 2" xfId="6481"/>
    <cellStyle name="20% - Accent2 4 2 6 3 3" xfId="6482"/>
    <cellStyle name="20% - Accent2 4 2 6 4" xfId="6483"/>
    <cellStyle name="20% - Accent2 4 2 6 4 2" xfId="6484"/>
    <cellStyle name="20% - Accent2 4 2 6 5" xfId="6485"/>
    <cellStyle name="20% - Accent2 4 2 7" xfId="6486"/>
    <cellStyle name="20% - Accent2 4 2 7 2" xfId="6487"/>
    <cellStyle name="20% - Accent2 4 2 7 2 2" xfId="6488"/>
    <cellStyle name="20% - Accent2 4 2 7 2 2 2" xfId="6489"/>
    <cellStyle name="20% - Accent2 4 2 7 2 3" xfId="6490"/>
    <cellStyle name="20% - Accent2 4 2 7 3" xfId="6491"/>
    <cellStyle name="20% - Accent2 4 2 7 3 2" xfId="6492"/>
    <cellStyle name="20% - Accent2 4 2 7 4" xfId="6493"/>
    <cellStyle name="20% - Accent2 4 2 8" xfId="6494"/>
    <cellStyle name="20% - Accent2 4 2 8 2" xfId="6495"/>
    <cellStyle name="20% - Accent2 4 2 8 2 2" xfId="6496"/>
    <cellStyle name="20% - Accent2 4 2 8 3" xfId="6497"/>
    <cellStyle name="20% - Accent2 4 2 9" xfId="6498"/>
    <cellStyle name="20% - Accent2 4 2 9 2" xfId="6499"/>
    <cellStyle name="20% - Accent2 4 3" xfId="6500"/>
    <cellStyle name="20% - Accent2 4 3 2" xfId="6501"/>
    <cellStyle name="20% - Accent2 4 3 2 2" xfId="6502"/>
    <cellStyle name="20% - Accent2 4 3 2 2 2" xfId="6503"/>
    <cellStyle name="20% - Accent2 4 3 2 2 2 2" xfId="6504"/>
    <cellStyle name="20% - Accent2 4 3 2 2 3" xfId="6505"/>
    <cellStyle name="20% - Accent2 4 3 2 3" xfId="6506"/>
    <cellStyle name="20% - Accent2 4 3 2 3 2" xfId="6507"/>
    <cellStyle name="20% - Accent2 4 3 2 4" xfId="6508"/>
    <cellStyle name="20% - Accent2 4 3 3" xfId="6509"/>
    <cellStyle name="20% - Accent2 4 3 3 2" xfId="6510"/>
    <cellStyle name="20% - Accent2 4 3 3 2 2" xfId="6511"/>
    <cellStyle name="20% - Accent2 4 3 3 3" xfId="6512"/>
    <cellStyle name="20% - Accent2 4 3 4" xfId="6513"/>
    <cellStyle name="20% - Accent2 4 3 4 2" xfId="6514"/>
    <cellStyle name="20% - Accent2 4 3 5" xfId="6515"/>
    <cellStyle name="20% - Accent2 4 4" xfId="6516"/>
    <cellStyle name="20% - Accent2 4 4 2" xfId="6517"/>
    <cellStyle name="20% - Accent2 4 4 2 2" xfId="6518"/>
    <cellStyle name="20% - Accent2 4 4 2 2 2" xfId="6519"/>
    <cellStyle name="20% - Accent2 4 4 2 2 2 2" xfId="6520"/>
    <cellStyle name="20% - Accent2 4 4 2 2 3" xfId="6521"/>
    <cellStyle name="20% - Accent2 4 4 2 3" xfId="6522"/>
    <cellStyle name="20% - Accent2 4 4 2 3 2" xfId="6523"/>
    <cellStyle name="20% - Accent2 4 4 2 4" xfId="6524"/>
    <cellStyle name="20% - Accent2 4 4 3" xfId="6525"/>
    <cellStyle name="20% - Accent2 4 4 3 2" xfId="6526"/>
    <cellStyle name="20% - Accent2 4 4 3 2 2" xfId="6527"/>
    <cellStyle name="20% - Accent2 4 4 3 3" xfId="6528"/>
    <cellStyle name="20% - Accent2 4 4 4" xfId="6529"/>
    <cellStyle name="20% - Accent2 4 4 4 2" xfId="6530"/>
    <cellStyle name="20% - Accent2 4 4 5" xfId="6531"/>
    <cellStyle name="20% - Accent2 4 5" xfId="6532"/>
    <cellStyle name="20% - Accent2 4 5 2" xfId="6533"/>
    <cellStyle name="20% - Accent2 4 5 2 2" xfId="6534"/>
    <cellStyle name="20% - Accent2 4 5 2 2 2" xfId="6535"/>
    <cellStyle name="20% - Accent2 4 5 2 2 2 2" xfId="6536"/>
    <cellStyle name="20% - Accent2 4 5 2 2 3" xfId="6537"/>
    <cellStyle name="20% - Accent2 4 5 2 3" xfId="6538"/>
    <cellStyle name="20% - Accent2 4 5 2 3 2" xfId="6539"/>
    <cellStyle name="20% - Accent2 4 5 2 4" xfId="6540"/>
    <cellStyle name="20% - Accent2 4 5 3" xfId="6541"/>
    <cellStyle name="20% - Accent2 4 5 3 2" xfId="6542"/>
    <cellStyle name="20% - Accent2 4 5 3 2 2" xfId="6543"/>
    <cellStyle name="20% - Accent2 4 5 3 3" xfId="6544"/>
    <cellStyle name="20% - Accent2 4 5 4" xfId="6545"/>
    <cellStyle name="20% - Accent2 4 5 4 2" xfId="6546"/>
    <cellStyle name="20% - Accent2 4 5 5" xfId="6547"/>
    <cellStyle name="20% - Accent2 4 6" xfId="6548"/>
    <cellStyle name="20% - Accent2 4 6 2" xfId="6549"/>
    <cellStyle name="20% - Accent2 4 6 2 2" xfId="6550"/>
    <cellStyle name="20% - Accent2 4 6 2 2 2" xfId="6551"/>
    <cellStyle name="20% - Accent2 4 6 2 2 2 2" xfId="6552"/>
    <cellStyle name="20% - Accent2 4 6 2 2 3" xfId="6553"/>
    <cellStyle name="20% - Accent2 4 6 2 3" xfId="6554"/>
    <cellStyle name="20% - Accent2 4 6 2 3 2" xfId="6555"/>
    <cellStyle name="20% - Accent2 4 6 2 4" xfId="6556"/>
    <cellStyle name="20% - Accent2 4 6 3" xfId="6557"/>
    <cellStyle name="20% - Accent2 4 6 3 2" xfId="6558"/>
    <cellStyle name="20% - Accent2 4 6 3 2 2" xfId="6559"/>
    <cellStyle name="20% - Accent2 4 6 3 3" xfId="6560"/>
    <cellStyle name="20% - Accent2 4 6 4" xfId="6561"/>
    <cellStyle name="20% - Accent2 4 6 4 2" xfId="6562"/>
    <cellStyle name="20% - Accent2 4 6 5" xfId="6563"/>
    <cellStyle name="20% - Accent2 4 7" xfId="6564"/>
    <cellStyle name="20% - Accent2 4 7 2" xfId="6565"/>
    <cellStyle name="20% - Accent2 4 7 2 2" xfId="6566"/>
    <cellStyle name="20% - Accent2 4 7 2 2 2" xfId="6567"/>
    <cellStyle name="20% - Accent2 4 7 2 2 2 2" xfId="6568"/>
    <cellStyle name="20% - Accent2 4 7 2 2 3" xfId="6569"/>
    <cellStyle name="20% - Accent2 4 7 2 3" xfId="6570"/>
    <cellStyle name="20% - Accent2 4 7 2 3 2" xfId="6571"/>
    <cellStyle name="20% - Accent2 4 7 2 4" xfId="6572"/>
    <cellStyle name="20% - Accent2 4 7 3" xfId="6573"/>
    <cellStyle name="20% - Accent2 4 7 3 2" xfId="6574"/>
    <cellStyle name="20% - Accent2 4 7 3 2 2" xfId="6575"/>
    <cellStyle name="20% - Accent2 4 7 3 3" xfId="6576"/>
    <cellStyle name="20% - Accent2 4 7 4" xfId="6577"/>
    <cellStyle name="20% - Accent2 4 7 4 2" xfId="6578"/>
    <cellStyle name="20% - Accent2 4 7 5" xfId="6579"/>
    <cellStyle name="20% - Accent2 4 8" xfId="6580"/>
    <cellStyle name="20% - Accent2 4 8 2" xfId="6581"/>
    <cellStyle name="20% - Accent2 4 8 2 2" xfId="6582"/>
    <cellStyle name="20% - Accent2 4 8 2 2 2" xfId="6583"/>
    <cellStyle name="20% - Accent2 4 8 2 3" xfId="6584"/>
    <cellStyle name="20% - Accent2 4 8 3" xfId="6585"/>
    <cellStyle name="20% - Accent2 4 8 3 2" xfId="6586"/>
    <cellStyle name="20% - Accent2 4 8 4" xfId="6587"/>
    <cellStyle name="20% - Accent2 4 9" xfId="6588"/>
    <cellStyle name="20% - Accent2 4 9 2" xfId="6589"/>
    <cellStyle name="20% - Accent2 4 9 2 2" xfId="6590"/>
    <cellStyle name="20% - Accent2 4 9 3" xfId="6591"/>
    <cellStyle name="20% - Accent2 5" xfId="6592"/>
    <cellStyle name="20% - Accent2 5 10" xfId="6593"/>
    <cellStyle name="20% - Accent2 5 10 2" xfId="6594"/>
    <cellStyle name="20% - Accent2 5 11" xfId="6595"/>
    <cellStyle name="20% - Accent2 5 2" xfId="6596"/>
    <cellStyle name="20% - Accent2 5 2 10" xfId="6597"/>
    <cellStyle name="20% - Accent2 5 2 2" xfId="6598"/>
    <cellStyle name="20% - Accent2 5 2 2 2" xfId="6599"/>
    <cellStyle name="20% - Accent2 5 2 2 2 2" xfId="6600"/>
    <cellStyle name="20% - Accent2 5 2 2 2 2 2" xfId="6601"/>
    <cellStyle name="20% - Accent2 5 2 2 2 2 2 2" xfId="6602"/>
    <cellStyle name="20% - Accent2 5 2 2 2 2 3" xfId="6603"/>
    <cellStyle name="20% - Accent2 5 2 2 2 3" xfId="6604"/>
    <cellStyle name="20% - Accent2 5 2 2 2 3 2" xfId="6605"/>
    <cellStyle name="20% - Accent2 5 2 2 2 4" xfId="6606"/>
    <cellStyle name="20% - Accent2 5 2 2 3" xfId="6607"/>
    <cellStyle name="20% - Accent2 5 2 2 3 2" xfId="6608"/>
    <cellStyle name="20% - Accent2 5 2 2 3 2 2" xfId="6609"/>
    <cellStyle name="20% - Accent2 5 2 2 3 3" xfId="6610"/>
    <cellStyle name="20% - Accent2 5 2 2 4" xfId="6611"/>
    <cellStyle name="20% - Accent2 5 2 2 4 2" xfId="6612"/>
    <cellStyle name="20% - Accent2 5 2 2 5" xfId="6613"/>
    <cellStyle name="20% - Accent2 5 2 3" xfId="6614"/>
    <cellStyle name="20% - Accent2 5 2 3 2" xfId="6615"/>
    <cellStyle name="20% - Accent2 5 2 3 2 2" xfId="6616"/>
    <cellStyle name="20% - Accent2 5 2 3 2 2 2" xfId="6617"/>
    <cellStyle name="20% - Accent2 5 2 3 2 2 2 2" xfId="6618"/>
    <cellStyle name="20% - Accent2 5 2 3 2 2 3" xfId="6619"/>
    <cellStyle name="20% - Accent2 5 2 3 2 3" xfId="6620"/>
    <cellStyle name="20% - Accent2 5 2 3 2 3 2" xfId="6621"/>
    <cellStyle name="20% - Accent2 5 2 3 2 4" xfId="6622"/>
    <cellStyle name="20% - Accent2 5 2 3 3" xfId="6623"/>
    <cellStyle name="20% - Accent2 5 2 3 3 2" xfId="6624"/>
    <cellStyle name="20% - Accent2 5 2 3 3 2 2" xfId="6625"/>
    <cellStyle name="20% - Accent2 5 2 3 3 3" xfId="6626"/>
    <cellStyle name="20% - Accent2 5 2 3 4" xfId="6627"/>
    <cellStyle name="20% - Accent2 5 2 3 4 2" xfId="6628"/>
    <cellStyle name="20% - Accent2 5 2 3 5" xfId="6629"/>
    <cellStyle name="20% - Accent2 5 2 4" xfId="6630"/>
    <cellStyle name="20% - Accent2 5 2 4 2" xfId="6631"/>
    <cellStyle name="20% - Accent2 5 2 4 2 2" xfId="6632"/>
    <cellStyle name="20% - Accent2 5 2 4 2 2 2" xfId="6633"/>
    <cellStyle name="20% - Accent2 5 2 4 2 2 2 2" xfId="6634"/>
    <cellStyle name="20% - Accent2 5 2 4 2 2 3" xfId="6635"/>
    <cellStyle name="20% - Accent2 5 2 4 2 3" xfId="6636"/>
    <cellStyle name="20% - Accent2 5 2 4 2 3 2" xfId="6637"/>
    <cellStyle name="20% - Accent2 5 2 4 2 4" xfId="6638"/>
    <cellStyle name="20% - Accent2 5 2 4 3" xfId="6639"/>
    <cellStyle name="20% - Accent2 5 2 4 3 2" xfId="6640"/>
    <cellStyle name="20% - Accent2 5 2 4 3 2 2" xfId="6641"/>
    <cellStyle name="20% - Accent2 5 2 4 3 3" xfId="6642"/>
    <cellStyle name="20% - Accent2 5 2 4 4" xfId="6643"/>
    <cellStyle name="20% - Accent2 5 2 4 4 2" xfId="6644"/>
    <cellStyle name="20% - Accent2 5 2 4 5" xfId="6645"/>
    <cellStyle name="20% - Accent2 5 2 5" xfId="6646"/>
    <cellStyle name="20% - Accent2 5 2 5 2" xfId="6647"/>
    <cellStyle name="20% - Accent2 5 2 5 2 2" xfId="6648"/>
    <cellStyle name="20% - Accent2 5 2 5 2 2 2" xfId="6649"/>
    <cellStyle name="20% - Accent2 5 2 5 2 2 2 2" xfId="6650"/>
    <cellStyle name="20% - Accent2 5 2 5 2 2 3" xfId="6651"/>
    <cellStyle name="20% - Accent2 5 2 5 2 3" xfId="6652"/>
    <cellStyle name="20% - Accent2 5 2 5 2 3 2" xfId="6653"/>
    <cellStyle name="20% - Accent2 5 2 5 2 4" xfId="6654"/>
    <cellStyle name="20% - Accent2 5 2 5 3" xfId="6655"/>
    <cellStyle name="20% - Accent2 5 2 5 3 2" xfId="6656"/>
    <cellStyle name="20% - Accent2 5 2 5 3 2 2" xfId="6657"/>
    <cellStyle name="20% - Accent2 5 2 5 3 3" xfId="6658"/>
    <cellStyle name="20% - Accent2 5 2 5 4" xfId="6659"/>
    <cellStyle name="20% - Accent2 5 2 5 4 2" xfId="6660"/>
    <cellStyle name="20% - Accent2 5 2 5 5" xfId="6661"/>
    <cellStyle name="20% - Accent2 5 2 6" xfId="6662"/>
    <cellStyle name="20% - Accent2 5 2 6 2" xfId="6663"/>
    <cellStyle name="20% - Accent2 5 2 6 2 2" xfId="6664"/>
    <cellStyle name="20% - Accent2 5 2 6 2 2 2" xfId="6665"/>
    <cellStyle name="20% - Accent2 5 2 6 2 2 2 2" xfId="6666"/>
    <cellStyle name="20% - Accent2 5 2 6 2 2 3" xfId="6667"/>
    <cellStyle name="20% - Accent2 5 2 6 2 3" xfId="6668"/>
    <cellStyle name="20% - Accent2 5 2 6 2 3 2" xfId="6669"/>
    <cellStyle name="20% - Accent2 5 2 6 2 4" xfId="6670"/>
    <cellStyle name="20% - Accent2 5 2 6 3" xfId="6671"/>
    <cellStyle name="20% - Accent2 5 2 6 3 2" xfId="6672"/>
    <cellStyle name="20% - Accent2 5 2 6 3 2 2" xfId="6673"/>
    <cellStyle name="20% - Accent2 5 2 6 3 3" xfId="6674"/>
    <cellStyle name="20% - Accent2 5 2 6 4" xfId="6675"/>
    <cellStyle name="20% - Accent2 5 2 6 4 2" xfId="6676"/>
    <cellStyle name="20% - Accent2 5 2 6 5" xfId="6677"/>
    <cellStyle name="20% - Accent2 5 2 7" xfId="6678"/>
    <cellStyle name="20% - Accent2 5 2 7 2" xfId="6679"/>
    <cellStyle name="20% - Accent2 5 2 7 2 2" xfId="6680"/>
    <cellStyle name="20% - Accent2 5 2 7 2 2 2" xfId="6681"/>
    <cellStyle name="20% - Accent2 5 2 7 2 3" xfId="6682"/>
    <cellStyle name="20% - Accent2 5 2 7 3" xfId="6683"/>
    <cellStyle name="20% - Accent2 5 2 7 3 2" xfId="6684"/>
    <cellStyle name="20% - Accent2 5 2 7 4" xfId="6685"/>
    <cellStyle name="20% - Accent2 5 2 8" xfId="6686"/>
    <cellStyle name="20% - Accent2 5 2 8 2" xfId="6687"/>
    <cellStyle name="20% - Accent2 5 2 8 2 2" xfId="6688"/>
    <cellStyle name="20% - Accent2 5 2 8 3" xfId="6689"/>
    <cellStyle name="20% - Accent2 5 2 9" xfId="6690"/>
    <cellStyle name="20% - Accent2 5 2 9 2" xfId="6691"/>
    <cellStyle name="20% - Accent2 5 3" xfId="6692"/>
    <cellStyle name="20% - Accent2 5 3 2" xfId="6693"/>
    <cellStyle name="20% - Accent2 5 3 2 2" xfId="6694"/>
    <cellStyle name="20% - Accent2 5 3 2 2 2" xfId="6695"/>
    <cellStyle name="20% - Accent2 5 3 2 2 2 2" xfId="6696"/>
    <cellStyle name="20% - Accent2 5 3 2 2 3" xfId="6697"/>
    <cellStyle name="20% - Accent2 5 3 2 3" xfId="6698"/>
    <cellStyle name="20% - Accent2 5 3 2 3 2" xfId="6699"/>
    <cellStyle name="20% - Accent2 5 3 2 4" xfId="6700"/>
    <cellStyle name="20% - Accent2 5 3 3" xfId="6701"/>
    <cellStyle name="20% - Accent2 5 3 3 2" xfId="6702"/>
    <cellStyle name="20% - Accent2 5 3 3 2 2" xfId="6703"/>
    <cellStyle name="20% - Accent2 5 3 3 3" xfId="6704"/>
    <cellStyle name="20% - Accent2 5 3 4" xfId="6705"/>
    <cellStyle name="20% - Accent2 5 3 4 2" xfId="6706"/>
    <cellStyle name="20% - Accent2 5 3 5" xfId="6707"/>
    <cellStyle name="20% - Accent2 5 4" xfId="6708"/>
    <cellStyle name="20% - Accent2 5 4 2" xfId="6709"/>
    <cellStyle name="20% - Accent2 5 4 2 2" xfId="6710"/>
    <cellStyle name="20% - Accent2 5 4 2 2 2" xfId="6711"/>
    <cellStyle name="20% - Accent2 5 4 2 2 2 2" xfId="6712"/>
    <cellStyle name="20% - Accent2 5 4 2 2 3" xfId="6713"/>
    <cellStyle name="20% - Accent2 5 4 2 3" xfId="6714"/>
    <cellStyle name="20% - Accent2 5 4 2 3 2" xfId="6715"/>
    <cellStyle name="20% - Accent2 5 4 2 4" xfId="6716"/>
    <cellStyle name="20% - Accent2 5 4 3" xfId="6717"/>
    <cellStyle name="20% - Accent2 5 4 3 2" xfId="6718"/>
    <cellStyle name="20% - Accent2 5 4 3 2 2" xfId="6719"/>
    <cellStyle name="20% - Accent2 5 4 3 3" xfId="6720"/>
    <cellStyle name="20% - Accent2 5 4 4" xfId="6721"/>
    <cellStyle name="20% - Accent2 5 4 4 2" xfId="6722"/>
    <cellStyle name="20% - Accent2 5 4 5" xfId="6723"/>
    <cellStyle name="20% - Accent2 5 5" xfId="6724"/>
    <cellStyle name="20% - Accent2 5 5 2" xfId="6725"/>
    <cellStyle name="20% - Accent2 5 5 2 2" xfId="6726"/>
    <cellStyle name="20% - Accent2 5 5 2 2 2" xfId="6727"/>
    <cellStyle name="20% - Accent2 5 5 2 2 2 2" xfId="6728"/>
    <cellStyle name="20% - Accent2 5 5 2 2 3" xfId="6729"/>
    <cellStyle name="20% - Accent2 5 5 2 3" xfId="6730"/>
    <cellStyle name="20% - Accent2 5 5 2 3 2" xfId="6731"/>
    <cellStyle name="20% - Accent2 5 5 2 4" xfId="6732"/>
    <cellStyle name="20% - Accent2 5 5 3" xfId="6733"/>
    <cellStyle name="20% - Accent2 5 5 3 2" xfId="6734"/>
    <cellStyle name="20% - Accent2 5 5 3 2 2" xfId="6735"/>
    <cellStyle name="20% - Accent2 5 5 3 3" xfId="6736"/>
    <cellStyle name="20% - Accent2 5 5 4" xfId="6737"/>
    <cellStyle name="20% - Accent2 5 5 4 2" xfId="6738"/>
    <cellStyle name="20% - Accent2 5 5 5" xfId="6739"/>
    <cellStyle name="20% - Accent2 5 6" xfId="6740"/>
    <cellStyle name="20% - Accent2 5 6 2" xfId="6741"/>
    <cellStyle name="20% - Accent2 5 6 2 2" xfId="6742"/>
    <cellStyle name="20% - Accent2 5 6 2 2 2" xfId="6743"/>
    <cellStyle name="20% - Accent2 5 6 2 2 2 2" xfId="6744"/>
    <cellStyle name="20% - Accent2 5 6 2 2 3" xfId="6745"/>
    <cellStyle name="20% - Accent2 5 6 2 3" xfId="6746"/>
    <cellStyle name="20% - Accent2 5 6 2 3 2" xfId="6747"/>
    <cellStyle name="20% - Accent2 5 6 2 4" xfId="6748"/>
    <cellStyle name="20% - Accent2 5 6 3" xfId="6749"/>
    <cellStyle name="20% - Accent2 5 6 3 2" xfId="6750"/>
    <cellStyle name="20% - Accent2 5 6 3 2 2" xfId="6751"/>
    <cellStyle name="20% - Accent2 5 6 3 3" xfId="6752"/>
    <cellStyle name="20% - Accent2 5 6 4" xfId="6753"/>
    <cellStyle name="20% - Accent2 5 6 4 2" xfId="6754"/>
    <cellStyle name="20% - Accent2 5 6 5" xfId="6755"/>
    <cellStyle name="20% - Accent2 5 7" xfId="6756"/>
    <cellStyle name="20% - Accent2 5 7 2" xfId="6757"/>
    <cellStyle name="20% - Accent2 5 7 2 2" xfId="6758"/>
    <cellStyle name="20% - Accent2 5 7 2 2 2" xfId="6759"/>
    <cellStyle name="20% - Accent2 5 7 2 2 2 2" xfId="6760"/>
    <cellStyle name="20% - Accent2 5 7 2 2 3" xfId="6761"/>
    <cellStyle name="20% - Accent2 5 7 2 3" xfId="6762"/>
    <cellStyle name="20% - Accent2 5 7 2 3 2" xfId="6763"/>
    <cellStyle name="20% - Accent2 5 7 2 4" xfId="6764"/>
    <cellStyle name="20% - Accent2 5 7 3" xfId="6765"/>
    <cellStyle name="20% - Accent2 5 7 3 2" xfId="6766"/>
    <cellStyle name="20% - Accent2 5 7 3 2 2" xfId="6767"/>
    <cellStyle name="20% - Accent2 5 7 3 3" xfId="6768"/>
    <cellStyle name="20% - Accent2 5 7 4" xfId="6769"/>
    <cellStyle name="20% - Accent2 5 7 4 2" xfId="6770"/>
    <cellStyle name="20% - Accent2 5 7 5" xfId="6771"/>
    <cellStyle name="20% - Accent2 5 8" xfId="6772"/>
    <cellStyle name="20% - Accent2 5 8 2" xfId="6773"/>
    <cellStyle name="20% - Accent2 5 8 2 2" xfId="6774"/>
    <cellStyle name="20% - Accent2 5 8 2 2 2" xfId="6775"/>
    <cellStyle name="20% - Accent2 5 8 2 3" xfId="6776"/>
    <cellStyle name="20% - Accent2 5 8 3" xfId="6777"/>
    <cellStyle name="20% - Accent2 5 8 3 2" xfId="6778"/>
    <cellStyle name="20% - Accent2 5 8 4" xfId="6779"/>
    <cellStyle name="20% - Accent2 5 9" xfId="6780"/>
    <cellStyle name="20% - Accent2 5 9 2" xfId="6781"/>
    <cellStyle name="20% - Accent2 5 9 2 2" xfId="6782"/>
    <cellStyle name="20% - Accent2 5 9 3" xfId="6783"/>
    <cellStyle name="20% - Accent2 6" xfId="6784"/>
    <cellStyle name="20% - Accent2 6 10" xfId="6785"/>
    <cellStyle name="20% - Accent2 6 10 2" xfId="6786"/>
    <cellStyle name="20% - Accent2 6 11" xfId="6787"/>
    <cellStyle name="20% - Accent2 6 2" xfId="6788"/>
    <cellStyle name="20% - Accent2 6 2 10" xfId="6789"/>
    <cellStyle name="20% - Accent2 6 2 2" xfId="6790"/>
    <cellStyle name="20% - Accent2 6 2 2 2" xfId="6791"/>
    <cellStyle name="20% - Accent2 6 2 2 2 2" xfId="6792"/>
    <cellStyle name="20% - Accent2 6 2 2 2 2 2" xfId="6793"/>
    <cellStyle name="20% - Accent2 6 2 2 2 2 2 2" xfId="6794"/>
    <cellStyle name="20% - Accent2 6 2 2 2 2 3" xfId="6795"/>
    <cellStyle name="20% - Accent2 6 2 2 2 3" xfId="6796"/>
    <cellStyle name="20% - Accent2 6 2 2 2 3 2" xfId="6797"/>
    <cellStyle name="20% - Accent2 6 2 2 2 4" xfId="6798"/>
    <cellStyle name="20% - Accent2 6 2 2 3" xfId="6799"/>
    <cellStyle name="20% - Accent2 6 2 2 3 2" xfId="6800"/>
    <cellStyle name="20% - Accent2 6 2 2 3 2 2" xfId="6801"/>
    <cellStyle name="20% - Accent2 6 2 2 3 3" xfId="6802"/>
    <cellStyle name="20% - Accent2 6 2 2 4" xfId="6803"/>
    <cellStyle name="20% - Accent2 6 2 2 4 2" xfId="6804"/>
    <cellStyle name="20% - Accent2 6 2 2 5" xfId="6805"/>
    <cellStyle name="20% - Accent2 6 2 3" xfId="6806"/>
    <cellStyle name="20% - Accent2 6 2 3 2" xfId="6807"/>
    <cellStyle name="20% - Accent2 6 2 3 2 2" xfId="6808"/>
    <cellStyle name="20% - Accent2 6 2 3 2 2 2" xfId="6809"/>
    <cellStyle name="20% - Accent2 6 2 3 2 2 2 2" xfId="6810"/>
    <cellStyle name="20% - Accent2 6 2 3 2 2 3" xfId="6811"/>
    <cellStyle name="20% - Accent2 6 2 3 2 3" xfId="6812"/>
    <cellStyle name="20% - Accent2 6 2 3 2 3 2" xfId="6813"/>
    <cellStyle name="20% - Accent2 6 2 3 2 4" xfId="6814"/>
    <cellStyle name="20% - Accent2 6 2 3 3" xfId="6815"/>
    <cellStyle name="20% - Accent2 6 2 3 3 2" xfId="6816"/>
    <cellStyle name="20% - Accent2 6 2 3 3 2 2" xfId="6817"/>
    <cellStyle name="20% - Accent2 6 2 3 3 3" xfId="6818"/>
    <cellStyle name="20% - Accent2 6 2 3 4" xfId="6819"/>
    <cellStyle name="20% - Accent2 6 2 3 4 2" xfId="6820"/>
    <cellStyle name="20% - Accent2 6 2 3 5" xfId="6821"/>
    <cellStyle name="20% - Accent2 6 2 4" xfId="6822"/>
    <cellStyle name="20% - Accent2 6 2 4 2" xfId="6823"/>
    <cellStyle name="20% - Accent2 6 2 4 2 2" xfId="6824"/>
    <cellStyle name="20% - Accent2 6 2 4 2 2 2" xfId="6825"/>
    <cellStyle name="20% - Accent2 6 2 4 2 2 2 2" xfId="6826"/>
    <cellStyle name="20% - Accent2 6 2 4 2 2 3" xfId="6827"/>
    <cellStyle name="20% - Accent2 6 2 4 2 3" xfId="6828"/>
    <cellStyle name="20% - Accent2 6 2 4 2 3 2" xfId="6829"/>
    <cellStyle name="20% - Accent2 6 2 4 2 4" xfId="6830"/>
    <cellStyle name="20% - Accent2 6 2 4 3" xfId="6831"/>
    <cellStyle name="20% - Accent2 6 2 4 3 2" xfId="6832"/>
    <cellStyle name="20% - Accent2 6 2 4 3 2 2" xfId="6833"/>
    <cellStyle name="20% - Accent2 6 2 4 3 3" xfId="6834"/>
    <cellStyle name="20% - Accent2 6 2 4 4" xfId="6835"/>
    <cellStyle name="20% - Accent2 6 2 4 4 2" xfId="6836"/>
    <cellStyle name="20% - Accent2 6 2 4 5" xfId="6837"/>
    <cellStyle name="20% - Accent2 6 2 5" xfId="6838"/>
    <cellStyle name="20% - Accent2 6 2 5 2" xfId="6839"/>
    <cellStyle name="20% - Accent2 6 2 5 2 2" xfId="6840"/>
    <cellStyle name="20% - Accent2 6 2 5 2 2 2" xfId="6841"/>
    <cellStyle name="20% - Accent2 6 2 5 2 2 2 2" xfId="6842"/>
    <cellStyle name="20% - Accent2 6 2 5 2 2 3" xfId="6843"/>
    <cellStyle name="20% - Accent2 6 2 5 2 3" xfId="6844"/>
    <cellStyle name="20% - Accent2 6 2 5 2 3 2" xfId="6845"/>
    <cellStyle name="20% - Accent2 6 2 5 2 4" xfId="6846"/>
    <cellStyle name="20% - Accent2 6 2 5 3" xfId="6847"/>
    <cellStyle name="20% - Accent2 6 2 5 3 2" xfId="6848"/>
    <cellStyle name="20% - Accent2 6 2 5 3 2 2" xfId="6849"/>
    <cellStyle name="20% - Accent2 6 2 5 3 3" xfId="6850"/>
    <cellStyle name="20% - Accent2 6 2 5 4" xfId="6851"/>
    <cellStyle name="20% - Accent2 6 2 5 4 2" xfId="6852"/>
    <cellStyle name="20% - Accent2 6 2 5 5" xfId="6853"/>
    <cellStyle name="20% - Accent2 6 2 6" xfId="6854"/>
    <cellStyle name="20% - Accent2 6 2 6 2" xfId="6855"/>
    <cellStyle name="20% - Accent2 6 2 6 2 2" xfId="6856"/>
    <cellStyle name="20% - Accent2 6 2 6 2 2 2" xfId="6857"/>
    <cellStyle name="20% - Accent2 6 2 6 2 2 2 2" xfId="6858"/>
    <cellStyle name="20% - Accent2 6 2 6 2 2 3" xfId="6859"/>
    <cellStyle name="20% - Accent2 6 2 6 2 3" xfId="6860"/>
    <cellStyle name="20% - Accent2 6 2 6 2 3 2" xfId="6861"/>
    <cellStyle name="20% - Accent2 6 2 6 2 4" xfId="6862"/>
    <cellStyle name="20% - Accent2 6 2 6 3" xfId="6863"/>
    <cellStyle name="20% - Accent2 6 2 6 3 2" xfId="6864"/>
    <cellStyle name="20% - Accent2 6 2 6 3 2 2" xfId="6865"/>
    <cellStyle name="20% - Accent2 6 2 6 3 3" xfId="6866"/>
    <cellStyle name="20% - Accent2 6 2 6 4" xfId="6867"/>
    <cellStyle name="20% - Accent2 6 2 6 4 2" xfId="6868"/>
    <cellStyle name="20% - Accent2 6 2 6 5" xfId="6869"/>
    <cellStyle name="20% - Accent2 6 2 7" xfId="6870"/>
    <cellStyle name="20% - Accent2 6 2 7 2" xfId="6871"/>
    <cellStyle name="20% - Accent2 6 2 7 2 2" xfId="6872"/>
    <cellStyle name="20% - Accent2 6 2 7 2 2 2" xfId="6873"/>
    <cellStyle name="20% - Accent2 6 2 7 2 3" xfId="6874"/>
    <cellStyle name="20% - Accent2 6 2 7 3" xfId="6875"/>
    <cellStyle name="20% - Accent2 6 2 7 3 2" xfId="6876"/>
    <cellStyle name="20% - Accent2 6 2 7 4" xfId="6877"/>
    <cellStyle name="20% - Accent2 6 2 8" xfId="6878"/>
    <cellStyle name="20% - Accent2 6 2 8 2" xfId="6879"/>
    <cellStyle name="20% - Accent2 6 2 8 2 2" xfId="6880"/>
    <cellStyle name="20% - Accent2 6 2 8 3" xfId="6881"/>
    <cellStyle name="20% - Accent2 6 2 9" xfId="6882"/>
    <cellStyle name="20% - Accent2 6 2 9 2" xfId="6883"/>
    <cellStyle name="20% - Accent2 6 3" xfId="6884"/>
    <cellStyle name="20% - Accent2 6 3 2" xfId="6885"/>
    <cellStyle name="20% - Accent2 6 3 2 2" xfId="6886"/>
    <cellStyle name="20% - Accent2 6 3 2 2 2" xfId="6887"/>
    <cellStyle name="20% - Accent2 6 3 2 2 2 2" xfId="6888"/>
    <cellStyle name="20% - Accent2 6 3 2 2 3" xfId="6889"/>
    <cellStyle name="20% - Accent2 6 3 2 3" xfId="6890"/>
    <cellStyle name="20% - Accent2 6 3 2 3 2" xfId="6891"/>
    <cellStyle name="20% - Accent2 6 3 2 4" xfId="6892"/>
    <cellStyle name="20% - Accent2 6 3 3" xfId="6893"/>
    <cellStyle name="20% - Accent2 6 3 3 2" xfId="6894"/>
    <cellStyle name="20% - Accent2 6 3 3 2 2" xfId="6895"/>
    <cellStyle name="20% - Accent2 6 3 3 3" xfId="6896"/>
    <cellStyle name="20% - Accent2 6 3 4" xfId="6897"/>
    <cellStyle name="20% - Accent2 6 3 4 2" xfId="6898"/>
    <cellStyle name="20% - Accent2 6 3 5" xfId="6899"/>
    <cellStyle name="20% - Accent2 6 4" xfId="6900"/>
    <cellStyle name="20% - Accent2 6 4 2" xfId="6901"/>
    <cellStyle name="20% - Accent2 6 4 2 2" xfId="6902"/>
    <cellStyle name="20% - Accent2 6 4 2 2 2" xfId="6903"/>
    <cellStyle name="20% - Accent2 6 4 2 2 2 2" xfId="6904"/>
    <cellStyle name="20% - Accent2 6 4 2 2 3" xfId="6905"/>
    <cellStyle name="20% - Accent2 6 4 2 3" xfId="6906"/>
    <cellStyle name="20% - Accent2 6 4 2 3 2" xfId="6907"/>
    <cellStyle name="20% - Accent2 6 4 2 4" xfId="6908"/>
    <cellStyle name="20% - Accent2 6 4 3" xfId="6909"/>
    <cellStyle name="20% - Accent2 6 4 3 2" xfId="6910"/>
    <cellStyle name="20% - Accent2 6 4 3 2 2" xfId="6911"/>
    <cellStyle name="20% - Accent2 6 4 3 3" xfId="6912"/>
    <cellStyle name="20% - Accent2 6 4 4" xfId="6913"/>
    <cellStyle name="20% - Accent2 6 4 4 2" xfId="6914"/>
    <cellStyle name="20% - Accent2 6 4 5" xfId="6915"/>
    <cellStyle name="20% - Accent2 6 5" xfId="6916"/>
    <cellStyle name="20% - Accent2 6 5 2" xfId="6917"/>
    <cellStyle name="20% - Accent2 6 5 2 2" xfId="6918"/>
    <cellStyle name="20% - Accent2 6 5 2 2 2" xfId="6919"/>
    <cellStyle name="20% - Accent2 6 5 2 2 2 2" xfId="6920"/>
    <cellStyle name="20% - Accent2 6 5 2 2 3" xfId="6921"/>
    <cellStyle name="20% - Accent2 6 5 2 3" xfId="6922"/>
    <cellStyle name="20% - Accent2 6 5 2 3 2" xfId="6923"/>
    <cellStyle name="20% - Accent2 6 5 2 4" xfId="6924"/>
    <cellStyle name="20% - Accent2 6 5 3" xfId="6925"/>
    <cellStyle name="20% - Accent2 6 5 3 2" xfId="6926"/>
    <cellStyle name="20% - Accent2 6 5 3 2 2" xfId="6927"/>
    <cellStyle name="20% - Accent2 6 5 3 3" xfId="6928"/>
    <cellStyle name="20% - Accent2 6 5 4" xfId="6929"/>
    <cellStyle name="20% - Accent2 6 5 4 2" xfId="6930"/>
    <cellStyle name="20% - Accent2 6 5 5" xfId="6931"/>
    <cellStyle name="20% - Accent2 6 6" xfId="6932"/>
    <cellStyle name="20% - Accent2 6 6 2" xfId="6933"/>
    <cellStyle name="20% - Accent2 6 6 2 2" xfId="6934"/>
    <cellStyle name="20% - Accent2 6 6 2 2 2" xfId="6935"/>
    <cellStyle name="20% - Accent2 6 6 2 2 2 2" xfId="6936"/>
    <cellStyle name="20% - Accent2 6 6 2 2 3" xfId="6937"/>
    <cellStyle name="20% - Accent2 6 6 2 3" xfId="6938"/>
    <cellStyle name="20% - Accent2 6 6 2 3 2" xfId="6939"/>
    <cellStyle name="20% - Accent2 6 6 2 4" xfId="6940"/>
    <cellStyle name="20% - Accent2 6 6 3" xfId="6941"/>
    <cellStyle name="20% - Accent2 6 6 3 2" xfId="6942"/>
    <cellStyle name="20% - Accent2 6 6 3 2 2" xfId="6943"/>
    <cellStyle name="20% - Accent2 6 6 3 3" xfId="6944"/>
    <cellStyle name="20% - Accent2 6 6 4" xfId="6945"/>
    <cellStyle name="20% - Accent2 6 6 4 2" xfId="6946"/>
    <cellStyle name="20% - Accent2 6 6 5" xfId="6947"/>
    <cellStyle name="20% - Accent2 6 7" xfId="6948"/>
    <cellStyle name="20% - Accent2 6 7 2" xfId="6949"/>
    <cellStyle name="20% - Accent2 6 7 2 2" xfId="6950"/>
    <cellStyle name="20% - Accent2 6 7 2 2 2" xfId="6951"/>
    <cellStyle name="20% - Accent2 6 7 2 2 2 2" xfId="6952"/>
    <cellStyle name="20% - Accent2 6 7 2 2 3" xfId="6953"/>
    <cellStyle name="20% - Accent2 6 7 2 3" xfId="6954"/>
    <cellStyle name="20% - Accent2 6 7 2 3 2" xfId="6955"/>
    <cellStyle name="20% - Accent2 6 7 2 4" xfId="6956"/>
    <cellStyle name="20% - Accent2 6 7 3" xfId="6957"/>
    <cellStyle name="20% - Accent2 6 7 3 2" xfId="6958"/>
    <cellStyle name="20% - Accent2 6 7 3 2 2" xfId="6959"/>
    <cellStyle name="20% - Accent2 6 7 3 3" xfId="6960"/>
    <cellStyle name="20% - Accent2 6 7 4" xfId="6961"/>
    <cellStyle name="20% - Accent2 6 7 4 2" xfId="6962"/>
    <cellStyle name="20% - Accent2 6 7 5" xfId="6963"/>
    <cellStyle name="20% - Accent2 6 8" xfId="6964"/>
    <cellStyle name="20% - Accent2 6 8 2" xfId="6965"/>
    <cellStyle name="20% - Accent2 6 8 2 2" xfId="6966"/>
    <cellStyle name="20% - Accent2 6 8 2 2 2" xfId="6967"/>
    <cellStyle name="20% - Accent2 6 8 2 3" xfId="6968"/>
    <cellStyle name="20% - Accent2 6 8 3" xfId="6969"/>
    <cellStyle name="20% - Accent2 6 8 3 2" xfId="6970"/>
    <cellStyle name="20% - Accent2 6 8 4" xfId="6971"/>
    <cellStyle name="20% - Accent2 6 9" xfId="6972"/>
    <cellStyle name="20% - Accent2 6 9 2" xfId="6973"/>
    <cellStyle name="20% - Accent2 6 9 2 2" xfId="6974"/>
    <cellStyle name="20% - Accent2 6 9 3" xfId="6975"/>
    <cellStyle name="20% - Accent2 7" xfId="6976"/>
    <cellStyle name="20% - Accent2 7 10" xfId="6977"/>
    <cellStyle name="20% - Accent2 7 10 2" xfId="6978"/>
    <cellStyle name="20% - Accent2 7 11" xfId="6979"/>
    <cellStyle name="20% - Accent2 7 2" xfId="6980"/>
    <cellStyle name="20% - Accent2 7 2 10" xfId="6981"/>
    <cellStyle name="20% - Accent2 7 2 2" xfId="6982"/>
    <cellStyle name="20% - Accent2 7 2 2 2" xfId="6983"/>
    <cellStyle name="20% - Accent2 7 2 2 2 2" xfId="6984"/>
    <cellStyle name="20% - Accent2 7 2 2 2 2 2" xfId="6985"/>
    <cellStyle name="20% - Accent2 7 2 2 2 2 2 2" xfId="6986"/>
    <cellStyle name="20% - Accent2 7 2 2 2 2 3" xfId="6987"/>
    <cellStyle name="20% - Accent2 7 2 2 2 3" xfId="6988"/>
    <cellStyle name="20% - Accent2 7 2 2 2 3 2" xfId="6989"/>
    <cellStyle name="20% - Accent2 7 2 2 2 4" xfId="6990"/>
    <cellStyle name="20% - Accent2 7 2 2 3" xfId="6991"/>
    <cellStyle name="20% - Accent2 7 2 2 3 2" xfId="6992"/>
    <cellStyle name="20% - Accent2 7 2 2 3 2 2" xfId="6993"/>
    <cellStyle name="20% - Accent2 7 2 2 3 3" xfId="6994"/>
    <cellStyle name="20% - Accent2 7 2 2 4" xfId="6995"/>
    <cellStyle name="20% - Accent2 7 2 2 4 2" xfId="6996"/>
    <cellStyle name="20% - Accent2 7 2 2 5" xfId="6997"/>
    <cellStyle name="20% - Accent2 7 2 3" xfId="6998"/>
    <cellStyle name="20% - Accent2 7 2 3 2" xfId="6999"/>
    <cellStyle name="20% - Accent2 7 2 3 2 2" xfId="7000"/>
    <cellStyle name="20% - Accent2 7 2 3 2 2 2" xfId="7001"/>
    <cellStyle name="20% - Accent2 7 2 3 2 2 2 2" xfId="7002"/>
    <cellStyle name="20% - Accent2 7 2 3 2 2 3" xfId="7003"/>
    <cellStyle name="20% - Accent2 7 2 3 2 3" xfId="7004"/>
    <cellStyle name="20% - Accent2 7 2 3 2 3 2" xfId="7005"/>
    <cellStyle name="20% - Accent2 7 2 3 2 4" xfId="7006"/>
    <cellStyle name="20% - Accent2 7 2 3 3" xfId="7007"/>
    <cellStyle name="20% - Accent2 7 2 3 3 2" xfId="7008"/>
    <cellStyle name="20% - Accent2 7 2 3 3 2 2" xfId="7009"/>
    <cellStyle name="20% - Accent2 7 2 3 3 3" xfId="7010"/>
    <cellStyle name="20% - Accent2 7 2 3 4" xfId="7011"/>
    <cellStyle name="20% - Accent2 7 2 3 4 2" xfId="7012"/>
    <cellStyle name="20% - Accent2 7 2 3 5" xfId="7013"/>
    <cellStyle name="20% - Accent2 7 2 4" xfId="7014"/>
    <cellStyle name="20% - Accent2 7 2 4 2" xfId="7015"/>
    <cellStyle name="20% - Accent2 7 2 4 2 2" xfId="7016"/>
    <cellStyle name="20% - Accent2 7 2 4 2 2 2" xfId="7017"/>
    <cellStyle name="20% - Accent2 7 2 4 2 2 2 2" xfId="7018"/>
    <cellStyle name="20% - Accent2 7 2 4 2 2 3" xfId="7019"/>
    <cellStyle name="20% - Accent2 7 2 4 2 3" xfId="7020"/>
    <cellStyle name="20% - Accent2 7 2 4 2 3 2" xfId="7021"/>
    <cellStyle name="20% - Accent2 7 2 4 2 4" xfId="7022"/>
    <cellStyle name="20% - Accent2 7 2 4 3" xfId="7023"/>
    <cellStyle name="20% - Accent2 7 2 4 3 2" xfId="7024"/>
    <cellStyle name="20% - Accent2 7 2 4 3 2 2" xfId="7025"/>
    <cellStyle name="20% - Accent2 7 2 4 3 3" xfId="7026"/>
    <cellStyle name="20% - Accent2 7 2 4 4" xfId="7027"/>
    <cellStyle name="20% - Accent2 7 2 4 4 2" xfId="7028"/>
    <cellStyle name="20% - Accent2 7 2 4 5" xfId="7029"/>
    <cellStyle name="20% - Accent2 7 2 5" xfId="7030"/>
    <cellStyle name="20% - Accent2 7 2 5 2" xfId="7031"/>
    <cellStyle name="20% - Accent2 7 2 5 2 2" xfId="7032"/>
    <cellStyle name="20% - Accent2 7 2 5 2 2 2" xfId="7033"/>
    <cellStyle name="20% - Accent2 7 2 5 2 2 2 2" xfId="7034"/>
    <cellStyle name="20% - Accent2 7 2 5 2 2 3" xfId="7035"/>
    <cellStyle name="20% - Accent2 7 2 5 2 3" xfId="7036"/>
    <cellStyle name="20% - Accent2 7 2 5 2 3 2" xfId="7037"/>
    <cellStyle name="20% - Accent2 7 2 5 2 4" xfId="7038"/>
    <cellStyle name="20% - Accent2 7 2 5 3" xfId="7039"/>
    <cellStyle name="20% - Accent2 7 2 5 3 2" xfId="7040"/>
    <cellStyle name="20% - Accent2 7 2 5 3 2 2" xfId="7041"/>
    <cellStyle name="20% - Accent2 7 2 5 3 3" xfId="7042"/>
    <cellStyle name="20% - Accent2 7 2 5 4" xfId="7043"/>
    <cellStyle name="20% - Accent2 7 2 5 4 2" xfId="7044"/>
    <cellStyle name="20% - Accent2 7 2 5 5" xfId="7045"/>
    <cellStyle name="20% - Accent2 7 2 6" xfId="7046"/>
    <cellStyle name="20% - Accent2 7 2 6 2" xfId="7047"/>
    <cellStyle name="20% - Accent2 7 2 6 2 2" xfId="7048"/>
    <cellStyle name="20% - Accent2 7 2 6 2 2 2" xfId="7049"/>
    <cellStyle name="20% - Accent2 7 2 6 2 2 2 2" xfId="7050"/>
    <cellStyle name="20% - Accent2 7 2 6 2 2 3" xfId="7051"/>
    <cellStyle name="20% - Accent2 7 2 6 2 3" xfId="7052"/>
    <cellStyle name="20% - Accent2 7 2 6 2 3 2" xfId="7053"/>
    <cellStyle name="20% - Accent2 7 2 6 2 4" xfId="7054"/>
    <cellStyle name="20% - Accent2 7 2 6 3" xfId="7055"/>
    <cellStyle name="20% - Accent2 7 2 6 3 2" xfId="7056"/>
    <cellStyle name="20% - Accent2 7 2 6 3 2 2" xfId="7057"/>
    <cellStyle name="20% - Accent2 7 2 6 3 3" xfId="7058"/>
    <cellStyle name="20% - Accent2 7 2 6 4" xfId="7059"/>
    <cellStyle name="20% - Accent2 7 2 6 4 2" xfId="7060"/>
    <cellStyle name="20% - Accent2 7 2 6 5" xfId="7061"/>
    <cellStyle name="20% - Accent2 7 2 7" xfId="7062"/>
    <cellStyle name="20% - Accent2 7 2 7 2" xfId="7063"/>
    <cellStyle name="20% - Accent2 7 2 7 2 2" xfId="7064"/>
    <cellStyle name="20% - Accent2 7 2 7 2 2 2" xfId="7065"/>
    <cellStyle name="20% - Accent2 7 2 7 2 3" xfId="7066"/>
    <cellStyle name="20% - Accent2 7 2 7 3" xfId="7067"/>
    <cellStyle name="20% - Accent2 7 2 7 3 2" xfId="7068"/>
    <cellStyle name="20% - Accent2 7 2 7 4" xfId="7069"/>
    <cellStyle name="20% - Accent2 7 2 8" xfId="7070"/>
    <cellStyle name="20% - Accent2 7 2 8 2" xfId="7071"/>
    <cellStyle name="20% - Accent2 7 2 8 2 2" xfId="7072"/>
    <cellStyle name="20% - Accent2 7 2 8 3" xfId="7073"/>
    <cellStyle name="20% - Accent2 7 2 9" xfId="7074"/>
    <cellStyle name="20% - Accent2 7 2 9 2" xfId="7075"/>
    <cellStyle name="20% - Accent2 7 3" xfId="7076"/>
    <cellStyle name="20% - Accent2 7 3 2" xfId="7077"/>
    <cellStyle name="20% - Accent2 7 3 2 2" xfId="7078"/>
    <cellStyle name="20% - Accent2 7 3 2 2 2" xfId="7079"/>
    <cellStyle name="20% - Accent2 7 3 2 2 2 2" xfId="7080"/>
    <cellStyle name="20% - Accent2 7 3 2 2 3" xfId="7081"/>
    <cellStyle name="20% - Accent2 7 3 2 3" xfId="7082"/>
    <cellStyle name="20% - Accent2 7 3 2 3 2" xfId="7083"/>
    <cellStyle name="20% - Accent2 7 3 2 4" xfId="7084"/>
    <cellStyle name="20% - Accent2 7 3 3" xfId="7085"/>
    <cellStyle name="20% - Accent2 7 3 3 2" xfId="7086"/>
    <cellStyle name="20% - Accent2 7 3 3 2 2" xfId="7087"/>
    <cellStyle name="20% - Accent2 7 3 3 3" xfId="7088"/>
    <cellStyle name="20% - Accent2 7 3 4" xfId="7089"/>
    <cellStyle name="20% - Accent2 7 3 4 2" xfId="7090"/>
    <cellStyle name="20% - Accent2 7 3 5" xfId="7091"/>
    <cellStyle name="20% - Accent2 7 4" xfId="7092"/>
    <cellStyle name="20% - Accent2 7 4 2" xfId="7093"/>
    <cellStyle name="20% - Accent2 7 4 2 2" xfId="7094"/>
    <cellStyle name="20% - Accent2 7 4 2 2 2" xfId="7095"/>
    <cellStyle name="20% - Accent2 7 4 2 2 2 2" xfId="7096"/>
    <cellStyle name="20% - Accent2 7 4 2 2 3" xfId="7097"/>
    <cellStyle name="20% - Accent2 7 4 2 3" xfId="7098"/>
    <cellStyle name="20% - Accent2 7 4 2 3 2" xfId="7099"/>
    <cellStyle name="20% - Accent2 7 4 2 4" xfId="7100"/>
    <cellStyle name="20% - Accent2 7 4 3" xfId="7101"/>
    <cellStyle name="20% - Accent2 7 4 3 2" xfId="7102"/>
    <cellStyle name="20% - Accent2 7 4 3 2 2" xfId="7103"/>
    <cellStyle name="20% - Accent2 7 4 3 3" xfId="7104"/>
    <cellStyle name="20% - Accent2 7 4 4" xfId="7105"/>
    <cellStyle name="20% - Accent2 7 4 4 2" xfId="7106"/>
    <cellStyle name="20% - Accent2 7 4 5" xfId="7107"/>
    <cellStyle name="20% - Accent2 7 5" xfId="7108"/>
    <cellStyle name="20% - Accent2 7 5 2" xfId="7109"/>
    <cellStyle name="20% - Accent2 7 5 2 2" xfId="7110"/>
    <cellStyle name="20% - Accent2 7 5 2 2 2" xfId="7111"/>
    <cellStyle name="20% - Accent2 7 5 2 2 2 2" xfId="7112"/>
    <cellStyle name="20% - Accent2 7 5 2 2 3" xfId="7113"/>
    <cellStyle name="20% - Accent2 7 5 2 3" xfId="7114"/>
    <cellStyle name="20% - Accent2 7 5 2 3 2" xfId="7115"/>
    <cellStyle name="20% - Accent2 7 5 2 4" xfId="7116"/>
    <cellStyle name="20% - Accent2 7 5 3" xfId="7117"/>
    <cellStyle name="20% - Accent2 7 5 3 2" xfId="7118"/>
    <cellStyle name="20% - Accent2 7 5 3 2 2" xfId="7119"/>
    <cellStyle name="20% - Accent2 7 5 3 3" xfId="7120"/>
    <cellStyle name="20% - Accent2 7 5 4" xfId="7121"/>
    <cellStyle name="20% - Accent2 7 5 4 2" xfId="7122"/>
    <cellStyle name="20% - Accent2 7 5 5" xfId="7123"/>
    <cellStyle name="20% - Accent2 7 6" xfId="7124"/>
    <cellStyle name="20% - Accent2 7 6 2" xfId="7125"/>
    <cellStyle name="20% - Accent2 7 6 2 2" xfId="7126"/>
    <cellStyle name="20% - Accent2 7 6 2 2 2" xfId="7127"/>
    <cellStyle name="20% - Accent2 7 6 2 2 2 2" xfId="7128"/>
    <cellStyle name="20% - Accent2 7 6 2 2 3" xfId="7129"/>
    <cellStyle name="20% - Accent2 7 6 2 3" xfId="7130"/>
    <cellStyle name="20% - Accent2 7 6 2 3 2" xfId="7131"/>
    <cellStyle name="20% - Accent2 7 6 2 4" xfId="7132"/>
    <cellStyle name="20% - Accent2 7 6 3" xfId="7133"/>
    <cellStyle name="20% - Accent2 7 6 3 2" xfId="7134"/>
    <cellStyle name="20% - Accent2 7 6 3 2 2" xfId="7135"/>
    <cellStyle name="20% - Accent2 7 6 3 3" xfId="7136"/>
    <cellStyle name="20% - Accent2 7 6 4" xfId="7137"/>
    <cellStyle name="20% - Accent2 7 6 4 2" xfId="7138"/>
    <cellStyle name="20% - Accent2 7 6 5" xfId="7139"/>
    <cellStyle name="20% - Accent2 7 7" xfId="7140"/>
    <cellStyle name="20% - Accent2 7 7 2" xfId="7141"/>
    <cellStyle name="20% - Accent2 7 7 2 2" xfId="7142"/>
    <cellStyle name="20% - Accent2 7 7 2 2 2" xfId="7143"/>
    <cellStyle name="20% - Accent2 7 7 2 2 2 2" xfId="7144"/>
    <cellStyle name="20% - Accent2 7 7 2 2 3" xfId="7145"/>
    <cellStyle name="20% - Accent2 7 7 2 3" xfId="7146"/>
    <cellStyle name="20% - Accent2 7 7 2 3 2" xfId="7147"/>
    <cellStyle name="20% - Accent2 7 7 2 4" xfId="7148"/>
    <cellStyle name="20% - Accent2 7 7 3" xfId="7149"/>
    <cellStyle name="20% - Accent2 7 7 3 2" xfId="7150"/>
    <cellStyle name="20% - Accent2 7 7 3 2 2" xfId="7151"/>
    <cellStyle name="20% - Accent2 7 7 3 3" xfId="7152"/>
    <cellStyle name="20% - Accent2 7 7 4" xfId="7153"/>
    <cellStyle name="20% - Accent2 7 7 4 2" xfId="7154"/>
    <cellStyle name="20% - Accent2 7 7 5" xfId="7155"/>
    <cellStyle name="20% - Accent2 7 8" xfId="7156"/>
    <cellStyle name="20% - Accent2 7 8 2" xfId="7157"/>
    <cellStyle name="20% - Accent2 7 8 2 2" xfId="7158"/>
    <cellStyle name="20% - Accent2 7 8 2 2 2" xfId="7159"/>
    <cellStyle name="20% - Accent2 7 8 2 3" xfId="7160"/>
    <cellStyle name="20% - Accent2 7 8 3" xfId="7161"/>
    <cellStyle name="20% - Accent2 7 8 3 2" xfId="7162"/>
    <cellStyle name="20% - Accent2 7 8 4" xfId="7163"/>
    <cellStyle name="20% - Accent2 7 9" xfId="7164"/>
    <cellStyle name="20% - Accent2 7 9 2" xfId="7165"/>
    <cellStyle name="20% - Accent2 7 9 2 2" xfId="7166"/>
    <cellStyle name="20% - Accent2 7 9 3" xfId="7167"/>
    <cellStyle name="20% - Accent2 8" xfId="7168"/>
    <cellStyle name="20% - Accent2 8 10" xfId="7169"/>
    <cellStyle name="20% - Accent2 8 10 2" xfId="7170"/>
    <cellStyle name="20% - Accent2 8 11" xfId="7171"/>
    <cellStyle name="20% - Accent2 8 2" xfId="7172"/>
    <cellStyle name="20% - Accent2 8 2 10" xfId="7173"/>
    <cellStyle name="20% - Accent2 8 2 2" xfId="7174"/>
    <cellStyle name="20% - Accent2 8 2 2 2" xfId="7175"/>
    <cellStyle name="20% - Accent2 8 2 2 2 2" xfId="7176"/>
    <cellStyle name="20% - Accent2 8 2 2 2 2 2" xfId="7177"/>
    <cellStyle name="20% - Accent2 8 2 2 2 2 2 2" xfId="7178"/>
    <cellStyle name="20% - Accent2 8 2 2 2 2 3" xfId="7179"/>
    <cellStyle name="20% - Accent2 8 2 2 2 3" xfId="7180"/>
    <cellStyle name="20% - Accent2 8 2 2 2 3 2" xfId="7181"/>
    <cellStyle name="20% - Accent2 8 2 2 2 4" xfId="7182"/>
    <cellStyle name="20% - Accent2 8 2 2 3" xfId="7183"/>
    <cellStyle name="20% - Accent2 8 2 2 3 2" xfId="7184"/>
    <cellStyle name="20% - Accent2 8 2 2 3 2 2" xfId="7185"/>
    <cellStyle name="20% - Accent2 8 2 2 3 3" xfId="7186"/>
    <cellStyle name="20% - Accent2 8 2 2 4" xfId="7187"/>
    <cellStyle name="20% - Accent2 8 2 2 4 2" xfId="7188"/>
    <cellStyle name="20% - Accent2 8 2 2 5" xfId="7189"/>
    <cellStyle name="20% - Accent2 8 2 3" xfId="7190"/>
    <cellStyle name="20% - Accent2 8 2 3 2" xfId="7191"/>
    <cellStyle name="20% - Accent2 8 2 3 2 2" xfId="7192"/>
    <cellStyle name="20% - Accent2 8 2 3 2 2 2" xfId="7193"/>
    <cellStyle name="20% - Accent2 8 2 3 2 2 2 2" xfId="7194"/>
    <cellStyle name="20% - Accent2 8 2 3 2 2 3" xfId="7195"/>
    <cellStyle name="20% - Accent2 8 2 3 2 3" xfId="7196"/>
    <cellStyle name="20% - Accent2 8 2 3 2 3 2" xfId="7197"/>
    <cellStyle name="20% - Accent2 8 2 3 2 4" xfId="7198"/>
    <cellStyle name="20% - Accent2 8 2 3 3" xfId="7199"/>
    <cellStyle name="20% - Accent2 8 2 3 3 2" xfId="7200"/>
    <cellStyle name="20% - Accent2 8 2 3 3 2 2" xfId="7201"/>
    <cellStyle name="20% - Accent2 8 2 3 3 3" xfId="7202"/>
    <cellStyle name="20% - Accent2 8 2 3 4" xfId="7203"/>
    <cellStyle name="20% - Accent2 8 2 3 4 2" xfId="7204"/>
    <cellStyle name="20% - Accent2 8 2 3 5" xfId="7205"/>
    <cellStyle name="20% - Accent2 8 2 4" xfId="7206"/>
    <cellStyle name="20% - Accent2 8 2 4 2" xfId="7207"/>
    <cellStyle name="20% - Accent2 8 2 4 2 2" xfId="7208"/>
    <cellStyle name="20% - Accent2 8 2 4 2 2 2" xfId="7209"/>
    <cellStyle name="20% - Accent2 8 2 4 2 2 2 2" xfId="7210"/>
    <cellStyle name="20% - Accent2 8 2 4 2 2 3" xfId="7211"/>
    <cellStyle name="20% - Accent2 8 2 4 2 3" xfId="7212"/>
    <cellStyle name="20% - Accent2 8 2 4 2 3 2" xfId="7213"/>
    <cellStyle name="20% - Accent2 8 2 4 2 4" xfId="7214"/>
    <cellStyle name="20% - Accent2 8 2 4 3" xfId="7215"/>
    <cellStyle name="20% - Accent2 8 2 4 3 2" xfId="7216"/>
    <cellStyle name="20% - Accent2 8 2 4 3 2 2" xfId="7217"/>
    <cellStyle name="20% - Accent2 8 2 4 3 3" xfId="7218"/>
    <cellStyle name="20% - Accent2 8 2 4 4" xfId="7219"/>
    <cellStyle name="20% - Accent2 8 2 4 4 2" xfId="7220"/>
    <cellStyle name="20% - Accent2 8 2 4 5" xfId="7221"/>
    <cellStyle name="20% - Accent2 8 2 5" xfId="7222"/>
    <cellStyle name="20% - Accent2 8 2 5 2" xfId="7223"/>
    <cellStyle name="20% - Accent2 8 2 5 2 2" xfId="7224"/>
    <cellStyle name="20% - Accent2 8 2 5 2 2 2" xfId="7225"/>
    <cellStyle name="20% - Accent2 8 2 5 2 2 2 2" xfId="7226"/>
    <cellStyle name="20% - Accent2 8 2 5 2 2 3" xfId="7227"/>
    <cellStyle name="20% - Accent2 8 2 5 2 3" xfId="7228"/>
    <cellStyle name="20% - Accent2 8 2 5 2 3 2" xfId="7229"/>
    <cellStyle name="20% - Accent2 8 2 5 2 4" xfId="7230"/>
    <cellStyle name="20% - Accent2 8 2 5 3" xfId="7231"/>
    <cellStyle name="20% - Accent2 8 2 5 3 2" xfId="7232"/>
    <cellStyle name="20% - Accent2 8 2 5 3 2 2" xfId="7233"/>
    <cellStyle name="20% - Accent2 8 2 5 3 3" xfId="7234"/>
    <cellStyle name="20% - Accent2 8 2 5 4" xfId="7235"/>
    <cellStyle name="20% - Accent2 8 2 5 4 2" xfId="7236"/>
    <cellStyle name="20% - Accent2 8 2 5 5" xfId="7237"/>
    <cellStyle name="20% - Accent2 8 2 6" xfId="7238"/>
    <cellStyle name="20% - Accent2 8 2 6 2" xfId="7239"/>
    <cellStyle name="20% - Accent2 8 2 6 2 2" xfId="7240"/>
    <cellStyle name="20% - Accent2 8 2 6 2 2 2" xfId="7241"/>
    <cellStyle name="20% - Accent2 8 2 6 2 2 2 2" xfId="7242"/>
    <cellStyle name="20% - Accent2 8 2 6 2 2 3" xfId="7243"/>
    <cellStyle name="20% - Accent2 8 2 6 2 3" xfId="7244"/>
    <cellStyle name="20% - Accent2 8 2 6 2 3 2" xfId="7245"/>
    <cellStyle name="20% - Accent2 8 2 6 2 4" xfId="7246"/>
    <cellStyle name="20% - Accent2 8 2 6 3" xfId="7247"/>
    <cellStyle name="20% - Accent2 8 2 6 3 2" xfId="7248"/>
    <cellStyle name="20% - Accent2 8 2 6 3 2 2" xfId="7249"/>
    <cellStyle name="20% - Accent2 8 2 6 3 3" xfId="7250"/>
    <cellStyle name="20% - Accent2 8 2 6 4" xfId="7251"/>
    <cellStyle name="20% - Accent2 8 2 6 4 2" xfId="7252"/>
    <cellStyle name="20% - Accent2 8 2 6 5" xfId="7253"/>
    <cellStyle name="20% - Accent2 8 2 7" xfId="7254"/>
    <cellStyle name="20% - Accent2 8 2 7 2" xfId="7255"/>
    <cellStyle name="20% - Accent2 8 2 7 2 2" xfId="7256"/>
    <cellStyle name="20% - Accent2 8 2 7 2 2 2" xfId="7257"/>
    <cellStyle name="20% - Accent2 8 2 7 2 3" xfId="7258"/>
    <cellStyle name="20% - Accent2 8 2 7 3" xfId="7259"/>
    <cellStyle name="20% - Accent2 8 2 7 3 2" xfId="7260"/>
    <cellStyle name="20% - Accent2 8 2 7 4" xfId="7261"/>
    <cellStyle name="20% - Accent2 8 2 8" xfId="7262"/>
    <cellStyle name="20% - Accent2 8 2 8 2" xfId="7263"/>
    <cellStyle name="20% - Accent2 8 2 8 2 2" xfId="7264"/>
    <cellStyle name="20% - Accent2 8 2 8 3" xfId="7265"/>
    <cellStyle name="20% - Accent2 8 2 9" xfId="7266"/>
    <cellStyle name="20% - Accent2 8 2 9 2" xfId="7267"/>
    <cellStyle name="20% - Accent2 8 3" xfId="7268"/>
    <cellStyle name="20% - Accent2 8 3 2" xfId="7269"/>
    <cellStyle name="20% - Accent2 8 3 2 2" xfId="7270"/>
    <cellStyle name="20% - Accent2 8 3 2 2 2" xfId="7271"/>
    <cellStyle name="20% - Accent2 8 3 2 2 2 2" xfId="7272"/>
    <cellStyle name="20% - Accent2 8 3 2 2 3" xfId="7273"/>
    <cellStyle name="20% - Accent2 8 3 2 3" xfId="7274"/>
    <cellStyle name="20% - Accent2 8 3 2 3 2" xfId="7275"/>
    <cellStyle name="20% - Accent2 8 3 2 4" xfId="7276"/>
    <cellStyle name="20% - Accent2 8 3 3" xfId="7277"/>
    <cellStyle name="20% - Accent2 8 3 3 2" xfId="7278"/>
    <cellStyle name="20% - Accent2 8 3 3 2 2" xfId="7279"/>
    <cellStyle name="20% - Accent2 8 3 3 3" xfId="7280"/>
    <cellStyle name="20% - Accent2 8 3 4" xfId="7281"/>
    <cellStyle name="20% - Accent2 8 3 4 2" xfId="7282"/>
    <cellStyle name="20% - Accent2 8 3 5" xfId="7283"/>
    <cellStyle name="20% - Accent2 8 4" xfId="7284"/>
    <cellStyle name="20% - Accent2 8 4 2" xfId="7285"/>
    <cellStyle name="20% - Accent2 8 4 2 2" xfId="7286"/>
    <cellStyle name="20% - Accent2 8 4 2 2 2" xfId="7287"/>
    <cellStyle name="20% - Accent2 8 4 2 2 2 2" xfId="7288"/>
    <cellStyle name="20% - Accent2 8 4 2 2 3" xfId="7289"/>
    <cellStyle name="20% - Accent2 8 4 2 3" xfId="7290"/>
    <cellStyle name="20% - Accent2 8 4 2 3 2" xfId="7291"/>
    <cellStyle name="20% - Accent2 8 4 2 4" xfId="7292"/>
    <cellStyle name="20% - Accent2 8 4 3" xfId="7293"/>
    <cellStyle name="20% - Accent2 8 4 3 2" xfId="7294"/>
    <cellStyle name="20% - Accent2 8 4 3 2 2" xfId="7295"/>
    <cellStyle name="20% - Accent2 8 4 3 3" xfId="7296"/>
    <cellStyle name="20% - Accent2 8 4 4" xfId="7297"/>
    <cellStyle name="20% - Accent2 8 4 4 2" xfId="7298"/>
    <cellStyle name="20% - Accent2 8 4 5" xfId="7299"/>
    <cellStyle name="20% - Accent2 8 5" xfId="7300"/>
    <cellStyle name="20% - Accent2 8 5 2" xfId="7301"/>
    <cellStyle name="20% - Accent2 8 5 2 2" xfId="7302"/>
    <cellStyle name="20% - Accent2 8 5 2 2 2" xfId="7303"/>
    <cellStyle name="20% - Accent2 8 5 2 2 2 2" xfId="7304"/>
    <cellStyle name="20% - Accent2 8 5 2 2 3" xfId="7305"/>
    <cellStyle name="20% - Accent2 8 5 2 3" xfId="7306"/>
    <cellStyle name="20% - Accent2 8 5 2 3 2" xfId="7307"/>
    <cellStyle name="20% - Accent2 8 5 2 4" xfId="7308"/>
    <cellStyle name="20% - Accent2 8 5 3" xfId="7309"/>
    <cellStyle name="20% - Accent2 8 5 3 2" xfId="7310"/>
    <cellStyle name="20% - Accent2 8 5 3 2 2" xfId="7311"/>
    <cellStyle name="20% - Accent2 8 5 3 3" xfId="7312"/>
    <cellStyle name="20% - Accent2 8 5 4" xfId="7313"/>
    <cellStyle name="20% - Accent2 8 5 4 2" xfId="7314"/>
    <cellStyle name="20% - Accent2 8 5 5" xfId="7315"/>
    <cellStyle name="20% - Accent2 8 6" xfId="7316"/>
    <cellStyle name="20% - Accent2 8 6 2" xfId="7317"/>
    <cellStyle name="20% - Accent2 8 6 2 2" xfId="7318"/>
    <cellStyle name="20% - Accent2 8 6 2 2 2" xfId="7319"/>
    <cellStyle name="20% - Accent2 8 6 2 2 2 2" xfId="7320"/>
    <cellStyle name="20% - Accent2 8 6 2 2 3" xfId="7321"/>
    <cellStyle name="20% - Accent2 8 6 2 3" xfId="7322"/>
    <cellStyle name="20% - Accent2 8 6 2 3 2" xfId="7323"/>
    <cellStyle name="20% - Accent2 8 6 2 4" xfId="7324"/>
    <cellStyle name="20% - Accent2 8 6 3" xfId="7325"/>
    <cellStyle name="20% - Accent2 8 6 3 2" xfId="7326"/>
    <cellStyle name="20% - Accent2 8 6 3 2 2" xfId="7327"/>
    <cellStyle name="20% - Accent2 8 6 3 3" xfId="7328"/>
    <cellStyle name="20% - Accent2 8 6 4" xfId="7329"/>
    <cellStyle name="20% - Accent2 8 6 4 2" xfId="7330"/>
    <cellStyle name="20% - Accent2 8 6 5" xfId="7331"/>
    <cellStyle name="20% - Accent2 8 7" xfId="7332"/>
    <cellStyle name="20% - Accent2 8 7 2" xfId="7333"/>
    <cellStyle name="20% - Accent2 8 7 2 2" xfId="7334"/>
    <cellStyle name="20% - Accent2 8 7 2 2 2" xfId="7335"/>
    <cellStyle name="20% - Accent2 8 7 2 2 2 2" xfId="7336"/>
    <cellStyle name="20% - Accent2 8 7 2 2 3" xfId="7337"/>
    <cellStyle name="20% - Accent2 8 7 2 3" xfId="7338"/>
    <cellStyle name="20% - Accent2 8 7 2 3 2" xfId="7339"/>
    <cellStyle name="20% - Accent2 8 7 2 4" xfId="7340"/>
    <cellStyle name="20% - Accent2 8 7 3" xfId="7341"/>
    <cellStyle name="20% - Accent2 8 7 3 2" xfId="7342"/>
    <cellStyle name="20% - Accent2 8 7 3 2 2" xfId="7343"/>
    <cellStyle name="20% - Accent2 8 7 3 3" xfId="7344"/>
    <cellStyle name="20% - Accent2 8 7 4" xfId="7345"/>
    <cellStyle name="20% - Accent2 8 7 4 2" xfId="7346"/>
    <cellStyle name="20% - Accent2 8 7 5" xfId="7347"/>
    <cellStyle name="20% - Accent2 8 8" xfId="7348"/>
    <cellStyle name="20% - Accent2 8 8 2" xfId="7349"/>
    <cellStyle name="20% - Accent2 8 8 2 2" xfId="7350"/>
    <cellStyle name="20% - Accent2 8 8 2 2 2" xfId="7351"/>
    <cellStyle name="20% - Accent2 8 8 2 3" xfId="7352"/>
    <cellStyle name="20% - Accent2 8 8 3" xfId="7353"/>
    <cellStyle name="20% - Accent2 8 8 3 2" xfId="7354"/>
    <cellStyle name="20% - Accent2 8 8 4" xfId="7355"/>
    <cellStyle name="20% - Accent2 8 9" xfId="7356"/>
    <cellStyle name="20% - Accent2 8 9 2" xfId="7357"/>
    <cellStyle name="20% - Accent2 8 9 2 2" xfId="7358"/>
    <cellStyle name="20% - Accent2 8 9 3" xfId="7359"/>
    <cellStyle name="20% - Accent2 9" xfId="7360"/>
    <cellStyle name="20% - Accent2 9 10" xfId="7361"/>
    <cellStyle name="20% - Accent2 9 10 2" xfId="7362"/>
    <cellStyle name="20% - Accent2 9 11" xfId="7363"/>
    <cellStyle name="20% - Accent2 9 2" xfId="7364"/>
    <cellStyle name="20% - Accent2 9 2 10" xfId="7365"/>
    <cellStyle name="20% - Accent2 9 2 2" xfId="7366"/>
    <cellStyle name="20% - Accent2 9 2 2 2" xfId="7367"/>
    <cellStyle name="20% - Accent2 9 2 2 2 2" xfId="7368"/>
    <cellStyle name="20% - Accent2 9 2 2 2 2 2" xfId="7369"/>
    <cellStyle name="20% - Accent2 9 2 2 2 2 2 2" xfId="7370"/>
    <cellStyle name="20% - Accent2 9 2 2 2 2 3" xfId="7371"/>
    <cellStyle name="20% - Accent2 9 2 2 2 3" xfId="7372"/>
    <cellStyle name="20% - Accent2 9 2 2 2 3 2" xfId="7373"/>
    <cellStyle name="20% - Accent2 9 2 2 2 4" xfId="7374"/>
    <cellStyle name="20% - Accent2 9 2 2 3" xfId="7375"/>
    <cellStyle name="20% - Accent2 9 2 2 3 2" xfId="7376"/>
    <cellStyle name="20% - Accent2 9 2 2 3 2 2" xfId="7377"/>
    <cellStyle name="20% - Accent2 9 2 2 3 3" xfId="7378"/>
    <cellStyle name="20% - Accent2 9 2 2 4" xfId="7379"/>
    <cellStyle name="20% - Accent2 9 2 2 4 2" xfId="7380"/>
    <cellStyle name="20% - Accent2 9 2 2 5" xfId="7381"/>
    <cellStyle name="20% - Accent2 9 2 3" xfId="7382"/>
    <cellStyle name="20% - Accent2 9 2 3 2" xfId="7383"/>
    <cellStyle name="20% - Accent2 9 2 3 2 2" xfId="7384"/>
    <cellStyle name="20% - Accent2 9 2 3 2 2 2" xfId="7385"/>
    <cellStyle name="20% - Accent2 9 2 3 2 2 2 2" xfId="7386"/>
    <cellStyle name="20% - Accent2 9 2 3 2 2 3" xfId="7387"/>
    <cellStyle name="20% - Accent2 9 2 3 2 3" xfId="7388"/>
    <cellStyle name="20% - Accent2 9 2 3 2 3 2" xfId="7389"/>
    <cellStyle name="20% - Accent2 9 2 3 2 4" xfId="7390"/>
    <cellStyle name="20% - Accent2 9 2 3 3" xfId="7391"/>
    <cellStyle name="20% - Accent2 9 2 3 3 2" xfId="7392"/>
    <cellStyle name="20% - Accent2 9 2 3 3 2 2" xfId="7393"/>
    <cellStyle name="20% - Accent2 9 2 3 3 3" xfId="7394"/>
    <cellStyle name="20% - Accent2 9 2 3 4" xfId="7395"/>
    <cellStyle name="20% - Accent2 9 2 3 4 2" xfId="7396"/>
    <cellStyle name="20% - Accent2 9 2 3 5" xfId="7397"/>
    <cellStyle name="20% - Accent2 9 2 4" xfId="7398"/>
    <cellStyle name="20% - Accent2 9 2 4 2" xfId="7399"/>
    <cellStyle name="20% - Accent2 9 2 4 2 2" xfId="7400"/>
    <cellStyle name="20% - Accent2 9 2 4 2 2 2" xfId="7401"/>
    <cellStyle name="20% - Accent2 9 2 4 2 2 2 2" xfId="7402"/>
    <cellStyle name="20% - Accent2 9 2 4 2 2 3" xfId="7403"/>
    <cellStyle name="20% - Accent2 9 2 4 2 3" xfId="7404"/>
    <cellStyle name="20% - Accent2 9 2 4 2 3 2" xfId="7405"/>
    <cellStyle name="20% - Accent2 9 2 4 2 4" xfId="7406"/>
    <cellStyle name="20% - Accent2 9 2 4 3" xfId="7407"/>
    <cellStyle name="20% - Accent2 9 2 4 3 2" xfId="7408"/>
    <cellStyle name="20% - Accent2 9 2 4 3 2 2" xfId="7409"/>
    <cellStyle name="20% - Accent2 9 2 4 3 3" xfId="7410"/>
    <cellStyle name="20% - Accent2 9 2 4 4" xfId="7411"/>
    <cellStyle name="20% - Accent2 9 2 4 4 2" xfId="7412"/>
    <cellStyle name="20% - Accent2 9 2 4 5" xfId="7413"/>
    <cellStyle name="20% - Accent2 9 2 5" xfId="7414"/>
    <cellStyle name="20% - Accent2 9 2 5 2" xfId="7415"/>
    <cellStyle name="20% - Accent2 9 2 5 2 2" xfId="7416"/>
    <cellStyle name="20% - Accent2 9 2 5 2 2 2" xfId="7417"/>
    <cellStyle name="20% - Accent2 9 2 5 2 2 2 2" xfId="7418"/>
    <cellStyle name="20% - Accent2 9 2 5 2 2 3" xfId="7419"/>
    <cellStyle name="20% - Accent2 9 2 5 2 3" xfId="7420"/>
    <cellStyle name="20% - Accent2 9 2 5 2 3 2" xfId="7421"/>
    <cellStyle name="20% - Accent2 9 2 5 2 4" xfId="7422"/>
    <cellStyle name="20% - Accent2 9 2 5 3" xfId="7423"/>
    <cellStyle name="20% - Accent2 9 2 5 3 2" xfId="7424"/>
    <cellStyle name="20% - Accent2 9 2 5 3 2 2" xfId="7425"/>
    <cellStyle name="20% - Accent2 9 2 5 3 3" xfId="7426"/>
    <cellStyle name="20% - Accent2 9 2 5 4" xfId="7427"/>
    <cellStyle name="20% - Accent2 9 2 5 4 2" xfId="7428"/>
    <cellStyle name="20% - Accent2 9 2 5 5" xfId="7429"/>
    <cellStyle name="20% - Accent2 9 2 6" xfId="7430"/>
    <cellStyle name="20% - Accent2 9 2 6 2" xfId="7431"/>
    <cellStyle name="20% - Accent2 9 2 6 2 2" xfId="7432"/>
    <cellStyle name="20% - Accent2 9 2 6 2 2 2" xfId="7433"/>
    <cellStyle name="20% - Accent2 9 2 6 2 2 2 2" xfId="7434"/>
    <cellStyle name="20% - Accent2 9 2 6 2 2 3" xfId="7435"/>
    <cellStyle name="20% - Accent2 9 2 6 2 3" xfId="7436"/>
    <cellStyle name="20% - Accent2 9 2 6 2 3 2" xfId="7437"/>
    <cellStyle name="20% - Accent2 9 2 6 2 4" xfId="7438"/>
    <cellStyle name="20% - Accent2 9 2 6 3" xfId="7439"/>
    <cellStyle name="20% - Accent2 9 2 6 3 2" xfId="7440"/>
    <cellStyle name="20% - Accent2 9 2 6 3 2 2" xfId="7441"/>
    <cellStyle name="20% - Accent2 9 2 6 3 3" xfId="7442"/>
    <cellStyle name="20% - Accent2 9 2 6 4" xfId="7443"/>
    <cellStyle name="20% - Accent2 9 2 6 4 2" xfId="7444"/>
    <cellStyle name="20% - Accent2 9 2 6 5" xfId="7445"/>
    <cellStyle name="20% - Accent2 9 2 7" xfId="7446"/>
    <cellStyle name="20% - Accent2 9 2 7 2" xfId="7447"/>
    <cellStyle name="20% - Accent2 9 2 7 2 2" xfId="7448"/>
    <cellStyle name="20% - Accent2 9 2 7 2 2 2" xfId="7449"/>
    <cellStyle name="20% - Accent2 9 2 7 2 3" xfId="7450"/>
    <cellStyle name="20% - Accent2 9 2 7 3" xfId="7451"/>
    <cellStyle name="20% - Accent2 9 2 7 3 2" xfId="7452"/>
    <cellStyle name="20% - Accent2 9 2 7 4" xfId="7453"/>
    <cellStyle name="20% - Accent2 9 2 8" xfId="7454"/>
    <cellStyle name="20% - Accent2 9 2 8 2" xfId="7455"/>
    <cellStyle name="20% - Accent2 9 2 8 2 2" xfId="7456"/>
    <cellStyle name="20% - Accent2 9 2 8 3" xfId="7457"/>
    <cellStyle name="20% - Accent2 9 2 9" xfId="7458"/>
    <cellStyle name="20% - Accent2 9 2 9 2" xfId="7459"/>
    <cellStyle name="20% - Accent2 9 3" xfId="7460"/>
    <cellStyle name="20% - Accent2 9 3 2" xfId="7461"/>
    <cellStyle name="20% - Accent2 9 3 2 2" xfId="7462"/>
    <cellStyle name="20% - Accent2 9 3 2 2 2" xfId="7463"/>
    <cellStyle name="20% - Accent2 9 3 2 2 2 2" xfId="7464"/>
    <cellStyle name="20% - Accent2 9 3 2 2 3" xfId="7465"/>
    <cellStyle name="20% - Accent2 9 3 2 3" xfId="7466"/>
    <cellStyle name="20% - Accent2 9 3 2 3 2" xfId="7467"/>
    <cellStyle name="20% - Accent2 9 3 2 4" xfId="7468"/>
    <cellStyle name="20% - Accent2 9 3 3" xfId="7469"/>
    <cellStyle name="20% - Accent2 9 3 3 2" xfId="7470"/>
    <cellStyle name="20% - Accent2 9 3 3 2 2" xfId="7471"/>
    <cellStyle name="20% - Accent2 9 3 3 3" xfId="7472"/>
    <cellStyle name="20% - Accent2 9 3 4" xfId="7473"/>
    <cellStyle name="20% - Accent2 9 3 4 2" xfId="7474"/>
    <cellStyle name="20% - Accent2 9 3 5" xfId="7475"/>
    <cellStyle name="20% - Accent2 9 4" xfId="7476"/>
    <cellStyle name="20% - Accent2 9 4 2" xfId="7477"/>
    <cellStyle name="20% - Accent2 9 4 2 2" xfId="7478"/>
    <cellStyle name="20% - Accent2 9 4 2 2 2" xfId="7479"/>
    <cellStyle name="20% - Accent2 9 4 2 2 2 2" xfId="7480"/>
    <cellStyle name="20% - Accent2 9 4 2 2 3" xfId="7481"/>
    <cellStyle name="20% - Accent2 9 4 2 3" xfId="7482"/>
    <cellStyle name="20% - Accent2 9 4 2 3 2" xfId="7483"/>
    <cellStyle name="20% - Accent2 9 4 2 4" xfId="7484"/>
    <cellStyle name="20% - Accent2 9 4 3" xfId="7485"/>
    <cellStyle name="20% - Accent2 9 4 3 2" xfId="7486"/>
    <cellStyle name="20% - Accent2 9 4 3 2 2" xfId="7487"/>
    <cellStyle name="20% - Accent2 9 4 3 3" xfId="7488"/>
    <cellStyle name="20% - Accent2 9 4 4" xfId="7489"/>
    <cellStyle name="20% - Accent2 9 4 4 2" xfId="7490"/>
    <cellStyle name="20% - Accent2 9 4 5" xfId="7491"/>
    <cellStyle name="20% - Accent2 9 5" xfId="7492"/>
    <cellStyle name="20% - Accent2 9 5 2" xfId="7493"/>
    <cellStyle name="20% - Accent2 9 5 2 2" xfId="7494"/>
    <cellStyle name="20% - Accent2 9 5 2 2 2" xfId="7495"/>
    <cellStyle name="20% - Accent2 9 5 2 2 2 2" xfId="7496"/>
    <cellStyle name="20% - Accent2 9 5 2 2 3" xfId="7497"/>
    <cellStyle name="20% - Accent2 9 5 2 3" xfId="7498"/>
    <cellStyle name="20% - Accent2 9 5 2 3 2" xfId="7499"/>
    <cellStyle name="20% - Accent2 9 5 2 4" xfId="7500"/>
    <cellStyle name="20% - Accent2 9 5 3" xfId="7501"/>
    <cellStyle name="20% - Accent2 9 5 3 2" xfId="7502"/>
    <cellStyle name="20% - Accent2 9 5 3 2 2" xfId="7503"/>
    <cellStyle name="20% - Accent2 9 5 3 3" xfId="7504"/>
    <cellStyle name="20% - Accent2 9 5 4" xfId="7505"/>
    <cellStyle name="20% - Accent2 9 5 4 2" xfId="7506"/>
    <cellStyle name="20% - Accent2 9 5 5" xfId="7507"/>
    <cellStyle name="20% - Accent2 9 6" xfId="7508"/>
    <cellStyle name="20% - Accent2 9 6 2" xfId="7509"/>
    <cellStyle name="20% - Accent2 9 6 2 2" xfId="7510"/>
    <cellStyle name="20% - Accent2 9 6 2 2 2" xfId="7511"/>
    <cellStyle name="20% - Accent2 9 6 2 2 2 2" xfId="7512"/>
    <cellStyle name="20% - Accent2 9 6 2 2 3" xfId="7513"/>
    <cellStyle name="20% - Accent2 9 6 2 3" xfId="7514"/>
    <cellStyle name="20% - Accent2 9 6 2 3 2" xfId="7515"/>
    <cellStyle name="20% - Accent2 9 6 2 4" xfId="7516"/>
    <cellStyle name="20% - Accent2 9 6 3" xfId="7517"/>
    <cellStyle name="20% - Accent2 9 6 3 2" xfId="7518"/>
    <cellStyle name="20% - Accent2 9 6 3 2 2" xfId="7519"/>
    <cellStyle name="20% - Accent2 9 6 3 3" xfId="7520"/>
    <cellStyle name="20% - Accent2 9 6 4" xfId="7521"/>
    <cellStyle name="20% - Accent2 9 6 4 2" xfId="7522"/>
    <cellStyle name="20% - Accent2 9 6 5" xfId="7523"/>
    <cellStyle name="20% - Accent2 9 7" xfId="7524"/>
    <cellStyle name="20% - Accent2 9 7 2" xfId="7525"/>
    <cellStyle name="20% - Accent2 9 7 2 2" xfId="7526"/>
    <cellStyle name="20% - Accent2 9 7 2 2 2" xfId="7527"/>
    <cellStyle name="20% - Accent2 9 7 2 2 2 2" xfId="7528"/>
    <cellStyle name="20% - Accent2 9 7 2 2 3" xfId="7529"/>
    <cellStyle name="20% - Accent2 9 7 2 3" xfId="7530"/>
    <cellStyle name="20% - Accent2 9 7 2 3 2" xfId="7531"/>
    <cellStyle name="20% - Accent2 9 7 2 4" xfId="7532"/>
    <cellStyle name="20% - Accent2 9 7 3" xfId="7533"/>
    <cellStyle name="20% - Accent2 9 7 3 2" xfId="7534"/>
    <cellStyle name="20% - Accent2 9 7 3 2 2" xfId="7535"/>
    <cellStyle name="20% - Accent2 9 7 3 3" xfId="7536"/>
    <cellStyle name="20% - Accent2 9 7 4" xfId="7537"/>
    <cellStyle name="20% - Accent2 9 7 4 2" xfId="7538"/>
    <cellStyle name="20% - Accent2 9 7 5" xfId="7539"/>
    <cellStyle name="20% - Accent2 9 8" xfId="7540"/>
    <cellStyle name="20% - Accent2 9 8 2" xfId="7541"/>
    <cellStyle name="20% - Accent2 9 8 2 2" xfId="7542"/>
    <cellStyle name="20% - Accent2 9 8 2 2 2" xfId="7543"/>
    <cellStyle name="20% - Accent2 9 8 2 3" xfId="7544"/>
    <cellStyle name="20% - Accent2 9 8 3" xfId="7545"/>
    <cellStyle name="20% - Accent2 9 8 3 2" xfId="7546"/>
    <cellStyle name="20% - Accent2 9 8 4" xfId="7547"/>
    <cellStyle name="20% - Accent2 9 9" xfId="7548"/>
    <cellStyle name="20% - Accent2 9 9 2" xfId="7549"/>
    <cellStyle name="20% - Accent2 9 9 2 2" xfId="7550"/>
    <cellStyle name="20% - Accent2 9 9 3" xfId="7551"/>
    <cellStyle name="20% - Accent3" xfId="52857" builtinId="38" customBuiltin="1"/>
    <cellStyle name="20% - Accent3 10" xfId="7552"/>
    <cellStyle name="20% - Accent3 10 10" xfId="7553"/>
    <cellStyle name="20% - Accent3 10 10 2" xfId="7554"/>
    <cellStyle name="20% - Accent3 10 11" xfId="7555"/>
    <cellStyle name="20% - Accent3 10 2" xfId="7556"/>
    <cellStyle name="20% - Accent3 10 2 10" xfId="7557"/>
    <cellStyle name="20% - Accent3 10 2 2" xfId="7558"/>
    <cellStyle name="20% - Accent3 10 2 2 2" xfId="7559"/>
    <cellStyle name="20% - Accent3 10 2 2 2 2" xfId="7560"/>
    <cellStyle name="20% - Accent3 10 2 2 2 2 2" xfId="7561"/>
    <cellStyle name="20% - Accent3 10 2 2 2 2 2 2" xfId="7562"/>
    <cellStyle name="20% - Accent3 10 2 2 2 2 3" xfId="7563"/>
    <cellStyle name="20% - Accent3 10 2 2 2 3" xfId="7564"/>
    <cellStyle name="20% - Accent3 10 2 2 2 3 2" xfId="7565"/>
    <cellStyle name="20% - Accent3 10 2 2 2 4" xfId="7566"/>
    <cellStyle name="20% - Accent3 10 2 2 3" xfId="7567"/>
    <cellStyle name="20% - Accent3 10 2 2 3 2" xfId="7568"/>
    <cellStyle name="20% - Accent3 10 2 2 3 2 2" xfId="7569"/>
    <cellStyle name="20% - Accent3 10 2 2 3 3" xfId="7570"/>
    <cellStyle name="20% - Accent3 10 2 2 4" xfId="7571"/>
    <cellStyle name="20% - Accent3 10 2 2 4 2" xfId="7572"/>
    <cellStyle name="20% - Accent3 10 2 2 5" xfId="7573"/>
    <cellStyle name="20% - Accent3 10 2 3" xfId="7574"/>
    <cellStyle name="20% - Accent3 10 2 3 2" xfId="7575"/>
    <cellStyle name="20% - Accent3 10 2 3 2 2" xfId="7576"/>
    <cellStyle name="20% - Accent3 10 2 3 2 2 2" xfId="7577"/>
    <cellStyle name="20% - Accent3 10 2 3 2 2 2 2" xfId="7578"/>
    <cellStyle name="20% - Accent3 10 2 3 2 2 3" xfId="7579"/>
    <cellStyle name="20% - Accent3 10 2 3 2 3" xfId="7580"/>
    <cellStyle name="20% - Accent3 10 2 3 2 3 2" xfId="7581"/>
    <cellStyle name="20% - Accent3 10 2 3 2 4" xfId="7582"/>
    <cellStyle name="20% - Accent3 10 2 3 3" xfId="7583"/>
    <cellStyle name="20% - Accent3 10 2 3 3 2" xfId="7584"/>
    <cellStyle name="20% - Accent3 10 2 3 3 2 2" xfId="7585"/>
    <cellStyle name="20% - Accent3 10 2 3 3 3" xfId="7586"/>
    <cellStyle name="20% - Accent3 10 2 3 4" xfId="7587"/>
    <cellStyle name="20% - Accent3 10 2 3 4 2" xfId="7588"/>
    <cellStyle name="20% - Accent3 10 2 3 5" xfId="7589"/>
    <cellStyle name="20% - Accent3 10 2 4" xfId="7590"/>
    <cellStyle name="20% - Accent3 10 2 4 2" xfId="7591"/>
    <cellStyle name="20% - Accent3 10 2 4 2 2" xfId="7592"/>
    <cellStyle name="20% - Accent3 10 2 4 2 2 2" xfId="7593"/>
    <cellStyle name="20% - Accent3 10 2 4 2 2 2 2" xfId="7594"/>
    <cellStyle name="20% - Accent3 10 2 4 2 2 3" xfId="7595"/>
    <cellStyle name="20% - Accent3 10 2 4 2 3" xfId="7596"/>
    <cellStyle name="20% - Accent3 10 2 4 2 3 2" xfId="7597"/>
    <cellStyle name="20% - Accent3 10 2 4 2 4" xfId="7598"/>
    <cellStyle name="20% - Accent3 10 2 4 3" xfId="7599"/>
    <cellStyle name="20% - Accent3 10 2 4 3 2" xfId="7600"/>
    <cellStyle name="20% - Accent3 10 2 4 3 2 2" xfId="7601"/>
    <cellStyle name="20% - Accent3 10 2 4 3 3" xfId="7602"/>
    <cellStyle name="20% - Accent3 10 2 4 4" xfId="7603"/>
    <cellStyle name="20% - Accent3 10 2 4 4 2" xfId="7604"/>
    <cellStyle name="20% - Accent3 10 2 4 5" xfId="7605"/>
    <cellStyle name="20% - Accent3 10 2 5" xfId="7606"/>
    <cellStyle name="20% - Accent3 10 2 5 2" xfId="7607"/>
    <cellStyle name="20% - Accent3 10 2 5 2 2" xfId="7608"/>
    <cellStyle name="20% - Accent3 10 2 5 2 2 2" xfId="7609"/>
    <cellStyle name="20% - Accent3 10 2 5 2 2 2 2" xfId="7610"/>
    <cellStyle name="20% - Accent3 10 2 5 2 2 3" xfId="7611"/>
    <cellStyle name="20% - Accent3 10 2 5 2 3" xfId="7612"/>
    <cellStyle name="20% - Accent3 10 2 5 2 3 2" xfId="7613"/>
    <cellStyle name="20% - Accent3 10 2 5 2 4" xfId="7614"/>
    <cellStyle name="20% - Accent3 10 2 5 3" xfId="7615"/>
    <cellStyle name="20% - Accent3 10 2 5 3 2" xfId="7616"/>
    <cellStyle name="20% - Accent3 10 2 5 3 2 2" xfId="7617"/>
    <cellStyle name="20% - Accent3 10 2 5 3 3" xfId="7618"/>
    <cellStyle name="20% - Accent3 10 2 5 4" xfId="7619"/>
    <cellStyle name="20% - Accent3 10 2 5 4 2" xfId="7620"/>
    <cellStyle name="20% - Accent3 10 2 5 5" xfId="7621"/>
    <cellStyle name="20% - Accent3 10 2 6" xfId="7622"/>
    <cellStyle name="20% - Accent3 10 2 6 2" xfId="7623"/>
    <cellStyle name="20% - Accent3 10 2 6 2 2" xfId="7624"/>
    <cellStyle name="20% - Accent3 10 2 6 2 2 2" xfId="7625"/>
    <cellStyle name="20% - Accent3 10 2 6 2 2 2 2" xfId="7626"/>
    <cellStyle name="20% - Accent3 10 2 6 2 2 3" xfId="7627"/>
    <cellStyle name="20% - Accent3 10 2 6 2 3" xfId="7628"/>
    <cellStyle name="20% - Accent3 10 2 6 2 3 2" xfId="7629"/>
    <cellStyle name="20% - Accent3 10 2 6 2 4" xfId="7630"/>
    <cellStyle name="20% - Accent3 10 2 6 3" xfId="7631"/>
    <cellStyle name="20% - Accent3 10 2 6 3 2" xfId="7632"/>
    <cellStyle name="20% - Accent3 10 2 6 3 2 2" xfId="7633"/>
    <cellStyle name="20% - Accent3 10 2 6 3 3" xfId="7634"/>
    <cellStyle name="20% - Accent3 10 2 6 4" xfId="7635"/>
    <cellStyle name="20% - Accent3 10 2 6 4 2" xfId="7636"/>
    <cellStyle name="20% - Accent3 10 2 6 5" xfId="7637"/>
    <cellStyle name="20% - Accent3 10 2 7" xfId="7638"/>
    <cellStyle name="20% - Accent3 10 2 7 2" xfId="7639"/>
    <cellStyle name="20% - Accent3 10 2 7 2 2" xfId="7640"/>
    <cellStyle name="20% - Accent3 10 2 7 2 2 2" xfId="7641"/>
    <cellStyle name="20% - Accent3 10 2 7 2 3" xfId="7642"/>
    <cellStyle name="20% - Accent3 10 2 7 3" xfId="7643"/>
    <cellStyle name="20% - Accent3 10 2 7 3 2" xfId="7644"/>
    <cellStyle name="20% - Accent3 10 2 7 4" xfId="7645"/>
    <cellStyle name="20% - Accent3 10 2 8" xfId="7646"/>
    <cellStyle name="20% - Accent3 10 2 8 2" xfId="7647"/>
    <cellStyle name="20% - Accent3 10 2 8 2 2" xfId="7648"/>
    <cellStyle name="20% - Accent3 10 2 8 3" xfId="7649"/>
    <cellStyle name="20% - Accent3 10 2 9" xfId="7650"/>
    <cellStyle name="20% - Accent3 10 2 9 2" xfId="7651"/>
    <cellStyle name="20% - Accent3 10 3" xfId="7652"/>
    <cellStyle name="20% - Accent3 10 3 2" xfId="7653"/>
    <cellStyle name="20% - Accent3 10 3 2 2" xfId="7654"/>
    <cellStyle name="20% - Accent3 10 3 2 2 2" xfId="7655"/>
    <cellStyle name="20% - Accent3 10 3 2 2 2 2" xfId="7656"/>
    <cellStyle name="20% - Accent3 10 3 2 2 3" xfId="7657"/>
    <cellStyle name="20% - Accent3 10 3 2 3" xfId="7658"/>
    <cellStyle name="20% - Accent3 10 3 2 3 2" xfId="7659"/>
    <cellStyle name="20% - Accent3 10 3 2 4" xfId="7660"/>
    <cellStyle name="20% - Accent3 10 3 3" xfId="7661"/>
    <cellStyle name="20% - Accent3 10 3 3 2" xfId="7662"/>
    <cellStyle name="20% - Accent3 10 3 3 2 2" xfId="7663"/>
    <cellStyle name="20% - Accent3 10 3 3 3" xfId="7664"/>
    <cellStyle name="20% - Accent3 10 3 4" xfId="7665"/>
    <cellStyle name="20% - Accent3 10 3 4 2" xfId="7666"/>
    <cellStyle name="20% - Accent3 10 3 5" xfId="7667"/>
    <cellStyle name="20% - Accent3 10 4" xfId="7668"/>
    <cellStyle name="20% - Accent3 10 4 2" xfId="7669"/>
    <cellStyle name="20% - Accent3 10 4 2 2" xfId="7670"/>
    <cellStyle name="20% - Accent3 10 4 2 2 2" xfId="7671"/>
    <cellStyle name="20% - Accent3 10 4 2 2 2 2" xfId="7672"/>
    <cellStyle name="20% - Accent3 10 4 2 2 3" xfId="7673"/>
    <cellStyle name="20% - Accent3 10 4 2 3" xfId="7674"/>
    <cellStyle name="20% - Accent3 10 4 2 3 2" xfId="7675"/>
    <cellStyle name="20% - Accent3 10 4 2 4" xfId="7676"/>
    <cellStyle name="20% - Accent3 10 4 3" xfId="7677"/>
    <cellStyle name="20% - Accent3 10 4 3 2" xfId="7678"/>
    <cellStyle name="20% - Accent3 10 4 3 2 2" xfId="7679"/>
    <cellStyle name="20% - Accent3 10 4 3 3" xfId="7680"/>
    <cellStyle name="20% - Accent3 10 4 4" xfId="7681"/>
    <cellStyle name="20% - Accent3 10 4 4 2" xfId="7682"/>
    <cellStyle name="20% - Accent3 10 4 5" xfId="7683"/>
    <cellStyle name="20% - Accent3 10 5" xfId="7684"/>
    <cellStyle name="20% - Accent3 10 5 2" xfId="7685"/>
    <cellStyle name="20% - Accent3 10 5 2 2" xfId="7686"/>
    <cellStyle name="20% - Accent3 10 5 2 2 2" xfId="7687"/>
    <cellStyle name="20% - Accent3 10 5 2 2 2 2" xfId="7688"/>
    <cellStyle name="20% - Accent3 10 5 2 2 3" xfId="7689"/>
    <cellStyle name="20% - Accent3 10 5 2 3" xfId="7690"/>
    <cellStyle name="20% - Accent3 10 5 2 3 2" xfId="7691"/>
    <cellStyle name="20% - Accent3 10 5 2 4" xfId="7692"/>
    <cellStyle name="20% - Accent3 10 5 3" xfId="7693"/>
    <cellStyle name="20% - Accent3 10 5 3 2" xfId="7694"/>
    <cellStyle name="20% - Accent3 10 5 3 2 2" xfId="7695"/>
    <cellStyle name="20% - Accent3 10 5 3 3" xfId="7696"/>
    <cellStyle name="20% - Accent3 10 5 4" xfId="7697"/>
    <cellStyle name="20% - Accent3 10 5 4 2" xfId="7698"/>
    <cellStyle name="20% - Accent3 10 5 5" xfId="7699"/>
    <cellStyle name="20% - Accent3 10 6" xfId="7700"/>
    <cellStyle name="20% - Accent3 10 6 2" xfId="7701"/>
    <cellStyle name="20% - Accent3 10 6 2 2" xfId="7702"/>
    <cellStyle name="20% - Accent3 10 6 2 2 2" xfId="7703"/>
    <cellStyle name="20% - Accent3 10 6 2 2 2 2" xfId="7704"/>
    <cellStyle name="20% - Accent3 10 6 2 2 3" xfId="7705"/>
    <cellStyle name="20% - Accent3 10 6 2 3" xfId="7706"/>
    <cellStyle name="20% - Accent3 10 6 2 3 2" xfId="7707"/>
    <cellStyle name="20% - Accent3 10 6 2 4" xfId="7708"/>
    <cellStyle name="20% - Accent3 10 6 3" xfId="7709"/>
    <cellStyle name="20% - Accent3 10 6 3 2" xfId="7710"/>
    <cellStyle name="20% - Accent3 10 6 3 2 2" xfId="7711"/>
    <cellStyle name="20% - Accent3 10 6 3 3" xfId="7712"/>
    <cellStyle name="20% - Accent3 10 6 4" xfId="7713"/>
    <cellStyle name="20% - Accent3 10 6 4 2" xfId="7714"/>
    <cellStyle name="20% - Accent3 10 6 5" xfId="7715"/>
    <cellStyle name="20% - Accent3 10 7" xfId="7716"/>
    <cellStyle name="20% - Accent3 10 7 2" xfId="7717"/>
    <cellStyle name="20% - Accent3 10 7 2 2" xfId="7718"/>
    <cellStyle name="20% - Accent3 10 7 2 2 2" xfId="7719"/>
    <cellStyle name="20% - Accent3 10 7 2 2 2 2" xfId="7720"/>
    <cellStyle name="20% - Accent3 10 7 2 2 3" xfId="7721"/>
    <cellStyle name="20% - Accent3 10 7 2 3" xfId="7722"/>
    <cellStyle name="20% - Accent3 10 7 2 3 2" xfId="7723"/>
    <cellStyle name="20% - Accent3 10 7 2 4" xfId="7724"/>
    <cellStyle name="20% - Accent3 10 7 3" xfId="7725"/>
    <cellStyle name="20% - Accent3 10 7 3 2" xfId="7726"/>
    <cellStyle name="20% - Accent3 10 7 3 2 2" xfId="7727"/>
    <cellStyle name="20% - Accent3 10 7 3 3" xfId="7728"/>
    <cellStyle name="20% - Accent3 10 7 4" xfId="7729"/>
    <cellStyle name="20% - Accent3 10 7 4 2" xfId="7730"/>
    <cellStyle name="20% - Accent3 10 7 5" xfId="7731"/>
    <cellStyle name="20% - Accent3 10 8" xfId="7732"/>
    <cellStyle name="20% - Accent3 10 8 2" xfId="7733"/>
    <cellStyle name="20% - Accent3 10 8 2 2" xfId="7734"/>
    <cellStyle name="20% - Accent3 10 8 2 2 2" xfId="7735"/>
    <cellStyle name="20% - Accent3 10 8 2 3" xfId="7736"/>
    <cellStyle name="20% - Accent3 10 8 3" xfId="7737"/>
    <cellStyle name="20% - Accent3 10 8 3 2" xfId="7738"/>
    <cellStyle name="20% - Accent3 10 8 4" xfId="7739"/>
    <cellStyle name="20% - Accent3 10 9" xfId="7740"/>
    <cellStyle name="20% - Accent3 10 9 2" xfId="7741"/>
    <cellStyle name="20% - Accent3 10 9 2 2" xfId="7742"/>
    <cellStyle name="20% - Accent3 10 9 3" xfId="7743"/>
    <cellStyle name="20% - Accent3 11" xfId="7744"/>
    <cellStyle name="20% - Accent3 11 10" xfId="7745"/>
    <cellStyle name="20% - Accent3 11 10 2" xfId="7746"/>
    <cellStyle name="20% - Accent3 11 11" xfId="7747"/>
    <cellStyle name="20% - Accent3 11 2" xfId="7748"/>
    <cellStyle name="20% - Accent3 11 2 10" xfId="7749"/>
    <cellStyle name="20% - Accent3 11 2 2" xfId="7750"/>
    <cellStyle name="20% - Accent3 11 2 2 2" xfId="7751"/>
    <cellStyle name="20% - Accent3 11 2 2 2 2" xfId="7752"/>
    <cellStyle name="20% - Accent3 11 2 2 2 2 2" xfId="7753"/>
    <cellStyle name="20% - Accent3 11 2 2 2 2 2 2" xfId="7754"/>
    <cellStyle name="20% - Accent3 11 2 2 2 2 3" xfId="7755"/>
    <cellStyle name="20% - Accent3 11 2 2 2 3" xfId="7756"/>
    <cellStyle name="20% - Accent3 11 2 2 2 3 2" xfId="7757"/>
    <cellStyle name="20% - Accent3 11 2 2 2 4" xfId="7758"/>
    <cellStyle name="20% - Accent3 11 2 2 3" xfId="7759"/>
    <cellStyle name="20% - Accent3 11 2 2 3 2" xfId="7760"/>
    <cellStyle name="20% - Accent3 11 2 2 3 2 2" xfId="7761"/>
    <cellStyle name="20% - Accent3 11 2 2 3 3" xfId="7762"/>
    <cellStyle name="20% - Accent3 11 2 2 4" xfId="7763"/>
    <cellStyle name="20% - Accent3 11 2 2 4 2" xfId="7764"/>
    <cellStyle name="20% - Accent3 11 2 2 5" xfId="7765"/>
    <cellStyle name="20% - Accent3 11 2 3" xfId="7766"/>
    <cellStyle name="20% - Accent3 11 2 3 2" xfId="7767"/>
    <cellStyle name="20% - Accent3 11 2 3 2 2" xfId="7768"/>
    <cellStyle name="20% - Accent3 11 2 3 2 2 2" xfId="7769"/>
    <cellStyle name="20% - Accent3 11 2 3 2 2 2 2" xfId="7770"/>
    <cellStyle name="20% - Accent3 11 2 3 2 2 3" xfId="7771"/>
    <cellStyle name="20% - Accent3 11 2 3 2 3" xfId="7772"/>
    <cellStyle name="20% - Accent3 11 2 3 2 3 2" xfId="7773"/>
    <cellStyle name="20% - Accent3 11 2 3 2 4" xfId="7774"/>
    <cellStyle name="20% - Accent3 11 2 3 3" xfId="7775"/>
    <cellStyle name="20% - Accent3 11 2 3 3 2" xfId="7776"/>
    <cellStyle name="20% - Accent3 11 2 3 3 2 2" xfId="7777"/>
    <cellStyle name="20% - Accent3 11 2 3 3 3" xfId="7778"/>
    <cellStyle name="20% - Accent3 11 2 3 4" xfId="7779"/>
    <cellStyle name="20% - Accent3 11 2 3 4 2" xfId="7780"/>
    <cellStyle name="20% - Accent3 11 2 3 5" xfId="7781"/>
    <cellStyle name="20% - Accent3 11 2 4" xfId="7782"/>
    <cellStyle name="20% - Accent3 11 2 4 2" xfId="7783"/>
    <cellStyle name="20% - Accent3 11 2 4 2 2" xfId="7784"/>
    <cellStyle name="20% - Accent3 11 2 4 2 2 2" xfId="7785"/>
    <cellStyle name="20% - Accent3 11 2 4 2 2 2 2" xfId="7786"/>
    <cellStyle name="20% - Accent3 11 2 4 2 2 3" xfId="7787"/>
    <cellStyle name="20% - Accent3 11 2 4 2 3" xfId="7788"/>
    <cellStyle name="20% - Accent3 11 2 4 2 3 2" xfId="7789"/>
    <cellStyle name="20% - Accent3 11 2 4 2 4" xfId="7790"/>
    <cellStyle name="20% - Accent3 11 2 4 3" xfId="7791"/>
    <cellStyle name="20% - Accent3 11 2 4 3 2" xfId="7792"/>
    <cellStyle name="20% - Accent3 11 2 4 3 2 2" xfId="7793"/>
    <cellStyle name="20% - Accent3 11 2 4 3 3" xfId="7794"/>
    <cellStyle name="20% - Accent3 11 2 4 4" xfId="7795"/>
    <cellStyle name="20% - Accent3 11 2 4 4 2" xfId="7796"/>
    <cellStyle name="20% - Accent3 11 2 4 5" xfId="7797"/>
    <cellStyle name="20% - Accent3 11 2 5" xfId="7798"/>
    <cellStyle name="20% - Accent3 11 2 5 2" xfId="7799"/>
    <cellStyle name="20% - Accent3 11 2 5 2 2" xfId="7800"/>
    <cellStyle name="20% - Accent3 11 2 5 2 2 2" xfId="7801"/>
    <cellStyle name="20% - Accent3 11 2 5 2 2 2 2" xfId="7802"/>
    <cellStyle name="20% - Accent3 11 2 5 2 2 3" xfId="7803"/>
    <cellStyle name="20% - Accent3 11 2 5 2 3" xfId="7804"/>
    <cellStyle name="20% - Accent3 11 2 5 2 3 2" xfId="7805"/>
    <cellStyle name="20% - Accent3 11 2 5 2 4" xfId="7806"/>
    <cellStyle name="20% - Accent3 11 2 5 3" xfId="7807"/>
    <cellStyle name="20% - Accent3 11 2 5 3 2" xfId="7808"/>
    <cellStyle name="20% - Accent3 11 2 5 3 2 2" xfId="7809"/>
    <cellStyle name="20% - Accent3 11 2 5 3 3" xfId="7810"/>
    <cellStyle name="20% - Accent3 11 2 5 4" xfId="7811"/>
    <cellStyle name="20% - Accent3 11 2 5 4 2" xfId="7812"/>
    <cellStyle name="20% - Accent3 11 2 5 5" xfId="7813"/>
    <cellStyle name="20% - Accent3 11 2 6" xfId="7814"/>
    <cellStyle name="20% - Accent3 11 2 6 2" xfId="7815"/>
    <cellStyle name="20% - Accent3 11 2 6 2 2" xfId="7816"/>
    <cellStyle name="20% - Accent3 11 2 6 2 2 2" xfId="7817"/>
    <cellStyle name="20% - Accent3 11 2 6 2 2 2 2" xfId="7818"/>
    <cellStyle name="20% - Accent3 11 2 6 2 2 3" xfId="7819"/>
    <cellStyle name="20% - Accent3 11 2 6 2 3" xfId="7820"/>
    <cellStyle name="20% - Accent3 11 2 6 2 3 2" xfId="7821"/>
    <cellStyle name="20% - Accent3 11 2 6 2 4" xfId="7822"/>
    <cellStyle name="20% - Accent3 11 2 6 3" xfId="7823"/>
    <cellStyle name="20% - Accent3 11 2 6 3 2" xfId="7824"/>
    <cellStyle name="20% - Accent3 11 2 6 3 2 2" xfId="7825"/>
    <cellStyle name="20% - Accent3 11 2 6 3 3" xfId="7826"/>
    <cellStyle name="20% - Accent3 11 2 6 4" xfId="7827"/>
    <cellStyle name="20% - Accent3 11 2 6 4 2" xfId="7828"/>
    <cellStyle name="20% - Accent3 11 2 6 5" xfId="7829"/>
    <cellStyle name="20% - Accent3 11 2 7" xfId="7830"/>
    <cellStyle name="20% - Accent3 11 2 7 2" xfId="7831"/>
    <cellStyle name="20% - Accent3 11 2 7 2 2" xfId="7832"/>
    <cellStyle name="20% - Accent3 11 2 7 2 2 2" xfId="7833"/>
    <cellStyle name="20% - Accent3 11 2 7 2 3" xfId="7834"/>
    <cellStyle name="20% - Accent3 11 2 7 3" xfId="7835"/>
    <cellStyle name="20% - Accent3 11 2 7 3 2" xfId="7836"/>
    <cellStyle name="20% - Accent3 11 2 7 4" xfId="7837"/>
    <cellStyle name="20% - Accent3 11 2 8" xfId="7838"/>
    <cellStyle name="20% - Accent3 11 2 8 2" xfId="7839"/>
    <cellStyle name="20% - Accent3 11 2 8 2 2" xfId="7840"/>
    <cellStyle name="20% - Accent3 11 2 8 3" xfId="7841"/>
    <cellStyle name="20% - Accent3 11 2 9" xfId="7842"/>
    <cellStyle name="20% - Accent3 11 2 9 2" xfId="7843"/>
    <cellStyle name="20% - Accent3 11 3" xfId="7844"/>
    <cellStyle name="20% - Accent3 11 3 2" xfId="7845"/>
    <cellStyle name="20% - Accent3 11 3 2 2" xfId="7846"/>
    <cellStyle name="20% - Accent3 11 3 2 2 2" xfId="7847"/>
    <cellStyle name="20% - Accent3 11 3 2 2 2 2" xfId="7848"/>
    <cellStyle name="20% - Accent3 11 3 2 2 3" xfId="7849"/>
    <cellStyle name="20% - Accent3 11 3 2 3" xfId="7850"/>
    <cellStyle name="20% - Accent3 11 3 2 3 2" xfId="7851"/>
    <cellStyle name="20% - Accent3 11 3 2 4" xfId="7852"/>
    <cellStyle name="20% - Accent3 11 3 3" xfId="7853"/>
    <cellStyle name="20% - Accent3 11 3 3 2" xfId="7854"/>
    <cellStyle name="20% - Accent3 11 3 3 2 2" xfId="7855"/>
    <cellStyle name="20% - Accent3 11 3 3 3" xfId="7856"/>
    <cellStyle name="20% - Accent3 11 3 4" xfId="7857"/>
    <cellStyle name="20% - Accent3 11 3 4 2" xfId="7858"/>
    <cellStyle name="20% - Accent3 11 3 5" xfId="7859"/>
    <cellStyle name="20% - Accent3 11 4" xfId="7860"/>
    <cellStyle name="20% - Accent3 11 4 2" xfId="7861"/>
    <cellStyle name="20% - Accent3 11 4 2 2" xfId="7862"/>
    <cellStyle name="20% - Accent3 11 4 2 2 2" xfId="7863"/>
    <cellStyle name="20% - Accent3 11 4 2 2 2 2" xfId="7864"/>
    <cellStyle name="20% - Accent3 11 4 2 2 3" xfId="7865"/>
    <cellStyle name="20% - Accent3 11 4 2 3" xfId="7866"/>
    <cellStyle name="20% - Accent3 11 4 2 3 2" xfId="7867"/>
    <cellStyle name="20% - Accent3 11 4 2 4" xfId="7868"/>
    <cellStyle name="20% - Accent3 11 4 3" xfId="7869"/>
    <cellStyle name="20% - Accent3 11 4 3 2" xfId="7870"/>
    <cellStyle name="20% - Accent3 11 4 3 2 2" xfId="7871"/>
    <cellStyle name="20% - Accent3 11 4 3 3" xfId="7872"/>
    <cellStyle name="20% - Accent3 11 4 4" xfId="7873"/>
    <cellStyle name="20% - Accent3 11 4 4 2" xfId="7874"/>
    <cellStyle name="20% - Accent3 11 4 5" xfId="7875"/>
    <cellStyle name="20% - Accent3 11 5" xfId="7876"/>
    <cellStyle name="20% - Accent3 11 5 2" xfId="7877"/>
    <cellStyle name="20% - Accent3 11 5 2 2" xfId="7878"/>
    <cellStyle name="20% - Accent3 11 5 2 2 2" xfId="7879"/>
    <cellStyle name="20% - Accent3 11 5 2 2 2 2" xfId="7880"/>
    <cellStyle name="20% - Accent3 11 5 2 2 3" xfId="7881"/>
    <cellStyle name="20% - Accent3 11 5 2 3" xfId="7882"/>
    <cellStyle name="20% - Accent3 11 5 2 3 2" xfId="7883"/>
    <cellStyle name="20% - Accent3 11 5 2 4" xfId="7884"/>
    <cellStyle name="20% - Accent3 11 5 3" xfId="7885"/>
    <cellStyle name="20% - Accent3 11 5 3 2" xfId="7886"/>
    <cellStyle name="20% - Accent3 11 5 3 2 2" xfId="7887"/>
    <cellStyle name="20% - Accent3 11 5 3 3" xfId="7888"/>
    <cellStyle name="20% - Accent3 11 5 4" xfId="7889"/>
    <cellStyle name="20% - Accent3 11 5 4 2" xfId="7890"/>
    <cellStyle name="20% - Accent3 11 5 5" xfId="7891"/>
    <cellStyle name="20% - Accent3 11 6" xfId="7892"/>
    <cellStyle name="20% - Accent3 11 6 2" xfId="7893"/>
    <cellStyle name="20% - Accent3 11 6 2 2" xfId="7894"/>
    <cellStyle name="20% - Accent3 11 6 2 2 2" xfId="7895"/>
    <cellStyle name="20% - Accent3 11 6 2 2 2 2" xfId="7896"/>
    <cellStyle name="20% - Accent3 11 6 2 2 3" xfId="7897"/>
    <cellStyle name="20% - Accent3 11 6 2 3" xfId="7898"/>
    <cellStyle name="20% - Accent3 11 6 2 3 2" xfId="7899"/>
    <cellStyle name="20% - Accent3 11 6 2 4" xfId="7900"/>
    <cellStyle name="20% - Accent3 11 6 3" xfId="7901"/>
    <cellStyle name="20% - Accent3 11 6 3 2" xfId="7902"/>
    <cellStyle name="20% - Accent3 11 6 3 2 2" xfId="7903"/>
    <cellStyle name="20% - Accent3 11 6 3 3" xfId="7904"/>
    <cellStyle name="20% - Accent3 11 6 4" xfId="7905"/>
    <cellStyle name="20% - Accent3 11 6 4 2" xfId="7906"/>
    <cellStyle name="20% - Accent3 11 6 5" xfId="7907"/>
    <cellStyle name="20% - Accent3 11 7" xfId="7908"/>
    <cellStyle name="20% - Accent3 11 7 2" xfId="7909"/>
    <cellStyle name="20% - Accent3 11 7 2 2" xfId="7910"/>
    <cellStyle name="20% - Accent3 11 7 2 2 2" xfId="7911"/>
    <cellStyle name="20% - Accent3 11 7 2 2 2 2" xfId="7912"/>
    <cellStyle name="20% - Accent3 11 7 2 2 3" xfId="7913"/>
    <cellStyle name="20% - Accent3 11 7 2 3" xfId="7914"/>
    <cellStyle name="20% - Accent3 11 7 2 3 2" xfId="7915"/>
    <cellStyle name="20% - Accent3 11 7 2 4" xfId="7916"/>
    <cellStyle name="20% - Accent3 11 7 3" xfId="7917"/>
    <cellStyle name="20% - Accent3 11 7 3 2" xfId="7918"/>
    <cellStyle name="20% - Accent3 11 7 3 2 2" xfId="7919"/>
    <cellStyle name="20% - Accent3 11 7 3 3" xfId="7920"/>
    <cellStyle name="20% - Accent3 11 7 4" xfId="7921"/>
    <cellStyle name="20% - Accent3 11 7 4 2" xfId="7922"/>
    <cellStyle name="20% - Accent3 11 7 5" xfId="7923"/>
    <cellStyle name="20% - Accent3 11 8" xfId="7924"/>
    <cellStyle name="20% - Accent3 11 8 2" xfId="7925"/>
    <cellStyle name="20% - Accent3 11 8 2 2" xfId="7926"/>
    <cellStyle name="20% - Accent3 11 8 2 2 2" xfId="7927"/>
    <cellStyle name="20% - Accent3 11 8 2 3" xfId="7928"/>
    <cellStyle name="20% - Accent3 11 8 3" xfId="7929"/>
    <cellStyle name="20% - Accent3 11 8 3 2" xfId="7930"/>
    <cellStyle name="20% - Accent3 11 8 4" xfId="7931"/>
    <cellStyle name="20% - Accent3 11 9" xfId="7932"/>
    <cellStyle name="20% - Accent3 11 9 2" xfId="7933"/>
    <cellStyle name="20% - Accent3 11 9 2 2" xfId="7934"/>
    <cellStyle name="20% - Accent3 11 9 3" xfId="7935"/>
    <cellStyle name="20% - Accent3 12" xfId="7936"/>
    <cellStyle name="20% - Accent3 12 10" xfId="7937"/>
    <cellStyle name="20% - Accent3 12 2" xfId="7938"/>
    <cellStyle name="20% - Accent3 12 2 2" xfId="7939"/>
    <cellStyle name="20% - Accent3 12 2 2 2" xfId="7940"/>
    <cellStyle name="20% - Accent3 12 2 2 2 2" xfId="7941"/>
    <cellStyle name="20% - Accent3 12 2 2 2 2 2" xfId="7942"/>
    <cellStyle name="20% - Accent3 12 2 2 2 3" xfId="7943"/>
    <cellStyle name="20% - Accent3 12 2 2 3" xfId="7944"/>
    <cellStyle name="20% - Accent3 12 2 2 3 2" xfId="7945"/>
    <cellStyle name="20% - Accent3 12 2 2 4" xfId="7946"/>
    <cellStyle name="20% - Accent3 12 2 3" xfId="7947"/>
    <cellStyle name="20% - Accent3 12 2 3 2" xfId="7948"/>
    <cellStyle name="20% - Accent3 12 2 3 2 2" xfId="7949"/>
    <cellStyle name="20% - Accent3 12 2 3 3" xfId="7950"/>
    <cellStyle name="20% - Accent3 12 2 4" xfId="7951"/>
    <cellStyle name="20% - Accent3 12 2 4 2" xfId="7952"/>
    <cellStyle name="20% - Accent3 12 2 5" xfId="7953"/>
    <cellStyle name="20% - Accent3 12 3" xfId="7954"/>
    <cellStyle name="20% - Accent3 12 3 2" xfId="7955"/>
    <cellStyle name="20% - Accent3 12 3 2 2" xfId="7956"/>
    <cellStyle name="20% - Accent3 12 3 2 2 2" xfId="7957"/>
    <cellStyle name="20% - Accent3 12 3 2 2 2 2" xfId="7958"/>
    <cellStyle name="20% - Accent3 12 3 2 2 3" xfId="7959"/>
    <cellStyle name="20% - Accent3 12 3 2 3" xfId="7960"/>
    <cellStyle name="20% - Accent3 12 3 2 3 2" xfId="7961"/>
    <cellStyle name="20% - Accent3 12 3 2 4" xfId="7962"/>
    <cellStyle name="20% - Accent3 12 3 3" xfId="7963"/>
    <cellStyle name="20% - Accent3 12 3 3 2" xfId="7964"/>
    <cellStyle name="20% - Accent3 12 3 3 2 2" xfId="7965"/>
    <cellStyle name="20% - Accent3 12 3 3 3" xfId="7966"/>
    <cellStyle name="20% - Accent3 12 3 4" xfId="7967"/>
    <cellStyle name="20% - Accent3 12 3 4 2" xfId="7968"/>
    <cellStyle name="20% - Accent3 12 3 5" xfId="7969"/>
    <cellStyle name="20% - Accent3 12 4" xfId="7970"/>
    <cellStyle name="20% - Accent3 12 4 2" xfId="7971"/>
    <cellStyle name="20% - Accent3 12 4 2 2" xfId="7972"/>
    <cellStyle name="20% - Accent3 12 4 2 2 2" xfId="7973"/>
    <cellStyle name="20% - Accent3 12 4 2 2 2 2" xfId="7974"/>
    <cellStyle name="20% - Accent3 12 4 2 2 3" xfId="7975"/>
    <cellStyle name="20% - Accent3 12 4 2 3" xfId="7976"/>
    <cellStyle name="20% - Accent3 12 4 2 3 2" xfId="7977"/>
    <cellStyle name="20% - Accent3 12 4 2 4" xfId="7978"/>
    <cellStyle name="20% - Accent3 12 4 3" xfId="7979"/>
    <cellStyle name="20% - Accent3 12 4 3 2" xfId="7980"/>
    <cellStyle name="20% - Accent3 12 4 3 2 2" xfId="7981"/>
    <cellStyle name="20% - Accent3 12 4 3 3" xfId="7982"/>
    <cellStyle name="20% - Accent3 12 4 4" xfId="7983"/>
    <cellStyle name="20% - Accent3 12 4 4 2" xfId="7984"/>
    <cellStyle name="20% - Accent3 12 4 5" xfId="7985"/>
    <cellStyle name="20% - Accent3 12 5" xfId="7986"/>
    <cellStyle name="20% - Accent3 12 5 2" xfId="7987"/>
    <cellStyle name="20% - Accent3 12 5 2 2" xfId="7988"/>
    <cellStyle name="20% - Accent3 12 5 2 2 2" xfId="7989"/>
    <cellStyle name="20% - Accent3 12 5 2 2 2 2" xfId="7990"/>
    <cellStyle name="20% - Accent3 12 5 2 2 3" xfId="7991"/>
    <cellStyle name="20% - Accent3 12 5 2 3" xfId="7992"/>
    <cellStyle name="20% - Accent3 12 5 2 3 2" xfId="7993"/>
    <cellStyle name="20% - Accent3 12 5 2 4" xfId="7994"/>
    <cellStyle name="20% - Accent3 12 5 3" xfId="7995"/>
    <cellStyle name="20% - Accent3 12 5 3 2" xfId="7996"/>
    <cellStyle name="20% - Accent3 12 5 3 2 2" xfId="7997"/>
    <cellStyle name="20% - Accent3 12 5 3 3" xfId="7998"/>
    <cellStyle name="20% - Accent3 12 5 4" xfId="7999"/>
    <cellStyle name="20% - Accent3 12 5 4 2" xfId="8000"/>
    <cellStyle name="20% - Accent3 12 5 5" xfId="8001"/>
    <cellStyle name="20% - Accent3 12 6" xfId="8002"/>
    <cellStyle name="20% - Accent3 12 6 2" xfId="8003"/>
    <cellStyle name="20% - Accent3 12 6 2 2" xfId="8004"/>
    <cellStyle name="20% - Accent3 12 6 2 2 2" xfId="8005"/>
    <cellStyle name="20% - Accent3 12 6 2 2 2 2" xfId="8006"/>
    <cellStyle name="20% - Accent3 12 6 2 2 3" xfId="8007"/>
    <cellStyle name="20% - Accent3 12 6 2 3" xfId="8008"/>
    <cellStyle name="20% - Accent3 12 6 2 3 2" xfId="8009"/>
    <cellStyle name="20% - Accent3 12 6 2 4" xfId="8010"/>
    <cellStyle name="20% - Accent3 12 6 3" xfId="8011"/>
    <cellStyle name="20% - Accent3 12 6 3 2" xfId="8012"/>
    <cellStyle name="20% - Accent3 12 6 3 2 2" xfId="8013"/>
    <cellStyle name="20% - Accent3 12 6 3 3" xfId="8014"/>
    <cellStyle name="20% - Accent3 12 6 4" xfId="8015"/>
    <cellStyle name="20% - Accent3 12 6 4 2" xfId="8016"/>
    <cellStyle name="20% - Accent3 12 6 5" xfId="8017"/>
    <cellStyle name="20% - Accent3 12 7" xfId="8018"/>
    <cellStyle name="20% - Accent3 12 7 2" xfId="8019"/>
    <cellStyle name="20% - Accent3 12 7 2 2" xfId="8020"/>
    <cellStyle name="20% - Accent3 12 7 2 2 2" xfId="8021"/>
    <cellStyle name="20% - Accent3 12 7 2 3" xfId="8022"/>
    <cellStyle name="20% - Accent3 12 7 3" xfId="8023"/>
    <cellStyle name="20% - Accent3 12 7 3 2" xfId="8024"/>
    <cellStyle name="20% - Accent3 12 7 4" xfId="8025"/>
    <cellStyle name="20% - Accent3 12 8" xfId="8026"/>
    <cellStyle name="20% - Accent3 12 8 2" xfId="8027"/>
    <cellStyle name="20% - Accent3 12 8 2 2" xfId="8028"/>
    <cellStyle name="20% - Accent3 12 8 3" xfId="8029"/>
    <cellStyle name="20% - Accent3 12 9" xfId="8030"/>
    <cellStyle name="20% - Accent3 12 9 2" xfId="8031"/>
    <cellStyle name="20% - Accent3 13" xfId="8032"/>
    <cellStyle name="20% - Accent3 13 10" xfId="8033"/>
    <cellStyle name="20% - Accent3 13 2" xfId="8034"/>
    <cellStyle name="20% - Accent3 13 2 2" xfId="8035"/>
    <cellStyle name="20% - Accent3 13 2 2 2" xfId="8036"/>
    <cellStyle name="20% - Accent3 13 2 2 2 2" xfId="8037"/>
    <cellStyle name="20% - Accent3 13 2 2 2 2 2" xfId="8038"/>
    <cellStyle name="20% - Accent3 13 2 2 2 3" xfId="8039"/>
    <cellStyle name="20% - Accent3 13 2 2 3" xfId="8040"/>
    <cellStyle name="20% - Accent3 13 2 2 3 2" xfId="8041"/>
    <cellStyle name="20% - Accent3 13 2 2 4" xfId="8042"/>
    <cellStyle name="20% - Accent3 13 2 3" xfId="8043"/>
    <cellStyle name="20% - Accent3 13 2 3 2" xfId="8044"/>
    <cellStyle name="20% - Accent3 13 2 3 2 2" xfId="8045"/>
    <cellStyle name="20% - Accent3 13 2 3 3" xfId="8046"/>
    <cellStyle name="20% - Accent3 13 2 4" xfId="8047"/>
    <cellStyle name="20% - Accent3 13 2 4 2" xfId="8048"/>
    <cellStyle name="20% - Accent3 13 2 5" xfId="8049"/>
    <cellStyle name="20% - Accent3 13 3" xfId="8050"/>
    <cellStyle name="20% - Accent3 13 3 2" xfId="8051"/>
    <cellStyle name="20% - Accent3 13 3 2 2" xfId="8052"/>
    <cellStyle name="20% - Accent3 13 3 2 2 2" xfId="8053"/>
    <cellStyle name="20% - Accent3 13 3 2 2 2 2" xfId="8054"/>
    <cellStyle name="20% - Accent3 13 3 2 2 3" xfId="8055"/>
    <cellStyle name="20% - Accent3 13 3 2 3" xfId="8056"/>
    <cellStyle name="20% - Accent3 13 3 2 3 2" xfId="8057"/>
    <cellStyle name="20% - Accent3 13 3 2 4" xfId="8058"/>
    <cellStyle name="20% - Accent3 13 3 3" xfId="8059"/>
    <cellStyle name="20% - Accent3 13 3 3 2" xfId="8060"/>
    <cellStyle name="20% - Accent3 13 3 3 2 2" xfId="8061"/>
    <cellStyle name="20% - Accent3 13 3 3 3" xfId="8062"/>
    <cellStyle name="20% - Accent3 13 3 4" xfId="8063"/>
    <cellStyle name="20% - Accent3 13 3 4 2" xfId="8064"/>
    <cellStyle name="20% - Accent3 13 3 5" xfId="8065"/>
    <cellStyle name="20% - Accent3 13 4" xfId="8066"/>
    <cellStyle name="20% - Accent3 13 4 2" xfId="8067"/>
    <cellStyle name="20% - Accent3 13 4 2 2" xfId="8068"/>
    <cellStyle name="20% - Accent3 13 4 2 2 2" xfId="8069"/>
    <cellStyle name="20% - Accent3 13 4 2 2 2 2" xfId="8070"/>
    <cellStyle name="20% - Accent3 13 4 2 2 3" xfId="8071"/>
    <cellStyle name="20% - Accent3 13 4 2 3" xfId="8072"/>
    <cellStyle name="20% - Accent3 13 4 2 3 2" xfId="8073"/>
    <cellStyle name="20% - Accent3 13 4 2 4" xfId="8074"/>
    <cellStyle name="20% - Accent3 13 4 3" xfId="8075"/>
    <cellStyle name="20% - Accent3 13 4 3 2" xfId="8076"/>
    <cellStyle name="20% - Accent3 13 4 3 2 2" xfId="8077"/>
    <cellStyle name="20% - Accent3 13 4 3 3" xfId="8078"/>
    <cellStyle name="20% - Accent3 13 4 4" xfId="8079"/>
    <cellStyle name="20% - Accent3 13 4 4 2" xfId="8080"/>
    <cellStyle name="20% - Accent3 13 4 5" xfId="8081"/>
    <cellStyle name="20% - Accent3 13 5" xfId="8082"/>
    <cellStyle name="20% - Accent3 13 5 2" xfId="8083"/>
    <cellStyle name="20% - Accent3 13 5 2 2" xfId="8084"/>
    <cellStyle name="20% - Accent3 13 5 2 2 2" xfId="8085"/>
    <cellStyle name="20% - Accent3 13 5 2 2 2 2" xfId="8086"/>
    <cellStyle name="20% - Accent3 13 5 2 2 3" xfId="8087"/>
    <cellStyle name="20% - Accent3 13 5 2 3" xfId="8088"/>
    <cellStyle name="20% - Accent3 13 5 2 3 2" xfId="8089"/>
    <cellStyle name="20% - Accent3 13 5 2 4" xfId="8090"/>
    <cellStyle name="20% - Accent3 13 5 3" xfId="8091"/>
    <cellStyle name="20% - Accent3 13 5 3 2" xfId="8092"/>
    <cellStyle name="20% - Accent3 13 5 3 2 2" xfId="8093"/>
    <cellStyle name="20% - Accent3 13 5 3 3" xfId="8094"/>
    <cellStyle name="20% - Accent3 13 5 4" xfId="8095"/>
    <cellStyle name="20% - Accent3 13 5 4 2" xfId="8096"/>
    <cellStyle name="20% - Accent3 13 5 5" xfId="8097"/>
    <cellStyle name="20% - Accent3 13 6" xfId="8098"/>
    <cellStyle name="20% - Accent3 13 6 2" xfId="8099"/>
    <cellStyle name="20% - Accent3 13 6 2 2" xfId="8100"/>
    <cellStyle name="20% - Accent3 13 6 2 2 2" xfId="8101"/>
    <cellStyle name="20% - Accent3 13 6 2 2 2 2" xfId="8102"/>
    <cellStyle name="20% - Accent3 13 6 2 2 3" xfId="8103"/>
    <cellStyle name="20% - Accent3 13 6 2 3" xfId="8104"/>
    <cellStyle name="20% - Accent3 13 6 2 3 2" xfId="8105"/>
    <cellStyle name="20% - Accent3 13 6 2 4" xfId="8106"/>
    <cellStyle name="20% - Accent3 13 6 3" xfId="8107"/>
    <cellStyle name="20% - Accent3 13 6 3 2" xfId="8108"/>
    <cellStyle name="20% - Accent3 13 6 3 2 2" xfId="8109"/>
    <cellStyle name="20% - Accent3 13 6 3 3" xfId="8110"/>
    <cellStyle name="20% - Accent3 13 6 4" xfId="8111"/>
    <cellStyle name="20% - Accent3 13 6 4 2" xfId="8112"/>
    <cellStyle name="20% - Accent3 13 6 5" xfId="8113"/>
    <cellStyle name="20% - Accent3 13 7" xfId="8114"/>
    <cellStyle name="20% - Accent3 13 7 2" xfId="8115"/>
    <cellStyle name="20% - Accent3 13 7 2 2" xfId="8116"/>
    <cellStyle name="20% - Accent3 13 7 2 2 2" xfId="8117"/>
    <cellStyle name="20% - Accent3 13 7 2 3" xfId="8118"/>
    <cellStyle name="20% - Accent3 13 7 3" xfId="8119"/>
    <cellStyle name="20% - Accent3 13 7 3 2" xfId="8120"/>
    <cellStyle name="20% - Accent3 13 7 4" xfId="8121"/>
    <cellStyle name="20% - Accent3 13 8" xfId="8122"/>
    <cellStyle name="20% - Accent3 13 8 2" xfId="8123"/>
    <cellStyle name="20% - Accent3 13 8 2 2" xfId="8124"/>
    <cellStyle name="20% - Accent3 13 8 3" xfId="8125"/>
    <cellStyle name="20% - Accent3 13 9" xfId="8126"/>
    <cellStyle name="20% - Accent3 13 9 2" xfId="8127"/>
    <cellStyle name="20% - Accent3 14" xfId="8128"/>
    <cellStyle name="20% - Accent3 14 2" xfId="8129"/>
    <cellStyle name="20% - Accent3 14 2 2" xfId="8130"/>
    <cellStyle name="20% - Accent3 14 2 2 2" xfId="8131"/>
    <cellStyle name="20% - Accent3 14 2 2 2 2" xfId="8132"/>
    <cellStyle name="20% - Accent3 14 2 2 3" xfId="8133"/>
    <cellStyle name="20% - Accent3 14 2 3" xfId="8134"/>
    <cellStyle name="20% - Accent3 14 2 3 2" xfId="8135"/>
    <cellStyle name="20% - Accent3 14 2 4" xfId="8136"/>
    <cellStyle name="20% - Accent3 14 3" xfId="8137"/>
    <cellStyle name="20% - Accent3 14 3 2" xfId="8138"/>
    <cellStyle name="20% - Accent3 14 3 2 2" xfId="8139"/>
    <cellStyle name="20% - Accent3 14 3 3" xfId="8140"/>
    <cellStyle name="20% - Accent3 14 4" xfId="8141"/>
    <cellStyle name="20% - Accent3 14 4 2" xfId="8142"/>
    <cellStyle name="20% - Accent3 14 5" xfId="8143"/>
    <cellStyle name="20% - Accent3 15" xfId="8144"/>
    <cellStyle name="20% - Accent3 15 2" xfId="8145"/>
    <cellStyle name="20% - Accent3 15 2 2" xfId="8146"/>
    <cellStyle name="20% - Accent3 15 2 2 2" xfId="8147"/>
    <cellStyle name="20% - Accent3 15 2 2 2 2" xfId="8148"/>
    <cellStyle name="20% - Accent3 15 2 2 3" xfId="8149"/>
    <cellStyle name="20% - Accent3 15 2 3" xfId="8150"/>
    <cellStyle name="20% - Accent3 15 2 3 2" xfId="8151"/>
    <cellStyle name="20% - Accent3 15 2 4" xfId="8152"/>
    <cellStyle name="20% - Accent3 15 3" xfId="8153"/>
    <cellStyle name="20% - Accent3 15 3 2" xfId="8154"/>
    <cellStyle name="20% - Accent3 15 3 2 2" xfId="8155"/>
    <cellStyle name="20% - Accent3 15 3 3" xfId="8156"/>
    <cellStyle name="20% - Accent3 15 4" xfId="8157"/>
    <cellStyle name="20% - Accent3 15 4 2" xfId="8158"/>
    <cellStyle name="20% - Accent3 15 5" xfId="8159"/>
    <cellStyle name="20% - Accent3 16" xfId="8160"/>
    <cellStyle name="20% - Accent3 16 2" xfId="8161"/>
    <cellStyle name="20% - Accent3 16 2 2" xfId="8162"/>
    <cellStyle name="20% - Accent3 16 2 2 2" xfId="8163"/>
    <cellStyle name="20% - Accent3 16 2 2 2 2" xfId="8164"/>
    <cellStyle name="20% - Accent3 16 2 2 3" xfId="8165"/>
    <cellStyle name="20% - Accent3 16 2 3" xfId="8166"/>
    <cellStyle name="20% - Accent3 16 2 3 2" xfId="8167"/>
    <cellStyle name="20% - Accent3 16 2 4" xfId="8168"/>
    <cellStyle name="20% - Accent3 16 3" xfId="8169"/>
    <cellStyle name="20% - Accent3 16 3 2" xfId="8170"/>
    <cellStyle name="20% - Accent3 16 3 2 2" xfId="8171"/>
    <cellStyle name="20% - Accent3 16 3 3" xfId="8172"/>
    <cellStyle name="20% - Accent3 16 4" xfId="8173"/>
    <cellStyle name="20% - Accent3 16 4 2" xfId="8174"/>
    <cellStyle name="20% - Accent3 16 5" xfId="8175"/>
    <cellStyle name="20% - Accent3 17" xfId="8176"/>
    <cellStyle name="20% - Accent3 17 2" xfId="8177"/>
    <cellStyle name="20% - Accent3 17 2 2" xfId="8178"/>
    <cellStyle name="20% - Accent3 17 2 2 2" xfId="8179"/>
    <cellStyle name="20% - Accent3 17 2 2 2 2" xfId="8180"/>
    <cellStyle name="20% - Accent3 17 2 2 3" xfId="8181"/>
    <cellStyle name="20% - Accent3 17 2 3" xfId="8182"/>
    <cellStyle name="20% - Accent3 17 2 3 2" xfId="8183"/>
    <cellStyle name="20% - Accent3 17 2 4" xfId="8184"/>
    <cellStyle name="20% - Accent3 17 3" xfId="8185"/>
    <cellStyle name="20% - Accent3 17 3 2" xfId="8186"/>
    <cellStyle name="20% - Accent3 17 3 2 2" xfId="8187"/>
    <cellStyle name="20% - Accent3 17 3 3" xfId="8188"/>
    <cellStyle name="20% - Accent3 17 4" xfId="8189"/>
    <cellStyle name="20% - Accent3 17 4 2" xfId="8190"/>
    <cellStyle name="20% - Accent3 17 5" xfId="8191"/>
    <cellStyle name="20% - Accent3 18" xfId="8192"/>
    <cellStyle name="20% - Accent3 18 2" xfId="8193"/>
    <cellStyle name="20% - Accent3 18 2 2" xfId="8194"/>
    <cellStyle name="20% - Accent3 18 2 2 2" xfId="8195"/>
    <cellStyle name="20% - Accent3 18 2 2 2 2" xfId="8196"/>
    <cellStyle name="20% - Accent3 18 2 2 3" xfId="8197"/>
    <cellStyle name="20% - Accent3 18 2 3" xfId="8198"/>
    <cellStyle name="20% - Accent3 18 2 3 2" xfId="8199"/>
    <cellStyle name="20% - Accent3 18 2 4" xfId="8200"/>
    <cellStyle name="20% - Accent3 18 3" xfId="8201"/>
    <cellStyle name="20% - Accent3 18 3 2" xfId="8202"/>
    <cellStyle name="20% - Accent3 18 3 2 2" xfId="8203"/>
    <cellStyle name="20% - Accent3 18 3 3" xfId="8204"/>
    <cellStyle name="20% - Accent3 18 4" xfId="8205"/>
    <cellStyle name="20% - Accent3 18 4 2" xfId="8206"/>
    <cellStyle name="20% - Accent3 18 5" xfId="8207"/>
    <cellStyle name="20% - Accent3 19" xfId="8208"/>
    <cellStyle name="20% - Accent3 19 2" xfId="8209"/>
    <cellStyle name="20% - Accent3 19 2 2" xfId="8210"/>
    <cellStyle name="20% - Accent3 19 2 2 2" xfId="8211"/>
    <cellStyle name="20% - Accent3 19 2 2 2 2" xfId="8212"/>
    <cellStyle name="20% - Accent3 19 2 2 3" xfId="8213"/>
    <cellStyle name="20% - Accent3 19 2 3" xfId="8214"/>
    <cellStyle name="20% - Accent3 19 2 3 2" xfId="8215"/>
    <cellStyle name="20% - Accent3 19 2 4" xfId="8216"/>
    <cellStyle name="20% - Accent3 19 3" xfId="8217"/>
    <cellStyle name="20% - Accent3 19 3 2" xfId="8218"/>
    <cellStyle name="20% - Accent3 19 3 2 2" xfId="8219"/>
    <cellStyle name="20% - Accent3 19 3 3" xfId="8220"/>
    <cellStyle name="20% - Accent3 19 4" xfId="8221"/>
    <cellStyle name="20% - Accent3 19 4 2" xfId="8222"/>
    <cellStyle name="20% - Accent3 19 5" xfId="8223"/>
    <cellStyle name="20% - Accent3 2" xfId="8224"/>
    <cellStyle name="20% - Accent3 2 10" xfId="8225"/>
    <cellStyle name="20% - Accent3 2 10 10" xfId="8226"/>
    <cellStyle name="20% - Accent3 2 10 2" xfId="8227"/>
    <cellStyle name="20% - Accent3 2 10 2 2" xfId="8228"/>
    <cellStyle name="20% - Accent3 2 10 2 2 2" xfId="8229"/>
    <cellStyle name="20% - Accent3 2 10 2 2 2 2" xfId="8230"/>
    <cellStyle name="20% - Accent3 2 10 2 2 2 2 2" xfId="8231"/>
    <cellStyle name="20% - Accent3 2 10 2 2 2 3" xfId="8232"/>
    <cellStyle name="20% - Accent3 2 10 2 2 3" xfId="8233"/>
    <cellStyle name="20% - Accent3 2 10 2 2 3 2" xfId="8234"/>
    <cellStyle name="20% - Accent3 2 10 2 2 4" xfId="8235"/>
    <cellStyle name="20% - Accent3 2 10 2 3" xfId="8236"/>
    <cellStyle name="20% - Accent3 2 10 2 3 2" xfId="8237"/>
    <cellStyle name="20% - Accent3 2 10 2 3 2 2" xfId="8238"/>
    <cellStyle name="20% - Accent3 2 10 2 3 3" xfId="8239"/>
    <cellStyle name="20% - Accent3 2 10 2 4" xfId="8240"/>
    <cellStyle name="20% - Accent3 2 10 2 4 2" xfId="8241"/>
    <cellStyle name="20% - Accent3 2 10 2 5" xfId="8242"/>
    <cellStyle name="20% - Accent3 2 10 3" xfId="8243"/>
    <cellStyle name="20% - Accent3 2 10 3 2" xfId="8244"/>
    <cellStyle name="20% - Accent3 2 10 3 2 2" xfId="8245"/>
    <cellStyle name="20% - Accent3 2 10 3 2 2 2" xfId="8246"/>
    <cellStyle name="20% - Accent3 2 10 3 2 2 2 2" xfId="8247"/>
    <cellStyle name="20% - Accent3 2 10 3 2 2 3" xfId="8248"/>
    <cellStyle name="20% - Accent3 2 10 3 2 3" xfId="8249"/>
    <cellStyle name="20% - Accent3 2 10 3 2 3 2" xfId="8250"/>
    <cellStyle name="20% - Accent3 2 10 3 2 4" xfId="8251"/>
    <cellStyle name="20% - Accent3 2 10 3 3" xfId="8252"/>
    <cellStyle name="20% - Accent3 2 10 3 3 2" xfId="8253"/>
    <cellStyle name="20% - Accent3 2 10 3 3 2 2" xfId="8254"/>
    <cellStyle name="20% - Accent3 2 10 3 3 3" xfId="8255"/>
    <cellStyle name="20% - Accent3 2 10 3 4" xfId="8256"/>
    <cellStyle name="20% - Accent3 2 10 3 4 2" xfId="8257"/>
    <cellStyle name="20% - Accent3 2 10 3 5" xfId="8258"/>
    <cellStyle name="20% - Accent3 2 10 4" xfId="8259"/>
    <cellStyle name="20% - Accent3 2 10 4 2" xfId="8260"/>
    <cellStyle name="20% - Accent3 2 10 4 2 2" xfId="8261"/>
    <cellStyle name="20% - Accent3 2 10 4 2 2 2" xfId="8262"/>
    <cellStyle name="20% - Accent3 2 10 4 2 2 2 2" xfId="8263"/>
    <cellStyle name="20% - Accent3 2 10 4 2 2 3" xfId="8264"/>
    <cellStyle name="20% - Accent3 2 10 4 2 3" xfId="8265"/>
    <cellStyle name="20% - Accent3 2 10 4 2 3 2" xfId="8266"/>
    <cellStyle name="20% - Accent3 2 10 4 2 4" xfId="8267"/>
    <cellStyle name="20% - Accent3 2 10 4 3" xfId="8268"/>
    <cellStyle name="20% - Accent3 2 10 4 3 2" xfId="8269"/>
    <cellStyle name="20% - Accent3 2 10 4 3 2 2" xfId="8270"/>
    <cellStyle name="20% - Accent3 2 10 4 3 3" xfId="8271"/>
    <cellStyle name="20% - Accent3 2 10 4 4" xfId="8272"/>
    <cellStyle name="20% - Accent3 2 10 4 4 2" xfId="8273"/>
    <cellStyle name="20% - Accent3 2 10 4 5" xfId="8274"/>
    <cellStyle name="20% - Accent3 2 10 5" xfId="8275"/>
    <cellStyle name="20% - Accent3 2 10 5 2" xfId="8276"/>
    <cellStyle name="20% - Accent3 2 10 5 2 2" xfId="8277"/>
    <cellStyle name="20% - Accent3 2 10 5 2 2 2" xfId="8278"/>
    <cellStyle name="20% - Accent3 2 10 5 2 2 2 2" xfId="8279"/>
    <cellStyle name="20% - Accent3 2 10 5 2 2 3" xfId="8280"/>
    <cellStyle name="20% - Accent3 2 10 5 2 3" xfId="8281"/>
    <cellStyle name="20% - Accent3 2 10 5 2 3 2" xfId="8282"/>
    <cellStyle name="20% - Accent3 2 10 5 2 4" xfId="8283"/>
    <cellStyle name="20% - Accent3 2 10 5 3" xfId="8284"/>
    <cellStyle name="20% - Accent3 2 10 5 3 2" xfId="8285"/>
    <cellStyle name="20% - Accent3 2 10 5 3 2 2" xfId="8286"/>
    <cellStyle name="20% - Accent3 2 10 5 3 3" xfId="8287"/>
    <cellStyle name="20% - Accent3 2 10 5 4" xfId="8288"/>
    <cellStyle name="20% - Accent3 2 10 5 4 2" xfId="8289"/>
    <cellStyle name="20% - Accent3 2 10 5 5" xfId="8290"/>
    <cellStyle name="20% - Accent3 2 10 6" xfId="8291"/>
    <cellStyle name="20% - Accent3 2 10 6 2" xfId="8292"/>
    <cellStyle name="20% - Accent3 2 10 6 2 2" xfId="8293"/>
    <cellStyle name="20% - Accent3 2 10 6 2 2 2" xfId="8294"/>
    <cellStyle name="20% - Accent3 2 10 6 2 2 2 2" xfId="8295"/>
    <cellStyle name="20% - Accent3 2 10 6 2 2 3" xfId="8296"/>
    <cellStyle name="20% - Accent3 2 10 6 2 3" xfId="8297"/>
    <cellStyle name="20% - Accent3 2 10 6 2 3 2" xfId="8298"/>
    <cellStyle name="20% - Accent3 2 10 6 2 4" xfId="8299"/>
    <cellStyle name="20% - Accent3 2 10 6 3" xfId="8300"/>
    <cellStyle name="20% - Accent3 2 10 6 3 2" xfId="8301"/>
    <cellStyle name="20% - Accent3 2 10 6 3 2 2" xfId="8302"/>
    <cellStyle name="20% - Accent3 2 10 6 3 3" xfId="8303"/>
    <cellStyle name="20% - Accent3 2 10 6 4" xfId="8304"/>
    <cellStyle name="20% - Accent3 2 10 6 4 2" xfId="8305"/>
    <cellStyle name="20% - Accent3 2 10 6 5" xfId="8306"/>
    <cellStyle name="20% - Accent3 2 10 7" xfId="8307"/>
    <cellStyle name="20% - Accent3 2 10 7 2" xfId="8308"/>
    <cellStyle name="20% - Accent3 2 10 7 2 2" xfId="8309"/>
    <cellStyle name="20% - Accent3 2 10 7 2 2 2" xfId="8310"/>
    <cellStyle name="20% - Accent3 2 10 7 2 3" xfId="8311"/>
    <cellStyle name="20% - Accent3 2 10 7 3" xfId="8312"/>
    <cellStyle name="20% - Accent3 2 10 7 3 2" xfId="8313"/>
    <cellStyle name="20% - Accent3 2 10 7 4" xfId="8314"/>
    <cellStyle name="20% - Accent3 2 10 8" xfId="8315"/>
    <cellStyle name="20% - Accent3 2 10 8 2" xfId="8316"/>
    <cellStyle name="20% - Accent3 2 10 8 2 2" xfId="8317"/>
    <cellStyle name="20% - Accent3 2 10 8 3" xfId="8318"/>
    <cellStyle name="20% - Accent3 2 10 9" xfId="8319"/>
    <cellStyle name="20% - Accent3 2 10 9 2" xfId="8320"/>
    <cellStyle name="20% - Accent3 2 11" xfId="8321"/>
    <cellStyle name="20% - Accent3 2 11 2" xfId="8322"/>
    <cellStyle name="20% - Accent3 2 11 2 2" xfId="8323"/>
    <cellStyle name="20% - Accent3 2 11 2 2 2" xfId="8324"/>
    <cellStyle name="20% - Accent3 2 11 2 2 2 2" xfId="8325"/>
    <cellStyle name="20% - Accent3 2 11 2 2 3" xfId="8326"/>
    <cellStyle name="20% - Accent3 2 11 2 3" xfId="8327"/>
    <cellStyle name="20% - Accent3 2 11 2 3 2" xfId="8328"/>
    <cellStyle name="20% - Accent3 2 11 2 4" xfId="8329"/>
    <cellStyle name="20% - Accent3 2 11 3" xfId="8330"/>
    <cellStyle name="20% - Accent3 2 11 3 2" xfId="8331"/>
    <cellStyle name="20% - Accent3 2 11 3 2 2" xfId="8332"/>
    <cellStyle name="20% - Accent3 2 11 3 3" xfId="8333"/>
    <cellStyle name="20% - Accent3 2 11 4" xfId="8334"/>
    <cellStyle name="20% - Accent3 2 11 4 2" xfId="8335"/>
    <cellStyle name="20% - Accent3 2 11 5" xfId="8336"/>
    <cellStyle name="20% - Accent3 2 12" xfId="8337"/>
    <cellStyle name="20% - Accent3 2 12 2" xfId="8338"/>
    <cellStyle name="20% - Accent3 2 12 2 2" xfId="8339"/>
    <cellStyle name="20% - Accent3 2 12 2 2 2" xfId="8340"/>
    <cellStyle name="20% - Accent3 2 12 2 2 2 2" xfId="8341"/>
    <cellStyle name="20% - Accent3 2 12 2 2 3" xfId="8342"/>
    <cellStyle name="20% - Accent3 2 12 2 3" xfId="8343"/>
    <cellStyle name="20% - Accent3 2 12 2 3 2" xfId="8344"/>
    <cellStyle name="20% - Accent3 2 12 2 4" xfId="8345"/>
    <cellStyle name="20% - Accent3 2 12 3" xfId="8346"/>
    <cellStyle name="20% - Accent3 2 12 3 2" xfId="8347"/>
    <cellStyle name="20% - Accent3 2 12 3 2 2" xfId="8348"/>
    <cellStyle name="20% - Accent3 2 12 3 3" xfId="8349"/>
    <cellStyle name="20% - Accent3 2 12 4" xfId="8350"/>
    <cellStyle name="20% - Accent3 2 12 4 2" xfId="8351"/>
    <cellStyle name="20% - Accent3 2 12 5" xfId="8352"/>
    <cellStyle name="20% - Accent3 2 13" xfId="8353"/>
    <cellStyle name="20% - Accent3 2 13 2" xfId="8354"/>
    <cellStyle name="20% - Accent3 2 13 2 2" xfId="8355"/>
    <cellStyle name="20% - Accent3 2 13 2 2 2" xfId="8356"/>
    <cellStyle name="20% - Accent3 2 13 2 2 2 2" xfId="8357"/>
    <cellStyle name="20% - Accent3 2 13 2 2 3" xfId="8358"/>
    <cellStyle name="20% - Accent3 2 13 2 3" xfId="8359"/>
    <cellStyle name="20% - Accent3 2 13 2 3 2" xfId="8360"/>
    <cellStyle name="20% - Accent3 2 13 2 4" xfId="8361"/>
    <cellStyle name="20% - Accent3 2 13 3" xfId="8362"/>
    <cellStyle name="20% - Accent3 2 13 3 2" xfId="8363"/>
    <cellStyle name="20% - Accent3 2 13 3 2 2" xfId="8364"/>
    <cellStyle name="20% - Accent3 2 13 3 3" xfId="8365"/>
    <cellStyle name="20% - Accent3 2 13 4" xfId="8366"/>
    <cellStyle name="20% - Accent3 2 13 4 2" xfId="8367"/>
    <cellStyle name="20% - Accent3 2 13 5" xfId="8368"/>
    <cellStyle name="20% - Accent3 2 14" xfId="8369"/>
    <cellStyle name="20% - Accent3 2 14 2" xfId="8370"/>
    <cellStyle name="20% - Accent3 2 14 2 2" xfId="8371"/>
    <cellStyle name="20% - Accent3 2 14 2 2 2" xfId="8372"/>
    <cellStyle name="20% - Accent3 2 14 2 2 2 2" xfId="8373"/>
    <cellStyle name="20% - Accent3 2 14 2 2 3" xfId="8374"/>
    <cellStyle name="20% - Accent3 2 14 2 3" xfId="8375"/>
    <cellStyle name="20% - Accent3 2 14 2 3 2" xfId="8376"/>
    <cellStyle name="20% - Accent3 2 14 2 4" xfId="8377"/>
    <cellStyle name="20% - Accent3 2 14 3" xfId="8378"/>
    <cellStyle name="20% - Accent3 2 14 3 2" xfId="8379"/>
    <cellStyle name="20% - Accent3 2 14 3 2 2" xfId="8380"/>
    <cellStyle name="20% - Accent3 2 14 3 3" xfId="8381"/>
    <cellStyle name="20% - Accent3 2 14 4" xfId="8382"/>
    <cellStyle name="20% - Accent3 2 14 4 2" xfId="8383"/>
    <cellStyle name="20% - Accent3 2 14 5" xfId="8384"/>
    <cellStyle name="20% - Accent3 2 15" xfId="8385"/>
    <cellStyle name="20% - Accent3 2 15 2" xfId="8386"/>
    <cellStyle name="20% - Accent3 2 15 2 2" xfId="8387"/>
    <cellStyle name="20% - Accent3 2 15 2 2 2" xfId="8388"/>
    <cellStyle name="20% - Accent3 2 15 2 2 2 2" xfId="8389"/>
    <cellStyle name="20% - Accent3 2 15 2 2 3" xfId="8390"/>
    <cellStyle name="20% - Accent3 2 15 2 3" xfId="8391"/>
    <cellStyle name="20% - Accent3 2 15 2 3 2" xfId="8392"/>
    <cellStyle name="20% - Accent3 2 15 2 4" xfId="8393"/>
    <cellStyle name="20% - Accent3 2 15 3" xfId="8394"/>
    <cellStyle name="20% - Accent3 2 15 3 2" xfId="8395"/>
    <cellStyle name="20% - Accent3 2 15 3 2 2" xfId="8396"/>
    <cellStyle name="20% - Accent3 2 15 3 3" xfId="8397"/>
    <cellStyle name="20% - Accent3 2 15 4" xfId="8398"/>
    <cellStyle name="20% - Accent3 2 15 4 2" xfId="8399"/>
    <cellStyle name="20% - Accent3 2 15 5" xfId="8400"/>
    <cellStyle name="20% - Accent3 2 16" xfId="8401"/>
    <cellStyle name="20% - Accent3 2 16 2" xfId="8402"/>
    <cellStyle name="20% - Accent3 2 16 2 2" xfId="8403"/>
    <cellStyle name="20% - Accent3 2 16 2 2 2" xfId="8404"/>
    <cellStyle name="20% - Accent3 2 16 2 3" xfId="8405"/>
    <cellStyle name="20% - Accent3 2 16 3" xfId="8406"/>
    <cellStyle name="20% - Accent3 2 16 3 2" xfId="8407"/>
    <cellStyle name="20% - Accent3 2 16 4" xfId="8408"/>
    <cellStyle name="20% - Accent3 2 17" xfId="8409"/>
    <cellStyle name="20% - Accent3 2 17 2" xfId="8410"/>
    <cellStyle name="20% - Accent3 2 17 2 2" xfId="8411"/>
    <cellStyle name="20% - Accent3 2 17 3" xfId="8412"/>
    <cellStyle name="20% - Accent3 2 18" xfId="8413"/>
    <cellStyle name="20% - Accent3 2 18 2" xfId="8414"/>
    <cellStyle name="20% - Accent3 2 19" xfId="8415"/>
    <cellStyle name="20% - Accent3 2 2" xfId="8416"/>
    <cellStyle name="20% - Accent3 2 2 10" xfId="8417"/>
    <cellStyle name="20% - Accent3 2 2 10 2" xfId="8418"/>
    <cellStyle name="20% - Accent3 2 2 11" xfId="8419"/>
    <cellStyle name="20% - Accent3 2 2 2" xfId="8420"/>
    <cellStyle name="20% - Accent3 2 2 2 10" xfId="8421"/>
    <cellStyle name="20% - Accent3 2 2 2 2" xfId="8422"/>
    <cellStyle name="20% - Accent3 2 2 2 2 2" xfId="8423"/>
    <cellStyle name="20% - Accent3 2 2 2 2 2 2" xfId="8424"/>
    <cellStyle name="20% - Accent3 2 2 2 2 2 2 2" xfId="8425"/>
    <cellStyle name="20% - Accent3 2 2 2 2 2 2 2 2" xfId="8426"/>
    <cellStyle name="20% - Accent3 2 2 2 2 2 2 3" xfId="8427"/>
    <cellStyle name="20% - Accent3 2 2 2 2 2 3" xfId="8428"/>
    <cellStyle name="20% - Accent3 2 2 2 2 2 3 2" xfId="8429"/>
    <cellStyle name="20% - Accent3 2 2 2 2 2 4" xfId="8430"/>
    <cellStyle name="20% - Accent3 2 2 2 2 3" xfId="8431"/>
    <cellStyle name="20% - Accent3 2 2 2 2 3 2" xfId="8432"/>
    <cellStyle name="20% - Accent3 2 2 2 2 3 2 2" xfId="8433"/>
    <cellStyle name="20% - Accent3 2 2 2 2 3 3" xfId="8434"/>
    <cellStyle name="20% - Accent3 2 2 2 2 4" xfId="8435"/>
    <cellStyle name="20% - Accent3 2 2 2 2 4 2" xfId="8436"/>
    <cellStyle name="20% - Accent3 2 2 2 2 5" xfId="8437"/>
    <cellStyle name="20% - Accent3 2 2 2 3" xfId="8438"/>
    <cellStyle name="20% - Accent3 2 2 2 3 2" xfId="8439"/>
    <cellStyle name="20% - Accent3 2 2 2 3 2 2" xfId="8440"/>
    <cellStyle name="20% - Accent3 2 2 2 3 2 2 2" xfId="8441"/>
    <cellStyle name="20% - Accent3 2 2 2 3 2 2 2 2" xfId="8442"/>
    <cellStyle name="20% - Accent3 2 2 2 3 2 2 3" xfId="8443"/>
    <cellStyle name="20% - Accent3 2 2 2 3 2 3" xfId="8444"/>
    <cellStyle name="20% - Accent3 2 2 2 3 2 3 2" xfId="8445"/>
    <cellStyle name="20% - Accent3 2 2 2 3 2 4" xfId="8446"/>
    <cellStyle name="20% - Accent3 2 2 2 3 3" xfId="8447"/>
    <cellStyle name="20% - Accent3 2 2 2 3 3 2" xfId="8448"/>
    <cellStyle name="20% - Accent3 2 2 2 3 3 2 2" xfId="8449"/>
    <cellStyle name="20% - Accent3 2 2 2 3 3 3" xfId="8450"/>
    <cellStyle name="20% - Accent3 2 2 2 3 4" xfId="8451"/>
    <cellStyle name="20% - Accent3 2 2 2 3 4 2" xfId="8452"/>
    <cellStyle name="20% - Accent3 2 2 2 3 5" xfId="8453"/>
    <cellStyle name="20% - Accent3 2 2 2 4" xfId="8454"/>
    <cellStyle name="20% - Accent3 2 2 2 4 2" xfId="8455"/>
    <cellStyle name="20% - Accent3 2 2 2 4 2 2" xfId="8456"/>
    <cellStyle name="20% - Accent3 2 2 2 4 2 2 2" xfId="8457"/>
    <cellStyle name="20% - Accent3 2 2 2 4 2 2 2 2" xfId="8458"/>
    <cellStyle name="20% - Accent3 2 2 2 4 2 2 3" xfId="8459"/>
    <cellStyle name="20% - Accent3 2 2 2 4 2 3" xfId="8460"/>
    <cellStyle name="20% - Accent3 2 2 2 4 2 3 2" xfId="8461"/>
    <cellStyle name="20% - Accent3 2 2 2 4 2 4" xfId="8462"/>
    <cellStyle name="20% - Accent3 2 2 2 4 3" xfId="8463"/>
    <cellStyle name="20% - Accent3 2 2 2 4 3 2" xfId="8464"/>
    <cellStyle name="20% - Accent3 2 2 2 4 3 2 2" xfId="8465"/>
    <cellStyle name="20% - Accent3 2 2 2 4 3 3" xfId="8466"/>
    <cellStyle name="20% - Accent3 2 2 2 4 4" xfId="8467"/>
    <cellStyle name="20% - Accent3 2 2 2 4 4 2" xfId="8468"/>
    <cellStyle name="20% - Accent3 2 2 2 4 5" xfId="8469"/>
    <cellStyle name="20% - Accent3 2 2 2 5" xfId="8470"/>
    <cellStyle name="20% - Accent3 2 2 2 5 2" xfId="8471"/>
    <cellStyle name="20% - Accent3 2 2 2 5 2 2" xfId="8472"/>
    <cellStyle name="20% - Accent3 2 2 2 5 2 2 2" xfId="8473"/>
    <cellStyle name="20% - Accent3 2 2 2 5 2 2 2 2" xfId="8474"/>
    <cellStyle name="20% - Accent3 2 2 2 5 2 2 3" xfId="8475"/>
    <cellStyle name="20% - Accent3 2 2 2 5 2 3" xfId="8476"/>
    <cellStyle name="20% - Accent3 2 2 2 5 2 3 2" xfId="8477"/>
    <cellStyle name="20% - Accent3 2 2 2 5 2 4" xfId="8478"/>
    <cellStyle name="20% - Accent3 2 2 2 5 3" xfId="8479"/>
    <cellStyle name="20% - Accent3 2 2 2 5 3 2" xfId="8480"/>
    <cellStyle name="20% - Accent3 2 2 2 5 3 2 2" xfId="8481"/>
    <cellStyle name="20% - Accent3 2 2 2 5 3 3" xfId="8482"/>
    <cellStyle name="20% - Accent3 2 2 2 5 4" xfId="8483"/>
    <cellStyle name="20% - Accent3 2 2 2 5 4 2" xfId="8484"/>
    <cellStyle name="20% - Accent3 2 2 2 5 5" xfId="8485"/>
    <cellStyle name="20% - Accent3 2 2 2 6" xfId="8486"/>
    <cellStyle name="20% - Accent3 2 2 2 6 2" xfId="8487"/>
    <cellStyle name="20% - Accent3 2 2 2 6 2 2" xfId="8488"/>
    <cellStyle name="20% - Accent3 2 2 2 6 2 2 2" xfId="8489"/>
    <cellStyle name="20% - Accent3 2 2 2 6 2 2 2 2" xfId="8490"/>
    <cellStyle name="20% - Accent3 2 2 2 6 2 2 3" xfId="8491"/>
    <cellStyle name="20% - Accent3 2 2 2 6 2 3" xfId="8492"/>
    <cellStyle name="20% - Accent3 2 2 2 6 2 3 2" xfId="8493"/>
    <cellStyle name="20% - Accent3 2 2 2 6 2 4" xfId="8494"/>
    <cellStyle name="20% - Accent3 2 2 2 6 3" xfId="8495"/>
    <cellStyle name="20% - Accent3 2 2 2 6 3 2" xfId="8496"/>
    <cellStyle name="20% - Accent3 2 2 2 6 3 2 2" xfId="8497"/>
    <cellStyle name="20% - Accent3 2 2 2 6 3 3" xfId="8498"/>
    <cellStyle name="20% - Accent3 2 2 2 6 4" xfId="8499"/>
    <cellStyle name="20% - Accent3 2 2 2 6 4 2" xfId="8500"/>
    <cellStyle name="20% - Accent3 2 2 2 6 5" xfId="8501"/>
    <cellStyle name="20% - Accent3 2 2 2 7" xfId="8502"/>
    <cellStyle name="20% - Accent3 2 2 2 7 2" xfId="8503"/>
    <cellStyle name="20% - Accent3 2 2 2 7 2 2" xfId="8504"/>
    <cellStyle name="20% - Accent3 2 2 2 7 2 2 2" xfId="8505"/>
    <cellStyle name="20% - Accent3 2 2 2 7 2 3" xfId="8506"/>
    <cellStyle name="20% - Accent3 2 2 2 7 3" xfId="8507"/>
    <cellStyle name="20% - Accent3 2 2 2 7 3 2" xfId="8508"/>
    <cellStyle name="20% - Accent3 2 2 2 7 4" xfId="8509"/>
    <cellStyle name="20% - Accent3 2 2 2 8" xfId="8510"/>
    <cellStyle name="20% - Accent3 2 2 2 8 2" xfId="8511"/>
    <cellStyle name="20% - Accent3 2 2 2 8 2 2" xfId="8512"/>
    <cellStyle name="20% - Accent3 2 2 2 8 3" xfId="8513"/>
    <cellStyle name="20% - Accent3 2 2 2 9" xfId="8514"/>
    <cellStyle name="20% - Accent3 2 2 2 9 2" xfId="8515"/>
    <cellStyle name="20% - Accent3 2 2 3" xfId="8516"/>
    <cellStyle name="20% - Accent3 2 2 3 2" xfId="8517"/>
    <cellStyle name="20% - Accent3 2 2 3 2 2" xfId="8518"/>
    <cellStyle name="20% - Accent3 2 2 3 2 2 2" xfId="8519"/>
    <cellStyle name="20% - Accent3 2 2 3 2 2 2 2" xfId="8520"/>
    <cellStyle name="20% - Accent3 2 2 3 2 2 3" xfId="8521"/>
    <cellStyle name="20% - Accent3 2 2 3 2 3" xfId="8522"/>
    <cellStyle name="20% - Accent3 2 2 3 2 3 2" xfId="8523"/>
    <cellStyle name="20% - Accent3 2 2 3 2 4" xfId="8524"/>
    <cellStyle name="20% - Accent3 2 2 3 3" xfId="8525"/>
    <cellStyle name="20% - Accent3 2 2 3 3 2" xfId="8526"/>
    <cellStyle name="20% - Accent3 2 2 3 3 2 2" xfId="8527"/>
    <cellStyle name="20% - Accent3 2 2 3 3 3" xfId="8528"/>
    <cellStyle name="20% - Accent3 2 2 3 4" xfId="8529"/>
    <cellStyle name="20% - Accent3 2 2 3 4 2" xfId="8530"/>
    <cellStyle name="20% - Accent3 2 2 3 5" xfId="8531"/>
    <cellStyle name="20% - Accent3 2 2 4" xfId="8532"/>
    <cellStyle name="20% - Accent3 2 2 4 2" xfId="8533"/>
    <cellStyle name="20% - Accent3 2 2 4 2 2" xfId="8534"/>
    <cellStyle name="20% - Accent3 2 2 4 2 2 2" xfId="8535"/>
    <cellStyle name="20% - Accent3 2 2 4 2 2 2 2" xfId="8536"/>
    <cellStyle name="20% - Accent3 2 2 4 2 2 3" xfId="8537"/>
    <cellStyle name="20% - Accent3 2 2 4 2 3" xfId="8538"/>
    <cellStyle name="20% - Accent3 2 2 4 2 3 2" xfId="8539"/>
    <cellStyle name="20% - Accent3 2 2 4 2 4" xfId="8540"/>
    <cellStyle name="20% - Accent3 2 2 4 3" xfId="8541"/>
    <cellStyle name="20% - Accent3 2 2 4 3 2" xfId="8542"/>
    <cellStyle name="20% - Accent3 2 2 4 3 2 2" xfId="8543"/>
    <cellStyle name="20% - Accent3 2 2 4 3 3" xfId="8544"/>
    <cellStyle name="20% - Accent3 2 2 4 4" xfId="8545"/>
    <cellStyle name="20% - Accent3 2 2 4 4 2" xfId="8546"/>
    <cellStyle name="20% - Accent3 2 2 4 5" xfId="8547"/>
    <cellStyle name="20% - Accent3 2 2 5" xfId="8548"/>
    <cellStyle name="20% - Accent3 2 2 5 2" xfId="8549"/>
    <cellStyle name="20% - Accent3 2 2 5 2 2" xfId="8550"/>
    <cellStyle name="20% - Accent3 2 2 5 2 2 2" xfId="8551"/>
    <cellStyle name="20% - Accent3 2 2 5 2 2 2 2" xfId="8552"/>
    <cellStyle name="20% - Accent3 2 2 5 2 2 3" xfId="8553"/>
    <cellStyle name="20% - Accent3 2 2 5 2 3" xfId="8554"/>
    <cellStyle name="20% - Accent3 2 2 5 2 3 2" xfId="8555"/>
    <cellStyle name="20% - Accent3 2 2 5 2 4" xfId="8556"/>
    <cellStyle name="20% - Accent3 2 2 5 3" xfId="8557"/>
    <cellStyle name="20% - Accent3 2 2 5 3 2" xfId="8558"/>
    <cellStyle name="20% - Accent3 2 2 5 3 2 2" xfId="8559"/>
    <cellStyle name="20% - Accent3 2 2 5 3 3" xfId="8560"/>
    <cellStyle name="20% - Accent3 2 2 5 4" xfId="8561"/>
    <cellStyle name="20% - Accent3 2 2 5 4 2" xfId="8562"/>
    <cellStyle name="20% - Accent3 2 2 5 5" xfId="8563"/>
    <cellStyle name="20% - Accent3 2 2 6" xfId="8564"/>
    <cellStyle name="20% - Accent3 2 2 6 2" xfId="8565"/>
    <cellStyle name="20% - Accent3 2 2 6 2 2" xfId="8566"/>
    <cellStyle name="20% - Accent3 2 2 6 2 2 2" xfId="8567"/>
    <cellStyle name="20% - Accent3 2 2 6 2 2 2 2" xfId="8568"/>
    <cellStyle name="20% - Accent3 2 2 6 2 2 3" xfId="8569"/>
    <cellStyle name="20% - Accent3 2 2 6 2 3" xfId="8570"/>
    <cellStyle name="20% - Accent3 2 2 6 2 3 2" xfId="8571"/>
    <cellStyle name="20% - Accent3 2 2 6 2 4" xfId="8572"/>
    <cellStyle name="20% - Accent3 2 2 6 3" xfId="8573"/>
    <cellStyle name="20% - Accent3 2 2 6 3 2" xfId="8574"/>
    <cellStyle name="20% - Accent3 2 2 6 3 2 2" xfId="8575"/>
    <cellStyle name="20% - Accent3 2 2 6 3 3" xfId="8576"/>
    <cellStyle name="20% - Accent3 2 2 6 4" xfId="8577"/>
    <cellStyle name="20% - Accent3 2 2 6 4 2" xfId="8578"/>
    <cellStyle name="20% - Accent3 2 2 6 5" xfId="8579"/>
    <cellStyle name="20% - Accent3 2 2 7" xfId="8580"/>
    <cellStyle name="20% - Accent3 2 2 7 2" xfId="8581"/>
    <cellStyle name="20% - Accent3 2 2 7 2 2" xfId="8582"/>
    <cellStyle name="20% - Accent3 2 2 7 2 2 2" xfId="8583"/>
    <cellStyle name="20% - Accent3 2 2 7 2 2 2 2" xfId="8584"/>
    <cellStyle name="20% - Accent3 2 2 7 2 2 3" xfId="8585"/>
    <cellStyle name="20% - Accent3 2 2 7 2 3" xfId="8586"/>
    <cellStyle name="20% - Accent3 2 2 7 2 3 2" xfId="8587"/>
    <cellStyle name="20% - Accent3 2 2 7 2 4" xfId="8588"/>
    <cellStyle name="20% - Accent3 2 2 7 3" xfId="8589"/>
    <cellStyle name="20% - Accent3 2 2 7 3 2" xfId="8590"/>
    <cellStyle name="20% - Accent3 2 2 7 3 2 2" xfId="8591"/>
    <cellStyle name="20% - Accent3 2 2 7 3 3" xfId="8592"/>
    <cellStyle name="20% - Accent3 2 2 7 4" xfId="8593"/>
    <cellStyle name="20% - Accent3 2 2 7 4 2" xfId="8594"/>
    <cellStyle name="20% - Accent3 2 2 7 5" xfId="8595"/>
    <cellStyle name="20% - Accent3 2 2 8" xfId="8596"/>
    <cellStyle name="20% - Accent3 2 2 8 2" xfId="8597"/>
    <cellStyle name="20% - Accent3 2 2 8 2 2" xfId="8598"/>
    <cellStyle name="20% - Accent3 2 2 8 2 2 2" xfId="8599"/>
    <cellStyle name="20% - Accent3 2 2 8 2 3" xfId="8600"/>
    <cellStyle name="20% - Accent3 2 2 8 3" xfId="8601"/>
    <cellStyle name="20% - Accent3 2 2 8 3 2" xfId="8602"/>
    <cellStyle name="20% - Accent3 2 2 8 4" xfId="8603"/>
    <cellStyle name="20% - Accent3 2 2 9" xfId="8604"/>
    <cellStyle name="20% - Accent3 2 2 9 2" xfId="8605"/>
    <cellStyle name="20% - Accent3 2 2 9 2 2" xfId="8606"/>
    <cellStyle name="20% - Accent3 2 2 9 3" xfId="8607"/>
    <cellStyle name="20% - Accent3 2 3" xfId="8608"/>
    <cellStyle name="20% - Accent3 2 3 10" xfId="8609"/>
    <cellStyle name="20% - Accent3 2 3 10 2" xfId="8610"/>
    <cellStyle name="20% - Accent3 2 3 11" xfId="8611"/>
    <cellStyle name="20% - Accent3 2 3 2" xfId="8612"/>
    <cellStyle name="20% - Accent3 2 3 2 10" xfId="8613"/>
    <cellStyle name="20% - Accent3 2 3 2 2" xfId="8614"/>
    <cellStyle name="20% - Accent3 2 3 2 2 2" xfId="8615"/>
    <cellStyle name="20% - Accent3 2 3 2 2 2 2" xfId="8616"/>
    <cellStyle name="20% - Accent3 2 3 2 2 2 2 2" xfId="8617"/>
    <cellStyle name="20% - Accent3 2 3 2 2 2 2 2 2" xfId="8618"/>
    <cellStyle name="20% - Accent3 2 3 2 2 2 2 3" xfId="8619"/>
    <cellStyle name="20% - Accent3 2 3 2 2 2 3" xfId="8620"/>
    <cellStyle name="20% - Accent3 2 3 2 2 2 3 2" xfId="8621"/>
    <cellStyle name="20% - Accent3 2 3 2 2 2 4" xfId="8622"/>
    <cellStyle name="20% - Accent3 2 3 2 2 3" xfId="8623"/>
    <cellStyle name="20% - Accent3 2 3 2 2 3 2" xfId="8624"/>
    <cellStyle name="20% - Accent3 2 3 2 2 3 2 2" xfId="8625"/>
    <cellStyle name="20% - Accent3 2 3 2 2 3 3" xfId="8626"/>
    <cellStyle name="20% - Accent3 2 3 2 2 4" xfId="8627"/>
    <cellStyle name="20% - Accent3 2 3 2 2 4 2" xfId="8628"/>
    <cellStyle name="20% - Accent3 2 3 2 2 5" xfId="8629"/>
    <cellStyle name="20% - Accent3 2 3 2 3" xfId="8630"/>
    <cellStyle name="20% - Accent3 2 3 2 3 2" xfId="8631"/>
    <cellStyle name="20% - Accent3 2 3 2 3 2 2" xfId="8632"/>
    <cellStyle name="20% - Accent3 2 3 2 3 2 2 2" xfId="8633"/>
    <cellStyle name="20% - Accent3 2 3 2 3 2 2 2 2" xfId="8634"/>
    <cellStyle name="20% - Accent3 2 3 2 3 2 2 3" xfId="8635"/>
    <cellStyle name="20% - Accent3 2 3 2 3 2 3" xfId="8636"/>
    <cellStyle name="20% - Accent3 2 3 2 3 2 3 2" xfId="8637"/>
    <cellStyle name="20% - Accent3 2 3 2 3 2 4" xfId="8638"/>
    <cellStyle name="20% - Accent3 2 3 2 3 3" xfId="8639"/>
    <cellStyle name="20% - Accent3 2 3 2 3 3 2" xfId="8640"/>
    <cellStyle name="20% - Accent3 2 3 2 3 3 2 2" xfId="8641"/>
    <cellStyle name="20% - Accent3 2 3 2 3 3 3" xfId="8642"/>
    <cellStyle name="20% - Accent3 2 3 2 3 4" xfId="8643"/>
    <cellStyle name="20% - Accent3 2 3 2 3 4 2" xfId="8644"/>
    <cellStyle name="20% - Accent3 2 3 2 3 5" xfId="8645"/>
    <cellStyle name="20% - Accent3 2 3 2 4" xfId="8646"/>
    <cellStyle name="20% - Accent3 2 3 2 4 2" xfId="8647"/>
    <cellStyle name="20% - Accent3 2 3 2 4 2 2" xfId="8648"/>
    <cellStyle name="20% - Accent3 2 3 2 4 2 2 2" xfId="8649"/>
    <cellStyle name="20% - Accent3 2 3 2 4 2 2 2 2" xfId="8650"/>
    <cellStyle name="20% - Accent3 2 3 2 4 2 2 3" xfId="8651"/>
    <cellStyle name="20% - Accent3 2 3 2 4 2 3" xfId="8652"/>
    <cellStyle name="20% - Accent3 2 3 2 4 2 3 2" xfId="8653"/>
    <cellStyle name="20% - Accent3 2 3 2 4 2 4" xfId="8654"/>
    <cellStyle name="20% - Accent3 2 3 2 4 3" xfId="8655"/>
    <cellStyle name="20% - Accent3 2 3 2 4 3 2" xfId="8656"/>
    <cellStyle name="20% - Accent3 2 3 2 4 3 2 2" xfId="8657"/>
    <cellStyle name="20% - Accent3 2 3 2 4 3 3" xfId="8658"/>
    <cellStyle name="20% - Accent3 2 3 2 4 4" xfId="8659"/>
    <cellStyle name="20% - Accent3 2 3 2 4 4 2" xfId="8660"/>
    <cellStyle name="20% - Accent3 2 3 2 4 5" xfId="8661"/>
    <cellStyle name="20% - Accent3 2 3 2 5" xfId="8662"/>
    <cellStyle name="20% - Accent3 2 3 2 5 2" xfId="8663"/>
    <cellStyle name="20% - Accent3 2 3 2 5 2 2" xfId="8664"/>
    <cellStyle name="20% - Accent3 2 3 2 5 2 2 2" xfId="8665"/>
    <cellStyle name="20% - Accent3 2 3 2 5 2 2 2 2" xfId="8666"/>
    <cellStyle name="20% - Accent3 2 3 2 5 2 2 3" xfId="8667"/>
    <cellStyle name="20% - Accent3 2 3 2 5 2 3" xfId="8668"/>
    <cellStyle name="20% - Accent3 2 3 2 5 2 3 2" xfId="8669"/>
    <cellStyle name="20% - Accent3 2 3 2 5 2 4" xfId="8670"/>
    <cellStyle name="20% - Accent3 2 3 2 5 3" xfId="8671"/>
    <cellStyle name="20% - Accent3 2 3 2 5 3 2" xfId="8672"/>
    <cellStyle name="20% - Accent3 2 3 2 5 3 2 2" xfId="8673"/>
    <cellStyle name="20% - Accent3 2 3 2 5 3 3" xfId="8674"/>
    <cellStyle name="20% - Accent3 2 3 2 5 4" xfId="8675"/>
    <cellStyle name="20% - Accent3 2 3 2 5 4 2" xfId="8676"/>
    <cellStyle name="20% - Accent3 2 3 2 5 5" xfId="8677"/>
    <cellStyle name="20% - Accent3 2 3 2 6" xfId="8678"/>
    <cellStyle name="20% - Accent3 2 3 2 6 2" xfId="8679"/>
    <cellStyle name="20% - Accent3 2 3 2 6 2 2" xfId="8680"/>
    <cellStyle name="20% - Accent3 2 3 2 6 2 2 2" xfId="8681"/>
    <cellStyle name="20% - Accent3 2 3 2 6 2 2 2 2" xfId="8682"/>
    <cellStyle name="20% - Accent3 2 3 2 6 2 2 3" xfId="8683"/>
    <cellStyle name="20% - Accent3 2 3 2 6 2 3" xfId="8684"/>
    <cellStyle name="20% - Accent3 2 3 2 6 2 3 2" xfId="8685"/>
    <cellStyle name="20% - Accent3 2 3 2 6 2 4" xfId="8686"/>
    <cellStyle name="20% - Accent3 2 3 2 6 3" xfId="8687"/>
    <cellStyle name="20% - Accent3 2 3 2 6 3 2" xfId="8688"/>
    <cellStyle name="20% - Accent3 2 3 2 6 3 2 2" xfId="8689"/>
    <cellStyle name="20% - Accent3 2 3 2 6 3 3" xfId="8690"/>
    <cellStyle name="20% - Accent3 2 3 2 6 4" xfId="8691"/>
    <cellStyle name="20% - Accent3 2 3 2 6 4 2" xfId="8692"/>
    <cellStyle name="20% - Accent3 2 3 2 6 5" xfId="8693"/>
    <cellStyle name="20% - Accent3 2 3 2 7" xfId="8694"/>
    <cellStyle name="20% - Accent3 2 3 2 7 2" xfId="8695"/>
    <cellStyle name="20% - Accent3 2 3 2 7 2 2" xfId="8696"/>
    <cellStyle name="20% - Accent3 2 3 2 7 2 2 2" xfId="8697"/>
    <cellStyle name="20% - Accent3 2 3 2 7 2 3" xfId="8698"/>
    <cellStyle name="20% - Accent3 2 3 2 7 3" xfId="8699"/>
    <cellStyle name="20% - Accent3 2 3 2 7 3 2" xfId="8700"/>
    <cellStyle name="20% - Accent3 2 3 2 7 4" xfId="8701"/>
    <cellStyle name="20% - Accent3 2 3 2 8" xfId="8702"/>
    <cellStyle name="20% - Accent3 2 3 2 8 2" xfId="8703"/>
    <cellStyle name="20% - Accent3 2 3 2 8 2 2" xfId="8704"/>
    <cellStyle name="20% - Accent3 2 3 2 8 3" xfId="8705"/>
    <cellStyle name="20% - Accent3 2 3 2 9" xfId="8706"/>
    <cellStyle name="20% - Accent3 2 3 2 9 2" xfId="8707"/>
    <cellStyle name="20% - Accent3 2 3 3" xfId="8708"/>
    <cellStyle name="20% - Accent3 2 3 3 2" xfId="8709"/>
    <cellStyle name="20% - Accent3 2 3 3 2 2" xfId="8710"/>
    <cellStyle name="20% - Accent3 2 3 3 2 2 2" xfId="8711"/>
    <cellStyle name="20% - Accent3 2 3 3 2 2 2 2" xfId="8712"/>
    <cellStyle name="20% - Accent3 2 3 3 2 2 3" xfId="8713"/>
    <cellStyle name="20% - Accent3 2 3 3 2 3" xfId="8714"/>
    <cellStyle name="20% - Accent3 2 3 3 2 3 2" xfId="8715"/>
    <cellStyle name="20% - Accent3 2 3 3 2 4" xfId="8716"/>
    <cellStyle name="20% - Accent3 2 3 3 3" xfId="8717"/>
    <cellStyle name="20% - Accent3 2 3 3 3 2" xfId="8718"/>
    <cellStyle name="20% - Accent3 2 3 3 3 2 2" xfId="8719"/>
    <cellStyle name="20% - Accent3 2 3 3 3 3" xfId="8720"/>
    <cellStyle name="20% - Accent3 2 3 3 4" xfId="8721"/>
    <cellStyle name="20% - Accent3 2 3 3 4 2" xfId="8722"/>
    <cellStyle name="20% - Accent3 2 3 3 5" xfId="8723"/>
    <cellStyle name="20% - Accent3 2 3 4" xfId="8724"/>
    <cellStyle name="20% - Accent3 2 3 4 2" xfId="8725"/>
    <cellStyle name="20% - Accent3 2 3 4 2 2" xfId="8726"/>
    <cellStyle name="20% - Accent3 2 3 4 2 2 2" xfId="8727"/>
    <cellStyle name="20% - Accent3 2 3 4 2 2 2 2" xfId="8728"/>
    <cellStyle name="20% - Accent3 2 3 4 2 2 3" xfId="8729"/>
    <cellStyle name="20% - Accent3 2 3 4 2 3" xfId="8730"/>
    <cellStyle name="20% - Accent3 2 3 4 2 3 2" xfId="8731"/>
    <cellStyle name="20% - Accent3 2 3 4 2 4" xfId="8732"/>
    <cellStyle name="20% - Accent3 2 3 4 3" xfId="8733"/>
    <cellStyle name="20% - Accent3 2 3 4 3 2" xfId="8734"/>
    <cellStyle name="20% - Accent3 2 3 4 3 2 2" xfId="8735"/>
    <cellStyle name="20% - Accent3 2 3 4 3 3" xfId="8736"/>
    <cellStyle name="20% - Accent3 2 3 4 4" xfId="8737"/>
    <cellStyle name="20% - Accent3 2 3 4 4 2" xfId="8738"/>
    <cellStyle name="20% - Accent3 2 3 4 5" xfId="8739"/>
    <cellStyle name="20% - Accent3 2 3 5" xfId="8740"/>
    <cellStyle name="20% - Accent3 2 3 5 2" xfId="8741"/>
    <cellStyle name="20% - Accent3 2 3 5 2 2" xfId="8742"/>
    <cellStyle name="20% - Accent3 2 3 5 2 2 2" xfId="8743"/>
    <cellStyle name="20% - Accent3 2 3 5 2 2 2 2" xfId="8744"/>
    <cellStyle name="20% - Accent3 2 3 5 2 2 3" xfId="8745"/>
    <cellStyle name="20% - Accent3 2 3 5 2 3" xfId="8746"/>
    <cellStyle name="20% - Accent3 2 3 5 2 3 2" xfId="8747"/>
    <cellStyle name="20% - Accent3 2 3 5 2 4" xfId="8748"/>
    <cellStyle name="20% - Accent3 2 3 5 3" xfId="8749"/>
    <cellStyle name="20% - Accent3 2 3 5 3 2" xfId="8750"/>
    <cellStyle name="20% - Accent3 2 3 5 3 2 2" xfId="8751"/>
    <cellStyle name="20% - Accent3 2 3 5 3 3" xfId="8752"/>
    <cellStyle name="20% - Accent3 2 3 5 4" xfId="8753"/>
    <cellStyle name="20% - Accent3 2 3 5 4 2" xfId="8754"/>
    <cellStyle name="20% - Accent3 2 3 5 5" xfId="8755"/>
    <cellStyle name="20% - Accent3 2 3 6" xfId="8756"/>
    <cellStyle name="20% - Accent3 2 3 6 2" xfId="8757"/>
    <cellStyle name="20% - Accent3 2 3 6 2 2" xfId="8758"/>
    <cellStyle name="20% - Accent3 2 3 6 2 2 2" xfId="8759"/>
    <cellStyle name="20% - Accent3 2 3 6 2 2 2 2" xfId="8760"/>
    <cellStyle name="20% - Accent3 2 3 6 2 2 3" xfId="8761"/>
    <cellStyle name="20% - Accent3 2 3 6 2 3" xfId="8762"/>
    <cellStyle name="20% - Accent3 2 3 6 2 3 2" xfId="8763"/>
    <cellStyle name="20% - Accent3 2 3 6 2 4" xfId="8764"/>
    <cellStyle name="20% - Accent3 2 3 6 3" xfId="8765"/>
    <cellStyle name="20% - Accent3 2 3 6 3 2" xfId="8766"/>
    <cellStyle name="20% - Accent3 2 3 6 3 2 2" xfId="8767"/>
    <cellStyle name="20% - Accent3 2 3 6 3 3" xfId="8768"/>
    <cellStyle name="20% - Accent3 2 3 6 4" xfId="8769"/>
    <cellStyle name="20% - Accent3 2 3 6 4 2" xfId="8770"/>
    <cellStyle name="20% - Accent3 2 3 6 5" xfId="8771"/>
    <cellStyle name="20% - Accent3 2 3 7" xfId="8772"/>
    <cellStyle name="20% - Accent3 2 3 7 2" xfId="8773"/>
    <cellStyle name="20% - Accent3 2 3 7 2 2" xfId="8774"/>
    <cellStyle name="20% - Accent3 2 3 7 2 2 2" xfId="8775"/>
    <cellStyle name="20% - Accent3 2 3 7 2 2 2 2" xfId="8776"/>
    <cellStyle name="20% - Accent3 2 3 7 2 2 3" xfId="8777"/>
    <cellStyle name="20% - Accent3 2 3 7 2 3" xfId="8778"/>
    <cellStyle name="20% - Accent3 2 3 7 2 3 2" xfId="8779"/>
    <cellStyle name="20% - Accent3 2 3 7 2 4" xfId="8780"/>
    <cellStyle name="20% - Accent3 2 3 7 3" xfId="8781"/>
    <cellStyle name="20% - Accent3 2 3 7 3 2" xfId="8782"/>
    <cellStyle name="20% - Accent3 2 3 7 3 2 2" xfId="8783"/>
    <cellStyle name="20% - Accent3 2 3 7 3 3" xfId="8784"/>
    <cellStyle name="20% - Accent3 2 3 7 4" xfId="8785"/>
    <cellStyle name="20% - Accent3 2 3 7 4 2" xfId="8786"/>
    <cellStyle name="20% - Accent3 2 3 7 5" xfId="8787"/>
    <cellStyle name="20% - Accent3 2 3 8" xfId="8788"/>
    <cellStyle name="20% - Accent3 2 3 8 2" xfId="8789"/>
    <cellStyle name="20% - Accent3 2 3 8 2 2" xfId="8790"/>
    <cellStyle name="20% - Accent3 2 3 8 2 2 2" xfId="8791"/>
    <cellStyle name="20% - Accent3 2 3 8 2 3" xfId="8792"/>
    <cellStyle name="20% - Accent3 2 3 8 3" xfId="8793"/>
    <cellStyle name="20% - Accent3 2 3 8 3 2" xfId="8794"/>
    <cellStyle name="20% - Accent3 2 3 8 4" xfId="8795"/>
    <cellStyle name="20% - Accent3 2 3 9" xfId="8796"/>
    <cellStyle name="20% - Accent3 2 3 9 2" xfId="8797"/>
    <cellStyle name="20% - Accent3 2 3 9 2 2" xfId="8798"/>
    <cellStyle name="20% - Accent3 2 3 9 3" xfId="8799"/>
    <cellStyle name="20% - Accent3 2 4" xfId="8800"/>
    <cellStyle name="20% - Accent3 2 4 10" xfId="8801"/>
    <cellStyle name="20% - Accent3 2 4 10 2" xfId="8802"/>
    <cellStyle name="20% - Accent3 2 4 11" xfId="8803"/>
    <cellStyle name="20% - Accent3 2 4 2" xfId="8804"/>
    <cellStyle name="20% - Accent3 2 4 2 10" xfId="8805"/>
    <cellStyle name="20% - Accent3 2 4 2 2" xfId="8806"/>
    <cellStyle name="20% - Accent3 2 4 2 2 2" xfId="8807"/>
    <cellStyle name="20% - Accent3 2 4 2 2 2 2" xfId="8808"/>
    <cellStyle name="20% - Accent3 2 4 2 2 2 2 2" xfId="8809"/>
    <cellStyle name="20% - Accent3 2 4 2 2 2 2 2 2" xfId="8810"/>
    <cellStyle name="20% - Accent3 2 4 2 2 2 2 3" xfId="8811"/>
    <cellStyle name="20% - Accent3 2 4 2 2 2 3" xfId="8812"/>
    <cellStyle name="20% - Accent3 2 4 2 2 2 3 2" xfId="8813"/>
    <cellStyle name="20% - Accent3 2 4 2 2 2 4" xfId="8814"/>
    <cellStyle name="20% - Accent3 2 4 2 2 3" xfId="8815"/>
    <cellStyle name="20% - Accent3 2 4 2 2 3 2" xfId="8816"/>
    <cellStyle name="20% - Accent3 2 4 2 2 3 2 2" xfId="8817"/>
    <cellStyle name="20% - Accent3 2 4 2 2 3 3" xfId="8818"/>
    <cellStyle name="20% - Accent3 2 4 2 2 4" xfId="8819"/>
    <cellStyle name="20% - Accent3 2 4 2 2 4 2" xfId="8820"/>
    <cellStyle name="20% - Accent3 2 4 2 2 5" xfId="8821"/>
    <cellStyle name="20% - Accent3 2 4 2 3" xfId="8822"/>
    <cellStyle name="20% - Accent3 2 4 2 3 2" xfId="8823"/>
    <cellStyle name="20% - Accent3 2 4 2 3 2 2" xfId="8824"/>
    <cellStyle name="20% - Accent3 2 4 2 3 2 2 2" xfId="8825"/>
    <cellStyle name="20% - Accent3 2 4 2 3 2 2 2 2" xfId="8826"/>
    <cellStyle name="20% - Accent3 2 4 2 3 2 2 3" xfId="8827"/>
    <cellStyle name="20% - Accent3 2 4 2 3 2 3" xfId="8828"/>
    <cellStyle name="20% - Accent3 2 4 2 3 2 3 2" xfId="8829"/>
    <cellStyle name="20% - Accent3 2 4 2 3 2 4" xfId="8830"/>
    <cellStyle name="20% - Accent3 2 4 2 3 3" xfId="8831"/>
    <cellStyle name="20% - Accent3 2 4 2 3 3 2" xfId="8832"/>
    <cellStyle name="20% - Accent3 2 4 2 3 3 2 2" xfId="8833"/>
    <cellStyle name="20% - Accent3 2 4 2 3 3 3" xfId="8834"/>
    <cellStyle name="20% - Accent3 2 4 2 3 4" xfId="8835"/>
    <cellStyle name="20% - Accent3 2 4 2 3 4 2" xfId="8836"/>
    <cellStyle name="20% - Accent3 2 4 2 3 5" xfId="8837"/>
    <cellStyle name="20% - Accent3 2 4 2 4" xfId="8838"/>
    <cellStyle name="20% - Accent3 2 4 2 4 2" xfId="8839"/>
    <cellStyle name="20% - Accent3 2 4 2 4 2 2" xfId="8840"/>
    <cellStyle name="20% - Accent3 2 4 2 4 2 2 2" xfId="8841"/>
    <cellStyle name="20% - Accent3 2 4 2 4 2 2 2 2" xfId="8842"/>
    <cellStyle name="20% - Accent3 2 4 2 4 2 2 3" xfId="8843"/>
    <cellStyle name="20% - Accent3 2 4 2 4 2 3" xfId="8844"/>
    <cellStyle name="20% - Accent3 2 4 2 4 2 3 2" xfId="8845"/>
    <cellStyle name="20% - Accent3 2 4 2 4 2 4" xfId="8846"/>
    <cellStyle name="20% - Accent3 2 4 2 4 3" xfId="8847"/>
    <cellStyle name="20% - Accent3 2 4 2 4 3 2" xfId="8848"/>
    <cellStyle name="20% - Accent3 2 4 2 4 3 2 2" xfId="8849"/>
    <cellStyle name="20% - Accent3 2 4 2 4 3 3" xfId="8850"/>
    <cellStyle name="20% - Accent3 2 4 2 4 4" xfId="8851"/>
    <cellStyle name="20% - Accent3 2 4 2 4 4 2" xfId="8852"/>
    <cellStyle name="20% - Accent3 2 4 2 4 5" xfId="8853"/>
    <cellStyle name="20% - Accent3 2 4 2 5" xfId="8854"/>
    <cellStyle name="20% - Accent3 2 4 2 5 2" xfId="8855"/>
    <cellStyle name="20% - Accent3 2 4 2 5 2 2" xfId="8856"/>
    <cellStyle name="20% - Accent3 2 4 2 5 2 2 2" xfId="8857"/>
    <cellStyle name="20% - Accent3 2 4 2 5 2 2 2 2" xfId="8858"/>
    <cellStyle name="20% - Accent3 2 4 2 5 2 2 3" xfId="8859"/>
    <cellStyle name="20% - Accent3 2 4 2 5 2 3" xfId="8860"/>
    <cellStyle name="20% - Accent3 2 4 2 5 2 3 2" xfId="8861"/>
    <cellStyle name="20% - Accent3 2 4 2 5 2 4" xfId="8862"/>
    <cellStyle name="20% - Accent3 2 4 2 5 3" xfId="8863"/>
    <cellStyle name="20% - Accent3 2 4 2 5 3 2" xfId="8864"/>
    <cellStyle name="20% - Accent3 2 4 2 5 3 2 2" xfId="8865"/>
    <cellStyle name="20% - Accent3 2 4 2 5 3 3" xfId="8866"/>
    <cellStyle name="20% - Accent3 2 4 2 5 4" xfId="8867"/>
    <cellStyle name="20% - Accent3 2 4 2 5 4 2" xfId="8868"/>
    <cellStyle name="20% - Accent3 2 4 2 5 5" xfId="8869"/>
    <cellStyle name="20% - Accent3 2 4 2 6" xfId="8870"/>
    <cellStyle name="20% - Accent3 2 4 2 6 2" xfId="8871"/>
    <cellStyle name="20% - Accent3 2 4 2 6 2 2" xfId="8872"/>
    <cellStyle name="20% - Accent3 2 4 2 6 2 2 2" xfId="8873"/>
    <cellStyle name="20% - Accent3 2 4 2 6 2 2 2 2" xfId="8874"/>
    <cellStyle name="20% - Accent3 2 4 2 6 2 2 3" xfId="8875"/>
    <cellStyle name="20% - Accent3 2 4 2 6 2 3" xfId="8876"/>
    <cellStyle name="20% - Accent3 2 4 2 6 2 3 2" xfId="8877"/>
    <cellStyle name="20% - Accent3 2 4 2 6 2 4" xfId="8878"/>
    <cellStyle name="20% - Accent3 2 4 2 6 3" xfId="8879"/>
    <cellStyle name="20% - Accent3 2 4 2 6 3 2" xfId="8880"/>
    <cellStyle name="20% - Accent3 2 4 2 6 3 2 2" xfId="8881"/>
    <cellStyle name="20% - Accent3 2 4 2 6 3 3" xfId="8882"/>
    <cellStyle name="20% - Accent3 2 4 2 6 4" xfId="8883"/>
    <cellStyle name="20% - Accent3 2 4 2 6 4 2" xfId="8884"/>
    <cellStyle name="20% - Accent3 2 4 2 6 5" xfId="8885"/>
    <cellStyle name="20% - Accent3 2 4 2 7" xfId="8886"/>
    <cellStyle name="20% - Accent3 2 4 2 7 2" xfId="8887"/>
    <cellStyle name="20% - Accent3 2 4 2 7 2 2" xfId="8888"/>
    <cellStyle name="20% - Accent3 2 4 2 7 2 2 2" xfId="8889"/>
    <cellStyle name="20% - Accent3 2 4 2 7 2 3" xfId="8890"/>
    <cellStyle name="20% - Accent3 2 4 2 7 3" xfId="8891"/>
    <cellStyle name="20% - Accent3 2 4 2 7 3 2" xfId="8892"/>
    <cellStyle name="20% - Accent3 2 4 2 7 4" xfId="8893"/>
    <cellStyle name="20% - Accent3 2 4 2 8" xfId="8894"/>
    <cellStyle name="20% - Accent3 2 4 2 8 2" xfId="8895"/>
    <cellStyle name="20% - Accent3 2 4 2 8 2 2" xfId="8896"/>
    <cellStyle name="20% - Accent3 2 4 2 8 3" xfId="8897"/>
    <cellStyle name="20% - Accent3 2 4 2 9" xfId="8898"/>
    <cellStyle name="20% - Accent3 2 4 2 9 2" xfId="8899"/>
    <cellStyle name="20% - Accent3 2 4 3" xfId="8900"/>
    <cellStyle name="20% - Accent3 2 4 3 2" xfId="8901"/>
    <cellStyle name="20% - Accent3 2 4 3 2 2" xfId="8902"/>
    <cellStyle name="20% - Accent3 2 4 3 2 2 2" xfId="8903"/>
    <cellStyle name="20% - Accent3 2 4 3 2 2 2 2" xfId="8904"/>
    <cellStyle name="20% - Accent3 2 4 3 2 2 3" xfId="8905"/>
    <cellStyle name="20% - Accent3 2 4 3 2 3" xfId="8906"/>
    <cellStyle name="20% - Accent3 2 4 3 2 3 2" xfId="8907"/>
    <cellStyle name="20% - Accent3 2 4 3 2 4" xfId="8908"/>
    <cellStyle name="20% - Accent3 2 4 3 3" xfId="8909"/>
    <cellStyle name="20% - Accent3 2 4 3 3 2" xfId="8910"/>
    <cellStyle name="20% - Accent3 2 4 3 3 2 2" xfId="8911"/>
    <cellStyle name="20% - Accent3 2 4 3 3 3" xfId="8912"/>
    <cellStyle name="20% - Accent3 2 4 3 4" xfId="8913"/>
    <cellStyle name="20% - Accent3 2 4 3 4 2" xfId="8914"/>
    <cellStyle name="20% - Accent3 2 4 3 5" xfId="8915"/>
    <cellStyle name="20% - Accent3 2 4 4" xfId="8916"/>
    <cellStyle name="20% - Accent3 2 4 4 2" xfId="8917"/>
    <cellStyle name="20% - Accent3 2 4 4 2 2" xfId="8918"/>
    <cellStyle name="20% - Accent3 2 4 4 2 2 2" xfId="8919"/>
    <cellStyle name="20% - Accent3 2 4 4 2 2 2 2" xfId="8920"/>
    <cellStyle name="20% - Accent3 2 4 4 2 2 3" xfId="8921"/>
    <cellStyle name="20% - Accent3 2 4 4 2 3" xfId="8922"/>
    <cellStyle name="20% - Accent3 2 4 4 2 3 2" xfId="8923"/>
    <cellStyle name="20% - Accent3 2 4 4 2 4" xfId="8924"/>
    <cellStyle name="20% - Accent3 2 4 4 3" xfId="8925"/>
    <cellStyle name="20% - Accent3 2 4 4 3 2" xfId="8926"/>
    <cellStyle name="20% - Accent3 2 4 4 3 2 2" xfId="8927"/>
    <cellStyle name="20% - Accent3 2 4 4 3 3" xfId="8928"/>
    <cellStyle name="20% - Accent3 2 4 4 4" xfId="8929"/>
    <cellStyle name="20% - Accent3 2 4 4 4 2" xfId="8930"/>
    <cellStyle name="20% - Accent3 2 4 4 5" xfId="8931"/>
    <cellStyle name="20% - Accent3 2 4 5" xfId="8932"/>
    <cellStyle name="20% - Accent3 2 4 5 2" xfId="8933"/>
    <cellStyle name="20% - Accent3 2 4 5 2 2" xfId="8934"/>
    <cellStyle name="20% - Accent3 2 4 5 2 2 2" xfId="8935"/>
    <cellStyle name="20% - Accent3 2 4 5 2 2 2 2" xfId="8936"/>
    <cellStyle name="20% - Accent3 2 4 5 2 2 3" xfId="8937"/>
    <cellStyle name="20% - Accent3 2 4 5 2 3" xfId="8938"/>
    <cellStyle name="20% - Accent3 2 4 5 2 3 2" xfId="8939"/>
    <cellStyle name="20% - Accent3 2 4 5 2 4" xfId="8940"/>
    <cellStyle name="20% - Accent3 2 4 5 3" xfId="8941"/>
    <cellStyle name="20% - Accent3 2 4 5 3 2" xfId="8942"/>
    <cellStyle name="20% - Accent3 2 4 5 3 2 2" xfId="8943"/>
    <cellStyle name="20% - Accent3 2 4 5 3 3" xfId="8944"/>
    <cellStyle name="20% - Accent3 2 4 5 4" xfId="8945"/>
    <cellStyle name="20% - Accent3 2 4 5 4 2" xfId="8946"/>
    <cellStyle name="20% - Accent3 2 4 5 5" xfId="8947"/>
    <cellStyle name="20% - Accent3 2 4 6" xfId="8948"/>
    <cellStyle name="20% - Accent3 2 4 6 2" xfId="8949"/>
    <cellStyle name="20% - Accent3 2 4 6 2 2" xfId="8950"/>
    <cellStyle name="20% - Accent3 2 4 6 2 2 2" xfId="8951"/>
    <cellStyle name="20% - Accent3 2 4 6 2 2 2 2" xfId="8952"/>
    <cellStyle name="20% - Accent3 2 4 6 2 2 3" xfId="8953"/>
    <cellStyle name="20% - Accent3 2 4 6 2 3" xfId="8954"/>
    <cellStyle name="20% - Accent3 2 4 6 2 3 2" xfId="8955"/>
    <cellStyle name="20% - Accent3 2 4 6 2 4" xfId="8956"/>
    <cellStyle name="20% - Accent3 2 4 6 3" xfId="8957"/>
    <cellStyle name="20% - Accent3 2 4 6 3 2" xfId="8958"/>
    <cellStyle name="20% - Accent3 2 4 6 3 2 2" xfId="8959"/>
    <cellStyle name="20% - Accent3 2 4 6 3 3" xfId="8960"/>
    <cellStyle name="20% - Accent3 2 4 6 4" xfId="8961"/>
    <cellStyle name="20% - Accent3 2 4 6 4 2" xfId="8962"/>
    <cellStyle name="20% - Accent3 2 4 6 5" xfId="8963"/>
    <cellStyle name="20% - Accent3 2 4 7" xfId="8964"/>
    <cellStyle name="20% - Accent3 2 4 7 2" xfId="8965"/>
    <cellStyle name="20% - Accent3 2 4 7 2 2" xfId="8966"/>
    <cellStyle name="20% - Accent3 2 4 7 2 2 2" xfId="8967"/>
    <cellStyle name="20% - Accent3 2 4 7 2 2 2 2" xfId="8968"/>
    <cellStyle name="20% - Accent3 2 4 7 2 2 3" xfId="8969"/>
    <cellStyle name="20% - Accent3 2 4 7 2 3" xfId="8970"/>
    <cellStyle name="20% - Accent3 2 4 7 2 3 2" xfId="8971"/>
    <cellStyle name="20% - Accent3 2 4 7 2 4" xfId="8972"/>
    <cellStyle name="20% - Accent3 2 4 7 3" xfId="8973"/>
    <cellStyle name="20% - Accent3 2 4 7 3 2" xfId="8974"/>
    <cellStyle name="20% - Accent3 2 4 7 3 2 2" xfId="8975"/>
    <cellStyle name="20% - Accent3 2 4 7 3 3" xfId="8976"/>
    <cellStyle name="20% - Accent3 2 4 7 4" xfId="8977"/>
    <cellStyle name="20% - Accent3 2 4 7 4 2" xfId="8978"/>
    <cellStyle name="20% - Accent3 2 4 7 5" xfId="8979"/>
    <cellStyle name="20% - Accent3 2 4 8" xfId="8980"/>
    <cellStyle name="20% - Accent3 2 4 8 2" xfId="8981"/>
    <cellStyle name="20% - Accent3 2 4 8 2 2" xfId="8982"/>
    <cellStyle name="20% - Accent3 2 4 8 2 2 2" xfId="8983"/>
    <cellStyle name="20% - Accent3 2 4 8 2 3" xfId="8984"/>
    <cellStyle name="20% - Accent3 2 4 8 3" xfId="8985"/>
    <cellStyle name="20% - Accent3 2 4 8 3 2" xfId="8986"/>
    <cellStyle name="20% - Accent3 2 4 8 4" xfId="8987"/>
    <cellStyle name="20% - Accent3 2 4 9" xfId="8988"/>
    <cellStyle name="20% - Accent3 2 4 9 2" xfId="8989"/>
    <cellStyle name="20% - Accent3 2 4 9 2 2" xfId="8990"/>
    <cellStyle name="20% - Accent3 2 4 9 3" xfId="8991"/>
    <cellStyle name="20% - Accent3 2 5" xfId="8992"/>
    <cellStyle name="20% - Accent3 2 5 10" xfId="8993"/>
    <cellStyle name="20% - Accent3 2 5 10 2" xfId="8994"/>
    <cellStyle name="20% - Accent3 2 5 11" xfId="8995"/>
    <cellStyle name="20% - Accent3 2 5 2" xfId="8996"/>
    <cellStyle name="20% - Accent3 2 5 2 10" xfId="8997"/>
    <cellStyle name="20% - Accent3 2 5 2 2" xfId="8998"/>
    <cellStyle name="20% - Accent3 2 5 2 2 2" xfId="8999"/>
    <cellStyle name="20% - Accent3 2 5 2 2 2 2" xfId="9000"/>
    <cellStyle name="20% - Accent3 2 5 2 2 2 2 2" xfId="9001"/>
    <cellStyle name="20% - Accent3 2 5 2 2 2 2 2 2" xfId="9002"/>
    <cellStyle name="20% - Accent3 2 5 2 2 2 2 3" xfId="9003"/>
    <cellStyle name="20% - Accent3 2 5 2 2 2 3" xfId="9004"/>
    <cellStyle name="20% - Accent3 2 5 2 2 2 3 2" xfId="9005"/>
    <cellStyle name="20% - Accent3 2 5 2 2 2 4" xfId="9006"/>
    <cellStyle name="20% - Accent3 2 5 2 2 3" xfId="9007"/>
    <cellStyle name="20% - Accent3 2 5 2 2 3 2" xfId="9008"/>
    <cellStyle name="20% - Accent3 2 5 2 2 3 2 2" xfId="9009"/>
    <cellStyle name="20% - Accent3 2 5 2 2 3 3" xfId="9010"/>
    <cellStyle name="20% - Accent3 2 5 2 2 4" xfId="9011"/>
    <cellStyle name="20% - Accent3 2 5 2 2 4 2" xfId="9012"/>
    <cellStyle name="20% - Accent3 2 5 2 2 5" xfId="9013"/>
    <cellStyle name="20% - Accent3 2 5 2 3" xfId="9014"/>
    <cellStyle name="20% - Accent3 2 5 2 3 2" xfId="9015"/>
    <cellStyle name="20% - Accent3 2 5 2 3 2 2" xfId="9016"/>
    <cellStyle name="20% - Accent3 2 5 2 3 2 2 2" xfId="9017"/>
    <cellStyle name="20% - Accent3 2 5 2 3 2 2 2 2" xfId="9018"/>
    <cellStyle name="20% - Accent3 2 5 2 3 2 2 3" xfId="9019"/>
    <cellStyle name="20% - Accent3 2 5 2 3 2 3" xfId="9020"/>
    <cellStyle name="20% - Accent3 2 5 2 3 2 3 2" xfId="9021"/>
    <cellStyle name="20% - Accent3 2 5 2 3 2 4" xfId="9022"/>
    <cellStyle name="20% - Accent3 2 5 2 3 3" xfId="9023"/>
    <cellStyle name="20% - Accent3 2 5 2 3 3 2" xfId="9024"/>
    <cellStyle name="20% - Accent3 2 5 2 3 3 2 2" xfId="9025"/>
    <cellStyle name="20% - Accent3 2 5 2 3 3 3" xfId="9026"/>
    <cellStyle name="20% - Accent3 2 5 2 3 4" xfId="9027"/>
    <cellStyle name="20% - Accent3 2 5 2 3 4 2" xfId="9028"/>
    <cellStyle name="20% - Accent3 2 5 2 3 5" xfId="9029"/>
    <cellStyle name="20% - Accent3 2 5 2 4" xfId="9030"/>
    <cellStyle name="20% - Accent3 2 5 2 4 2" xfId="9031"/>
    <cellStyle name="20% - Accent3 2 5 2 4 2 2" xfId="9032"/>
    <cellStyle name="20% - Accent3 2 5 2 4 2 2 2" xfId="9033"/>
    <cellStyle name="20% - Accent3 2 5 2 4 2 2 2 2" xfId="9034"/>
    <cellStyle name="20% - Accent3 2 5 2 4 2 2 3" xfId="9035"/>
    <cellStyle name="20% - Accent3 2 5 2 4 2 3" xfId="9036"/>
    <cellStyle name="20% - Accent3 2 5 2 4 2 3 2" xfId="9037"/>
    <cellStyle name="20% - Accent3 2 5 2 4 2 4" xfId="9038"/>
    <cellStyle name="20% - Accent3 2 5 2 4 3" xfId="9039"/>
    <cellStyle name="20% - Accent3 2 5 2 4 3 2" xfId="9040"/>
    <cellStyle name="20% - Accent3 2 5 2 4 3 2 2" xfId="9041"/>
    <cellStyle name="20% - Accent3 2 5 2 4 3 3" xfId="9042"/>
    <cellStyle name="20% - Accent3 2 5 2 4 4" xfId="9043"/>
    <cellStyle name="20% - Accent3 2 5 2 4 4 2" xfId="9044"/>
    <cellStyle name="20% - Accent3 2 5 2 4 5" xfId="9045"/>
    <cellStyle name="20% - Accent3 2 5 2 5" xfId="9046"/>
    <cellStyle name="20% - Accent3 2 5 2 5 2" xfId="9047"/>
    <cellStyle name="20% - Accent3 2 5 2 5 2 2" xfId="9048"/>
    <cellStyle name="20% - Accent3 2 5 2 5 2 2 2" xfId="9049"/>
    <cellStyle name="20% - Accent3 2 5 2 5 2 2 2 2" xfId="9050"/>
    <cellStyle name="20% - Accent3 2 5 2 5 2 2 3" xfId="9051"/>
    <cellStyle name="20% - Accent3 2 5 2 5 2 3" xfId="9052"/>
    <cellStyle name="20% - Accent3 2 5 2 5 2 3 2" xfId="9053"/>
    <cellStyle name="20% - Accent3 2 5 2 5 2 4" xfId="9054"/>
    <cellStyle name="20% - Accent3 2 5 2 5 3" xfId="9055"/>
    <cellStyle name="20% - Accent3 2 5 2 5 3 2" xfId="9056"/>
    <cellStyle name="20% - Accent3 2 5 2 5 3 2 2" xfId="9057"/>
    <cellStyle name="20% - Accent3 2 5 2 5 3 3" xfId="9058"/>
    <cellStyle name="20% - Accent3 2 5 2 5 4" xfId="9059"/>
    <cellStyle name="20% - Accent3 2 5 2 5 4 2" xfId="9060"/>
    <cellStyle name="20% - Accent3 2 5 2 5 5" xfId="9061"/>
    <cellStyle name="20% - Accent3 2 5 2 6" xfId="9062"/>
    <cellStyle name="20% - Accent3 2 5 2 6 2" xfId="9063"/>
    <cellStyle name="20% - Accent3 2 5 2 6 2 2" xfId="9064"/>
    <cellStyle name="20% - Accent3 2 5 2 6 2 2 2" xfId="9065"/>
    <cellStyle name="20% - Accent3 2 5 2 6 2 2 2 2" xfId="9066"/>
    <cellStyle name="20% - Accent3 2 5 2 6 2 2 3" xfId="9067"/>
    <cellStyle name="20% - Accent3 2 5 2 6 2 3" xfId="9068"/>
    <cellStyle name="20% - Accent3 2 5 2 6 2 3 2" xfId="9069"/>
    <cellStyle name="20% - Accent3 2 5 2 6 2 4" xfId="9070"/>
    <cellStyle name="20% - Accent3 2 5 2 6 3" xfId="9071"/>
    <cellStyle name="20% - Accent3 2 5 2 6 3 2" xfId="9072"/>
    <cellStyle name="20% - Accent3 2 5 2 6 3 2 2" xfId="9073"/>
    <cellStyle name="20% - Accent3 2 5 2 6 3 3" xfId="9074"/>
    <cellStyle name="20% - Accent3 2 5 2 6 4" xfId="9075"/>
    <cellStyle name="20% - Accent3 2 5 2 6 4 2" xfId="9076"/>
    <cellStyle name="20% - Accent3 2 5 2 6 5" xfId="9077"/>
    <cellStyle name="20% - Accent3 2 5 2 7" xfId="9078"/>
    <cellStyle name="20% - Accent3 2 5 2 7 2" xfId="9079"/>
    <cellStyle name="20% - Accent3 2 5 2 7 2 2" xfId="9080"/>
    <cellStyle name="20% - Accent3 2 5 2 7 2 2 2" xfId="9081"/>
    <cellStyle name="20% - Accent3 2 5 2 7 2 3" xfId="9082"/>
    <cellStyle name="20% - Accent3 2 5 2 7 3" xfId="9083"/>
    <cellStyle name="20% - Accent3 2 5 2 7 3 2" xfId="9084"/>
    <cellStyle name="20% - Accent3 2 5 2 7 4" xfId="9085"/>
    <cellStyle name="20% - Accent3 2 5 2 8" xfId="9086"/>
    <cellStyle name="20% - Accent3 2 5 2 8 2" xfId="9087"/>
    <cellStyle name="20% - Accent3 2 5 2 8 2 2" xfId="9088"/>
    <cellStyle name="20% - Accent3 2 5 2 8 3" xfId="9089"/>
    <cellStyle name="20% - Accent3 2 5 2 9" xfId="9090"/>
    <cellStyle name="20% - Accent3 2 5 2 9 2" xfId="9091"/>
    <cellStyle name="20% - Accent3 2 5 3" xfId="9092"/>
    <cellStyle name="20% - Accent3 2 5 3 2" xfId="9093"/>
    <cellStyle name="20% - Accent3 2 5 3 2 2" xfId="9094"/>
    <cellStyle name="20% - Accent3 2 5 3 2 2 2" xfId="9095"/>
    <cellStyle name="20% - Accent3 2 5 3 2 2 2 2" xfId="9096"/>
    <cellStyle name="20% - Accent3 2 5 3 2 2 3" xfId="9097"/>
    <cellStyle name="20% - Accent3 2 5 3 2 3" xfId="9098"/>
    <cellStyle name="20% - Accent3 2 5 3 2 3 2" xfId="9099"/>
    <cellStyle name="20% - Accent3 2 5 3 2 4" xfId="9100"/>
    <cellStyle name="20% - Accent3 2 5 3 3" xfId="9101"/>
    <cellStyle name="20% - Accent3 2 5 3 3 2" xfId="9102"/>
    <cellStyle name="20% - Accent3 2 5 3 3 2 2" xfId="9103"/>
    <cellStyle name="20% - Accent3 2 5 3 3 3" xfId="9104"/>
    <cellStyle name="20% - Accent3 2 5 3 4" xfId="9105"/>
    <cellStyle name="20% - Accent3 2 5 3 4 2" xfId="9106"/>
    <cellStyle name="20% - Accent3 2 5 3 5" xfId="9107"/>
    <cellStyle name="20% - Accent3 2 5 4" xfId="9108"/>
    <cellStyle name="20% - Accent3 2 5 4 2" xfId="9109"/>
    <cellStyle name="20% - Accent3 2 5 4 2 2" xfId="9110"/>
    <cellStyle name="20% - Accent3 2 5 4 2 2 2" xfId="9111"/>
    <cellStyle name="20% - Accent3 2 5 4 2 2 2 2" xfId="9112"/>
    <cellStyle name="20% - Accent3 2 5 4 2 2 3" xfId="9113"/>
    <cellStyle name="20% - Accent3 2 5 4 2 3" xfId="9114"/>
    <cellStyle name="20% - Accent3 2 5 4 2 3 2" xfId="9115"/>
    <cellStyle name="20% - Accent3 2 5 4 2 4" xfId="9116"/>
    <cellStyle name="20% - Accent3 2 5 4 3" xfId="9117"/>
    <cellStyle name="20% - Accent3 2 5 4 3 2" xfId="9118"/>
    <cellStyle name="20% - Accent3 2 5 4 3 2 2" xfId="9119"/>
    <cellStyle name="20% - Accent3 2 5 4 3 3" xfId="9120"/>
    <cellStyle name="20% - Accent3 2 5 4 4" xfId="9121"/>
    <cellStyle name="20% - Accent3 2 5 4 4 2" xfId="9122"/>
    <cellStyle name="20% - Accent3 2 5 4 5" xfId="9123"/>
    <cellStyle name="20% - Accent3 2 5 5" xfId="9124"/>
    <cellStyle name="20% - Accent3 2 5 5 2" xfId="9125"/>
    <cellStyle name="20% - Accent3 2 5 5 2 2" xfId="9126"/>
    <cellStyle name="20% - Accent3 2 5 5 2 2 2" xfId="9127"/>
    <cellStyle name="20% - Accent3 2 5 5 2 2 2 2" xfId="9128"/>
    <cellStyle name="20% - Accent3 2 5 5 2 2 3" xfId="9129"/>
    <cellStyle name="20% - Accent3 2 5 5 2 3" xfId="9130"/>
    <cellStyle name="20% - Accent3 2 5 5 2 3 2" xfId="9131"/>
    <cellStyle name="20% - Accent3 2 5 5 2 4" xfId="9132"/>
    <cellStyle name="20% - Accent3 2 5 5 3" xfId="9133"/>
    <cellStyle name="20% - Accent3 2 5 5 3 2" xfId="9134"/>
    <cellStyle name="20% - Accent3 2 5 5 3 2 2" xfId="9135"/>
    <cellStyle name="20% - Accent3 2 5 5 3 3" xfId="9136"/>
    <cellStyle name="20% - Accent3 2 5 5 4" xfId="9137"/>
    <cellStyle name="20% - Accent3 2 5 5 4 2" xfId="9138"/>
    <cellStyle name="20% - Accent3 2 5 5 5" xfId="9139"/>
    <cellStyle name="20% - Accent3 2 5 6" xfId="9140"/>
    <cellStyle name="20% - Accent3 2 5 6 2" xfId="9141"/>
    <cellStyle name="20% - Accent3 2 5 6 2 2" xfId="9142"/>
    <cellStyle name="20% - Accent3 2 5 6 2 2 2" xfId="9143"/>
    <cellStyle name="20% - Accent3 2 5 6 2 2 2 2" xfId="9144"/>
    <cellStyle name="20% - Accent3 2 5 6 2 2 3" xfId="9145"/>
    <cellStyle name="20% - Accent3 2 5 6 2 3" xfId="9146"/>
    <cellStyle name="20% - Accent3 2 5 6 2 3 2" xfId="9147"/>
    <cellStyle name="20% - Accent3 2 5 6 2 4" xfId="9148"/>
    <cellStyle name="20% - Accent3 2 5 6 3" xfId="9149"/>
    <cellStyle name="20% - Accent3 2 5 6 3 2" xfId="9150"/>
    <cellStyle name="20% - Accent3 2 5 6 3 2 2" xfId="9151"/>
    <cellStyle name="20% - Accent3 2 5 6 3 3" xfId="9152"/>
    <cellStyle name="20% - Accent3 2 5 6 4" xfId="9153"/>
    <cellStyle name="20% - Accent3 2 5 6 4 2" xfId="9154"/>
    <cellStyle name="20% - Accent3 2 5 6 5" xfId="9155"/>
    <cellStyle name="20% - Accent3 2 5 7" xfId="9156"/>
    <cellStyle name="20% - Accent3 2 5 7 2" xfId="9157"/>
    <cellStyle name="20% - Accent3 2 5 7 2 2" xfId="9158"/>
    <cellStyle name="20% - Accent3 2 5 7 2 2 2" xfId="9159"/>
    <cellStyle name="20% - Accent3 2 5 7 2 2 2 2" xfId="9160"/>
    <cellStyle name="20% - Accent3 2 5 7 2 2 3" xfId="9161"/>
    <cellStyle name="20% - Accent3 2 5 7 2 3" xfId="9162"/>
    <cellStyle name="20% - Accent3 2 5 7 2 3 2" xfId="9163"/>
    <cellStyle name="20% - Accent3 2 5 7 2 4" xfId="9164"/>
    <cellStyle name="20% - Accent3 2 5 7 3" xfId="9165"/>
    <cellStyle name="20% - Accent3 2 5 7 3 2" xfId="9166"/>
    <cellStyle name="20% - Accent3 2 5 7 3 2 2" xfId="9167"/>
    <cellStyle name="20% - Accent3 2 5 7 3 3" xfId="9168"/>
    <cellStyle name="20% - Accent3 2 5 7 4" xfId="9169"/>
    <cellStyle name="20% - Accent3 2 5 7 4 2" xfId="9170"/>
    <cellStyle name="20% - Accent3 2 5 7 5" xfId="9171"/>
    <cellStyle name="20% - Accent3 2 5 8" xfId="9172"/>
    <cellStyle name="20% - Accent3 2 5 8 2" xfId="9173"/>
    <cellStyle name="20% - Accent3 2 5 8 2 2" xfId="9174"/>
    <cellStyle name="20% - Accent3 2 5 8 2 2 2" xfId="9175"/>
    <cellStyle name="20% - Accent3 2 5 8 2 3" xfId="9176"/>
    <cellStyle name="20% - Accent3 2 5 8 3" xfId="9177"/>
    <cellStyle name="20% - Accent3 2 5 8 3 2" xfId="9178"/>
    <cellStyle name="20% - Accent3 2 5 8 4" xfId="9179"/>
    <cellStyle name="20% - Accent3 2 5 9" xfId="9180"/>
    <cellStyle name="20% - Accent3 2 5 9 2" xfId="9181"/>
    <cellStyle name="20% - Accent3 2 5 9 2 2" xfId="9182"/>
    <cellStyle name="20% - Accent3 2 5 9 3" xfId="9183"/>
    <cellStyle name="20% - Accent3 2 6" xfId="9184"/>
    <cellStyle name="20% - Accent3 2 6 10" xfId="9185"/>
    <cellStyle name="20% - Accent3 2 6 10 2" xfId="9186"/>
    <cellStyle name="20% - Accent3 2 6 11" xfId="9187"/>
    <cellStyle name="20% - Accent3 2 6 2" xfId="9188"/>
    <cellStyle name="20% - Accent3 2 6 2 10" xfId="9189"/>
    <cellStyle name="20% - Accent3 2 6 2 2" xfId="9190"/>
    <cellStyle name="20% - Accent3 2 6 2 2 2" xfId="9191"/>
    <cellStyle name="20% - Accent3 2 6 2 2 2 2" xfId="9192"/>
    <cellStyle name="20% - Accent3 2 6 2 2 2 2 2" xfId="9193"/>
    <cellStyle name="20% - Accent3 2 6 2 2 2 2 2 2" xfId="9194"/>
    <cellStyle name="20% - Accent3 2 6 2 2 2 2 3" xfId="9195"/>
    <cellStyle name="20% - Accent3 2 6 2 2 2 3" xfId="9196"/>
    <cellStyle name="20% - Accent3 2 6 2 2 2 3 2" xfId="9197"/>
    <cellStyle name="20% - Accent3 2 6 2 2 2 4" xfId="9198"/>
    <cellStyle name="20% - Accent3 2 6 2 2 3" xfId="9199"/>
    <cellStyle name="20% - Accent3 2 6 2 2 3 2" xfId="9200"/>
    <cellStyle name="20% - Accent3 2 6 2 2 3 2 2" xfId="9201"/>
    <cellStyle name="20% - Accent3 2 6 2 2 3 3" xfId="9202"/>
    <cellStyle name="20% - Accent3 2 6 2 2 4" xfId="9203"/>
    <cellStyle name="20% - Accent3 2 6 2 2 4 2" xfId="9204"/>
    <cellStyle name="20% - Accent3 2 6 2 2 5" xfId="9205"/>
    <cellStyle name="20% - Accent3 2 6 2 3" xfId="9206"/>
    <cellStyle name="20% - Accent3 2 6 2 3 2" xfId="9207"/>
    <cellStyle name="20% - Accent3 2 6 2 3 2 2" xfId="9208"/>
    <cellStyle name="20% - Accent3 2 6 2 3 2 2 2" xfId="9209"/>
    <cellStyle name="20% - Accent3 2 6 2 3 2 2 2 2" xfId="9210"/>
    <cellStyle name="20% - Accent3 2 6 2 3 2 2 3" xfId="9211"/>
    <cellStyle name="20% - Accent3 2 6 2 3 2 3" xfId="9212"/>
    <cellStyle name="20% - Accent3 2 6 2 3 2 3 2" xfId="9213"/>
    <cellStyle name="20% - Accent3 2 6 2 3 2 4" xfId="9214"/>
    <cellStyle name="20% - Accent3 2 6 2 3 3" xfId="9215"/>
    <cellStyle name="20% - Accent3 2 6 2 3 3 2" xfId="9216"/>
    <cellStyle name="20% - Accent3 2 6 2 3 3 2 2" xfId="9217"/>
    <cellStyle name="20% - Accent3 2 6 2 3 3 3" xfId="9218"/>
    <cellStyle name="20% - Accent3 2 6 2 3 4" xfId="9219"/>
    <cellStyle name="20% - Accent3 2 6 2 3 4 2" xfId="9220"/>
    <cellStyle name="20% - Accent3 2 6 2 3 5" xfId="9221"/>
    <cellStyle name="20% - Accent3 2 6 2 4" xfId="9222"/>
    <cellStyle name="20% - Accent3 2 6 2 4 2" xfId="9223"/>
    <cellStyle name="20% - Accent3 2 6 2 4 2 2" xfId="9224"/>
    <cellStyle name="20% - Accent3 2 6 2 4 2 2 2" xfId="9225"/>
    <cellStyle name="20% - Accent3 2 6 2 4 2 2 2 2" xfId="9226"/>
    <cellStyle name="20% - Accent3 2 6 2 4 2 2 3" xfId="9227"/>
    <cellStyle name="20% - Accent3 2 6 2 4 2 3" xfId="9228"/>
    <cellStyle name="20% - Accent3 2 6 2 4 2 3 2" xfId="9229"/>
    <cellStyle name="20% - Accent3 2 6 2 4 2 4" xfId="9230"/>
    <cellStyle name="20% - Accent3 2 6 2 4 3" xfId="9231"/>
    <cellStyle name="20% - Accent3 2 6 2 4 3 2" xfId="9232"/>
    <cellStyle name="20% - Accent3 2 6 2 4 3 2 2" xfId="9233"/>
    <cellStyle name="20% - Accent3 2 6 2 4 3 3" xfId="9234"/>
    <cellStyle name="20% - Accent3 2 6 2 4 4" xfId="9235"/>
    <cellStyle name="20% - Accent3 2 6 2 4 4 2" xfId="9236"/>
    <cellStyle name="20% - Accent3 2 6 2 4 5" xfId="9237"/>
    <cellStyle name="20% - Accent3 2 6 2 5" xfId="9238"/>
    <cellStyle name="20% - Accent3 2 6 2 5 2" xfId="9239"/>
    <cellStyle name="20% - Accent3 2 6 2 5 2 2" xfId="9240"/>
    <cellStyle name="20% - Accent3 2 6 2 5 2 2 2" xfId="9241"/>
    <cellStyle name="20% - Accent3 2 6 2 5 2 2 2 2" xfId="9242"/>
    <cellStyle name="20% - Accent3 2 6 2 5 2 2 3" xfId="9243"/>
    <cellStyle name="20% - Accent3 2 6 2 5 2 3" xfId="9244"/>
    <cellStyle name="20% - Accent3 2 6 2 5 2 3 2" xfId="9245"/>
    <cellStyle name="20% - Accent3 2 6 2 5 2 4" xfId="9246"/>
    <cellStyle name="20% - Accent3 2 6 2 5 3" xfId="9247"/>
    <cellStyle name="20% - Accent3 2 6 2 5 3 2" xfId="9248"/>
    <cellStyle name="20% - Accent3 2 6 2 5 3 2 2" xfId="9249"/>
    <cellStyle name="20% - Accent3 2 6 2 5 3 3" xfId="9250"/>
    <cellStyle name="20% - Accent3 2 6 2 5 4" xfId="9251"/>
    <cellStyle name="20% - Accent3 2 6 2 5 4 2" xfId="9252"/>
    <cellStyle name="20% - Accent3 2 6 2 5 5" xfId="9253"/>
    <cellStyle name="20% - Accent3 2 6 2 6" xfId="9254"/>
    <cellStyle name="20% - Accent3 2 6 2 6 2" xfId="9255"/>
    <cellStyle name="20% - Accent3 2 6 2 6 2 2" xfId="9256"/>
    <cellStyle name="20% - Accent3 2 6 2 6 2 2 2" xfId="9257"/>
    <cellStyle name="20% - Accent3 2 6 2 6 2 2 2 2" xfId="9258"/>
    <cellStyle name="20% - Accent3 2 6 2 6 2 2 3" xfId="9259"/>
    <cellStyle name="20% - Accent3 2 6 2 6 2 3" xfId="9260"/>
    <cellStyle name="20% - Accent3 2 6 2 6 2 3 2" xfId="9261"/>
    <cellStyle name="20% - Accent3 2 6 2 6 2 4" xfId="9262"/>
    <cellStyle name="20% - Accent3 2 6 2 6 3" xfId="9263"/>
    <cellStyle name="20% - Accent3 2 6 2 6 3 2" xfId="9264"/>
    <cellStyle name="20% - Accent3 2 6 2 6 3 2 2" xfId="9265"/>
    <cellStyle name="20% - Accent3 2 6 2 6 3 3" xfId="9266"/>
    <cellStyle name="20% - Accent3 2 6 2 6 4" xfId="9267"/>
    <cellStyle name="20% - Accent3 2 6 2 6 4 2" xfId="9268"/>
    <cellStyle name="20% - Accent3 2 6 2 6 5" xfId="9269"/>
    <cellStyle name="20% - Accent3 2 6 2 7" xfId="9270"/>
    <cellStyle name="20% - Accent3 2 6 2 7 2" xfId="9271"/>
    <cellStyle name="20% - Accent3 2 6 2 7 2 2" xfId="9272"/>
    <cellStyle name="20% - Accent3 2 6 2 7 2 2 2" xfId="9273"/>
    <cellStyle name="20% - Accent3 2 6 2 7 2 3" xfId="9274"/>
    <cellStyle name="20% - Accent3 2 6 2 7 3" xfId="9275"/>
    <cellStyle name="20% - Accent3 2 6 2 7 3 2" xfId="9276"/>
    <cellStyle name="20% - Accent3 2 6 2 7 4" xfId="9277"/>
    <cellStyle name="20% - Accent3 2 6 2 8" xfId="9278"/>
    <cellStyle name="20% - Accent3 2 6 2 8 2" xfId="9279"/>
    <cellStyle name="20% - Accent3 2 6 2 8 2 2" xfId="9280"/>
    <cellStyle name="20% - Accent3 2 6 2 8 3" xfId="9281"/>
    <cellStyle name="20% - Accent3 2 6 2 9" xfId="9282"/>
    <cellStyle name="20% - Accent3 2 6 2 9 2" xfId="9283"/>
    <cellStyle name="20% - Accent3 2 6 3" xfId="9284"/>
    <cellStyle name="20% - Accent3 2 6 3 2" xfId="9285"/>
    <cellStyle name="20% - Accent3 2 6 3 2 2" xfId="9286"/>
    <cellStyle name="20% - Accent3 2 6 3 2 2 2" xfId="9287"/>
    <cellStyle name="20% - Accent3 2 6 3 2 2 2 2" xfId="9288"/>
    <cellStyle name="20% - Accent3 2 6 3 2 2 3" xfId="9289"/>
    <cellStyle name="20% - Accent3 2 6 3 2 3" xfId="9290"/>
    <cellStyle name="20% - Accent3 2 6 3 2 3 2" xfId="9291"/>
    <cellStyle name="20% - Accent3 2 6 3 2 4" xfId="9292"/>
    <cellStyle name="20% - Accent3 2 6 3 3" xfId="9293"/>
    <cellStyle name="20% - Accent3 2 6 3 3 2" xfId="9294"/>
    <cellStyle name="20% - Accent3 2 6 3 3 2 2" xfId="9295"/>
    <cellStyle name="20% - Accent3 2 6 3 3 3" xfId="9296"/>
    <cellStyle name="20% - Accent3 2 6 3 4" xfId="9297"/>
    <cellStyle name="20% - Accent3 2 6 3 4 2" xfId="9298"/>
    <cellStyle name="20% - Accent3 2 6 3 5" xfId="9299"/>
    <cellStyle name="20% - Accent3 2 6 4" xfId="9300"/>
    <cellStyle name="20% - Accent3 2 6 4 2" xfId="9301"/>
    <cellStyle name="20% - Accent3 2 6 4 2 2" xfId="9302"/>
    <cellStyle name="20% - Accent3 2 6 4 2 2 2" xfId="9303"/>
    <cellStyle name="20% - Accent3 2 6 4 2 2 2 2" xfId="9304"/>
    <cellStyle name="20% - Accent3 2 6 4 2 2 3" xfId="9305"/>
    <cellStyle name="20% - Accent3 2 6 4 2 3" xfId="9306"/>
    <cellStyle name="20% - Accent3 2 6 4 2 3 2" xfId="9307"/>
    <cellStyle name="20% - Accent3 2 6 4 2 4" xfId="9308"/>
    <cellStyle name="20% - Accent3 2 6 4 3" xfId="9309"/>
    <cellStyle name="20% - Accent3 2 6 4 3 2" xfId="9310"/>
    <cellStyle name="20% - Accent3 2 6 4 3 2 2" xfId="9311"/>
    <cellStyle name="20% - Accent3 2 6 4 3 3" xfId="9312"/>
    <cellStyle name="20% - Accent3 2 6 4 4" xfId="9313"/>
    <cellStyle name="20% - Accent3 2 6 4 4 2" xfId="9314"/>
    <cellStyle name="20% - Accent3 2 6 4 5" xfId="9315"/>
    <cellStyle name="20% - Accent3 2 6 5" xfId="9316"/>
    <cellStyle name="20% - Accent3 2 6 5 2" xfId="9317"/>
    <cellStyle name="20% - Accent3 2 6 5 2 2" xfId="9318"/>
    <cellStyle name="20% - Accent3 2 6 5 2 2 2" xfId="9319"/>
    <cellStyle name="20% - Accent3 2 6 5 2 2 2 2" xfId="9320"/>
    <cellStyle name="20% - Accent3 2 6 5 2 2 3" xfId="9321"/>
    <cellStyle name="20% - Accent3 2 6 5 2 3" xfId="9322"/>
    <cellStyle name="20% - Accent3 2 6 5 2 3 2" xfId="9323"/>
    <cellStyle name="20% - Accent3 2 6 5 2 4" xfId="9324"/>
    <cellStyle name="20% - Accent3 2 6 5 3" xfId="9325"/>
    <cellStyle name="20% - Accent3 2 6 5 3 2" xfId="9326"/>
    <cellStyle name="20% - Accent3 2 6 5 3 2 2" xfId="9327"/>
    <cellStyle name="20% - Accent3 2 6 5 3 3" xfId="9328"/>
    <cellStyle name="20% - Accent3 2 6 5 4" xfId="9329"/>
    <cellStyle name="20% - Accent3 2 6 5 4 2" xfId="9330"/>
    <cellStyle name="20% - Accent3 2 6 5 5" xfId="9331"/>
    <cellStyle name="20% - Accent3 2 6 6" xfId="9332"/>
    <cellStyle name="20% - Accent3 2 6 6 2" xfId="9333"/>
    <cellStyle name="20% - Accent3 2 6 6 2 2" xfId="9334"/>
    <cellStyle name="20% - Accent3 2 6 6 2 2 2" xfId="9335"/>
    <cellStyle name="20% - Accent3 2 6 6 2 2 2 2" xfId="9336"/>
    <cellStyle name="20% - Accent3 2 6 6 2 2 3" xfId="9337"/>
    <cellStyle name="20% - Accent3 2 6 6 2 3" xfId="9338"/>
    <cellStyle name="20% - Accent3 2 6 6 2 3 2" xfId="9339"/>
    <cellStyle name="20% - Accent3 2 6 6 2 4" xfId="9340"/>
    <cellStyle name="20% - Accent3 2 6 6 3" xfId="9341"/>
    <cellStyle name="20% - Accent3 2 6 6 3 2" xfId="9342"/>
    <cellStyle name="20% - Accent3 2 6 6 3 2 2" xfId="9343"/>
    <cellStyle name="20% - Accent3 2 6 6 3 3" xfId="9344"/>
    <cellStyle name="20% - Accent3 2 6 6 4" xfId="9345"/>
    <cellStyle name="20% - Accent3 2 6 6 4 2" xfId="9346"/>
    <cellStyle name="20% - Accent3 2 6 6 5" xfId="9347"/>
    <cellStyle name="20% - Accent3 2 6 7" xfId="9348"/>
    <cellStyle name="20% - Accent3 2 6 7 2" xfId="9349"/>
    <cellStyle name="20% - Accent3 2 6 7 2 2" xfId="9350"/>
    <cellStyle name="20% - Accent3 2 6 7 2 2 2" xfId="9351"/>
    <cellStyle name="20% - Accent3 2 6 7 2 2 2 2" xfId="9352"/>
    <cellStyle name="20% - Accent3 2 6 7 2 2 3" xfId="9353"/>
    <cellStyle name="20% - Accent3 2 6 7 2 3" xfId="9354"/>
    <cellStyle name="20% - Accent3 2 6 7 2 3 2" xfId="9355"/>
    <cellStyle name="20% - Accent3 2 6 7 2 4" xfId="9356"/>
    <cellStyle name="20% - Accent3 2 6 7 3" xfId="9357"/>
    <cellStyle name="20% - Accent3 2 6 7 3 2" xfId="9358"/>
    <cellStyle name="20% - Accent3 2 6 7 3 2 2" xfId="9359"/>
    <cellStyle name="20% - Accent3 2 6 7 3 3" xfId="9360"/>
    <cellStyle name="20% - Accent3 2 6 7 4" xfId="9361"/>
    <cellStyle name="20% - Accent3 2 6 7 4 2" xfId="9362"/>
    <cellStyle name="20% - Accent3 2 6 7 5" xfId="9363"/>
    <cellStyle name="20% - Accent3 2 6 8" xfId="9364"/>
    <cellStyle name="20% - Accent3 2 6 8 2" xfId="9365"/>
    <cellStyle name="20% - Accent3 2 6 8 2 2" xfId="9366"/>
    <cellStyle name="20% - Accent3 2 6 8 2 2 2" xfId="9367"/>
    <cellStyle name="20% - Accent3 2 6 8 2 3" xfId="9368"/>
    <cellStyle name="20% - Accent3 2 6 8 3" xfId="9369"/>
    <cellStyle name="20% - Accent3 2 6 8 3 2" xfId="9370"/>
    <cellStyle name="20% - Accent3 2 6 8 4" xfId="9371"/>
    <cellStyle name="20% - Accent3 2 6 9" xfId="9372"/>
    <cellStyle name="20% - Accent3 2 6 9 2" xfId="9373"/>
    <cellStyle name="20% - Accent3 2 6 9 2 2" xfId="9374"/>
    <cellStyle name="20% - Accent3 2 6 9 3" xfId="9375"/>
    <cellStyle name="20% - Accent3 2 7" xfId="9376"/>
    <cellStyle name="20% - Accent3 2 7 10" xfId="9377"/>
    <cellStyle name="20% - Accent3 2 7 10 2" xfId="9378"/>
    <cellStyle name="20% - Accent3 2 7 11" xfId="9379"/>
    <cellStyle name="20% - Accent3 2 7 2" xfId="9380"/>
    <cellStyle name="20% - Accent3 2 7 2 10" xfId="9381"/>
    <cellStyle name="20% - Accent3 2 7 2 2" xfId="9382"/>
    <cellStyle name="20% - Accent3 2 7 2 2 2" xfId="9383"/>
    <cellStyle name="20% - Accent3 2 7 2 2 2 2" xfId="9384"/>
    <cellStyle name="20% - Accent3 2 7 2 2 2 2 2" xfId="9385"/>
    <cellStyle name="20% - Accent3 2 7 2 2 2 2 2 2" xfId="9386"/>
    <cellStyle name="20% - Accent3 2 7 2 2 2 2 3" xfId="9387"/>
    <cellStyle name="20% - Accent3 2 7 2 2 2 3" xfId="9388"/>
    <cellStyle name="20% - Accent3 2 7 2 2 2 3 2" xfId="9389"/>
    <cellStyle name="20% - Accent3 2 7 2 2 2 4" xfId="9390"/>
    <cellStyle name="20% - Accent3 2 7 2 2 3" xfId="9391"/>
    <cellStyle name="20% - Accent3 2 7 2 2 3 2" xfId="9392"/>
    <cellStyle name="20% - Accent3 2 7 2 2 3 2 2" xfId="9393"/>
    <cellStyle name="20% - Accent3 2 7 2 2 3 3" xfId="9394"/>
    <cellStyle name="20% - Accent3 2 7 2 2 4" xfId="9395"/>
    <cellStyle name="20% - Accent3 2 7 2 2 4 2" xfId="9396"/>
    <cellStyle name="20% - Accent3 2 7 2 2 5" xfId="9397"/>
    <cellStyle name="20% - Accent3 2 7 2 3" xfId="9398"/>
    <cellStyle name="20% - Accent3 2 7 2 3 2" xfId="9399"/>
    <cellStyle name="20% - Accent3 2 7 2 3 2 2" xfId="9400"/>
    <cellStyle name="20% - Accent3 2 7 2 3 2 2 2" xfId="9401"/>
    <cellStyle name="20% - Accent3 2 7 2 3 2 2 2 2" xfId="9402"/>
    <cellStyle name="20% - Accent3 2 7 2 3 2 2 3" xfId="9403"/>
    <cellStyle name="20% - Accent3 2 7 2 3 2 3" xfId="9404"/>
    <cellStyle name="20% - Accent3 2 7 2 3 2 3 2" xfId="9405"/>
    <cellStyle name="20% - Accent3 2 7 2 3 2 4" xfId="9406"/>
    <cellStyle name="20% - Accent3 2 7 2 3 3" xfId="9407"/>
    <cellStyle name="20% - Accent3 2 7 2 3 3 2" xfId="9408"/>
    <cellStyle name="20% - Accent3 2 7 2 3 3 2 2" xfId="9409"/>
    <cellStyle name="20% - Accent3 2 7 2 3 3 3" xfId="9410"/>
    <cellStyle name="20% - Accent3 2 7 2 3 4" xfId="9411"/>
    <cellStyle name="20% - Accent3 2 7 2 3 4 2" xfId="9412"/>
    <cellStyle name="20% - Accent3 2 7 2 3 5" xfId="9413"/>
    <cellStyle name="20% - Accent3 2 7 2 4" xfId="9414"/>
    <cellStyle name="20% - Accent3 2 7 2 4 2" xfId="9415"/>
    <cellStyle name="20% - Accent3 2 7 2 4 2 2" xfId="9416"/>
    <cellStyle name="20% - Accent3 2 7 2 4 2 2 2" xfId="9417"/>
    <cellStyle name="20% - Accent3 2 7 2 4 2 2 2 2" xfId="9418"/>
    <cellStyle name="20% - Accent3 2 7 2 4 2 2 3" xfId="9419"/>
    <cellStyle name="20% - Accent3 2 7 2 4 2 3" xfId="9420"/>
    <cellStyle name="20% - Accent3 2 7 2 4 2 3 2" xfId="9421"/>
    <cellStyle name="20% - Accent3 2 7 2 4 2 4" xfId="9422"/>
    <cellStyle name="20% - Accent3 2 7 2 4 3" xfId="9423"/>
    <cellStyle name="20% - Accent3 2 7 2 4 3 2" xfId="9424"/>
    <cellStyle name="20% - Accent3 2 7 2 4 3 2 2" xfId="9425"/>
    <cellStyle name="20% - Accent3 2 7 2 4 3 3" xfId="9426"/>
    <cellStyle name="20% - Accent3 2 7 2 4 4" xfId="9427"/>
    <cellStyle name="20% - Accent3 2 7 2 4 4 2" xfId="9428"/>
    <cellStyle name="20% - Accent3 2 7 2 4 5" xfId="9429"/>
    <cellStyle name="20% - Accent3 2 7 2 5" xfId="9430"/>
    <cellStyle name="20% - Accent3 2 7 2 5 2" xfId="9431"/>
    <cellStyle name="20% - Accent3 2 7 2 5 2 2" xfId="9432"/>
    <cellStyle name="20% - Accent3 2 7 2 5 2 2 2" xfId="9433"/>
    <cellStyle name="20% - Accent3 2 7 2 5 2 2 2 2" xfId="9434"/>
    <cellStyle name="20% - Accent3 2 7 2 5 2 2 3" xfId="9435"/>
    <cellStyle name="20% - Accent3 2 7 2 5 2 3" xfId="9436"/>
    <cellStyle name="20% - Accent3 2 7 2 5 2 3 2" xfId="9437"/>
    <cellStyle name="20% - Accent3 2 7 2 5 2 4" xfId="9438"/>
    <cellStyle name="20% - Accent3 2 7 2 5 3" xfId="9439"/>
    <cellStyle name="20% - Accent3 2 7 2 5 3 2" xfId="9440"/>
    <cellStyle name="20% - Accent3 2 7 2 5 3 2 2" xfId="9441"/>
    <cellStyle name="20% - Accent3 2 7 2 5 3 3" xfId="9442"/>
    <cellStyle name="20% - Accent3 2 7 2 5 4" xfId="9443"/>
    <cellStyle name="20% - Accent3 2 7 2 5 4 2" xfId="9444"/>
    <cellStyle name="20% - Accent3 2 7 2 5 5" xfId="9445"/>
    <cellStyle name="20% - Accent3 2 7 2 6" xfId="9446"/>
    <cellStyle name="20% - Accent3 2 7 2 6 2" xfId="9447"/>
    <cellStyle name="20% - Accent3 2 7 2 6 2 2" xfId="9448"/>
    <cellStyle name="20% - Accent3 2 7 2 6 2 2 2" xfId="9449"/>
    <cellStyle name="20% - Accent3 2 7 2 6 2 2 2 2" xfId="9450"/>
    <cellStyle name="20% - Accent3 2 7 2 6 2 2 3" xfId="9451"/>
    <cellStyle name="20% - Accent3 2 7 2 6 2 3" xfId="9452"/>
    <cellStyle name="20% - Accent3 2 7 2 6 2 3 2" xfId="9453"/>
    <cellStyle name="20% - Accent3 2 7 2 6 2 4" xfId="9454"/>
    <cellStyle name="20% - Accent3 2 7 2 6 3" xfId="9455"/>
    <cellStyle name="20% - Accent3 2 7 2 6 3 2" xfId="9456"/>
    <cellStyle name="20% - Accent3 2 7 2 6 3 2 2" xfId="9457"/>
    <cellStyle name="20% - Accent3 2 7 2 6 3 3" xfId="9458"/>
    <cellStyle name="20% - Accent3 2 7 2 6 4" xfId="9459"/>
    <cellStyle name="20% - Accent3 2 7 2 6 4 2" xfId="9460"/>
    <cellStyle name="20% - Accent3 2 7 2 6 5" xfId="9461"/>
    <cellStyle name="20% - Accent3 2 7 2 7" xfId="9462"/>
    <cellStyle name="20% - Accent3 2 7 2 7 2" xfId="9463"/>
    <cellStyle name="20% - Accent3 2 7 2 7 2 2" xfId="9464"/>
    <cellStyle name="20% - Accent3 2 7 2 7 2 2 2" xfId="9465"/>
    <cellStyle name="20% - Accent3 2 7 2 7 2 3" xfId="9466"/>
    <cellStyle name="20% - Accent3 2 7 2 7 3" xfId="9467"/>
    <cellStyle name="20% - Accent3 2 7 2 7 3 2" xfId="9468"/>
    <cellStyle name="20% - Accent3 2 7 2 7 4" xfId="9469"/>
    <cellStyle name="20% - Accent3 2 7 2 8" xfId="9470"/>
    <cellStyle name="20% - Accent3 2 7 2 8 2" xfId="9471"/>
    <cellStyle name="20% - Accent3 2 7 2 8 2 2" xfId="9472"/>
    <cellStyle name="20% - Accent3 2 7 2 8 3" xfId="9473"/>
    <cellStyle name="20% - Accent3 2 7 2 9" xfId="9474"/>
    <cellStyle name="20% - Accent3 2 7 2 9 2" xfId="9475"/>
    <cellStyle name="20% - Accent3 2 7 3" xfId="9476"/>
    <cellStyle name="20% - Accent3 2 7 3 2" xfId="9477"/>
    <cellStyle name="20% - Accent3 2 7 3 2 2" xfId="9478"/>
    <cellStyle name="20% - Accent3 2 7 3 2 2 2" xfId="9479"/>
    <cellStyle name="20% - Accent3 2 7 3 2 2 2 2" xfId="9480"/>
    <cellStyle name="20% - Accent3 2 7 3 2 2 3" xfId="9481"/>
    <cellStyle name="20% - Accent3 2 7 3 2 3" xfId="9482"/>
    <cellStyle name="20% - Accent3 2 7 3 2 3 2" xfId="9483"/>
    <cellStyle name="20% - Accent3 2 7 3 2 4" xfId="9484"/>
    <cellStyle name="20% - Accent3 2 7 3 3" xfId="9485"/>
    <cellStyle name="20% - Accent3 2 7 3 3 2" xfId="9486"/>
    <cellStyle name="20% - Accent3 2 7 3 3 2 2" xfId="9487"/>
    <cellStyle name="20% - Accent3 2 7 3 3 3" xfId="9488"/>
    <cellStyle name="20% - Accent3 2 7 3 4" xfId="9489"/>
    <cellStyle name="20% - Accent3 2 7 3 4 2" xfId="9490"/>
    <cellStyle name="20% - Accent3 2 7 3 5" xfId="9491"/>
    <cellStyle name="20% - Accent3 2 7 4" xfId="9492"/>
    <cellStyle name="20% - Accent3 2 7 4 2" xfId="9493"/>
    <cellStyle name="20% - Accent3 2 7 4 2 2" xfId="9494"/>
    <cellStyle name="20% - Accent3 2 7 4 2 2 2" xfId="9495"/>
    <cellStyle name="20% - Accent3 2 7 4 2 2 2 2" xfId="9496"/>
    <cellStyle name="20% - Accent3 2 7 4 2 2 3" xfId="9497"/>
    <cellStyle name="20% - Accent3 2 7 4 2 3" xfId="9498"/>
    <cellStyle name="20% - Accent3 2 7 4 2 3 2" xfId="9499"/>
    <cellStyle name="20% - Accent3 2 7 4 2 4" xfId="9500"/>
    <cellStyle name="20% - Accent3 2 7 4 3" xfId="9501"/>
    <cellStyle name="20% - Accent3 2 7 4 3 2" xfId="9502"/>
    <cellStyle name="20% - Accent3 2 7 4 3 2 2" xfId="9503"/>
    <cellStyle name="20% - Accent3 2 7 4 3 3" xfId="9504"/>
    <cellStyle name="20% - Accent3 2 7 4 4" xfId="9505"/>
    <cellStyle name="20% - Accent3 2 7 4 4 2" xfId="9506"/>
    <cellStyle name="20% - Accent3 2 7 4 5" xfId="9507"/>
    <cellStyle name="20% - Accent3 2 7 5" xfId="9508"/>
    <cellStyle name="20% - Accent3 2 7 5 2" xfId="9509"/>
    <cellStyle name="20% - Accent3 2 7 5 2 2" xfId="9510"/>
    <cellStyle name="20% - Accent3 2 7 5 2 2 2" xfId="9511"/>
    <cellStyle name="20% - Accent3 2 7 5 2 2 2 2" xfId="9512"/>
    <cellStyle name="20% - Accent3 2 7 5 2 2 3" xfId="9513"/>
    <cellStyle name="20% - Accent3 2 7 5 2 3" xfId="9514"/>
    <cellStyle name="20% - Accent3 2 7 5 2 3 2" xfId="9515"/>
    <cellStyle name="20% - Accent3 2 7 5 2 4" xfId="9516"/>
    <cellStyle name="20% - Accent3 2 7 5 3" xfId="9517"/>
    <cellStyle name="20% - Accent3 2 7 5 3 2" xfId="9518"/>
    <cellStyle name="20% - Accent3 2 7 5 3 2 2" xfId="9519"/>
    <cellStyle name="20% - Accent3 2 7 5 3 3" xfId="9520"/>
    <cellStyle name="20% - Accent3 2 7 5 4" xfId="9521"/>
    <cellStyle name="20% - Accent3 2 7 5 4 2" xfId="9522"/>
    <cellStyle name="20% - Accent3 2 7 5 5" xfId="9523"/>
    <cellStyle name="20% - Accent3 2 7 6" xfId="9524"/>
    <cellStyle name="20% - Accent3 2 7 6 2" xfId="9525"/>
    <cellStyle name="20% - Accent3 2 7 6 2 2" xfId="9526"/>
    <cellStyle name="20% - Accent3 2 7 6 2 2 2" xfId="9527"/>
    <cellStyle name="20% - Accent3 2 7 6 2 2 2 2" xfId="9528"/>
    <cellStyle name="20% - Accent3 2 7 6 2 2 3" xfId="9529"/>
    <cellStyle name="20% - Accent3 2 7 6 2 3" xfId="9530"/>
    <cellStyle name="20% - Accent3 2 7 6 2 3 2" xfId="9531"/>
    <cellStyle name="20% - Accent3 2 7 6 2 4" xfId="9532"/>
    <cellStyle name="20% - Accent3 2 7 6 3" xfId="9533"/>
    <cellStyle name="20% - Accent3 2 7 6 3 2" xfId="9534"/>
    <cellStyle name="20% - Accent3 2 7 6 3 2 2" xfId="9535"/>
    <cellStyle name="20% - Accent3 2 7 6 3 3" xfId="9536"/>
    <cellStyle name="20% - Accent3 2 7 6 4" xfId="9537"/>
    <cellStyle name="20% - Accent3 2 7 6 4 2" xfId="9538"/>
    <cellStyle name="20% - Accent3 2 7 6 5" xfId="9539"/>
    <cellStyle name="20% - Accent3 2 7 7" xfId="9540"/>
    <cellStyle name="20% - Accent3 2 7 7 2" xfId="9541"/>
    <cellStyle name="20% - Accent3 2 7 7 2 2" xfId="9542"/>
    <cellStyle name="20% - Accent3 2 7 7 2 2 2" xfId="9543"/>
    <cellStyle name="20% - Accent3 2 7 7 2 2 2 2" xfId="9544"/>
    <cellStyle name="20% - Accent3 2 7 7 2 2 3" xfId="9545"/>
    <cellStyle name="20% - Accent3 2 7 7 2 3" xfId="9546"/>
    <cellStyle name="20% - Accent3 2 7 7 2 3 2" xfId="9547"/>
    <cellStyle name="20% - Accent3 2 7 7 2 4" xfId="9548"/>
    <cellStyle name="20% - Accent3 2 7 7 3" xfId="9549"/>
    <cellStyle name="20% - Accent3 2 7 7 3 2" xfId="9550"/>
    <cellStyle name="20% - Accent3 2 7 7 3 2 2" xfId="9551"/>
    <cellStyle name="20% - Accent3 2 7 7 3 3" xfId="9552"/>
    <cellStyle name="20% - Accent3 2 7 7 4" xfId="9553"/>
    <cellStyle name="20% - Accent3 2 7 7 4 2" xfId="9554"/>
    <cellStyle name="20% - Accent3 2 7 7 5" xfId="9555"/>
    <cellStyle name="20% - Accent3 2 7 8" xfId="9556"/>
    <cellStyle name="20% - Accent3 2 7 8 2" xfId="9557"/>
    <cellStyle name="20% - Accent3 2 7 8 2 2" xfId="9558"/>
    <cellStyle name="20% - Accent3 2 7 8 2 2 2" xfId="9559"/>
    <cellStyle name="20% - Accent3 2 7 8 2 3" xfId="9560"/>
    <cellStyle name="20% - Accent3 2 7 8 3" xfId="9561"/>
    <cellStyle name="20% - Accent3 2 7 8 3 2" xfId="9562"/>
    <cellStyle name="20% - Accent3 2 7 8 4" xfId="9563"/>
    <cellStyle name="20% - Accent3 2 7 9" xfId="9564"/>
    <cellStyle name="20% - Accent3 2 7 9 2" xfId="9565"/>
    <cellStyle name="20% - Accent3 2 7 9 2 2" xfId="9566"/>
    <cellStyle name="20% - Accent3 2 7 9 3" xfId="9567"/>
    <cellStyle name="20% - Accent3 2 8" xfId="9568"/>
    <cellStyle name="20% - Accent3 2 8 10" xfId="9569"/>
    <cellStyle name="20% - Accent3 2 8 10 2" xfId="9570"/>
    <cellStyle name="20% - Accent3 2 8 11" xfId="9571"/>
    <cellStyle name="20% - Accent3 2 8 2" xfId="9572"/>
    <cellStyle name="20% - Accent3 2 8 2 10" xfId="9573"/>
    <cellStyle name="20% - Accent3 2 8 2 2" xfId="9574"/>
    <cellStyle name="20% - Accent3 2 8 2 2 2" xfId="9575"/>
    <cellStyle name="20% - Accent3 2 8 2 2 2 2" xfId="9576"/>
    <cellStyle name="20% - Accent3 2 8 2 2 2 2 2" xfId="9577"/>
    <cellStyle name="20% - Accent3 2 8 2 2 2 2 2 2" xfId="9578"/>
    <cellStyle name="20% - Accent3 2 8 2 2 2 2 3" xfId="9579"/>
    <cellStyle name="20% - Accent3 2 8 2 2 2 3" xfId="9580"/>
    <cellStyle name="20% - Accent3 2 8 2 2 2 3 2" xfId="9581"/>
    <cellStyle name="20% - Accent3 2 8 2 2 2 4" xfId="9582"/>
    <cellStyle name="20% - Accent3 2 8 2 2 3" xfId="9583"/>
    <cellStyle name="20% - Accent3 2 8 2 2 3 2" xfId="9584"/>
    <cellStyle name="20% - Accent3 2 8 2 2 3 2 2" xfId="9585"/>
    <cellStyle name="20% - Accent3 2 8 2 2 3 3" xfId="9586"/>
    <cellStyle name="20% - Accent3 2 8 2 2 4" xfId="9587"/>
    <cellStyle name="20% - Accent3 2 8 2 2 4 2" xfId="9588"/>
    <cellStyle name="20% - Accent3 2 8 2 2 5" xfId="9589"/>
    <cellStyle name="20% - Accent3 2 8 2 3" xfId="9590"/>
    <cellStyle name="20% - Accent3 2 8 2 3 2" xfId="9591"/>
    <cellStyle name="20% - Accent3 2 8 2 3 2 2" xfId="9592"/>
    <cellStyle name="20% - Accent3 2 8 2 3 2 2 2" xfId="9593"/>
    <cellStyle name="20% - Accent3 2 8 2 3 2 2 2 2" xfId="9594"/>
    <cellStyle name="20% - Accent3 2 8 2 3 2 2 3" xfId="9595"/>
    <cellStyle name="20% - Accent3 2 8 2 3 2 3" xfId="9596"/>
    <cellStyle name="20% - Accent3 2 8 2 3 2 3 2" xfId="9597"/>
    <cellStyle name="20% - Accent3 2 8 2 3 2 4" xfId="9598"/>
    <cellStyle name="20% - Accent3 2 8 2 3 3" xfId="9599"/>
    <cellStyle name="20% - Accent3 2 8 2 3 3 2" xfId="9600"/>
    <cellStyle name="20% - Accent3 2 8 2 3 3 2 2" xfId="9601"/>
    <cellStyle name="20% - Accent3 2 8 2 3 3 3" xfId="9602"/>
    <cellStyle name="20% - Accent3 2 8 2 3 4" xfId="9603"/>
    <cellStyle name="20% - Accent3 2 8 2 3 4 2" xfId="9604"/>
    <cellStyle name="20% - Accent3 2 8 2 3 5" xfId="9605"/>
    <cellStyle name="20% - Accent3 2 8 2 4" xfId="9606"/>
    <cellStyle name="20% - Accent3 2 8 2 4 2" xfId="9607"/>
    <cellStyle name="20% - Accent3 2 8 2 4 2 2" xfId="9608"/>
    <cellStyle name="20% - Accent3 2 8 2 4 2 2 2" xfId="9609"/>
    <cellStyle name="20% - Accent3 2 8 2 4 2 2 2 2" xfId="9610"/>
    <cellStyle name="20% - Accent3 2 8 2 4 2 2 3" xfId="9611"/>
    <cellStyle name="20% - Accent3 2 8 2 4 2 3" xfId="9612"/>
    <cellStyle name="20% - Accent3 2 8 2 4 2 3 2" xfId="9613"/>
    <cellStyle name="20% - Accent3 2 8 2 4 2 4" xfId="9614"/>
    <cellStyle name="20% - Accent3 2 8 2 4 3" xfId="9615"/>
    <cellStyle name="20% - Accent3 2 8 2 4 3 2" xfId="9616"/>
    <cellStyle name="20% - Accent3 2 8 2 4 3 2 2" xfId="9617"/>
    <cellStyle name="20% - Accent3 2 8 2 4 3 3" xfId="9618"/>
    <cellStyle name="20% - Accent3 2 8 2 4 4" xfId="9619"/>
    <cellStyle name="20% - Accent3 2 8 2 4 4 2" xfId="9620"/>
    <cellStyle name="20% - Accent3 2 8 2 4 5" xfId="9621"/>
    <cellStyle name="20% - Accent3 2 8 2 5" xfId="9622"/>
    <cellStyle name="20% - Accent3 2 8 2 5 2" xfId="9623"/>
    <cellStyle name="20% - Accent3 2 8 2 5 2 2" xfId="9624"/>
    <cellStyle name="20% - Accent3 2 8 2 5 2 2 2" xfId="9625"/>
    <cellStyle name="20% - Accent3 2 8 2 5 2 2 2 2" xfId="9626"/>
    <cellStyle name="20% - Accent3 2 8 2 5 2 2 3" xfId="9627"/>
    <cellStyle name="20% - Accent3 2 8 2 5 2 3" xfId="9628"/>
    <cellStyle name="20% - Accent3 2 8 2 5 2 3 2" xfId="9629"/>
    <cellStyle name="20% - Accent3 2 8 2 5 2 4" xfId="9630"/>
    <cellStyle name="20% - Accent3 2 8 2 5 3" xfId="9631"/>
    <cellStyle name="20% - Accent3 2 8 2 5 3 2" xfId="9632"/>
    <cellStyle name="20% - Accent3 2 8 2 5 3 2 2" xfId="9633"/>
    <cellStyle name="20% - Accent3 2 8 2 5 3 3" xfId="9634"/>
    <cellStyle name="20% - Accent3 2 8 2 5 4" xfId="9635"/>
    <cellStyle name="20% - Accent3 2 8 2 5 4 2" xfId="9636"/>
    <cellStyle name="20% - Accent3 2 8 2 5 5" xfId="9637"/>
    <cellStyle name="20% - Accent3 2 8 2 6" xfId="9638"/>
    <cellStyle name="20% - Accent3 2 8 2 6 2" xfId="9639"/>
    <cellStyle name="20% - Accent3 2 8 2 6 2 2" xfId="9640"/>
    <cellStyle name="20% - Accent3 2 8 2 6 2 2 2" xfId="9641"/>
    <cellStyle name="20% - Accent3 2 8 2 6 2 2 2 2" xfId="9642"/>
    <cellStyle name="20% - Accent3 2 8 2 6 2 2 3" xfId="9643"/>
    <cellStyle name="20% - Accent3 2 8 2 6 2 3" xfId="9644"/>
    <cellStyle name="20% - Accent3 2 8 2 6 2 3 2" xfId="9645"/>
    <cellStyle name="20% - Accent3 2 8 2 6 2 4" xfId="9646"/>
    <cellStyle name="20% - Accent3 2 8 2 6 3" xfId="9647"/>
    <cellStyle name="20% - Accent3 2 8 2 6 3 2" xfId="9648"/>
    <cellStyle name="20% - Accent3 2 8 2 6 3 2 2" xfId="9649"/>
    <cellStyle name="20% - Accent3 2 8 2 6 3 3" xfId="9650"/>
    <cellStyle name="20% - Accent3 2 8 2 6 4" xfId="9651"/>
    <cellStyle name="20% - Accent3 2 8 2 6 4 2" xfId="9652"/>
    <cellStyle name="20% - Accent3 2 8 2 6 5" xfId="9653"/>
    <cellStyle name="20% - Accent3 2 8 2 7" xfId="9654"/>
    <cellStyle name="20% - Accent3 2 8 2 7 2" xfId="9655"/>
    <cellStyle name="20% - Accent3 2 8 2 7 2 2" xfId="9656"/>
    <cellStyle name="20% - Accent3 2 8 2 7 2 2 2" xfId="9657"/>
    <cellStyle name="20% - Accent3 2 8 2 7 2 3" xfId="9658"/>
    <cellStyle name="20% - Accent3 2 8 2 7 3" xfId="9659"/>
    <cellStyle name="20% - Accent3 2 8 2 7 3 2" xfId="9660"/>
    <cellStyle name="20% - Accent3 2 8 2 7 4" xfId="9661"/>
    <cellStyle name="20% - Accent3 2 8 2 8" xfId="9662"/>
    <cellStyle name="20% - Accent3 2 8 2 8 2" xfId="9663"/>
    <cellStyle name="20% - Accent3 2 8 2 8 2 2" xfId="9664"/>
    <cellStyle name="20% - Accent3 2 8 2 8 3" xfId="9665"/>
    <cellStyle name="20% - Accent3 2 8 2 9" xfId="9666"/>
    <cellStyle name="20% - Accent3 2 8 2 9 2" xfId="9667"/>
    <cellStyle name="20% - Accent3 2 8 3" xfId="9668"/>
    <cellStyle name="20% - Accent3 2 8 3 2" xfId="9669"/>
    <cellStyle name="20% - Accent3 2 8 3 2 2" xfId="9670"/>
    <cellStyle name="20% - Accent3 2 8 3 2 2 2" xfId="9671"/>
    <cellStyle name="20% - Accent3 2 8 3 2 2 2 2" xfId="9672"/>
    <cellStyle name="20% - Accent3 2 8 3 2 2 3" xfId="9673"/>
    <cellStyle name="20% - Accent3 2 8 3 2 3" xfId="9674"/>
    <cellStyle name="20% - Accent3 2 8 3 2 3 2" xfId="9675"/>
    <cellStyle name="20% - Accent3 2 8 3 2 4" xfId="9676"/>
    <cellStyle name="20% - Accent3 2 8 3 3" xfId="9677"/>
    <cellStyle name="20% - Accent3 2 8 3 3 2" xfId="9678"/>
    <cellStyle name="20% - Accent3 2 8 3 3 2 2" xfId="9679"/>
    <cellStyle name="20% - Accent3 2 8 3 3 3" xfId="9680"/>
    <cellStyle name="20% - Accent3 2 8 3 4" xfId="9681"/>
    <cellStyle name="20% - Accent3 2 8 3 4 2" xfId="9682"/>
    <cellStyle name="20% - Accent3 2 8 3 5" xfId="9683"/>
    <cellStyle name="20% - Accent3 2 8 4" xfId="9684"/>
    <cellStyle name="20% - Accent3 2 8 4 2" xfId="9685"/>
    <cellStyle name="20% - Accent3 2 8 4 2 2" xfId="9686"/>
    <cellStyle name="20% - Accent3 2 8 4 2 2 2" xfId="9687"/>
    <cellStyle name="20% - Accent3 2 8 4 2 2 2 2" xfId="9688"/>
    <cellStyle name="20% - Accent3 2 8 4 2 2 3" xfId="9689"/>
    <cellStyle name="20% - Accent3 2 8 4 2 3" xfId="9690"/>
    <cellStyle name="20% - Accent3 2 8 4 2 3 2" xfId="9691"/>
    <cellStyle name="20% - Accent3 2 8 4 2 4" xfId="9692"/>
    <cellStyle name="20% - Accent3 2 8 4 3" xfId="9693"/>
    <cellStyle name="20% - Accent3 2 8 4 3 2" xfId="9694"/>
    <cellStyle name="20% - Accent3 2 8 4 3 2 2" xfId="9695"/>
    <cellStyle name="20% - Accent3 2 8 4 3 3" xfId="9696"/>
    <cellStyle name="20% - Accent3 2 8 4 4" xfId="9697"/>
    <cellStyle name="20% - Accent3 2 8 4 4 2" xfId="9698"/>
    <cellStyle name="20% - Accent3 2 8 4 5" xfId="9699"/>
    <cellStyle name="20% - Accent3 2 8 5" xfId="9700"/>
    <cellStyle name="20% - Accent3 2 8 5 2" xfId="9701"/>
    <cellStyle name="20% - Accent3 2 8 5 2 2" xfId="9702"/>
    <cellStyle name="20% - Accent3 2 8 5 2 2 2" xfId="9703"/>
    <cellStyle name="20% - Accent3 2 8 5 2 2 2 2" xfId="9704"/>
    <cellStyle name="20% - Accent3 2 8 5 2 2 3" xfId="9705"/>
    <cellStyle name="20% - Accent3 2 8 5 2 3" xfId="9706"/>
    <cellStyle name="20% - Accent3 2 8 5 2 3 2" xfId="9707"/>
    <cellStyle name="20% - Accent3 2 8 5 2 4" xfId="9708"/>
    <cellStyle name="20% - Accent3 2 8 5 3" xfId="9709"/>
    <cellStyle name="20% - Accent3 2 8 5 3 2" xfId="9710"/>
    <cellStyle name="20% - Accent3 2 8 5 3 2 2" xfId="9711"/>
    <cellStyle name="20% - Accent3 2 8 5 3 3" xfId="9712"/>
    <cellStyle name="20% - Accent3 2 8 5 4" xfId="9713"/>
    <cellStyle name="20% - Accent3 2 8 5 4 2" xfId="9714"/>
    <cellStyle name="20% - Accent3 2 8 5 5" xfId="9715"/>
    <cellStyle name="20% - Accent3 2 8 6" xfId="9716"/>
    <cellStyle name="20% - Accent3 2 8 6 2" xfId="9717"/>
    <cellStyle name="20% - Accent3 2 8 6 2 2" xfId="9718"/>
    <cellStyle name="20% - Accent3 2 8 6 2 2 2" xfId="9719"/>
    <cellStyle name="20% - Accent3 2 8 6 2 2 2 2" xfId="9720"/>
    <cellStyle name="20% - Accent3 2 8 6 2 2 3" xfId="9721"/>
    <cellStyle name="20% - Accent3 2 8 6 2 3" xfId="9722"/>
    <cellStyle name="20% - Accent3 2 8 6 2 3 2" xfId="9723"/>
    <cellStyle name="20% - Accent3 2 8 6 2 4" xfId="9724"/>
    <cellStyle name="20% - Accent3 2 8 6 3" xfId="9725"/>
    <cellStyle name="20% - Accent3 2 8 6 3 2" xfId="9726"/>
    <cellStyle name="20% - Accent3 2 8 6 3 2 2" xfId="9727"/>
    <cellStyle name="20% - Accent3 2 8 6 3 3" xfId="9728"/>
    <cellStyle name="20% - Accent3 2 8 6 4" xfId="9729"/>
    <cellStyle name="20% - Accent3 2 8 6 4 2" xfId="9730"/>
    <cellStyle name="20% - Accent3 2 8 6 5" xfId="9731"/>
    <cellStyle name="20% - Accent3 2 8 7" xfId="9732"/>
    <cellStyle name="20% - Accent3 2 8 7 2" xfId="9733"/>
    <cellStyle name="20% - Accent3 2 8 7 2 2" xfId="9734"/>
    <cellStyle name="20% - Accent3 2 8 7 2 2 2" xfId="9735"/>
    <cellStyle name="20% - Accent3 2 8 7 2 2 2 2" xfId="9736"/>
    <cellStyle name="20% - Accent3 2 8 7 2 2 3" xfId="9737"/>
    <cellStyle name="20% - Accent3 2 8 7 2 3" xfId="9738"/>
    <cellStyle name="20% - Accent3 2 8 7 2 3 2" xfId="9739"/>
    <cellStyle name="20% - Accent3 2 8 7 2 4" xfId="9740"/>
    <cellStyle name="20% - Accent3 2 8 7 3" xfId="9741"/>
    <cellStyle name="20% - Accent3 2 8 7 3 2" xfId="9742"/>
    <cellStyle name="20% - Accent3 2 8 7 3 2 2" xfId="9743"/>
    <cellStyle name="20% - Accent3 2 8 7 3 3" xfId="9744"/>
    <cellStyle name="20% - Accent3 2 8 7 4" xfId="9745"/>
    <cellStyle name="20% - Accent3 2 8 7 4 2" xfId="9746"/>
    <cellStyle name="20% - Accent3 2 8 7 5" xfId="9747"/>
    <cellStyle name="20% - Accent3 2 8 8" xfId="9748"/>
    <cellStyle name="20% - Accent3 2 8 8 2" xfId="9749"/>
    <cellStyle name="20% - Accent3 2 8 8 2 2" xfId="9750"/>
    <cellStyle name="20% - Accent3 2 8 8 2 2 2" xfId="9751"/>
    <cellStyle name="20% - Accent3 2 8 8 2 3" xfId="9752"/>
    <cellStyle name="20% - Accent3 2 8 8 3" xfId="9753"/>
    <cellStyle name="20% - Accent3 2 8 8 3 2" xfId="9754"/>
    <cellStyle name="20% - Accent3 2 8 8 4" xfId="9755"/>
    <cellStyle name="20% - Accent3 2 8 9" xfId="9756"/>
    <cellStyle name="20% - Accent3 2 8 9 2" xfId="9757"/>
    <cellStyle name="20% - Accent3 2 8 9 2 2" xfId="9758"/>
    <cellStyle name="20% - Accent3 2 8 9 3" xfId="9759"/>
    <cellStyle name="20% - Accent3 2 9" xfId="9760"/>
    <cellStyle name="20% - Accent3 2 9 10" xfId="9761"/>
    <cellStyle name="20% - Accent3 2 9 10 2" xfId="9762"/>
    <cellStyle name="20% - Accent3 2 9 11" xfId="9763"/>
    <cellStyle name="20% - Accent3 2 9 2" xfId="9764"/>
    <cellStyle name="20% - Accent3 2 9 2 10" xfId="9765"/>
    <cellStyle name="20% - Accent3 2 9 2 2" xfId="9766"/>
    <cellStyle name="20% - Accent3 2 9 2 2 2" xfId="9767"/>
    <cellStyle name="20% - Accent3 2 9 2 2 2 2" xfId="9768"/>
    <cellStyle name="20% - Accent3 2 9 2 2 2 2 2" xfId="9769"/>
    <cellStyle name="20% - Accent3 2 9 2 2 2 2 2 2" xfId="9770"/>
    <cellStyle name="20% - Accent3 2 9 2 2 2 2 3" xfId="9771"/>
    <cellStyle name="20% - Accent3 2 9 2 2 2 3" xfId="9772"/>
    <cellStyle name="20% - Accent3 2 9 2 2 2 3 2" xfId="9773"/>
    <cellStyle name="20% - Accent3 2 9 2 2 2 4" xfId="9774"/>
    <cellStyle name="20% - Accent3 2 9 2 2 3" xfId="9775"/>
    <cellStyle name="20% - Accent3 2 9 2 2 3 2" xfId="9776"/>
    <cellStyle name="20% - Accent3 2 9 2 2 3 2 2" xfId="9777"/>
    <cellStyle name="20% - Accent3 2 9 2 2 3 3" xfId="9778"/>
    <cellStyle name="20% - Accent3 2 9 2 2 4" xfId="9779"/>
    <cellStyle name="20% - Accent3 2 9 2 2 4 2" xfId="9780"/>
    <cellStyle name="20% - Accent3 2 9 2 2 5" xfId="9781"/>
    <cellStyle name="20% - Accent3 2 9 2 3" xfId="9782"/>
    <cellStyle name="20% - Accent3 2 9 2 3 2" xfId="9783"/>
    <cellStyle name="20% - Accent3 2 9 2 3 2 2" xfId="9784"/>
    <cellStyle name="20% - Accent3 2 9 2 3 2 2 2" xfId="9785"/>
    <cellStyle name="20% - Accent3 2 9 2 3 2 2 2 2" xfId="9786"/>
    <cellStyle name="20% - Accent3 2 9 2 3 2 2 3" xfId="9787"/>
    <cellStyle name="20% - Accent3 2 9 2 3 2 3" xfId="9788"/>
    <cellStyle name="20% - Accent3 2 9 2 3 2 3 2" xfId="9789"/>
    <cellStyle name="20% - Accent3 2 9 2 3 2 4" xfId="9790"/>
    <cellStyle name="20% - Accent3 2 9 2 3 3" xfId="9791"/>
    <cellStyle name="20% - Accent3 2 9 2 3 3 2" xfId="9792"/>
    <cellStyle name="20% - Accent3 2 9 2 3 3 2 2" xfId="9793"/>
    <cellStyle name="20% - Accent3 2 9 2 3 3 3" xfId="9794"/>
    <cellStyle name="20% - Accent3 2 9 2 3 4" xfId="9795"/>
    <cellStyle name="20% - Accent3 2 9 2 3 4 2" xfId="9796"/>
    <cellStyle name="20% - Accent3 2 9 2 3 5" xfId="9797"/>
    <cellStyle name="20% - Accent3 2 9 2 4" xfId="9798"/>
    <cellStyle name="20% - Accent3 2 9 2 4 2" xfId="9799"/>
    <cellStyle name="20% - Accent3 2 9 2 4 2 2" xfId="9800"/>
    <cellStyle name="20% - Accent3 2 9 2 4 2 2 2" xfId="9801"/>
    <cellStyle name="20% - Accent3 2 9 2 4 2 2 2 2" xfId="9802"/>
    <cellStyle name="20% - Accent3 2 9 2 4 2 2 3" xfId="9803"/>
    <cellStyle name="20% - Accent3 2 9 2 4 2 3" xfId="9804"/>
    <cellStyle name="20% - Accent3 2 9 2 4 2 3 2" xfId="9805"/>
    <cellStyle name="20% - Accent3 2 9 2 4 2 4" xfId="9806"/>
    <cellStyle name="20% - Accent3 2 9 2 4 3" xfId="9807"/>
    <cellStyle name="20% - Accent3 2 9 2 4 3 2" xfId="9808"/>
    <cellStyle name="20% - Accent3 2 9 2 4 3 2 2" xfId="9809"/>
    <cellStyle name="20% - Accent3 2 9 2 4 3 3" xfId="9810"/>
    <cellStyle name="20% - Accent3 2 9 2 4 4" xfId="9811"/>
    <cellStyle name="20% - Accent3 2 9 2 4 4 2" xfId="9812"/>
    <cellStyle name="20% - Accent3 2 9 2 4 5" xfId="9813"/>
    <cellStyle name="20% - Accent3 2 9 2 5" xfId="9814"/>
    <cellStyle name="20% - Accent3 2 9 2 5 2" xfId="9815"/>
    <cellStyle name="20% - Accent3 2 9 2 5 2 2" xfId="9816"/>
    <cellStyle name="20% - Accent3 2 9 2 5 2 2 2" xfId="9817"/>
    <cellStyle name="20% - Accent3 2 9 2 5 2 2 2 2" xfId="9818"/>
    <cellStyle name="20% - Accent3 2 9 2 5 2 2 3" xfId="9819"/>
    <cellStyle name="20% - Accent3 2 9 2 5 2 3" xfId="9820"/>
    <cellStyle name="20% - Accent3 2 9 2 5 2 3 2" xfId="9821"/>
    <cellStyle name="20% - Accent3 2 9 2 5 2 4" xfId="9822"/>
    <cellStyle name="20% - Accent3 2 9 2 5 3" xfId="9823"/>
    <cellStyle name="20% - Accent3 2 9 2 5 3 2" xfId="9824"/>
    <cellStyle name="20% - Accent3 2 9 2 5 3 2 2" xfId="9825"/>
    <cellStyle name="20% - Accent3 2 9 2 5 3 3" xfId="9826"/>
    <cellStyle name="20% - Accent3 2 9 2 5 4" xfId="9827"/>
    <cellStyle name="20% - Accent3 2 9 2 5 4 2" xfId="9828"/>
    <cellStyle name="20% - Accent3 2 9 2 5 5" xfId="9829"/>
    <cellStyle name="20% - Accent3 2 9 2 6" xfId="9830"/>
    <cellStyle name="20% - Accent3 2 9 2 6 2" xfId="9831"/>
    <cellStyle name="20% - Accent3 2 9 2 6 2 2" xfId="9832"/>
    <cellStyle name="20% - Accent3 2 9 2 6 2 2 2" xfId="9833"/>
    <cellStyle name="20% - Accent3 2 9 2 6 2 2 2 2" xfId="9834"/>
    <cellStyle name="20% - Accent3 2 9 2 6 2 2 3" xfId="9835"/>
    <cellStyle name="20% - Accent3 2 9 2 6 2 3" xfId="9836"/>
    <cellStyle name="20% - Accent3 2 9 2 6 2 3 2" xfId="9837"/>
    <cellStyle name="20% - Accent3 2 9 2 6 2 4" xfId="9838"/>
    <cellStyle name="20% - Accent3 2 9 2 6 3" xfId="9839"/>
    <cellStyle name="20% - Accent3 2 9 2 6 3 2" xfId="9840"/>
    <cellStyle name="20% - Accent3 2 9 2 6 3 2 2" xfId="9841"/>
    <cellStyle name="20% - Accent3 2 9 2 6 3 3" xfId="9842"/>
    <cellStyle name="20% - Accent3 2 9 2 6 4" xfId="9843"/>
    <cellStyle name="20% - Accent3 2 9 2 6 4 2" xfId="9844"/>
    <cellStyle name="20% - Accent3 2 9 2 6 5" xfId="9845"/>
    <cellStyle name="20% - Accent3 2 9 2 7" xfId="9846"/>
    <cellStyle name="20% - Accent3 2 9 2 7 2" xfId="9847"/>
    <cellStyle name="20% - Accent3 2 9 2 7 2 2" xfId="9848"/>
    <cellStyle name="20% - Accent3 2 9 2 7 2 2 2" xfId="9849"/>
    <cellStyle name="20% - Accent3 2 9 2 7 2 3" xfId="9850"/>
    <cellStyle name="20% - Accent3 2 9 2 7 3" xfId="9851"/>
    <cellStyle name="20% - Accent3 2 9 2 7 3 2" xfId="9852"/>
    <cellStyle name="20% - Accent3 2 9 2 7 4" xfId="9853"/>
    <cellStyle name="20% - Accent3 2 9 2 8" xfId="9854"/>
    <cellStyle name="20% - Accent3 2 9 2 8 2" xfId="9855"/>
    <cellStyle name="20% - Accent3 2 9 2 8 2 2" xfId="9856"/>
    <cellStyle name="20% - Accent3 2 9 2 8 3" xfId="9857"/>
    <cellStyle name="20% - Accent3 2 9 2 9" xfId="9858"/>
    <cellStyle name="20% - Accent3 2 9 2 9 2" xfId="9859"/>
    <cellStyle name="20% - Accent3 2 9 3" xfId="9860"/>
    <cellStyle name="20% - Accent3 2 9 3 2" xfId="9861"/>
    <cellStyle name="20% - Accent3 2 9 3 2 2" xfId="9862"/>
    <cellStyle name="20% - Accent3 2 9 3 2 2 2" xfId="9863"/>
    <cellStyle name="20% - Accent3 2 9 3 2 2 2 2" xfId="9864"/>
    <cellStyle name="20% - Accent3 2 9 3 2 2 3" xfId="9865"/>
    <cellStyle name="20% - Accent3 2 9 3 2 3" xfId="9866"/>
    <cellStyle name="20% - Accent3 2 9 3 2 3 2" xfId="9867"/>
    <cellStyle name="20% - Accent3 2 9 3 2 4" xfId="9868"/>
    <cellStyle name="20% - Accent3 2 9 3 3" xfId="9869"/>
    <cellStyle name="20% - Accent3 2 9 3 3 2" xfId="9870"/>
    <cellStyle name="20% - Accent3 2 9 3 3 2 2" xfId="9871"/>
    <cellStyle name="20% - Accent3 2 9 3 3 3" xfId="9872"/>
    <cellStyle name="20% - Accent3 2 9 3 4" xfId="9873"/>
    <cellStyle name="20% - Accent3 2 9 3 4 2" xfId="9874"/>
    <cellStyle name="20% - Accent3 2 9 3 5" xfId="9875"/>
    <cellStyle name="20% - Accent3 2 9 4" xfId="9876"/>
    <cellStyle name="20% - Accent3 2 9 4 2" xfId="9877"/>
    <cellStyle name="20% - Accent3 2 9 4 2 2" xfId="9878"/>
    <cellStyle name="20% - Accent3 2 9 4 2 2 2" xfId="9879"/>
    <cellStyle name="20% - Accent3 2 9 4 2 2 2 2" xfId="9880"/>
    <cellStyle name="20% - Accent3 2 9 4 2 2 3" xfId="9881"/>
    <cellStyle name="20% - Accent3 2 9 4 2 3" xfId="9882"/>
    <cellStyle name="20% - Accent3 2 9 4 2 3 2" xfId="9883"/>
    <cellStyle name="20% - Accent3 2 9 4 2 4" xfId="9884"/>
    <cellStyle name="20% - Accent3 2 9 4 3" xfId="9885"/>
    <cellStyle name="20% - Accent3 2 9 4 3 2" xfId="9886"/>
    <cellStyle name="20% - Accent3 2 9 4 3 2 2" xfId="9887"/>
    <cellStyle name="20% - Accent3 2 9 4 3 3" xfId="9888"/>
    <cellStyle name="20% - Accent3 2 9 4 4" xfId="9889"/>
    <cellStyle name="20% - Accent3 2 9 4 4 2" xfId="9890"/>
    <cellStyle name="20% - Accent3 2 9 4 5" xfId="9891"/>
    <cellStyle name="20% - Accent3 2 9 5" xfId="9892"/>
    <cellStyle name="20% - Accent3 2 9 5 2" xfId="9893"/>
    <cellStyle name="20% - Accent3 2 9 5 2 2" xfId="9894"/>
    <cellStyle name="20% - Accent3 2 9 5 2 2 2" xfId="9895"/>
    <cellStyle name="20% - Accent3 2 9 5 2 2 2 2" xfId="9896"/>
    <cellStyle name="20% - Accent3 2 9 5 2 2 3" xfId="9897"/>
    <cellStyle name="20% - Accent3 2 9 5 2 3" xfId="9898"/>
    <cellStyle name="20% - Accent3 2 9 5 2 3 2" xfId="9899"/>
    <cellStyle name="20% - Accent3 2 9 5 2 4" xfId="9900"/>
    <cellStyle name="20% - Accent3 2 9 5 3" xfId="9901"/>
    <cellStyle name="20% - Accent3 2 9 5 3 2" xfId="9902"/>
    <cellStyle name="20% - Accent3 2 9 5 3 2 2" xfId="9903"/>
    <cellStyle name="20% - Accent3 2 9 5 3 3" xfId="9904"/>
    <cellStyle name="20% - Accent3 2 9 5 4" xfId="9905"/>
    <cellStyle name="20% - Accent3 2 9 5 4 2" xfId="9906"/>
    <cellStyle name="20% - Accent3 2 9 5 5" xfId="9907"/>
    <cellStyle name="20% - Accent3 2 9 6" xfId="9908"/>
    <cellStyle name="20% - Accent3 2 9 6 2" xfId="9909"/>
    <cellStyle name="20% - Accent3 2 9 6 2 2" xfId="9910"/>
    <cellStyle name="20% - Accent3 2 9 6 2 2 2" xfId="9911"/>
    <cellStyle name="20% - Accent3 2 9 6 2 2 2 2" xfId="9912"/>
    <cellStyle name="20% - Accent3 2 9 6 2 2 3" xfId="9913"/>
    <cellStyle name="20% - Accent3 2 9 6 2 3" xfId="9914"/>
    <cellStyle name="20% - Accent3 2 9 6 2 3 2" xfId="9915"/>
    <cellStyle name="20% - Accent3 2 9 6 2 4" xfId="9916"/>
    <cellStyle name="20% - Accent3 2 9 6 3" xfId="9917"/>
    <cellStyle name="20% - Accent3 2 9 6 3 2" xfId="9918"/>
    <cellStyle name="20% - Accent3 2 9 6 3 2 2" xfId="9919"/>
    <cellStyle name="20% - Accent3 2 9 6 3 3" xfId="9920"/>
    <cellStyle name="20% - Accent3 2 9 6 4" xfId="9921"/>
    <cellStyle name="20% - Accent3 2 9 6 4 2" xfId="9922"/>
    <cellStyle name="20% - Accent3 2 9 6 5" xfId="9923"/>
    <cellStyle name="20% - Accent3 2 9 7" xfId="9924"/>
    <cellStyle name="20% - Accent3 2 9 7 2" xfId="9925"/>
    <cellStyle name="20% - Accent3 2 9 7 2 2" xfId="9926"/>
    <cellStyle name="20% - Accent3 2 9 7 2 2 2" xfId="9927"/>
    <cellStyle name="20% - Accent3 2 9 7 2 2 2 2" xfId="9928"/>
    <cellStyle name="20% - Accent3 2 9 7 2 2 3" xfId="9929"/>
    <cellStyle name="20% - Accent3 2 9 7 2 3" xfId="9930"/>
    <cellStyle name="20% - Accent3 2 9 7 2 3 2" xfId="9931"/>
    <cellStyle name="20% - Accent3 2 9 7 2 4" xfId="9932"/>
    <cellStyle name="20% - Accent3 2 9 7 3" xfId="9933"/>
    <cellStyle name="20% - Accent3 2 9 7 3 2" xfId="9934"/>
    <cellStyle name="20% - Accent3 2 9 7 3 2 2" xfId="9935"/>
    <cellStyle name="20% - Accent3 2 9 7 3 3" xfId="9936"/>
    <cellStyle name="20% - Accent3 2 9 7 4" xfId="9937"/>
    <cellStyle name="20% - Accent3 2 9 7 4 2" xfId="9938"/>
    <cellStyle name="20% - Accent3 2 9 7 5" xfId="9939"/>
    <cellStyle name="20% - Accent3 2 9 8" xfId="9940"/>
    <cellStyle name="20% - Accent3 2 9 8 2" xfId="9941"/>
    <cellStyle name="20% - Accent3 2 9 8 2 2" xfId="9942"/>
    <cellStyle name="20% - Accent3 2 9 8 2 2 2" xfId="9943"/>
    <cellStyle name="20% - Accent3 2 9 8 2 3" xfId="9944"/>
    <cellStyle name="20% - Accent3 2 9 8 3" xfId="9945"/>
    <cellStyle name="20% - Accent3 2 9 8 3 2" xfId="9946"/>
    <cellStyle name="20% - Accent3 2 9 8 4" xfId="9947"/>
    <cellStyle name="20% - Accent3 2 9 9" xfId="9948"/>
    <cellStyle name="20% - Accent3 2 9 9 2" xfId="9949"/>
    <cellStyle name="20% - Accent3 2 9 9 2 2" xfId="9950"/>
    <cellStyle name="20% - Accent3 2 9 9 3" xfId="9951"/>
    <cellStyle name="20% - Accent3 20" xfId="9952"/>
    <cellStyle name="20% - Accent3 20 2" xfId="9953"/>
    <cellStyle name="20% - Accent3 20 2 2" xfId="9954"/>
    <cellStyle name="20% - Accent3 20 2 2 2" xfId="9955"/>
    <cellStyle name="20% - Accent3 20 2 2 2 2" xfId="9956"/>
    <cellStyle name="20% - Accent3 20 2 2 3" xfId="9957"/>
    <cellStyle name="20% - Accent3 20 2 3" xfId="9958"/>
    <cellStyle name="20% - Accent3 20 2 3 2" xfId="9959"/>
    <cellStyle name="20% - Accent3 20 2 4" xfId="9960"/>
    <cellStyle name="20% - Accent3 20 3" xfId="9961"/>
    <cellStyle name="20% - Accent3 20 3 2" xfId="9962"/>
    <cellStyle name="20% - Accent3 20 3 2 2" xfId="9963"/>
    <cellStyle name="20% - Accent3 20 3 3" xfId="9964"/>
    <cellStyle name="20% - Accent3 20 4" xfId="9965"/>
    <cellStyle name="20% - Accent3 20 4 2" xfId="9966"/>
    <cellStyle name="20% - Accent3 20 5" xfId="9967"/>
    <cellStyle name="20% - Accent3 21" xfId="9968"/>
    <cellStyle name="20% - Accent3 21 2" xfId="9969"/>
    <cellStyle name="20% - Accent3 21 2 2" xfId="9970"/>
    <cellStyle name="20% - Accent3 21 2 2 2" xfId="9971"/>
    <cellStyle name="20% - Accent3 21 2 3" xfId="9972"/>
    <cellStyle name="20% - Accent3 21 3" xfId="9973"/>
    <cellStyle name="20% - Accent3 21 3 2" xfId="9974"/>
    <cellStyle name="20% - Accent3 21 4" xfId="9975"/>
    <cellStyle name="20% - Accent3 22" xfId="9976"/>
    <cellStyle name="20% - Accent3 22 2" xfId="9977"/>
    <cellStyle name="20% - Accent3 22 2 2" xfId="9978"/>
    <cellStyle name="20% - Accent3 22 3" xfId="9979"/>
    <cellStyle name="20% - Accent3 23" xfId="9980"/>
    <cellStyle name="20% - Accent3 23 2" xfId="9981"/>
    <cellStyle name="20% - Accent3 24" xfId="9982"/>
    <cellStyle name="20% - Accent3 3" xfId="9983"/>
    <cellStyle name="20% - Accent3 3 10" xfId="9984"/>
    <cellStyle name="20% - Accent3 3 10 2" xfId="9985"/>
    <cellStyle name="20% - Accent3 3 11" xfId="9986"/>
    <cellStyle name="20% - Accent3 3 2" xfId="9987"/>
    <cellStyle name="20% - Accent3 3 2 10" xfId="9988"/>
    <cellStyle name="20% - Accent3 3 2 2" xfId="9989"/>
    <cellStyle name="20% - Accent3 3 2 2 2" xfId="9990"/>
    <cellStyle name="20% - Accent3 3 2 2 2 2" xfId="9991"/>
    <cellStyle name="20% - Accent3 3 2 2 2 2 2" xfId="9992"/>
    <cellStyle name="20% - Accent3 3 2 2 2 2 2 2" xfId="9993"/>
    <cellStyle name="20% - Accent3 3 2 2 2 2 3" xfId="9994"/>
    <cellStyle name="20% - Accent3 3 2 2 2 3" xfId="9995"/>
    <cellStyle name="20% - Accent3 3 2 2 2 3 2" xfId="9996"/>
    <cellStyle name="20% - Accent3 3 2 2 2 4" xfId="9997"/>
    <cellStyle name="20% - Accent3 3 2 2 3" xfId="9998"/>
    <cellStyle name="20% - Accent3 3 2 2 3 2" xfId="9999"/>
    <cellStyle name="20% - Accent3 3 2 2 3 2 2" xfId="10000"/>
    <cellStyle name="20% - Accent3 3 2 2 3 3" xfId="10001"/>
    <cellStyle name="20% - Accent3 3 2 2 4" xfId="10002"/>
    <cellStyle name="20% - Accent3 3 2 2 4 2" xfId="10003"/>
    <cellStyle name="20% - Accent3 3 2 2 5" xfId="10004"/>
    <cellStyle name="20% - Accent3 3 2 3" xfId="10005"/>
    <cellStyle name="20% - Accent3 3 2 3 2" xfId="10006"/>
    <cellStyle name="20% - Accent3 3 2 3 2 2" xfId="10007"/>
    <cellStyle name="20% - Accent3 3 2 3 2 2 2" xfId="10008"/>
    <cellStyle name="20% - Accent3 3 2 3 2 2 2 2" xfId="10009"/>
    <cellStyle name="20% - Accent3 3 2 3 2 2 3" xfId="10010"/>
    <cellStyle name="20% - Accent3 3 2 3 2 3" xfId="10011"/>
    <cellStyle name="20% - Accent3 3 2 3 2 3 2" xfId="10012"/>
    <cellStyle name="20% - Accent3 3 2 3 2 4" xfId="10013"/>
    <cellStyle name="20% - Accent3 3 2 3 3" xfId="10014"/>
    <cellStyle name="20% - Accent3 3 2 3 3 2" xfId="10015"/>
    <cellStyle name="20% - Accent3 3 2 3 3 2 2" xfId="10016"/>
    <cellStyle name="20% - Accent3 3 2 3 3 3" xfId="10017"/>
    <cellStyle name="20% - Accent3 3 2 3 4" xfId="10018"/>
    <cellStyle name="20% - Accent3 3 2 3 4 2" xfId="10019"/>
    <cellStyle name="20% - Accent3 3 2 3 5" xfId="10020"/>
    <cellStyle name="20% - Accent3 3 2 4" xfId="10021"/>
    <cellStyle name="20% - Accent3 3 2 4 2" xfId="10022"/>
    <cellStyle name="20% - Accent3 3 2 4 2 2" xfId="10023"/>
    <cellStyle name="20% - Accent3 3 2 4 2 2 2" xfId="10024"/>
    <cellStyle name="20% - Accent3 3 2 4 2 2 2 2" xfId="10025"/>
    <cellStyle name="20% - Accent3 3 2 4 2 2 3" xfId="10026"/>
    <cellStyle name="20% - Accent3 3 2 4 2 3" xfId="10027"/>
    <cellStyle name="20% - Accent3 3 2 4 2 3 2" xfId="10028"/>
    <cellStyle name="20% - Accent3 3 2 4 2 4" xfId="10029"/>
    <cellStyle name="20% - Accent3 3 2 4 3" xfId="10030"/>
    <cellStyle name="20% - Accent3 3 2 4 3 2" xfId="10031"/>
    <cellStyle name="20% - Accent3 3 2 4 3 2 2" xfId="10032"/>
    <cellStyle name="20% - Accent3 3 2 4 3 3" xfId="10033"/>
    <cellStyle name="20% - Accent3 3 2 4 4" xfId="10034"/>
    <cellStyle name="20% - Accent3 3 2 4 4 2" xfId="10035"/>
    <cellStyle name="20% - Accent3 3 2 4 5" xfId="10036"/>
    <cellStyle name="20% - Accent3 3 2 5" xfId="10037"/>
    <cellStyle name="20% - Accent3 3 2 5 2" xfId="10038"/>
    <cellStyle name="20% - Accent3 3 2 5 2 2" xfId="10039"/>
    <cellStyle name="20% - Accent3 3 2 5 2 2 2" xfId="10040"/>
    <cellStyle name="20% - Accent3 3 2 5 2 2 2 2" xfId="10041"/>
    <cellStyle name="20% - Accent3 3 2 5 2 2 3" xfId="10042"/>
    <cellStyle name="20% - Accent3 3 2 5 2 3" xfId="10043"/>
    <cellStyle name="20% - Accent3 3 2 5 2 3 2" xfId="10044"/>
    <cellStyle name="20% - Accent3 3 2 5 2 4" xfId="10045"/>
    <cellStyle name="20% - Accent3 3 2 5 3" xfId="10046"/>
    <cellStyle name="20% - Accent3 3 2 5 3 2" xfId="10047"/>
    <cellStyle name="20% - Accent3 3 2 5 3 2 2" xfId="10048"/>
    <cellStyle name="20% - Accent3 3 2 5 3 3" xfId="10049"/>
    <cellStyle name="20% - Accent3 3 2 5 4" xfId="10050"/>
    <cellStyle name="20% - Accent3 3 2 5 4 2" xfId="10051"/>
    <cellStyle name="20% - Accent3 3 2 5 5" xfId="10052"/>
    <cellStyle name="20% - Accent3 3 2 6" xfId="10053"/>
    <cellStyle name="20% - Accent3 3 2 6 2" xfId="10054"/>
    <cellStyle name="20% - Accent3 3 2 6 2 2" xfId="10055"/>
    <cellStyle name="20% - Accent3 3 2 6 2 2 2" xfId="10056"/>
    <cellStyle name="20% - Accent3 3 2 6 2 2 2 2" xfId="10057"/>
    <cellStyle name="20% - Accent3 3 2 6 2 2 3" xfId="10058"/>
    <cellStyle name="20% - Accent3 3 2 6 2 3" xfId="10059"/>
    <cellStyle name="20% - Accent3 3 2 6 2 3 2" xfId="10060"/>
    <cellStyle name="20% - Accent3 3 2 6 2 4" xfId="10061"/>
    <cellStyle name="20% - Accent3 3 2 6 3" xfId="10062"/>
    <cellStyle name="20% - Accent3 3 2 6 3 2" xfId="10063"/>
    <cellStyle name="20% - Accent3 3 2 6 3 2 2" xfId="10064"/>
    <cellStyle name="20% - Accent3 3 2 6 3 3" xfId="10065"/>
    <cellStyle name="20% - Accent3 3 2 6 4" xfId="10066"/>
    <cellStyle name="20% - Accent3 3 2 6 4 2" xfId="10067"/>
    <cellStyle name="20% - Accent3 3 2 6 5" xfId="10068"/>
    <cellStyle name="20% - Accent3 3 2 7" xfId="10069"/>
    <cellStyle name="20% - Accent3 3 2 7 2" xfId="10070"/>
    <cellStyle name="20% - Accent3 3 2 7 2 2" xfId="10071"/>
    <cellStyle name="20% - Accent3 3 2 7 2 2 2" xfId="10072"/>
    <cellStyle name="20% - Accent3 3 2 7 2 3" xfId="10073"/>
    <cellStyle name="20% - Accent3 3 2 7 3" xfId="10074"/>
    <cellStyle name="20% - Accent3 3 2 7 3 2" xfId="10075"/>
    <cellStyle name="20% - Accent3 3 2 7 4" xfId="10076"/>
    <cellStyle name="20% - Accent3 3 2 8" xfId="10077"/>
    <cellStyle name="20% - Accent3 3 2 8 2" xfId="10078"/>
    <cellStyle name="20% - Accent3 3 2 8 2 2" xfId="10079"/>
    <cellStyle name="20% - Accent3 3 2 8 3" xfId="10080"/>
    <cellStyle name="20% - Accent3 3 2 9" xfId="10081"/>
    <cellStyle name="20% - Accent3 3 2 9 2" xfId="10082"/>
    <cellStyle name="20% - Accent3 3 3" xfId="10083"/>
    <cellStyle name="20% - Accent3 3 3 2" xfId="10084"/>
    <cellStyle name="20% - Accent3 3 3 2 2" xfId="10085"/>
    <cellStyle name="20% - Accent3 3 3 2 2 2" xfId="10086"/>
    <cellStyle name="20% - Accent3 3 3 2 2 2 2" xfId="10087"/>
    <cellStyle name="20% - Accent3 3 3 2 2 3" xfId="10088"/>
    <cellStyle name="20% - Accent3 3 3 2 3" xfId="10089"/>
    <cellStyle name="20% - Accent3 3 3 2 3 2" xfId="10090"/>
    <cellStyle name="20% - Accent3 3 3 2 4" xfId="10091"/>
    <cellStyle name="20% - Accent3 3 3 3" xfId="10092"/>
    <cellStyle name="20% - Accent3 3 3 3 2" xfId="10093"/>
    <cellStyle name="20% - Accent3 3 3 3 2 2" xfId="10094"/>
    <cellStyle name="20% - Accent3 3 3 3 3" xfId="10095"/>
    <cellStyle name="20% - Accent3 3 3 4" xfId="10096"/>
    <cellStyle name="20% - Accent3 3 3 4 2" xfId="10097"/>
    <cellStyle name="20% - Accent3 3 3 5" xfId="10098"/>
    <cellStyle name="20% - Accent3 3 4" xfId="10099"/>
    <cellStyle name="20% - Accent3 3 4 2" xfId="10100"/>
    <cellStyle name="20% - Accent3 3 4 2 2" xfId="10101"/>
    <cellStyle name="20% - Accent3 3 4 2 2 2" xfId="10102"/>
    <cellStyle name="20% - Accent3 3 4 2 2 2 2" xfId="10103"/>
    <cellStyle name="20% - Accent3 3 4 2 2 3" xfId="10104"/>
    <cellStyle name="20% - Accent3 3 4 2 3" xfId="10105"/>
    <cellStyle name="20% - Accent3 3 4 2 3 2" xfId="10106"/>
    <cellStyle name="20% - Accent3 3 4 2 4" xfId="10107"/>
    <cellStyle name="20% - Accent3 3 4 3" xfId="10108"/>
    <cellStyle name="20% - Accent3 3 4 3 2" xfId="10109"/>
    <cellStyle name="20% - Accent3 3 4 3 2 2" xfId="10110"/>
    <cellStyle name="20% - Accent3 3 4 3 3" xfId="10111"/>
    <cellStyle name="20% - Accent3 3 4 4" xfId="10112"/>
    <cellStyle name="20% - Accent3 3 4 4 2" xfId="10113"/>
    <cellStyle name="20% - Accent3 3 4 5" xfId="10114"/>
    <cellStyle name="20% - Accent3 3 5" xfId="10115"/>
    <cellStyle name="20% - Accent3 3 5 2" xfId="10116"/>
    <cellStyle name="20% - Accent3 3 5 2 2" xfId="10117"/>
    <cellStyle name="20% - Accent3 3 5 2 2 2" xfId="10118"/>
    <cellStyle name="20% - Accent3 3 5 2 2 2 2" xfId="10119"/>
    <cellStyle name="20% - Accent3 3 5 2 2 3" xfId="10120"/>
    <cellStyle name="20% - Accent3 3 5 2 3" xfId="10121"/>
    <cellStyle name="20% - Accent3 3 5 2 3 2" xfId="10122"/>
    <cellStyle name="20% - Accent3 3 5 2 4" xfId="10123"/>
    <cellStyle name="20% - Accent3 3 5 3" xfId="10124"/>
    <cellStyle name="20% - Accent3 3 5 3 2" xfId="10125"/>
    <cellStyle name="20% - Accent3 3 5 3 2 2" xfId="10126"/>
    <cellStyle name="20% - Accent3 3 5 3 3" xfId="10127"/>
    <cellStyle name="20% - Accent3 3 5 4" xfId="10128"/>
    <cellStyle name="20% - Accent3 3 5 4 2" xfId="10129"/>
    <cellStyle name="20% - Accent3 3 5 5" xfId="10130"/>
    <cellStyle name="20% - Accent3 3 6" xfId="10131"/>
    <cellStyle name="20% - Accent3 3 6 2" xfId="10132"/>
    <cellStyle name="20% - Accent3 3 6 2 2" xfId="10133"/>
    <cellStyle name="20% - Accent3 3 6 2 2 2" xfId="10134"/>
    <cellStyle name="20% - Accent3 3 6 2 2 2 2" xfId="10135"/>
    <cellStyle name="20% - Accent3 3 6 2 2 3" xfId="10136"/>
    <cellStyle name="20% - Accent3 3 6 2 3" xfId="10137"/>
    <cellStyle name="20% - Accent3 3 6 2 3 2" xfId="10138"/>
    <cellStyle name="20% - Accent3 3 6 2 4" xfId="10139"/>
    <cellStyle name="20% - Accent3 3 6 3" xfId="10140"/>
    <cellStyle name="20% - Accent3 3 6 3 2" xfId="10141"/>
    <cellStyle name="20% - Accent3 3 6 3 2 2" xfId="10142"/>
    <cellStyle name="20% - Accent3 3 6 3 3" xfId="10143"/>
    <cellStyle name="20% - Accent3 3 6 4" xfId="10144"/>
    <cellStyle name="20% - Accent3 3 6 4 2" xfId="10145"/>
    <cellStyle name="20% - Accent3 3 6 5" xfId="10146"/>
    <cellStyle name="20% - Accent3 3 7" xfId="10147"/>
    <cellStyle name="20% - Accent3 3 7 2" xfId="10148"/>
    <cellStyle name="20% - Accent3 3 7 2 2" xfId="10149"/>
    <cellStyle name="20% - Accent3 3 7 2 2 2" xfId="10150"/>
    <cellStyle name="20% - Accent3 3 7 2 2 2 2" xfId="10151"/>
    <cellStyle name="20% - Accent3 3 7 2 2 3" xfId="10152"/>
    <cellStyle name="20% - Accent3 3 7 2 3" xfId="10153"/>
    <cellStyle name="20% - Accent3 3 7 2 3 2" xfId="10154"/>
    <cellStyle name="20% - Accent3 3 7 2 4" xfId="10155"/>
    <cellStyle name="20% - Accent3 3 7 3" xfId="10156"/>
    <cellStyle name="20% - Accent3 3 7 3 2" xfId="10157"/>
    <cellStyle name="20% - Accent3 3 7 3 2 2" xfId="10158"/>
    <cellStyle name="20% - Accent3 3 7 3 3" xfId="10159"/>
    <cellStyle name="20% - Accent3 3 7 4" xfId="10160"/>
    <cellStyle name="20% - Accent3 3 7 4 2" xfId="10161"/>
    <cellStyle name="20% - Accent3 3 7 5" xfId="10162"/>
    <cellStyle name="20% - Accent3 3 8" xfId="10163"/>
    <cellStyle name="20% - Accent3 3 8 2" xfId="10164"/>
    <cellStyle name="20% - Accent3 3 8 2 2" xfId="10165"/>
    <cellStyle name="20% - Accent3 3 8 2 2 2" xfId="10166"/>
    <cellStyle name="20% - Accent3 3 8 2 3" xfId="10167"/>
    <cellStyle name="20% - Accent3 3 8 3" xfId="10168"/>
    <cellStyle name="20% - Accent3 3 8 3 2" xfId="10169"/>
    <cellStyle name="20% - Accent3 3 8 4" xfId="10170"/>
    <cellStyle name="20% - Accent3 3 9" xfId="10171"/>
    <cellStyle name="20% - Accent3 3 9 2" xfId="10172"/>
    <cellStyle name="20% - Accent3 3 9 2 2" xfId="10173"/>
    <cellStyle name="20% - Accent3 3 9 3" xfId="10174"/>
    <cellStyle name="20% - Accent3 4" xfId="10175"/>
    <cellStyle name="20% - Accent3 4 10" xfId="10176"/>
    <cellStyle name="20% - Accent3 4 10 2" xfId="10177"/>
    <cellStyle name="20% - Accent3 4 11" xfId="10178"/>
    <cellStyle name="20% - Accent3 4 2" xfId="10179"/>
    <cellStyle name="20% - Accent3 4 2 10" xfId="10180"/>
    <cellStyle name="20% - Accent3 4 2 2" xfId="10181"/>
    <cellStyle name="20% - Accent3 4 2 2 2" xfId="10182"/>
    <cellStyle name="20% - Accent3 4 2 2 2 2" xfId="10183"/>
    <cellStyle name="20% - Accent3 4 2 2 2 2 2" xfId="10184"/>
    <cellStyle name="20% - Accent3 4 2 2 2 2 2 2" xfId="10185"/>
    <cellStyle name="20% - Accent3 4 2 2 2 2 3" xfId="10186"/>
    <cellStyle name="20% - Accent3 4 2 2 2 3" xfId="10187"/>
    <cellStyle name="20% - Accent3 4 2 2 2 3 2" xfId="10188"/>
    <cellStyle name="20% - Accent3 4 2 2 2 4" xfId="10189"/>
    <cellStyle name="20% - Accent3 4 2 2 3" xfId="10190"/>
    <cellStyle name="20% - Accent3 4 2 2 3 2" xfId="10191"/>
    <cellStyle name="20% - Accent3 4 2 2 3 2 2" xfId="10192"/>
    <cellStyle name="20% - Accent3 4 2 2 3 3" xfId="10193"/>
    <cellStyle name="20% - Accent3 4 2 2 4" xfId="10194"/>
    <cellStyle name="20% - Accent3 4 2 2 4 2" xfId="10195"/>
    <cellStyle name="20% - Accent3 4 2 2 5" xfId="10196"/>
    <cellStyle name="20% - Accent3 4 2 3" xfId="10197"/>
    <cellStyle name="20% - Accent3 4 2 3 2" xfId="10198"/>
    <cellStyle name="20% - Accent3 4 2 3 2 2" xfId="10199"/>
    <cellStyle name="20% - Accent3 4 2 3 2 2 2" xfId="10200"/>
    <cellStyle name="20% - Accent3 4 2 3 2 2 2 2" xfId="10201"/>
    <cellStyle name="20% - Accent3 4 2 3 2 2 3" xfId="10202"/>
    <cellStyle name="20% - Accent3 4 2 3 2 3" xfId="10203"/>
    <cellStyle name="20% - Accent3 4 2 3 2 3 2" xfId="10204"/>
    <cellStyle name="20% - Accent3 4 2 3 2 4" xfId="10205"/>
    <cellStyle name="20% - Accent3 4 2 3 3" xfId="10206"/>
    <cellStyle name="20% - Accent3 4 2 3 3 2" xfId="10207"/>
    <cellStyle name="20% - Accent3 4 2 3 3 2 2" xfId="10208"/>
    <cellStyle name="20% - Accent3 4 2 3 3 3" xfId="10209"/>
    <cellStyle name="20% - Accent3 4 2 3 4" xfId="10210"/>
    <cellStyle name="20% - Accent3 4 2 3 4 2" xfId="10211"/>
    <cellStyle name="20% - Accent3 4 2 3 5" xfId="10212"/>
    <cellStyle name="20% - Accent3 4 2 4" xfId="10213"/>
    <cellStyle name="20% - Accent3 4 2 4 2" xfId="10214"/>
    <cellStyle name="20% - Accent3 4 2 4 2 2" xfId="10215"/>
    <cellStyle name="20% - Accent3 4 2 4 2 2 2" xfId="10216"/>
    <cellStyle name="20% - Accent3 4 2 4 2 2 2 2" xfId="10217"/>
    <cellStyle name="20% - Accent3 4 2 4 2 2 3" xfId="10218"/>
    <cellStyle name="20% - Accent3 4 2 4 2 3" xfId="10219"/>
    <cellStyle name="20% - Accent3 4 2 4 2 3 2" xfId="10220"/>
    <cellStyle name="20% - Accent3 4 2 4 2 4" xfId="10221"/>
    <cellStyle name="20% - Accent3 4 2 4 3" xfId="10222"/>
    <cellStyle name="20% - Accent3 4 2 4 3 2" xfId="10223"/>
    <cellStyle name="20% - Accent3 4 2 4 3 2 2" xfId="10224"/>
    <cellStyle name="20% - Accent3 4 2 4 3 3" xfId="10225"/>
    <cellStyle name="20% - Accent3 4 2 4 4" xfId="10226"/>
    <cellStyle name="20% - Accent3 4 2 4 4 2" xfId="10227"/>
    <cellStyle name="20% - Accent3 4 2 4 5" xfId="10228"/>
    <cellStyle name="20% - Accent3 4 2 5" xfId="10229"/>
    <cellStyle name="20% - Accent3 4 2 5 2" xfId="10230"/>
    <cellStyle name="20% - Accent3 4 2 5 2 2" xfId="10231"/>
    <cellStyle name="20% - Accent3 4 2 5 2 2 2" xfId="10232"/>
    <cellStyle name="20% - Accent3 4 2 5 2 2 2 2" xfId="10233"/>
    <cellStyle name="20% - Accent3 4 2 5 2 2 3" xfId="10234"/>
    <cellStyle name="20% - Accent3 4 2 5 2 3" xfId="10235"/>
    <cellStyle name="20% - Accent3 4 2 5 2 3 2" xfId="10236"/>
    <cellStyle name="20% - Accent3 4 2 5 2 4" xfId="10237"/>
    <cellStyle name="20% - Accent3 4 2 5 3" xfId="10238"/>
    <cellStyle name="20% - Accent3 4 2 5 3 2" xfId="10239"/>
    <cellStyle name="20% - Accent3 4 2 5 3 2 2" xfId="10240"/>
    <cellStyle name="20% - Accent3 4 2 5 3 3" xfId="10241"/>
    <cellStyle name="20% - Accent3 4 2 5 4" xfId="10242"/>
    <cellStyle name="20% - Accent3 4 2 5 4 2" xfId="10243"/>
    <cellStyle name="20% - Accent3 4 2 5 5" xfId="10244"/>
    <cellStyle name="20% - Accent3 4 2 6" xfId="10245"/>
    <cellStyle name="20% - Accent3 4 2 6 2" xfId="10246"/>
    <cellStyle name="20% - Accent3 4 2 6 2 2" xfId="10247"/>
    <cellStyle name="20% - Accent3 4 2 6 2 2 2" xfId="10248"/>
    <cellStyle name="20% - Accent3 4 2 6 2 2 2 2" xfId="10249"/>
    <cellStyle name="20% - Accent3 4 2 6 2 2 3" xfId="10250"/>
    <cellStyle name="20% - Accent3 4 2 6 2 3" xfId="10251"/>
    <cellStyle name="20% - Accent3 4 2 6 2 3 2" xfId="10252"/>
    <cellStyle name="20% - Accent3 4 2 6 2 4" xfId="10253"/>
    <cellStyle name="20% - Accent3 4 2 6 3" xfId="10254"/>
    <cellStyle name="20% - Accent3 4 2 6 3 2" xfId="10255"/>
    <cellStyle name="20% - Accent3 4 2 6 3 2 2" xfId="10256"/>
    <cellStyle name="20% - Accent3 4 2 6 3 3" xfId="10257"/>
    <cellStyle name="20% - Accent3 4 2 6 4" xfId="10258"/>
    <cellStyle name="20% - Accent3 4 2 6 4 2" xfId="10259"/>
    <cellStyle name="20% - Accent3 4 2 6 5" xfId="10260"/>
    <cellStyle name="20% - Accent3 4 2 7" xfId="10261"/>
    <cellStyle name="20% - Accent3 4 2 7 2" xfId="10262"/>
    <cellStyle name="20% - Accent3 4 2 7 2 2" xfId="10263"/>
    <cellStyle name="20% - Accent3 4 2 7 2 2 2" xfId="10264"/>
    <cellStyle name="20% - Accent3 4 2 7 2 3" xfId="10265"/>
    <cellStyle name="20% - Accent3 4 2 7 3" xfId="10266"/>
    <cellStyle name="20% - Accent3 4 2 7 3 2" xfId="10267"/>
    <cellStyle name="20% - Accent3 4 2 7 4" xfId="10268"/>
    <cellStyle name="20% - Accent3 4 2 8" xfId="10269"/>
    <cellStyle name="20% - Accent3 4 2 8 2" xfId="10270"/>
    <cellStyle name="20% - Accent3 4 2 8 2 2" xfId="10271"/>
    <cellStyle name="20% - Accent3 4 2 8 3" xfId="10272"/>
    <cellStyle name="20% - Accent3 4 2 9" xfId="10273"/>
    <cellStyle name="20% - Accent3 4 2 9 2" xfId="10274"/>
    <cellStyle name="20% - Accent3 4 3" xfId="10275"/>
    <cellStyle name="20% - Accent3 4 3 2" xfId="10276"/>
    <cellStyle name="20% - Accent3 4 3 2 2" xfId="10277"/>
    <cellStyle name="20% - Accent3 4 3 2 2 2" xfId="10278"/>
    <cellStyle name="20% - Accent3 4 3 2 2 2 2" xfId="10279"/>
    <cellStyle name="20% - Accent3 4 3 2 2 3" xfId="10280"/>
    <cellStyle name="20% - Accent3 4 3 2 3" xfId="10281"/>
    <cellStyle name="20% - Accent3 4 3 2 3 2" xfId="10282"/>
    <cellStyle name="20% - Accent3 4 3 2 4" xfId="10283"/>
    <cellStyle name="20% - Accent3 4 3 3" xfId="10284"/>
    <cellStyle name="20% - Accent3 4 3 3 2" xfId="10285"/>
    <cellStyle name="20% - Accent3 4 3 3 2 2" xfId="10286"/>
    <cellStyle name="20% - Accent3 4 3 3 3" xfId="10287"/>
    <cellStyle name="20% - Accent3 4 3 4" xfId="10288"/>
    <cellStyle name="20% - Accent3 4 3 4 2" xfId="10289"/>
    <cellStyle name="20% - Accent3 4 3 5" xfId="10290"/>
    <cellStyle name="20% - Accent3 4 4" xfId="10291"/>
    <cellStyle name="20% - Accent3 4 4 2" xfId="10292"/>
    <cellStyle name="20% - Accent3 4 4 2 2" xfId="10293"/>
    <cellStyle name="20% - Accent3 4 4 2 2 2" xfId="10294"/>
    <cellStyle name="20% - Accent3 4 4 2 2 2 2" xfId="10295"/>
    <cellStyle name="20% - Accent3 4 4 2 2 3" xfId="10296"/>
    <cellStyle name="20% - Accent3 4 4 2 3" xfId="10297"/>
    <cellStyle name="20% - Accent3 4 4 2 3 2" xfId="10298"/>
    <cellStyle name="20% - Accent3 4 4 2 4" xfId="10299"/>
    <cellStyle name="20% - Accent3 4 4 3" xfId="10300"/>
    <cellStyle name="20% - Accent3 4 4 3 2" xfId="10301"/>
    <cellStyle name="20% - Accent3 4 4 3 2 2" xfId="10302"/>
    <cellStyle name="20% - Accent3 4 4 3 3" xfId="10303"/>
    <cellStyle name="20% - Accent3 4 4 4" xfId="10304"/>
    <cellStyle name="20% - Accent3 4 4 4 2" xfId="10305"/>
    <cellStyle name="20% - Accent3 4 4 5" xfId="10306"/>
    <cellStyle name="20% - Accent3 4 5" xfId="10307"/>
    <cellStyle name="20% - Accent3 4 5 2" xfId="10308"/>
    <cellStyle name="20% - Accent3 4 5 2 2" xfId="10309"/>
    <cellStyle name="20% - Accent3 4 5 2 2 2" xfId="10310"/>
    <cellStyle name="20% - Accent3 4 5 2 2 2 2" xfId="10311"/>
    <cellStyle name="20% - Accent3 4 5 2 2 3" xfId="10312"/>
    <cellStyle name="20% - Accent3 4 5 2 3" xfId="10313"/>
    <cellStyle name="20% - Accent3 4 5 2 3 2" xfId="10314"/>
    <cellStyle name="20% - Accent3 4 5 2 4" xfId="10315"/>
    <cellStyle name="20% - Accent3 4 5 3" xfId="10316"/>
    <cellStyle name="20% - Accent3 4 5 3 2" xfId="10317"/>
    <cellStyle name="20% - Accent3 4 5 3 2 2" xfId="10318"/>
    <cellStyle name="20% - Accent3 4 5 3 3" xfId="10319"/>
    <cellStyle name="20% - Accent3 4 5 4" xfId="10320"/>
    <cellStyle name="20% - Accent3 4 5 4 2" xfId="10321"/>
    <cellStyle name="20% - Accent3 4 5 5" xfId="10322"/>
    <cellStyle name="20% - Accent3 4 6" xfId="10323"/>
    <cellStyle name="20% - Accent3 4 6 2" xfId="10324"/>
    <cellStyle name="20% - Accent3 4 6 2 2" xfId="10325"/>
    <cellStyle name="20% - Accent3 4 6 2 2 2" xfId="10326"/>
    <cellStyle name="20% - Accent3 4 6 2 2 2 2" xfId="10327"/>
    <cellStyle name="20% - Accent3 4 6 2 2 3" xfId="10328"/>
    <cellStyle name="20% - Accent3 4 6 2 3" xfId="10329"/>
    <cellStyle name="20% - Accent3 4 6 2 3 2" xfId="10330"/>
    <cellStyle name="20% - Accent3 4 6 2 4" xfId="10331"/>
    <cellStyle name="20% - Accent3 4 6 3" xfId="10332"/>
    <cellStyle name="20% - Accent3 4 6 3 2" xfId="10333"/>
    <cellStyle name="20% - Accent3 4 6 3 2 2" xfId="10334"/>
    <cellStyle name="20% - Accent3 4 6 3 3" xfId="10335"/>
    <cellStyle name="20% - Accent3 4 6 4" xfId="10336"/>
    <cellStyle name="20% - Accent3 4 6 4 2" xfId="10337"/>
    <cellStyle name="20% - Accent3 4 6 5" xfId="10338"/>
    <cellStyle name="20% - Accent3 4 7" xfId="10339"/>
    <cellStyle name="20% - Accent3 4 7 2" xfId="10340"/>
    <cellStyle name="20% - Accent3 4 7 2 2" xfId="10341"/>
    <cellStyle name="20% - Accent3 4 7 2 2 2" xfId="10342"/>
    <cellStyle name="20% - Accent3 4 7 2 2 2 2" xfId="10343"/>
    <cellStyle name="20% - Accent3 4 7 2 2 3" xfId="10344"/>
    <cellStyle name="20% - Accent3 4 7 2 3" xfId="10345"/>
    <cellStyle name="20% - Accent3 4 7 2 3 2" xfId="10346"/>
    <cellStyle name="20% - Accent3 4 7 2 4" xfId="10347"/>
    <cellStyle name="20% - Accent3 4 7 3" xfId="10348"/>
    <cellStyle name="20% - Accent3 4 7 3 2" xfId="10349"/>
    <cellStyle name="20% - Accent3 4 7 3 2 2" xfId="10350"/>
    <cellStyle name="20% - Accent3 4 7 3 3" xfId="10351"/>
    <cellStyle name="20% - Accent3 4 7 4" xfId="10352"/>
    <cellStyle name="20% - Accent3 4 7 4 2" xfId="10353"/>
    <cellStyle name="20% - Accent3 4 7 5" xfId="10354"/>
    <cellStyle name="20% - Accent3 4 8" xfId="10355"/>
    <cellStyle name="20% - Accent3 4 8 2" xfId="10356"/>
    <cellStyle name="20% - Accent3 4 8 2 2" xfId="10357"/>
    <cellStyle name="20% - Accent3 4 8 2 2 2" xfId="10358"/>
    <cellStyle name="20% - Accent3 4 8 2 3" xfId="10359"/>
    <cellStyle name="20% - Accent3 4 8 3" xfId="10360"/>
    <cellStyle name="20% - Accent3 4 8 3 2" xfId="10361"/>
    <cellStyle name="20% - Accent3 4 8 4" xfId="10362"/>
    <cellStyle name="20% - Accent3 4 9" xfId="10363"/>
    <cellStyle name="20% - Accent3 4 9 2" xfId="10364"/>
    <cellStyle name="20% - Accent3 4 9 2 2" xfId="10365"/>
    <cellStyle name="20% - Accent3 4 9 3" xfId="10366"/>
    <cellStyle name="20% - Accent3 5" xfId="10367"/>
    <cellStyle name="20% - Accent3 5 10" xfId="10368"/>
    <cellStyle name="20% - Accent3 5 10 2" xfId="10369"/>
    <cellStyle name="20% - Accent3 5 11" xfId="10370"/>
    <cellStyle name="20% - Accent3 5 2" xfId="10371"/>
    <cellStyle name="20% - Accent3 5 2 10" xfId="10372"/>
    <cellStyle name="20% - Accent3 5 2 2" xfId="10373"/>
    <cellStyle name="20% - Accent3 5 2 2 2" xfId="10374"/>
    <cellStyle name="20% - Accent3 5 2 2 2 2" xfId="10375"/>
    <cellStyle name="20% - Accent3 5 2 2 2 2 2" xfId="10376"/>
    <cellStyle name="20% - Accent3 5 2 2 2 2 2 2" xfId="10377"/>
    <cellStyle name="20% - Accent3 5 2 2 2 2 3" xfId="10378"/>
    <cellStyle name="20% - Accent3 5 2 2 2 3" xfId="10379"/>
    <cellStyle name="20% - Accent3 5 2 2 2 3 2" xfId="10380"/>
    <cellStyle name="20% - Accent3 5 2 2 2 4" xfId="10381"/>
    <cellStyle name="20% - Accent3 5 2 2 3" xfId="10382"/>
    <cellStyle name="20% - Accent3 5 2 2 3 2" xfId="10383"/>
    <cellStyle name="20% - Accent3 5 2 2 3 2 2" xfId="10384"/>
    <cellStyle name="20% - Accent3 5 2 2 3 3" xfId="10385"/>
    <cellStyle name="20% - Accent3 5 2 2 4" xfId="10386"/>
    <cellStyle name="20% - Accent3 5 2 2 4 2" xfId="10387"/>
    <cellStyle name="20% - Accent3 5 2 2 5" xfId="10388"/>
    <cellStyle name="20% - Accent3 5 2 3" xfId="10389"/>
    <cellStyle name="20% - Accent3 5 2 3 2" xfId="10390"/>
    <cellStyle name="20% - Accent3 5 2 3 2 2" xfId="10391"/>
    <cellStyle name="20% - Accent3 5 2 3 2 2 2" xfId="10392"/>
    <cellStyle name="20% - Accent3 5 2 3 2 2 2 2" xfId="10393"/>
    <cellStyle name="20% - Accent3 5 2 3 2 2 3" xfId="10394"/>
    <cellStyle name="20% - Accent3 5 2 3 2 3" xfId="10395"/>
    <cellStyle name="20% - Accent3 5 2 3 2 3 2" xfId="10396"/>
    <cellStyle name="20% - Accent3 5 2 3 2 4" xfId="10397"/>
    <cellStyle name="20% - Accent3 5 2 3 3" xfId="10398"/>
    <cellStyle name="20% - Accent3 5 2 3 3 2" xfId="10399"/>
    <cellStyle name="20% - Accent3 5 2 3 3 2 2" xfId="10400"/>
    <cellStyle name="20% - Accent3 5 2 3 3 3" xfId="10401"/>
    <cellStyle name="20% - Accent3 5 2 3 4" xfId="10402"/>
    <cellStyle name="20% - Accent3 5 2 3 4 2" xfId="10403"/>
    <cellStyle name="20% - Accent3 5 2 3 5" xfId="10404"/>
    <cellStyle name="20% - Accent3 5 2 4" xfId="10405"/>
    <cellStyle name="20% - Accent3 5 2 4 2" xfId="10406"/>
    <cellStyle name="20% - Accent3 5 2 4 2 2" xfId="10407"/>
    <cellStyle name="20% - Accent3 5 2 4 2 2 2" xfId="10408"/>
    <cellStyle name="20% - Accent3 5 2 4 2 2 2 2" xfId="10409"/>
    <cellStyle name="20% - Accent3 5 2 4 2 2 3" xfId="10410"/>
    <cellStyle name="20% - Accent3 5 2 4 2 3" xfId="10411"/>
    <cellStyle name="20% - Accent3 5 2 4 2 3 2" xfId="10412"/>
    <cellStyle name="20% - Accent3 5 2 4 2 4" xfId="10413"/>
    <cellStyle name="20% - Accent3 5 2 4 3" xfId="10414"/>
    <cellStyle name="20% - Accent3 5 2 4 3 2" xfId="10415"/>
    <cellStyle name="20% - Accent3 5 2 4 3 2 2" xfId="10416"/>
    <cellStyle name="20% - Accent3 5 2 4 3 3" xfId="10417"/>
    <cellStyle name="20% - Accent3 5 2 4 4" xfId="10418"/>
    <cellStyle name="20% - Accent3 5 2 4 4 2" xfId="10419"/>
    <cellStyle name="20% - Accent3 5 2 4 5" xfId="10420"/>
    <cellStyle name="20% - Accent3 5 2 5" xfId="10421"/>
    <cellStyle name="20% - Accent3 5 2 5 2" xfId="10422"/>
    <cellStyle name="20% - Accent3 5 2 5 2 2" xfId="10423"/>
    <cellStyle name="20% - Accent3 5 2 5 2 2 2" xfId="10424"/>
    <cellStyle name="20% - Accent3 5 2 5 2 2 2 2" xfId="10425"/>
    <cellStyle name="20% - Accent3 5 2 5 2 2 3" xfId="10426"/>
    <cellStyle name="20% - Accent3 5 2 5 2 3" xfId="10427"/>
    <cellStyle name="20% - Accent3 5 2 5 2 3 2" xfId="10428"/>
    <cellStyle name="20% - Accent3 5 2 5 2 4" xfId="10429"/>
    <cellStyle name="20% - Accent3 5 2 5 3" xfId="10430"/>
    <cellStyle name="20% - Accent3 5 2 5 3 2" xfId="10431"/>
    <cellStyle name="20% - Accent3 5 2 5 3 2 2" xfId="10432"/>
    <cellStyle name="20% - Accent3 5 2 5 3 3" xfId="10433"/>
    <cellStyle name="20% - Accent3 5 2 5 4" xfId="10434"/>
    <cellStyle name="20% - Accent3 5 2 5 4 2" xfId="10435"/>
    <cellStyle name="20% - Accent3 5 2 5 5" xfId="10436"/>
    <cellStyle name="20% - Accent3 5 2 6" xfId="10437"/>
    <cellStyle name="20% - Accent3 5 2 6 2" xfId="10438"/>
    <cellStyle name="20% - Accent3 5 2 6 2 2" xfId="10439"/>
    <cellStyle name="20% - Accent3 5 2 6 2 2 2" xfId="10440"/>
    <cellStyle name="20% - Accent3 5 2 6 2 2 2 2" xfId="10441"/>
    <cellStyle name="20% - Accent3 5 2 6 2 2 3" xfId="10442"/>
    <cellStyle name="20% - Accent3 5 2 6 2 3" xfId="10443"/>
    <cellStyle name="20% - Accent3 5 2 6 2 3 2" xfId="10444"/>
    <cellStyle name="20% - Accent3 5 2 6 2 4" xfId="10445"/>
    <cellStyle name="20% - Accent3 5 2 6 3" xfId="10446"/>
    <cellStyle name="20% - Accent3 5 2 6 3 2" xfId="10447"/>
    <cellStyle name="20% - Accent3 5 2 6 3 2 2" xfId="10448"/>
    <cellStyle name="20% - Accent3 5 2 6 3 3" xfId="10449"/>
    <cellStyle name="20% - Accent3 5 2 6 4" xfId="10450"/>
    <cellStyle name="20% - Accent3 5 2 6 4 2" xfId="10451"/>
    <cellStyle name="20% - Accent3 5 2 6 5" xfId="10452"/>
    <cellStyle name="20% - Accent3 5 2 7" xfId="10453"/>
    <cellStyle name="20% - Accent3 5 2 7 2" xfId="10454"/>
    <cellStyle name="20% - Accent3 5 2 7 2 2" xfId="10455"/>
    <cellStyle name="20% - Accent3 5 2 7 2 2 2" xfId="10456"/>
    <cellStyle name="20% - Accent3 5 2 7 2 3" xfId="10457"/>
    <cellStyle name="20% - Accent3 5 2 7 3" xfId="10458"/>
    <cellStyle name="20% - Accent3 5 2 7 3 2" xfId="10459"/>
    <cellStyle name="20% - Accent3 5 2 7 4" xfId="10460"/>
    <cellStyle name="20% - Accent3 5 2 8" xfId="10461"/>
    <cellStyle name="20% - Accent3 5 2 8 2" xfId="10462"/>
    <cellStyle name="20% - Accent3 5 2 8 2 2" xfId="10463"/>
    <cellStyle name="20% - Accent3 5 2 8 3" xfId="10464"/>
    <cellStyle name="20% - Accent3 5 2 9" xfId="10465"/>
    <cellStyle name="20% - Accent3 5 2 9 2" xfId="10466"/>
    <cellStyle name="20% - Accent3 5 3" xfId="10467"/>
    <cellStyle name="20% - Accent3 5 3 2" xfId="10468"/>
    <cellStyle name="20% - Accent3 5 3 2 2" xfId="10469"/>
    <cellStyle name="20% - Accent3 5 3 2 2 2" xfId="10470"/>
    <cellStyle name="20% - Accent3 5 3 2 2 2 2" xfId="10471"/>
    <cellStyle name="20% - Accent3 5 3 2 2 3" xfId="10472"/>
    <cellStyle name="20% - Accent3 5 3 2 3" xfId="10473"/>
    <cellStyle name="20% - Accent3 5 3 2 3 2" xfId="10474"/>
    <cellStyle name="20% - Accent3 5 3 2 4" xfId="10475"/>
    <cellStyle name="20% - Accent3 5 3 3" xfId="10476"/>
    <cellStyle name="20% - Accent3 5 3 3 2" xfId="10477"/>
    <cellStyle name="20% - Accent3 5 3 3 2 2" xfId="10478"/>
    <cellStyle name="20% - Accent3 5 3 3 3" xfId="10479"/>
    <cellStyle name="20% - Accent3 5 3 4" xfId="10480"/>
    <cellStyle name="20% - Accent3 5 3 4 2" xfId="10481"/>
    <cellStyle name="20% - Accent3 5 3 5" xfId="10482"/>
    <cellStyle name="20% - Accent3 5 4" xfId="10483"/>
    <cellStyle name="20% - Accent3 5 4 2" xfId="10484"/>
    <cellStyle name="20% - Accent3 5 4 2 2" xfId="10485"/>
    <cellStyle name="20% - Accent3 5 4 2 2 2" xfId="10486"/>
    <cellStyle name="20% - Accent3 5 4 2 2 2 2" xfId="10487"/>
    <cellStyle name="20% - Accent3 5 4 2 2 3" xfId="10488"/>
    <cellStyle name="20% - Accent3 5 4 2 3" xfId="10489"/>
    <cellStyle name="20% - Accent3 5 4 2 3 2" xfId="10490"/>
    <cellStyle name="20% - Accent3 5 4 2 4" xfId="10491"/>
    <cellStyle name="20% - Accent3 5 4 3" xfId="10492"/>
    <cellStyle name="20% - Accent3 5 4 3 2" xfId="10493"/>
    <cellStyle name="20% - Accent3 5 4 3 2 2" xfId="10494"/>
    <cellStyle name="20% - Accent3 5 4 3 3" xfId="10495"/>
    <cellStyle name="20% - Accent3 5 4 4" xfId="10496"/>
    <cellStyle name="20% - Accent3 5 4 4 2" xfId="10497"/>
    <cellStyle name="20% - Accent3 5 4 5" xfId="10498"/>
    <cellStyle name="20% - Accent3 5 5" xfId="10499"/>
    <cellStyle name="20% - Accent3 5 5 2" xfId="10500"/>
    <cellStyle name="20% - Accent3 5 5 2 2" xfId="10501"/>
    <cellStyle name="20% - Accent3 5 5 2 2 2" xfId="10502"/>
    <cellStyle name="20% - Accent3 5 5 2 2 2 2" xfId="10503"/>
    <cellStyle name="20% - Accent3 5 5 2 2 3" xfId="10504"/>
    <cellStyle name="20% - Accent3 5 5 2 3" xfId="10505"/>
    <cellStyle name="20% - Accent3 5 5 2 3 2" xfId="10506"/>
    <cellStyle name="20% - Accent3 5 5 2 4" xfId="10507"/>
    <cellStyle name="20% - Accent3 5 5 3" xfId="10508"/>
    <cellStyle name="20% - Accent3 5 5 3 2" xfId="10509"/>
    <cellStyle name="20% - Accent3 5 5 3 2 2" xfId="10510"/>
    <cellStyle name="20% - Accent3 5 5 3 3" xfId="10511"/>
    <cellStyle name="20% - Accent3 5 5 4" xfId="10512"/>
    <cellStyle name="20% - Accent3 5 5 4 2" xfId="10513"/>
    <cellStyle name="20% - Accent3 5 5 5" xfId="10514"/>
    <cellStyle name="20% - Accent3 5 6" xfId="10515"/>
    <cellStyle name="20% - Accent3 5 6 2" xfId="10516"/>
    <cellStyle name="20% - Accent3 5 6 2 2" xfId="10517"/>
    <cellStyle name="20% - Accent3 5 6 2 2 2" xfId="10518"/>
    <cellStyle name="20% - Accent3 5 6 2 2 2 2" xfId="10519"/>
    <cellStyle name="20% - Accent3 5 6 2 2 3" xfId="10520"/>
    <cellStyle name="20% - Accent3 5 6 2 3" xfId="10521"/>
    <cellStyle name="20% - Accent3 5 6 2 3 2" xfId="10522"/>
    <cellStyle name="20% - Accent3 5 6 2 4" xfId="10523"/>
    <cellStyle name="20% - Accent3 5 6 3" xfId="10524"/>
    <cellStyle name="20% - Accent3 5 6 3 2" xfId="10525"/>
    <cellStyle name="20% - Accent3 5 6 3 2 2" xfId="10526"/>
    <cellStyle name="20% - Accent3 5 6 3 3" xfId="10527"/>
    <cellStyle name="20% - Accent3 5 6 4" xfId="10528"/>
    <cellStyle name="20% - Accent3 5 6 4 2" xfId="10529"/>
    <cellStyle name="20% - Accent3 5 6 5" xfId="10530"/>
    <cellStyle name="20% - Accent3 5 7" xfId="10531"/>
    <cellStyle name="20% - Accent3 5 7 2" xfId="10532"/>
    <cellStyle name="20% - Accent3 5 7 2 2" xfId="10533"/>
    <cellStyle name="20% - Accent3 5 7 2 2 2" xfId="10534"/>
    <cellStyle name="20% - Accent3 5 7 2 2 2 2" xfId="10535"/>
    <cellStyle name="20% - Accent3 5 7 2 2 3" xfId="10536"/>
    <cellStyle name="20% - Accent3 5 7 2 3" xfId="10537"/>
    <cellStyle name="20% - Accent3 5 7 2 3 2" xfId="10538"/>
    <cellStyle name="20% - Accent3 5 7 2 4" xfId="10539"/>
    <cellStyle name="20% - Accent3 5 7 3" xfId="10540"/>
    <cellStyle name="20% - Accent3 5 7 3 2" xfId="10541"/>
    <cellStyle name="20% - Accent3 5 7 3 2 2" xfId="10542"/>
    <cellStyle name="20% - Accent3 5 7 3 3" xfId="10543"/>
    <cellStyle name="20% - Accent3 5 7 4" xfId="10544"/>
    <cellStyle name="20% - Accent3 5 7 4 2" xfId="10545"/>
    <cellStyle name="20% - Accent3 5 7 5" xfId="10546"/>
    <cellStyle name="20% - Accent3 5 8" xfId="10547"/>
    <cellStyle name="20% - Accent3 5 8 2" xfId="10548"/>
    <cellStyle name="20% - Accent3 5 8 2 2" xfId="10549"/>
    <cellStyle name="20% - Accent3 5 8 2 2 2" xfId="10550"/>
    <cellStyle name="20% - Accent3 5 8 2 3" xfId="10551"/>
    <cellStyle name="20% - Accent3 5 8 3" xfId="10552"/>
    <cellStyle name="20% - Accent3 5 8 3 2" xfId="10553"/>
    <cellStyle name="20% - Accent3 5 8 4" xfId="10554"/>
    <cellStyle name="20% - Accent3 5 9" xfId="10555"/>
    <cellStyle name="20% - Accent3 5 9 2" xfId="10556"/>
    <cellStyle name="20% - Accent3 5 9 2 2" xfId="10557"/>
    <cellStyle name="20% - Accent3 5 9 3" xfId="10558"/>
    <cellStyle name="20% - Accent3 6" xfId="10559"/>
    <cellStyle name="20% - Accent3 6 10" xfId="10560"/>
    <cellStyle name="20% - Accent3 6 10 2" xfId="10561"/>
    <cellStyle name="20% - Accent3 6 11" xfId="10562"/>
    <cellStyle name="20% - Accent3 6 2" xfId="10563"/>
    <cellStyle name="20% - Accent3 6 2 10" xfId="10564"/>
    <cellStyle name="20% - Accent3 6 2 2" xfId="10565"/>
    <cellStyle name="20% - Accent3 6 2 2 2" xfId="10566"/>
    <cellStyle name="20% - Accent3 6 2 2 2 2" xfId="10567"/>
    <cellStyle name="20% - Accent3 6 2 2 2 2 2" xfId="10568"/>
    <cellStyle name="20% - Accent3 6 2 2 2 2 2 2" xfId="10569"/>
    <cellStyle name="20% - Accent3 6 2 2 2 2 3" xfId="10570"/>
    <cellStyle name="20% - Accent3 6 2 2 2 3" xfId="10571"/>
    <cellStyle name="20% - Accent3 6 2 2 2 3 2" xfId="10572"/>
    <cellStyle name="20% - Accent3 6 2 2 2 4" xfId="10573"/>
    <cellStyle name="20% - Accent3 6 2 2 3" xfId="10574"/>
    <cellStyle name="20% - Accent3 6 2 2 3 2" xfId="10575"/>
    <cellStyle name="20% - Accent3 6 2 2 3 2 2" xfId="10576"/>
    <cellStyle name="20% - Accent3 6 2 2 3 3" xfId="10577"/>
    <cellStyle name="20% - Accent3 6 2 2 4" xfId="10578"/>
    <cellStyle name="20% - Accent3 6 2 2 4 2" xfId="10579"/>
    <cellStyle name="20% - Accent3 6 2 2 5" xfId="10580"/>
    <cellStyle name="20% - Accent3 6 2 3" xfId="10581"/>
    <cellStyle name="20% - Accent3 6 2 3 2" xfId="10582"/>
    <cellStyle name="20% - Accent3 6 2 3 2 2" xfId="10583"/>
    <cellStyle name="20% - Accent3 6 2 3 2 2 2" xfId="10584"/>
    <cellStyle name="20% - Accent3 6 2 3 2 2 2 2" xfId="10585"/>
    <cellStyle name="20% - Accent3 6 2 3 2 2 3" xfId="10586"/>
    <cellStyle name="20% - Accent3 6 2 3 2 3" xfId="10587"/>
    <cellStyle name="20% - Accent3 6 2 3 2 3 2" xfId="10588"/>
    <cellStyle name="20% - Accent3 6 2 3 2 4" xfId="10589"/>
    <cellStyle name="20% - Accent3 6 2 3 3" xfId="10590"/>
    <cellStyle name="20% - Accent3 6 2 3 3 2" xfId="10591"/>
    <cellStyle name="20% - Accent3 6 2 3 3 2 2" xfId="10592"/>
    <cellStyle name="20% - Accent3 6 2 3 3 3" xfId="10593"/>
    <cellStyle name="20% - Accent3 6 2 3 4" xfId="10594"/>
    <cellStyle name="20% - Accent3 6 2 3 4 2" xfId="10595"/>
    <cellStyle name="20% - Accent3 6 2 3 5" xfId="10596"/>
    <cellStyle name="20% - Accent3 6 2 4" xfId="10597"/>
    <cellStyle name="20% - Accent3 6 2 4 2" xfId="10598"/>
    <cellStyle name="20% - Accent3 6 2 4 2 2" xfId="10599"/>
    <cellStyle name="20% - Accent3 6 2 4 2 2 2" xfId="10600"/>
    <cellStyle name="20% - Accent3 6 2 4 2 2 2 2" xfId="10601"/>
    <cellStyle name="20% - Accent3 6 2 4 2 2 3" xfId="10602"/>
    <cellStyle name="20% - Accent3 6 2 4 2 3" xfId="10603"/>
    <cellStyle name="20% - Accent3 6 2 4 2 3 2" xfId="10604"/>
    <cellStyle name="20% - Accent3 6 2 4 2 4" xfId="10605"/>
    <cellStyle name="20% - Accent3 6 2 4 3" xfId="10606"/>
    <cellStyle name="20% - Accent3 6 2 4 3 2" xfId="10607"/>
    <cellStyle name="20% - Accent3 6 2 4 3 2 2" xfId="10608"/>
    <cellStyle name="20% - Accent3 6 2 4 3 3" xfId="10609"/>
    <cellStyle name="20% - Accent3 6 2 4 4" xfId="10610"/>
    <cellStyle name="20% - Accent3 6 2 4 4 2" xfId="10611"/>
    <cellStyle name="20% - Accent3 6 2 4 5" xfId="10612"/>
    <cellStyle name="20% - Accent3 6 2 5" xfId="10613"/>
    <cellStyle name="20% - Accent3 6 2 5 2" xfId="10614"/>
    <cellStyle name="20% - Accent3 6 2 5 2 2" xfId="10615"/>
    <cellStyle name="20% - Accent3 6 2 5 2 2 2" xfId="10616"/>
    <cellStyle name="20% - Accent3 6 2 5 2 2 2 2" xfId="10617"/>
    <cellStyle name="20% - Accent3 6 2 5 2 2 3" xfId="10618"/>
    <cellStyle name="20% - Accent3 6 2 5 2 3" xfId="10619"/>
    <cellStyle name="20% - Accent3 6 2 5 2 3 2" xfId="10620"/>
    <cellStyle name="20% - Accent3 6 2 5 2 4" xfId="10621"/>
    <cellStyle name="20% - Accent3 6 2 5 3" xfId="10622"/>
    <cellStyle name="20% - Accent3 6 2 5 3 2" xfId="10623"/>
    <cellStyle name="20% - Accent3 6 2 5 3 2 2" xfId="10624"/>
    <cellStyle name="20% - Accent3 6 2 5 3 3" xfId="10625"/>
    <cellStyle name="20% - Accent3 6 2 5 4" xfId="10626"/>
    <cellStyle name="20% - Accent3 6 2 5 4 2" xfId="10627"/>
    <cellStyle name="20% - Accent3 6 2 5 5" xfId="10628"/>
    <cellStyle name="20% - Accent3 6 2 6" xfId="10629"/>
    <cellStyle name="20% - Accent3 6 2 6 2" xfId="10630"/>
    <cellStyle name="20% - Accent3 6 2 6 2 2" xfId="10631"/>
    <cellStyle name="20% - Accent3 6 2 6 2 2 2" xfId="10632"/>
    <cellStyle name="20% - Accent3 6 2 6 2 2 2 2" xfId="10633"/>
    <cellStyle name="20% - Accent3 6 2 6 2 2 3" xfId="10634"/>
    <cellStyle name="20% - Accent3 6 2 6 2 3" xfId="10635"/>
    <cellStyle name="20% - Accent3 6 2 6 2 3 2" xfId="10636"/>
    <cellStyle name="20% - Accent3 6 2 6 2 4" xfId="10637"/>
    <cellStyle name="20% - Accent3 6 2 6 3" xfId="10638"/>
    <cellStyle name="20% - Accent3 6 2 6 3 2" xfId="10639"/>
    <cellStyle name="20% - Accent3 6 2 6 3 2 2" xfId="10640"/>
    <cellStyle name="20% - Accent3 6 2 6 3 3" xfId="10641"/>
    <cellStyle name="20% - Accent3 6 2 6 4" xfId="10642"/>
    <cellStyle name="20% - Accent3 6 2 6 4 2" xfId="10643"/>
    <cellStyle name="20% - Accent3 6 2 6 5" xfId="10644"/>
    <cellStyle name="20% - Accent3 6 2 7" xfId="10645"/>
    <cellStyle name="20% - Accent3 6 2 7 2" xfId="10646"/>
    <cellStyle name="20% - Accent3 6 2 7 2 2" xfId="10647"/>
    <cellStyle name="20% - Accent3 6 2 7 2 2 2" xfId="10648"/>
    <cellStyle name="20% - Accent3 6 2 7 2 3" xfId="10649"/>
    <cellStyle name="20% - Accent3 6 2 7 3" xfId="10650"/>
    <cellStyle name="20% - Accent3 6 2 7 3 2" xfId="10651"/>
    <cellStyle name="20% - Accent3 6 2 7 4" xfId="10652"/>
    <cellStyle name="20% - Accent3 6 2 8" xfId="10653"/>
    <cellStyle name="20% - Accent3 6 2 8 2" xfId="10654"/>
    <cellStyle name="20% - Accent3 6 2 8 2 2" xfId="10655"/>
    <cellStyle name="20% - Accent3 6 2 8 3" xfId="10656"/>
    <cellStyle name="20% - Accent3 6 2 9" xfId="10657"/>
    <cellStyle name="20% - Accent3 6 2 9 2" xfId="10658"/>
    <cellStyle name="20% - Accent3 6 3" xfId="10659"/>
    <cellStyle name="20% - Accent3 6 3 2" xfId="10660"/>
    <cellStyle name="20% - Accent3 6 3 2 2" xfId="10661"/>
    <cellStyle name="20% - Accent3 6 3 2 2 2" xfId="10662"/>
    <cellStyle name="20% - Accent3 6 3 2 2 2 2" xfId="10663"/>
    <cellStyle name="20% - Accent3 6 3 2 2 3" xfId="10664"/>
    <cellStyle name="20% - Accent3 6 3 2 3" xfId="10665"/>
    <cellStyle name="20% - Accent3 6 3 2 3 2" xfId="10666"/>
    <cellStyle name="20% - Accent3 6 3 2 4" xfId="10667"/>
    <cellStyle name="20% - Accent3 6 3 3" xfId="10668"/>
    <cellStyle name="20% - Accent3 6 3 3 2" xfId="10669"/>
    <cellStyle name="20% - Accent3 6 3 3 2 2" xfId="10670"/>
    <cellStyle name="20% - Accent3 6 3 3 3" xfId="10671"/>
    <cellStyle name="20% - Accent3 6 3 4" xfId="10672"/>
    <cellStyle name="20% - Accent3 6 3 4 2" xfId="10673"/>
    <cellStyle name="20% - Accent3 6 3 5" xfId="10674"/>
    <cellStyle name="20% - Accent3 6 4" xfId="10675"/>
    <cellStyle name="20% - Accent3 6 4 2" xfId="10676"/>
    <cellStyle name="20% - Accent3 6 4 2 2" xfId="10677"/>
    <cellStyle name="20% - Accent3 6 4 2 2 2" xfId="10678"/>
    <cellStyle name="20% - Accent3 6 4 2 2 2 2" xfId="10679"/>
    <cellStyle name="20% - Accent3 6 4 2 2 3" xfId="10680"/>
    <cellStyle name="20% - Accent3 6 4 2 3" xfId="10681"/>
    <cellStyle name="20% - Accent3 6 4 2 3 2" xfId="10682"/>
    <cellStyle name="20% - Accent3 6 4 2 4" xfId="10683"/>
    <cellStyle name="20% - Accent3 6 4 3" xfId="10684"/>
    <cellStyle name="20% - Accent3 6 4 3 2" xfId="10685"/>
    <cellStyle name="20% - Accent3 6 4 3 2 2" xfId="10686"/>
    <cellStyle name="20% - Accent3 6 4 3 3" xfId="10687"/>
    <cellStyle name="20% - Accent3 6 4 4" xfId="10688"/>
    <cellStyle name="20% - Accent3 6 4 4 2" xfId="10689"/>
    <cellStyle name="20% - Accent3 6 4 5" xfId="10690"/>
    <cellStyle name="20% - Accent3 6 5" xfId="10691"/>
    <cellStyle name="20% - Accent3 6 5 2" xfId="10692"/>
    <cellStyle name="20% - Accent3 6 5 2 2" xfId="10693"/>
    <cellStyle name="20% - Accent3 6 5 2 2 2" xfId="10694"/>
    <cellStyle name="20% - Accent3 6 5 2 2 2 2" xfId="10695"/>
    <cellStyle name="20% - Accent3 6 5 2 2 3" xfId="10696"/>
    <cellStyle name="20% - Accent3 6 5 2 3" xfId="10697"/>
    <cellStyle name="20% - Accent3 6 5 2 3 2" xfId="10698"/>
    <cellStyle name="20% - Accent3 6 5 2 4" xfId="10699"/>
    <cellStyle name="20% - Accent3 6 5 3" xfId="10700"/>
    <cellStyle name="20% - Accent3 6 5 3 2" xfId="10701"/>
    <cellStyle name="20% - Accent3 6 5 3 2 2" xfId="10702"/>
    <cellStyle name="20% - Accent3 6 5 3 3" xfId="10703"/>
    <cellStyle name="20% - Accent3 6 5 4" xfId="10704"/>
    <cellStyle name="20% - Accent3 6 5 4 2" xfId="10705"/>
    <cellStyle name="20% - Accent3 6 5 5" xfId="10706"/>
    <cellStyle name="20% - Accent3 6 6" xfId="10707"/>
    <cellStyle name="20% - Accent3 6 6 2" xfId="10708"/>
    <cellStyle name="20% - Accent3 6 6 2 2" xfId="10709"/>
    <cellStyle name="20% - Accent3 6 6 2 2 2" xfId="10710"/>
    <cellStyle name="20% - Accent3 6 6 2 2 2 2" xfId="10711"/>
    <cellStyle name="20% - Accent3 6 6 2 2 3" xfId="10712"/>
    <cellStyle name="20% - Accent3 6 6 2 3" xfId="10713"/>
    <cellStyle name="20% - Accent3 6 6 2 3 2" xfId="10714"/>
    <cellStyle name="20% - Accent3 6 6 2 4" xfId="10715"/>
    <cellStyle name="20% - Accent3 6 6 3" xfId="10716"/>
    <cellStyle name="20% - Accent3 6 6 3 2" xfId="10717"/>
    <cellStyle name="20% - Accent3 6 6 3 2 2" xfId="10718"/>
    <cellStyle name="20% - Accent3 6 6 3 3" xfId="10719"/>
    <cellStyle name="20% - Accent3 6 6 4" xfId="10720"/>
    <cellStyle name="20% - Accent3 6 6 4 2" xfId="10721"/>
    <cellStyle name="20% - Accent3 6 6 5" xfId="10722"/>
    <cellStyle name="20% - Accent3 6 7" xfId="10723"/>
    <cellStyle name="20% - Accent3 6 7 2" xfId="10724"/>
    <cellStyle name="20% - Accent3 6 7 2 2" xfId="10725"/>
    <cellStyle name="20% - Accent3 6 7 2 2 2" xfId="10726"/>
    <cellStyle name="20% - Accent3 6 7 2 2 2 2" xfId="10727"/>
    <cellStyle name="20% - Accent3 6 7 2 2 3" xfId="10728"/>
    <cellStyle name="20% - Accent3 6 7 2 3" xfId="10729"/>
    <cellStyle name="20% - Accent3 6 7 2 3 2" xfId="10730"/>
    <cellStyle name="20% - Accent3 6 7 2 4" xfId="10731"/>
    <cellStyle name="20% - Accent3 6 7 3" xfId="10732"/>
    <cellStyle name="20% - Accent3 6 7 3 2" xfId="10733"/>
    <cellStyle name="20% - Accent3 6 7 3 2 2" xfId="10734"/>
    <cellStyle name="20% - Accent3 6 7 3 3" xfId="10735"/>
    <cellStyle name="20% - Accent3 6 7 4" xfId="10736"/>
    <cellStyle name="20% - Accent3 6 7 4 2" xfId="10737"/>
    <cellStyle name="20% - Accent3 6 7 5" xfId="10738"/>
    <cellStyle name="20% - Accent3 6 8" xfId="10739"/>
    <cellStyle name="20% - Accent3 6 8 2" xfId="10740"/>
    <cellStyle name="20% - Accent3 6 8 2 2" xfId="10741"/>
    <cellStyle name="20% - Accent3 6 8 2 2 2" xfId="10742"/>
    <cellStyle name="20% - Accent3 6 8 2 3" xfId="10743"/>
    <cellStyle name="20% - Accent3 6 8 3" xfId="10744"/>
    <cellStyle name="20% - Accent3 6 8 3 2" xfId="10745"/>
    <cellStyle name="20% - Accent3 6 8 4" xfId="10746"/>
    <cellStyle name="20% - Accent3 6 9" xfId="10747"/>
    <cellStyle name="20% - Accent3 6 9 2" xfId="10748"/>
    <cellStyle name="20% - Accent3 6 9 2 2" xfId="10749"/>
    <cellStyle name="20% - Accent3 6 9 3" xfId="10750"/>
    <cellStyle name="20% - Accent3 7" xfId="10751"/>
    <cellStyle name="20% - Accent3 7 10" xfId="10752"/>
    <cellStyle name="20% - Accent3 7 10 2" xfId="10753"/>
    <cellStyle name="20% - Accent3 7 11" xfId="10754"/>
    <cellStyle name="20% - Accent3 7 2" xfId="10755"/>
    <cellStyle name="20% - Accent3 7 2 10" xfId="10756"/>
    <cellStyle name="20% - Accent3 7 2 2" xfId="10757"/>
    <cellStyle name="20% - Accent3 7 2 2 2" xfId="10758"/>
    <cellStyle name="20% - Accent3 7 2 2 2 2" xfId="10759"/>
    <cellStyle name="20% - Accent3 7 2 2 2 2 2" xfId="10760"/>
    <cellStyle name="20% - Accent3 7 2 2 2 2 2 2" xfId="10761"/>
    <cellStyle name="20% - Accent3 7 2 2 2 2 3" xfId="10762"/>
    <cellStyle name="20% - Accent3 7 2 2 2 3" xfId="10763"/>
    <cellStyle name="20% - Accent3 7 2 2 2 3 2" xfId="10764"/>
    <cellStyle name="20% - Accent3 7 2 2 2 4" xfId="10765"/>
    <cellStyle name="20% - Accent3 7 2 2 3" xfId="10766"/>
    <cellStyle name="20% - Accent3 7 2 2 3 2" xfId="10767"/>
    <cellStyle name="20% - Accent3 7 2 2 3 2 2" xfId="10768"/>
    <cellStyle name="20% - Accent3 7 2 2 3 3" xfId="10769"/>
    <cellStyle name="20% - Accent3 7 2 2 4" xfId="10770"/>
    <cellStyle name="20% - Accent3 7 2 2 4 2" xfId="10771"/>
    <cellStyle name="20% - Accent3 7 2 2 5" xfId="10772"/>
    <cellStyle name="20% - Accent3 7 2 3" xfId="10773"/>
    <cellStyle name="20% - Accent3 7 2 3 2" xfId="10774"/>
    <cellStyle name="20% - Accent3 7 2 3 2 2" xfId="10775"/>
    <cellStyle name="20% - Accent3 7 2 3 2 2 2" xfId="10776"/>
    <cellStyle name="20% - Accent3 7 2 3 2 2 2 2" xfId="10777"/>
    <cellStyle name="20% - Accent3 7 2 3 2 2 3" xfId="10778"/>
    <cellStyle name="20% - Accent3 7 2 3 2 3" xfId="10779"/>
    <cellStyle name="20% - Accent3 7 2 3 2 3 2" xfId="10780"/>
    <cellStyle name="20% - Accent3 7 2 3 2 4" xfId="10781"/>
    <cellStyle name="20% - Accent3 7 2 3 3" xfId="10782"/>
    <cellStyle name="20% - Accent3 7 2 3 3 2" xfId="10783"/>
    <cellStyle name="20% - Accent3 7 2 3 3 2 2" xfId="10784"/>
    <cellStyle name="20% - Accent3 7 2 3 3 3" xfId="10785"/>
    <cellStyle name="20% - Accent3 7 2 3 4" xfId="10786"/>
    <cellStyle name="20% - Accent3 7 2 3 4 2" xfId="10787"/>
    <cellStyle name="20% - Accent3 7 2 3 5" xfId="10788"/>
    <cellStyle name="20% - Accent3 7 2 4" xfId="10789"/>
    <cellStyle name="20% - Accent3 7 2 4 2" xfId="10790"/>
    <cellStyle name="20% - Accent3 7 2 4 2 2" xfId="10791"/>
    <cellStyle name="20% - Accent3 7 2 4 2 2 2" xfId="10792"/>
    <cellStyle name="20% - Accent3 7 2 4 2 2 2 2" xfId="10793"/>
    <cellStyle name="20% - Accent3 7 2 4 2 2 3" xfId="10794"/>
    <cellStyle name="20% - Accent3 7 2 4 2 3" xfId="10795"/>
    <cellStyle name="20% - Accent3 7 2 4 2 3 2" xfId="10796"/>
    <cellStyle name="20% - Accent3 7 2 4 2 4" xfId="10797"/>
    <cellStyle name="20% - Accent3 7 2 4 3" xfId="10798"/>
    <cellStyle name="20% - Accent3 7 2 4 3 2" xfId="10799"/>
    <cellStyle name="20% - Accent3 7 2 4 3 2 2" xfId="10800"/>
    <cellStyle name="20% - Accent3 7 2 4 3 3" xfId="10801"/>
    <cellStyle name="20% - Accent3 7 2 4 4" xfId="10802"/>
    <cellStyle name="20% - Accent3 7 2 4 4 2" xfId="10803"/>
    <cellStyle name="20% - Accent3 7 2 4 5" xfId="10804"/>
    <cellStyle name="20% - Accent3 7 2 5" xfId="10805"/>
    <cellStyle name="20% - Accent3 7 2 5 2" xfId="10806"/>
    <cellStyle name="20% - Accent3 7 2 5 2 2" xfId="10807"/>
    <cellStyle name="20% - Accent3 7 2 5 2 2 2" xfId="10808"/>
    <cellStyle name="20% - Accent3 7 2 5 2 2 2 2" xfId="10809"/>
    <cellStyle name="20% - Accent3 7 2 5 2 2 3" xfId="10810"/>
    <cellStyle name="20% - Accent3 7 2 5 2 3" xfId="10811"/>
    <cellStyle name="20% - Accent3 7 2 5 2 3 2" xfId="10812"/>
    <cellStyle name="20% - Accent3 7 2 5 2 4" xfId="10813"/>
    <cellStyle name="20% - Accent3 7 2 5 3" xfId="10814"/>
    <cellStyle name="20% - Accent3 7 2 5 3 2" xfId="10815"/>
    <cellStyle name="20% - Accent3 7 2 5 3 2 2" xfId="10816"/>
    <cellStyle name="20% - Accent3 7 2 5 3 3" xfId="10817"/>
    <cellStyle name="20% - Accent3 7 2 5 4" xfId="10818"/>
    <cellStyle name="20% - Accent3 7 2 5 4 2" xfId="10819"/>
    <cellStyle name="20% - Accent3 7 2 5 5" xfId="10820"/>
    <cellStyle name="20% - Accent3 7 2 6" xfId="10821"/>
    <cellStyle name="20% - Accent3 7 2 6 2" xfId="10822"/>
    <cellStyle name="20% - Accent3 7 2 6 2 2" xfId="10823"/>
    <cellStyle name="20% - Accent3 7 2 6 2 2 2" xfId="10824"/>
    <cellStyle name="20% - Accent3 7 2 6 2 2 2 2" xfId="10825"/>
    <cellStyle name="20% - Accent3 7 2 6 2 2 3" xfId="10826"/>
    <cellStyle name="20% - Accent3 7 2 6 2 3" xfId="10827"/>
    <cellStyle name="20% - Accent3 7 2 6 2 3 2" xfId="10828"/>
    <cellStyle name="20% - Accent3 7 2 6 2 4" xfId="10829"/>
    <cellStyle name="20% - Accent3 7 2 6 3" xfId="10830"/>
    <cellStyle name="20% - Accent3 7 2 6 3 2" xfId="10831"/>
    <cellStyle name="20% - Accent3 7 2 6 3 2 2" xfId="10832"/>
    <cellStyle name="20% - Accent3 7 2 6 3 3" xfId="10833"/>
    <cellStyle name="20% - Accent3 7 2 6 4" xfId="10834"/>
    <cellStyle name="20% - Accent3 7 2 6 4 2" xfId="10835"/>
    <cellStyle name="20% - Accent3 7 2 6 5" xfId="10836"/>
    <cellStyle name="20% - Accent3 7 2 7" xfId="10837"/>
    <cellStyle name="20% - Accent3 7 2 7 2" xfId="10838"/>
    <cellStyle name="20% - Accent3 7 2 7 2 2" xfId="10839"/>
    <cellStyle name="20% - Accent3 7 2 7 2 2 2" xfId="10840"/>
    <cellStyle name="20% - Accent3 7 2 7 2 3" xfId="10841"/>
    <cellStyle name="20% - Accent3 7 2 7 3" xfId="10842"/>
    <cellStyle name="20% - Accent3 7 2 7 3 2" xfId="10843"/>
    <cellStyle name="20% - Accent3 7 2 7 4" xfId="10844"/>
    <cellStyle name="20% - Accent3 7 2 8" xfId="10845"/>
    <cellStyle name="20% - Accent3 7 2 8 2" xfId="10846"/>
    <cellStyle name="20% - Accent3 7 2 8 2 2" xfId="10847"/>
    <cellStyle name="20% - Accent3 7 2 8 3" xfId="10848"/>
    <cellStyle name="20% - Accent3 7 2 9" xfId="10849"/>
    <cellStyle name="20% - Accent3 7 2 9 2" xfId="10850"/>
    <cellStyle name="20% - Accent3 7 3" xfId="10851"/>
    <cellStyle name="20% - Accent3 7 3 2" xfId="10852"/>
    <cellStyle name="20% - Accent3 7 3 2 2" xfId="10853"/>
    <cellStyle name="20% - Accent3 7 3 2 2 2" xfId="10854"/>
    <cellStyle name="20% - Accent3 7 3 2 2 2 2" xfId="10855"/>
    <cellStyle name="20% - Accent3 7 3 2 2 3" xfId="10856"/>
    <cellStyle name="20% - Accent3 7 3 2 3" xfId="10857"/>
    <cellStyle name="20% - Accent3 7 3 2 3 2" xfId="10858"/>
    <cellStyle name="20% - Accent3 7 3 2 4" xfId="10859"/>
    <cellStyle name="20% - Accent3 7 3 3" xfId="10860"/>
    <cellStyle name="20% - Accent3 7 3 3 2" xfId="10861"/>
    <cellStyle name="20% - Accent3 7 3 3 2 2" xfId="10862"/>
    <cellStyle name="20% - Accent3 7 3 3 3" xfId="10863"/>
    <cellStyle name="20% - Accent3 7 3 4" xfId="10864"/>
    <cellStyle name="20% - Accent3 7 3 4 2" xfId="10865"/>
    <cellStyle name="20% - Accent3 7 3 5" xfId="10866"/>
    <cellStyle name="20% - Accent3 7 4" xfId="10867"/>
    <cellStyle name="20% - Accent3 7 4 2" xfId="10868"/>
    <cellStyle name="20% - Accent3 7 4 2 2" xfId="10869"/>
    <cellStyle name="20% - Accent3 7 4 2 2 2" xfId="10870"/>
    <cellStyle name="20% - Accent3 7 4 2 2 2 2" xfId="10871"/>
    <cellStyle name="20% - Accent3 7 4 2 2 3" xfId="10872"/>
    <cellStyle name="20% - Accent3 7 4 2 3" xfId="10873"/>
    <cellStyle name="20% - Accent3 7 4 2 3 2" xfId="10874"/>
    <cellStyle name="20% - Accent3 7 4 2 4" xfId="10875"/>
    <cellStyle name="20% - Accent3 7 4 3" xfId="10876"/>
    <cellStyle name="20% - Accent3 7 4 3 2" xfId="10877"/>
    <cellStyle name="20% - Accent3 7 4 3 2 2" xfId="10878"/>
    <cellStyle name="20% - Accent3 7 4 3 3" xfId="10879"/>
    <cellStyle name="20% - Accent3 7 4 4" xfId="10880"/>
    <cellStyle name="20% - Accent3 7 4 4 2" xfId="10881"/>
    <cellStyle name="20% - Accent3 7 4 5" xfId="10882"/>
    <cellStyle name="20% - Accent3 7 5" xfId="10883"/>
    <cellStyle name="20% - Accent3 7 5 2" xfId="10884"/>
    <cellStyle name="20% - Accent3 7 5 2 2" xfId="10885"/>
    <cellStyle name="20% - Accent3 7 5 2 2 2" xfId="10886"/>
    <cellStyle name="20% - Accent3 7 5 2 2 2 2" xfId="10887"/>
    <cellStyle name="20% - Accent3 7 5 2 2 3" xfId="10888"/>
    <cellStyle name="20% - Accent3 7 5 2 3" xfId="10889"/>
    <cellStyle name="20% - Accent3 7 5 2 3 2" xfId="10890"/>
    <cellStyle name="20% - Accent3 7 5 2 4" xfId="10891"/>
    <cellStyle name="20% - Accent3 7 5 3" xfId="10892"/>
    <cellStyle name="20% - Accent3 7 5 3 2" xfId="10893"/>
    <cellStyle name="20% - Accent3 7 5 3 2 2" xfId="10894"/>
    <cellStyle name="20% - Accent3 7 5 3 3" xfId="10895"/>
    <cellStyle name="20% - Accent3 7 5 4" xfId="10896"/>
    <cellStyle name="20% - Accent3 7 5 4 2" xfId="10897"/>
    <cellStyle name="20% - Accent3 7 5 5" xfId="10898"/>
    <cellStyle name="20% - Accent3 7 6" xfId="10899"/>
    <cellStyle name="20% - Accent3 7 6 2" xfId="10900"/>
    <cellStyle name="20% - Accent3 7 6 2 2" xfId="10901"/>
    <cellStyle name="20% - Accent3 7 6 2 2 2" xfId="10902"/>
    <cellStyle name="20% - Accent3 7 6 2 2 2 2" xfId="10903"/>
    <cellStyle name="20% - Accent3 7 6 2 2 3" xfId="10904"/>
    <cellStyle name="20% - Accent3 7 6 2 3" xfId="10905"/>
    <cellStyle name="20% - Accent3 7 6 2 3 2" xfId="10906"/>
    <cellStyle name="20% - Accent3 7 6 2 4" xfId="10907"/>
    <cellStyle name="20% - Accent3 7 6 3" xfId="10908"/>
    <cellStyle name="20% - Accent3 7 6 3 2" xfId="10909"/>
    <cellStyle name="20% - Accent3 7 6 3 2 2" xfId="10910"/>
    <cellStyle name="20% - Accent3 7 6 3 3" xfId="10911"/>
    <cellStyle name="20% - Accent3 7 6 4" xfId="10912"/>
    <cellStyle name="20% - Accent3 7 6 4 2" xfId="10913"/>
    <cellStyle name="20% - Accent3 7 6 5" xfId="10914"/>
    <cellStyle name="20% - Accent3 7 7" xfId="10915"/>
    <cellStyle name="20% - Accent3 7 7 2" xfId="10916"/>
    <cellStyle name="20% - Accent3 7 7 2 2" xfId="10917"/>
    <cellStyle name="20% - Accent3 7 7 2 2 2" xfId="10918"/>
    <cellStyle name="20% - Accent3 7 7 2 2 2 2" xfId="10919"/>
    <cellStyle name="20% - Accent3 7 7 2 2 3" xfId="10920"/>
    <cellStyle name="20% - Accent3 7 7 2 3" xfId="10921"/>
    <cellStyle name="20% - Accent3 7 7 2 3 2" xfId="10922"/>
    <cellStyle name="20% - Accent3 7 7 2 4" xfId="10923"/>
    <cellStyle name="20% - Accent3 7 7 3" xfId="10924"/>
    <cellStyle name="20% - Accent3 7 7 3 2" xfId="10925"/>
    <cellStyle name="20% - Accent3 7 7 3 2 2" xfId="10926"/>
    <cellStyle name="20% - Accent3 7 7 3 3" xfId="10927"/>
    <cellStyle name="20% - Accent3 7 7 4" xfId="10928"/>
    <cellStyle name="20% - Accent3 7 7 4 2" xfId="10929"/>
    <cellStyle name="20% - Accent3 7 7 5" xfId="10930"/>
    <cellStyle name="20% - Accent3 7 8" xfId="10931"/>
    <cellStyle name="20% - Accent3 7 8 2" xfId="10932"/>
    <cellStyle name="20% - Accent3 7 8 2 2" xfId="10933"/>
    <cellStyle name="20% - Accent3 7 8 2 2 2" xfId="10934"/>
    <cellStyle name="20% - Accent3 7 8 2 3" xfId="10935"/>
    <cellStyle name="20% - Accent3 7 8 3" xfId="10936"/>
    <cellStyle name="20% - Accent3 7 8 3 2" xfId="10937"/>
    <cellStyle name="20% - Accent3 7 8 4" xfId="10938"/>
    <cellStyle name="20% - Accent3 7 9" xfId="10939"/>
    <cellStyle name="20% - Accent3 7 9 2" xfId="10940"/>
    <cellStyle name="20% - Accent3 7 9 2 2" xfId="10941"/>
    <cellStyle name="20% - Accent3 7 9 3" xfId="10942"/>
    <cellStyle name="20% - Accent3 8" xfId="10943"/>
    <cellStyle name="20% - Accent3 8 10" xfId="10944"/>
    <cellStyle name="20% - Accent3 8 10 2" xfId="10945"/>
    <cellStyle name="20% - Accent3 8 11" xfId="10946"/>
    <cellStyle name="20% - Accent3 8 2" xfId="10947"/>
    <cellStyle name="20% - Accent3 8 2 10" xfId="10948"/>
    <cellStyle name="20% - Accent3 8 2 2" xfId="10949"/>
    <cellStyle name="20% - Accent3 8 2 2 2" xfId="10950"/>
    <cellStyle name="20% - Accent3 8 2 2 2 2" xfId="10951"/>
    <cellStyle name="20% - Accent3 8 2 2 2 2 2" xfId="10952"/>
    <cellStyle name="20% - Accent3 8 2 2 2 2 2 2" xfId="10953"/>
    <cellStyle name="20% - Accent3 8 2 2 2 2 3" xfId="10954"/>
    <cellStyle name="20% - Accent3 8 2 2 2 3" xfId="10955"/>
    <cellStyle name="20% - Accent3 8 2 2 2 3 2" xfId="10956"/>
    <cellStyle name="20% - Accent3 8 2 2 2 4" xfId="10957"/>
    <cellStyle name="20% - Accent3 8 2 2 3" xfId="10958"/>
    <cellStyle name="20% - Accent3 8 2 2 3 2" xfId="10959"/>
    <cellStyle name="20% - Accent3 8 2 2 3 2 2" xfId="10960"/>
    <cellStyle name="20% - Accent3 8 2 2 3 3" xfId="10961"/>
    <cellStyle name="20% - Accent3 8 2 2 4" xfId="10962"/>
    <cellStyle name="20% - Accent3 8 2 2 4 2" xfId="10963"/>
    <cellStyle name="20% - Accent3 8 2 2 5" xfId="10964"/>
    <cellStyle name="20% - Accent3 8 2 3" xfId="10965"/>
    <cellStyle name="20% - Accent3 8 2 3 2" xfId="10966"/>
    <cellStyle name="20% - Accent3 8 2 3 2 2" xfId="10967"/>
    <cellStyle name="20% - Accent3 8 2 3 2 2 2" xfId="10968"/>
    <cellStyle name="20% - Accent3 8 2 3 2 2 2 2" xfId="10969"/>
    <cellStyle name="20% - Accent3 8 2 3 2 2 3" xfId="10970"/>
    <cellStyle name="20% - Accent3 8 2 3 2 3" xfId="10971"/>
    <cellStyle name="20% - Accent3 8 2 3 2 3 2" xfId="10972"/>
    <cellStyle name="20% - Accent3 8 2 3 2 4" xfId="10973"/>
    <cellStyle name="20% - Accent3 8 2 3 3" xfId="10974"/>
    <cellStyle name="20% - Accent3 8 2 3 3 2" xfId="10975"/>
    <cellStyle name="20% - Accent3 8 2 3 3 2 2" xfId="10976"/>
    <cellStyle name="20% - Accent3 8 2 3 3 3" xfId="10977"/>
    <cellStyle name="20% - Accent3 8 2 3 4" xfId="10978"/>
    <cellStyle name="20% - Accent3 8 2 3 4 2" xfId="10979"/>
    <cellStyle name="20% - Accent3 8 2 3 5" xfId="10980"/>
    <cellStyle name="20% - Accent3 8 2 4" xfId="10981"/>
    <cellStyle name="20% - Accent3 8 2 4 2" xfId="10982"/>
    <cellStyle name="20% - Accent3 8 2 4 2 2" xfId="10983"/>
    <cellStyle name="20% - Accent3 8 2 4 2 2 2" xfId="10984"/>
    <cellStyle name="20% - Accent3 8 2 4 2 2 2 2" xfId="10985"/>
    <cellStyle name="20% - Accent3 8 2 4 2 2 3" xfId="10986"/>
    <cellStyle name="20% - Accent3 8 2 4 2 3" xfId="10987"/>
    <cellStyle name="20% - Accent3 8 2 4 2 3 2" xfId="10988"/>
    <cellStyle name="20% - Accent3 8 2 4 2 4" xfId="10989"/>
    <cellStyle name="20% - Accent3 8 2 4 3" xfId="10990"/>
    <cellStyle name="20% - Accent3 8 2 4 3 2" xfId="10991"/>
    <cellStyle name="20% - Accent3 8 2 4 3 2 2" xfId="10992"/>
    <cellStyle name="20% - Accent3 8 2 4 3 3" xfId="10993"/>
    <cellStyle name="20% - Accent3 8 2 4 4" xfId="10994"/>
    <cellStyle name="20% - Accent3 8 2 4 4 2" xfId="10995"/>
    <cellStyle name="20% - Accent3 8 2 4 5" xfId="10996"/>
    <cellStyle name="20% - Accent3 8 2 5" xfId="10997"/>
    <cellStyle name="20% - Accent3 8 2 5 2" xfId="10998"/>
    <cellStyle name="20% - Accent3 8 2 5 2 2" xfId="10999"/>
    <cellStyle name="20% - Accent3 8 2 5 2 2 2" xfId="11000"/>
    <cellStyle name="20% - Accent3 8 2 5 2 2 2 2" xfId="11001"/>
    <cellStyle name="20% - Accent3 8 2 5 2 2 3" xfId="11002"/>
    <cellStyle name="20% - Accent3 8 2 5 2 3" xfId="11003"/>
    <cellStyle name="20% - Accent3 8 2 5 2 3 2" xfId="11004"/>
    <cellStyle name="20% - Accent3 8 2 5 2 4" xfId="11005"/>
    <cellStyle name="20% - Accent3 8 2 5 3" xfId="11006"/>
    <cellStyle name="20% - Accent3 8 2 5 3 2" xfId="11007"/>
    <cellStyle name="20% - Accent3 8 2 5 3 2 2" xfId="11008"/>
    <cellStyle name="20% - Accent3 8 2 5 3 3" xfId="11009"/>
    <cellStyle name="20% - Accent3 8 2 5 4" xfId="11010"/>
    <cellStyle name="20% - Accent3 8 2 5 4 2" xfId="11011"/>
    <cellStyle name="20% - Accent3 8 2 5 5" xfId="11012"/>
    <cellStyle name="20% - Accent3 8 2 6" xfId="11013"/>
    <cellStyle name="20% - Accent3 8 2 6 2" xfId="11014"/>
    <cellStyle name="20% - Accent3 8 2 6 2 2" xfId="11015"/>
    <cellStyle name="20% - Accent3 8 2 6 2 2 2" xfId="11016"/>
    <cellStyle name="20% - Accent3 8 2 6 2 2 2 2" xfId="11017"/>
    <cellStyle name="20% - Accent3 8 2 6 2 2 3" xfId="11018"/>
    <cellStyle name="20% - Accent3 8 2 6 2 3" xfId="11019"/>
    <cellStyle name="20% - Accent3 8 2 6 2 3 2" xfId="11020"/>
    <cellStyle name="20% - Accent3 8 2 6 2 4" xfId="11021"/>
    <cellStyle name="20% - Accent3 8 2 6 3" xfId="11022"/>
    <cellStyle name="20% - Accent3 8 2 6 3 2" xfId="11023"/>
    <cellStyle name="20% - Accent3 8 2 6 3 2 2" xfId="11024"/>
    <cellStyle name="20% - Accent3 8 2 6 3 3" xfId="11025"/>
    <cellStyle name="20% - Accent3 8 2 6 4" xfId="11026"/>
    <cellStyle name="20% - Accent3 8 2 6 4 2" xfId="11027"/>
    <cellStyle name="20% - Accent3 8 2 6 5" xfId="11028"/>
    <cellStyle name="20% - Accent3 8 2 7" xfId="11029"/>
    <cellStyle name="20% - Accent3 8 2 7 2" xfId="11030"/>
    <cellStyle name="20% - Accent3 8 2 7 2 2" xfId="11031"/>
    <cellStyle name="20% - Accent3 8 2 7 2 2 2" xfId="11032"/>
    <cellStyle name="20% - Accent3 8 2 7 2 3" xfId="11033"/>
    <cellStyle name="20% - Accent3 8 2 7 3" xfId="11034"/>
    <cellStyle name="20% - Accent3 8 2 7 3 2" xfId="11035"/>
    <cellStyle name="20% - Accent3 8 2 7 4" xfId="11036"/>
    <cellStyle name="20% - Accent3 8 2 8" xfId="11037"/>
    <cellStyle name="20% - Accent3 8 2 8 2" xfId="11038"/>
    <cellStyle name="20% - Accent3 8 2 8 2 2" xfId="11039"/>
    <cellStyle name="20% - Accent3 8 2 8 3" xfId="11040"/>
    <cellStyle name="20% - Accent3 8 2 9" xfId="11041"/>
    <cellStyle name="20% - Accent3 8 2 9 2" xfId="11042"/>
    <cellStyle name="20% - Accent3 8 3" xfId="11043"/>
    <cellStyle name="20% - Accent3 8 3 2" xfId="11044"/>
    <cellStyle name="20% - Accent3 8 3 2 2" xfId="11045"/>
    <cellStyle name="20% - Accent3 8 3 2 2 2" xfId="11046"/>
    <cellStyle name="20% - Accent3 8 3 2 2 2 2" xfId="11047"/>
    <cellStyle name="20% - Accent3 8 3 2 2 3" xfId="11048"/>
    <cellStyle name="20% - Accent3 8 3 2 3" xfId="11049"/>
    <cellStyle name="20% - Accent3 8 3 2 3 2" xfId="11050"/>
    <cellStyle name="20% - Accent3 8 3 2 4" xfId="11051"/>
    <cellStyle name="20% - Accent3 8 3 3" xfId="11052"/>
    <cellStyle name="20% - Accent3 8 3 3 2" xfId="11053"/>
    <cellStyle name="20% - Accent3 8 3 3 2 2" xfId="11054"/>
    <cellStyle name="20% - Accent3 8 3 3 3" xfId="11055"/>
    <cellStyle name="20% - Accent3 8 3 4" xfId="11056"/>
    <cellStyle name="20% - Accent3 8 3 4 2" xfId="11057"/>
    <cellStyle name="20% - Accent3 8 3 5" xfId="11058"/>
    <cellStyle name="20% - Accent3 8 4" xfId="11059"/>
    <cellStyle name="20% - Accent3 8 4 2" xfId="11060"/>
    <cellStyle name="20% - Accent3 8 4 2 2" xfId="11061"/>
    <cellStyle name="20% - Accent3 8 4 2 2 2" xfId="11062"/>
    <cellStyle name="20% - Accent3 8 4 2 2 2 2" xfId="11063"/>
    <cellStyle name="20% - Accent3 8 4 2 2 3" xfId="11064"/>
    <cellStyle name="20% - Accent3 8 4 2 3" xfId="11065"/>
    <cellStyle name="20% - Accent3 8 4 2 3 2" xfId="11066"/>
    <cellStyle name="20% - Accent3 8 4 2 4" xfId="11067"/>
    <cellStyle name="20% - Accent3 8 4 3" xfId="11068"/>
    <cellStyle name="20% - Accent3 8 4 3 2" xfId="11069"/>
    <cellStyle name="20% - Accent3 8 4 3 2 2" xfId="11070"/>
    <cellStyle name="20% - Accent3 8 4 3 3" xfId="11071"/>
    <cellStyle name="20% - Accent3 8 4 4" xfId="11072"/>
    <cellStyle name="20% - Accent3 8 4 4 2" xfId="11073"/>
    <cellStyle name="20% - Accent3 8 4 5" xfId="11074"/>
    <cellStyle name="20% - Accent3 8 5" xfId="11075"/>
    <cellStyle name="20% - Accent3 8 5 2" xfId="11076"/>
    <cellStyle name="20% - Accent3 8 5 2 2" xfId="11077"/>
    <cellStyle name="20% - Accent3 8 5 2 2 2" xfId="11078"/>
    <cellStyle name="20% - Accent3 8 5 2 2 2 2" xfId="11079"/>
    <cellStyle name="20% - Accent3 8 5 2 2 3" xfId="11080"/>
    <cellStyle name="20% - Accent3 8 5 2 3" xfId="11081"/>
    <cellStyle name="20% - Accent3 8 5 2 3 2" xfId="11082"/>
    <cellStyle name="20% - Accent3 8 5 2 4" xfId="11083"/>
    <cellStyle name="20% - Accent3 8 5 3" xfId="11084"/>
    <cellStyle name="20% - Accent3 8 5 3 2" xfId="11085"/>
    <cellStyle name="20% - Accent3 8 5 3 2 2" xfId="11086"/>
    <cellStyle name="20% - Accent3 8 5 3 3" xfId="11087"/>
    <cellStyle name="20% - Accent3 8 5 4" xfId="11088"/>
    <cellStyle name="20% - Accent3 8 5 4 2" xfId="11089"/>
    <cellStyle name="20% - Accent3 8 5 5" xfId="11090"/>
    <cellStyle name="20% - Accent3 8 6" xfId="11091"/>
    <cellStyle name="20% - Accent3 8 6 2" xfId="11092"/>
    <cellStyle name="20% - Accent3 8 6 2 2" xfId="11093"/>
    <cellStyle name="20% - Accent3 8 6 2 2 2" xfId="11094"/>
    <cellStyle name="20% - Accent3 8 6 2 2 2 2" xfId="11095"/>
    <cellStyle name="20% - Accent3 8 6 2 2 3" xfId="11096"/>
    <cellStyle name="20% - Accent3 8 6 2 3" xfId="11097"/>
    <cellStyle name="20% - Accent3 8 6 2 3 2" xfId="11098"/>
    <cellStyle name="20% - Accent3 8 6 2 4" xfId="11099"/>
    <cellStyle name="20% - Accent3 8 6 3" xfId="11100"/>
    <cellStyle name="20% - Accent3 8 6 3 2" xfId="11101"/>
    <cellStyle name="20% - Accent3 8 6 3 2 2" xfId="11102"/>
    <cellStyle name="20% - Accent3 8 6 3 3" xfId="11103"/>
    <cellStyle name="20% - Accent3 8 6 4" xfId="11104"/>
    <cellStyle name="20% - Accent3 8 6 4 2" xfId="11105"/>
    <cellStyle name="20% - Accent3 8 6 5" xfId="11106"/>
    <cellStyle name="20% - Accent3 8 7" xfId="11107"/>
    <cellStyle name="20% - Accent3 8 7 2" xfId="11108"/>
    <cellStyle name="20% - Accent3 8 7 2 2" xfId="11109"/>
    <cellStyle name="20% - Accent3 8 7 2 2 2" xfId="11110"/>
    <cellStyle name="20% - Accent3 8 7 2 2 2 2" xfId="11111"/>
    <cellStyle name="20% - Accent3 8 7 2 2 3" xfId="11112"/>
    <cellStyle name="20% - Accent3 8 7 2 3" xfId="11113"/>
    <cellStyle name="20% - Accent3 8 7 2 3 2" xfId="11114"/>
    <cellStyle name="20% - Accent3 8 7 2 4" xfId="11115"/>
    <cellStyle name="20% - Accent3 8 7 3" xfId="11116"/>
    <cellStyle name="20% - Accent3 8 7 3 2" xfId="11117"/>
    <cellStyle name="20% - Accent3 8 7 3 2 2" xfId="11118"/>
    <cellStyle name="20% - Accent3 8 7 3 3" xfId="11119"/>
    <cellStyle name="20% - Accent3 8 7 4" xfId="11120"/>
    <cellStyle name="20% - Accent3 8 7 4 2" xfId="11121"/>
    <cellStyle name="20% - Accent3 8 7 5" xfId="11122"/>
    <cellStyle name="20% - Accent3 8 8" xfId="11123"/>
    <cellStyle name="20% - Accent3 8 8 2" xfId="11124"/>
    <cellStyle name="20% - Accent3 8 8 2 2" xfId="11125"/>
    <cellStyle name="20% - Accent3 8 8 2 2 2" xfId="11126"/>
    <cellStyle name="20% - Accent3 8 8 2 3" xfId="11127"/>
    <cellStyle name="20% - Accent3 8 8 3" xfId="11128"/>
    <cellStyle name="20% - Accent3 8 8 3 2" xfId="11129"/>
    <cellStyle name="20% - Accent3 8 8 4" xfId="11130"/>
    <cellStyle name="20% - Accent3 8 9" xfId="11131"/>
    <cellStyle name="20% - Accent3 8 9 2" xfId="11132"/>
    <cellStyle name="20% - Accent3 8 9 2 2" xfId="11133"/>
    <cellStyle name="20% - Accent3 8 9 3" xfId="11134"/>
    <cellStyle name="20% - Accent3 9" xfId="11135"/>
    <cellStyle name="20% - Accent3 9 10" xfId="11136"/>
    <cellStyle name="20% - Accent3 9 10 2" xfId="11137"/>
    <cellStyle name="20% - Accent3 9 11" xfId="11138"/>
    <cellStyle name="20% - Accent3 9 2" xfId="11139"/>
    <cellStyle name="20% - Accent3 9 2 10" xfId="11140"/>
    <cellStyle name="20% - Accent3 9 2 2" xfId="11141"/>
    <cellStyle name="20% - Accent3 9 2 2 2" xfId="11142"/>
    <cellStyle name="20% - Accent3 9 2 2 2 2" xfId="11143"/>
    <cellStyle name="20% - Accent3 9 2 2 2 2 2" xfId="11144"/>
    <cellStyle name="20% - Accent3 9 2 2 2 2 2 2" xfId="11145"/>
    <cellStyle name="20% - Accent3 9 2 2 2 2 3" xfId="11146"/>
    <cellStyle name="20% - Accent3 9 2 2 2 3" xfId="11147"/>
    <cellStyle name="20% - Accent3 9 2 2 2 3 2" xfId="11148"/>
    <cellStyle name="20% - Accent3 9 2 2 2 4" xfId="11149"/>
    <cellStyle name="20% - Accent3 9 2 2 3" xfId="11150"/>
    <cellStyle name="20% - Accent3 9 2 2 3 2" xfId="11151"/>
    <cellStyle name="20% - Accent3 9 2 2 3 2 2" xfId="11152"/>
    <cellStyle name="20% - Accent3 9 2 2 3 3" xfId="11153"/>
    <cellStyle name="20% - Accent3 9 2 2 4" xfId="11154"/>
    <cellStyle name="20% - Accent3 9 2 2 4 2" xfId="11155"/>
    <cellStyle name="20% - Accent3 9 2 2 5" xfId="11156"/>
    <cellStyle name="20% - Accent3 9 2 3" xfId="11157"/>
    <cellStyle name="20% - Accent3 9 2 3 2" xfId="11158"/>
    <cellStyle name="20% - Accent3 9 2 3 2 2" xfId="11159"/>
    <cellStyle name="20% - Accent3 9 2 3 2 2 2" xfId="11160"/>
    <cellStyle name="20% - Accent3 9 2 3 2 2 2 2" xfId="11161"/>
    <cellStyle name="20% - Accent3 9 2 3 2 2 3" xfId="11162"/>
    <cellStyle name="20% - Accent3 9 2 3 2 3" xfId="11163"/>
    <cellStyle name="20% - Accent3 9 2 3 2 3 2" xfId="11164"/>
    <cellStyle name="20% - Accent3 9 2 3 2 4" xfId="11165"/>
    <cellStyle name="20% - Accent3 9 2 3 3" xfId="11166"/>
    <cellStyle name="20% - Accent3 9 2 3 3 2" xfId="11167"/>
    <cellStyle name="20% - Accent3 9 2 3 3 2 2" xfId="11168"/>
    <cellStyle name="20% - Accent3 9 2 3 3 3" xfId="11169"/>
    <cellStyle name="20% - Accent3 9 2 3 4" xfId="11170"/>
    <cellStyle name="20% - Accent3 9 2 3 4 2" xfId="11171"/>
    <cellStyle name="20% - Accent3 9 2 3 5" xfId="11172"/>
    <cellStyle name="20% - Accent3 9 2 4" xfId="11173"/>
    <cellStyle name="20% - Accent3 9 2 4 2" xfId="11174"/>
    <cellStyle name="20% - Accent3 9 2 4 2 2" xfId="11175"/>
    <cellStyle name="20% - Accent3 9 2 4 2 2 2" xfId="11176"/>
    <cellStyle name="20% - Accent3 9 2 4 2 2 2 2" xfId="11177"/>
    <cellStyle name="20% - Accent3 9 2 4 2 2 3" xfId="11178"/>
    <cellStyle name="20% - Accent3 9 2 4 2 3" xfId="11179"/>
    <cellStyle name="20% - Accent3 9 2 4 2 3 2" xfId="11180"/>
    <cellStyle name="20% - Accent3 9 2 4 2 4" xfId="11181"/>
    <cellStyle name="20% - Accent3 9 2 4 3" xfId="11182"/>
    <cellStyle name="20% - Accent3 9 2 4 3 2" xfId="11183"/>
    <cellStyle name="20% - Accent3 9 2 4 3 2 2" xfId="11184"/>
    <cellStyle name="20% - Accent3 9 2 4 3 3" xfId="11185"/>
    <cellStyle name="20% - Accent3 9 2 4 4" xfId="11186"/>
    <cellStyle name="20% - Accent3 9 2 4 4 2" xfId="11187"/>
    <cellStyle name="20% - Accent3 9 2 4 5" xfId="11188"/>
    <cellStyle name="20% - Accent3 9 2 5" xfId="11189"/>
    <cellStyle name="20% - Accent3 9 2 5 2" xfId="11190"/>
    <cellStyle name="20% - Accent3 9 2 5 2 2" xfId="11191"/>
    <cellStyle name="20% - Accent3 9 2 5 2 2 2" xfId="11192"/>
    <cellStyle name="20% - Accent3 9 2 5 2 2 2 2" xfId="11193"/>
    <cellStyle name="20% - Accent3 9 2 5 2 2 3" xfId="11194"/>
    <cellStyle name="20% - Accent3 9 2 5 2 3" xfId="11195"/>
    <cellStyle name="20% - Accent3 9 2 5 2 3 2" xfId="11196"/>
    <cellStyle name="20% - Accent3 9 2 5 2 4" xfId="11197"/>
    <cellStyle name="20% - Accent3 9 2 5 3" xfId="11198"/>
    <cellStyle name="20% - Accent3 9 2 5 3 2" xfId="11199"/>
    <cellStyle name="20% - Accent3 9 2 5 3 2 2" xfId="11200"/>
    <cellStyle name="20% - Accent3 9 2 5 3 3" xfId="11201"/>
    <cellStyle name="20% - Accent3 9 2 5 4" xfId="11202"/>
    <cellStyle name="20% - Accent3 9 2 5 4 2" xfId="11203"/>
    <cellStyle name="20% - Accent3 9 2 5 5" xfId="11204"/>
    <cellStyle name="20% - Accent3 9 2 6" xfId="11205"/>
    <cellStyle name="20% - Accent3 9 2 6 2" xfId="11206"/>
    <cellStyle name="20% - Accent3 9 2 6 2 2" xfId="11207"/>
    <cellStyle name="20% - Accent3 9 2 6 2 2 2" xfId="11208"/>
    <cellStyle name="20% - Accent3 9 2 6 2 2 2 2" xfId="11209"/>
    <cellStyle name="20% - Accent3 9 2 6 2 2 3" xfId="11210"/>
    <cellStyle name="20% - Accent3 9 2 6 2 3" xfId="11211"/>
    <cellStyle name="20% - Accent3 9 2 6 2 3 2" xfId="11212"/>
    <cellStyle name="20% - Accent3 9 2 6 2 4" xfId="11213"/>
    <cellStyle name="20% - Accent3 9 2 6 3" xfId="11214"/>
    <cellStyle name="20% - Accent3 9 2 6 3 2" xfId="11215"/>
    <cellStyle name="20% - Accent3 9 2 6 3 2 2" xfId="11216"/>
    <cellStyle name="20% - Accent3 9 2 6 3 3" xfId="11217"/>
    <cellStyle name="20% - Accent3 9 2 6 4" xfId="11218"/>
    <cellStyle name="20% - Accent3 9 2 6 4 2" xfId="11219"/>
    <cellStyle name="20% - Accent3 9 2 6 5" xfId="11220"/>
    <cellStyle name="20% - Accent3 9 2 7" xfId="11221"/>
    <cellStyle name="20% - Accent3 9 2 7 2" xfId="11222"/>
    <cellStyle name="20% - Accent3 9 2 7 2 2" xfId="11223"/>
    <cellStyle name="20% - Accent3 9 2 7 2 2 2" xfId="11224"/>
    <cellStyle name="20% - Accent3 9 2 7 2 3" xfId="11225"/>
    <cellStyle name="20% - Accent3 9 2 7 3" xfId="11226"/>
    <cellStyle name="20% - Accent3 9 2 7 3 2" xfId="11227"/>
    <cellStyle name="20% - Accent3 9 2 7 4" xfId="11228"/>
    <cellStyle name="20% - Accent3 9 2 8" xfId="11229"/>
    <cellStyle name="20% - Accent3 9 2 8 2" xfId="11230"/>
    <cellStyle name="20% - Accent3 9 2 8 2 2" xfId="11231"/>
    <cellStyle name="20% - Accent3 9 2 8 3" xfId="11232"/>
    <cellStyle name="20% - Accent3 9 2 9" xfId="11233"/>
    <cellStyle name="20% - Accent3 9 2 9 2" xfId="11234"/>
    <cellStyle name="20% - Accent3 9 3" xfId="11235"/>
    <cellStyle name="20% - Accent3 9 3 2" xfId="11236"/>
    <cellStyle name="20% - Accent3 9 3 2 2" xfId="11237"/>
    <cellStyle name="20% - Accent3 9 3 2 2 2" xfId="11238"/>
    <cellStyle name="20% - Accent3 9 3 2 2 2 2" xfId="11239"/>
    <cellStyle name="20% - Accent3 9 3 2 2 3" xfId="11240"/>
    <cellStyle name="20% - Accent3 9 3 2 3" xfId="11241"/>
    <cellStyle name="20% - Accent3 9 3 2 3 2" xfId="11242"/>
    <cellStyle name="20% - Accent3 9 3 2 4" xfId="11243"/>
    <cellStyle name="20% - Accent3 9 3 3" xfId="11244"/>
    <cellStyle name="20% - Accent3 9 3 3 2" xfId="11245"/>
    <cellStyle name="20% - Accent3 9 3 3 2 2" xfId="11246"/>
    <cellStyle name="20% - Accent3 9 3 3 3" xfId="11247"/>
    <cellStyle name="20% - Accent3 9 3 4" xfId="11248"/>
    <cellStyle name="20% - Accent3 9 3 4 2" xfId="11249"/>
    <cellStyle name="20% - Accent3 9 3 5" xfId="11250"/>
    <cellStyle name="20% - Accent3 9 4" xfId="11251"/>
    <cellStyle name="20% - Accent3 9 4 2" xfId="11252"/>
    <cellStyle name="20% - Accent3 9 4 2 2" xfId="11253"/>
    <cellStyle name="20% - Accent3 9 4 2 2 2" xfId="11254"/>
    <cellStyle name="20% - Accent3 9 4 2 2 2 2" xfId="11255"/>
    <cellStyle name="20% - Accent3 9 4 2 2 3" xfId="11256"/>
    <cellStyle name="20% - Accent3 9 4 2 3" xfId="11257"/>
    <cellStyle name="20% - Accent3 9 4 2 3 2" xfId="11258"/>
    <cellStyle name="20% - Accent3 9 4 2 4" xfId="11259"/>
    <cellStyle name="20% - Accent3 9 4 3" xfId="11260"/>
    <cellStyle name="20% - Accent3 9 4 3 2" xfId="11261"/>
    <cellStyle name="20% - Accent3 9 4 3 2 2" xfId="11262"/>
    <cellStyle name="20% - Accent3 9 4 3 3" xfId="11263"/>
    <cellStyle name="20% - Accent3 9 4 4" xfId="11264"/>
    <cellStyle name="20% - Accent3 9 4 4 2" xfId="11265"/>
    <cellStyle name="20% - Accent3 9 4 5" xfId="11266"/>
    <cellStyle name="20% - Accent3 9 5" xfId="11267"/>
    <cellStyle name="20% - Accent3 9 5 2" xfId="11268"/>
    <cellStyle name="20% - Accent3 9 5 2 2" xfId="11269"/>
    <cellStyle name="20% - Accent3 9 5 2 2 2" xfId="11270"/>
    <cellStyle name="20% - Accent3 9 5 2 2 2 2" xfId="11271"/>
    <cellStyle name="20% - Accent3 9 5 2 2 3" xfId="11272"/>
    <cellStyle name="20% - Accent3 9 5 2 3" xfId="11273"/>
    <cellStyle name="20% - Accent3 9 5 2 3 2" xfId="11274"/>
    <cellStyle name="20% - Accent3 9 5 2 4" xfId="11275"/>
    <cellStyle name="20% - Accent3 9 5 3" xfId="11276"/>
    <cellStyle name="20% - Accent3 9 5 3 2" xfId="11277"/>
    <cellStyle name="20% - Accent3 9 5 3 2 2" xfId="11278"/>
    <cellStyle name="20% - Accent3 9 5 3 3" xfId="11279"/>
    <cellStyle name="20% - Accent3 9 5 4" xfId="11280"/>
    <cellStyle name="20% - Accent3 9 5 4 2" xfId="11281"/>
    <cellStyle name="20% - Accent3 9 5 5" xfId="11282"/>
    <cellStyle name="20% - Accent3 9 6" xfId="11283"/>
    <cellStyle name="20% - Accent3 9 6 2" xfId="11284"/>
    <cellStyle name="20% - Accent3 9 6 2 2" xfId="11285"/>
    <cellStyle name="20% - Accent3 9 6 2 2 2" xfId="11286"/>
    <cellStyle name="20% - Accent3 9 6 2 2 2 2" xfId="11287"/>
    <cellStyle name="20% - Accent3 9 6 2 2 3" xfId="11288"/>
    <cellStyle name="20% - Accent3 9 6 2 3" xfId="11289"/>
    <cellStyle name="20% - Accent3 9 6 2 3 2" xfId="11290"/>
    <cellStyle name="20% - Accent3 9 6 2 4" xfId="11291"/>
    <cellStyle name="20% - Accent3 9 6 3" xfId="11292"/>
    <cellStyle name="20% - Accent3 9 6 3 2" xfId="11293"/>
    <cellStyle name="20% - Accent3 9 6 3 2 2" xfId="11294"/>
    <cellStyle name="20% - Accent3 9 6 3 3" xfId="11295"/>
    <cellStyle name="20% - Accent3 9 6 4" xfId="11296"/>
    <cellStyle name="20% - Accent3 9 6 4 2" xfId="11297"/>
    <cellStyle name="20% - Accent3 9 6 5" xfId="11298"/>
    <cellStyle name="20% - Accent3 9 7" xfId="11299"/>
    <cellStyle name="20% - Accent3 9 7 2" xfId="11300"/>
    <cellStyle name="20% - Accent3 9 7 2 2" xfId="11301"/>
    <cellStyle name="20% - Accent3 9 7 2 2 2" xfId="11302"/>
    <cellStyle name="20% - Accent3 9 7 2 2 2 2" xfId="11303"/>
    <cellStyle name="20% - Accent3 9 7 2 2 3" xfId="11304"/>
    <cellStyle name="20% - Accent3 9 7 2 3" xfId="11305"/>
    <cellStyle name="20% - Accent3 9 7 2 3 2" xfId="11306"/>
    <cellStyle name="20% - Accent3 9 7 2 4" xfId="11307"/>
    <cellStyle name="20% - Accent3 9 7 3" xfId="11308"/>
    <cellStyle name="20% - Accent3 9 7 3 2" xfId="11309"/>
    <cellStyle name="20% - Accent3 9 7 3 2 2" xfId="11310"/>
    <cellStyle name="20% - Accent3 9 7 3 3" xfId="11311"/>
    <cellStyle name="20% - Accent3 9 7 4" xfId="11312"/>
    <cellStyle name="20% - Accent3 9 7 4 2" xfId="11313"/>
    <cellStyle name="20% - Accent3 9 7 5" xfId="11314"/>
    <cellStyle name="20% - Accent3 9 8" xfId="11315"/>
    <cellStyle name="20% - Accent3 9 8 2" xfId="11316"/>
    <cellStyle name="20% - Accent3 9 8 2 2" xfId="11317"/>
    <cellStyle name="20% - Accent3 9 8 2 2 2" xfId="11318"/>
    <cellStyle name="20% - Accent3 9 8 2 3" xfId="11319"/>
    <cellStyle name="20% - Accent3 9 8 3" xfId="11320"/>
    <cellStyle name="20% - Accent3 9 8 3 2" xfId="11321"/>
    <cellStyle name="20% - Accent3 9 8 4" xfId="11322"/>
    <cellStyle name="20% - Accent3 9 9" xfId="11323"/>
    <cellStyle name="20% - Accent3 9 9 2" xfId="11324"/>
    <cellStyle name="20% - Accent3 9 9 2 2" xfId="11325"/>
    <cellStyle name="20% - Accent3 9 9 3" xfId="11326"/>
    <cellStyle name="20% - Accent4" xfId="52861" builtinId="42" customBuiltin="1"/>
    <cellStyle name="20% - Accent4 10" xfId="11327"/>
    <cellStyle name="20% - Accent4 10 10" xfId="11328"/>
    <cellStyle name="20% - Accent4 10 10 2" xfId="11329"/>
    <cellStyle name="20% - Accent4 10 11" xfId="11330"/>
    <cellStyle name="20% - Accent4 10 2" xfId="11331"/>
    <cellStyle name="20% - Accent4 10 2 10" xfId="11332"/>
    <cellStyle name="20% - Accent4 10 2 2" xfId="11333"/>
    <cellStyle name="20% - Accent4 10 2 2 2" xfId="11334"/>
    <cellStyle name="20% - Accent4 10 2 2 2 2" xfId="11335"/>
    <cellStyle name="20% - Accent4 10 2 2 2 2 2" xfId="11336"/>
    <cellStyle name="20% - Accent4 10 2 2 2 2 2 2" xfId="11337"/>
    <cellStyle name="20% - Accent4 10 2 2 2 2 3" xfId="11338"/>
    <cellStyle name="20% - Accent4 10 2 2 2 3" xfId="11339"/>
    <cellStyle name="20% - Accent4 10 2 2 2 3 2" xfId="11340"/>
    <cellStyle name="20% - Accent4 10 2 2 2 4" xfId="11341"/>
    <cellStyle name="20% - Accent4 10 2 2 3" xfId="11342"/>
    <cellStyle name="20% - Accent4 10 2 2 3 2" xfId="11343"/>
    <cellStyle name="20% - Accent4 10 2 2 3 2 2" xfId="11344"/>
    <cellStyle name="20% - Accent4 10 2 2 3 3" xfId="11345"/>
    <cellStyle name="20% - Accent4 10 2 2 4" xfId="11346"/>
    <cellStyle name="20% - Accent4 10 2 2 4 2" xfId="11347"/>
    <cellStyle name="20% - Accent4 10 2 2 5" xfId="11348"/>
    <cellStyle name="20% - Accent4 10 2 3" xfId="11349"/>
    <cellStyle name="20% - Accent4 10 2 3 2" xfId="11350"/>
    <cellStyle name="20% - Accent4 10 2 3 2 2" xfId="11351"/>
    <cellStyle name="20% - Accent4 10 2 3 2 2 2" xfId="11352"/>
    <cellStyle name="20% - Accent4 10 2 3 2 2 2 2" xfId="11353"/>
    <cellStyle name="20% - Accent4 10 2 3 2 2 3" xfId="11354"/>
    <cellStyle name="20% - Accent4 10 2 3 2 3" xfId="11355"/>
    <cellStyle name="20% - Accent4 10 2 3 2 3 2" xfId="11356"/>
    <cellStyle name="20% - Accent4 10 2 3 2 4" xfId="11357"/>
    <cellStyle name="20% - Accent4 10 2 3 3" xfId="11358"/>
    <cellStyle name="20% - Accent4 10 2 3 3 2" xfId="11359"/>
    <cellStyle name="20% - Accent4 10 2 3 3 2 2" xfId="11360"/>
    <cellStyle name="20% - Accent4 10 2 3 3 3" xfId="11361"/>
    <cellStyle name="20% - Accent4 10 2 3 4" xfId="11362"/>
    <cellStyle name="20% - Accent4 10 2 3 4 2" xfId="11363"/>
    <cellStyle name="20% - Accent4 10 2 3 5" xfId="11364"/>
    <cellStyle name="20% - Accent4 10 2 4" xfId="11365"/>
    <cellStyle name="20% - Accent4 10 2 4 2" xfId="11366"/>
    <cellStyle name="20% - Accent4 10 2 4 2 2" xfId="11367"/>
    <cellStyle name="20% - Accent4 10 2 4 2 2 2" xfId="11368"/>
    <cellStyle name="20% - Accent4 10 2 4 2 2 2 2" xfId="11369"/>
    <cellStyle name="20% - Accent4 10 2 4 2 2 3" xfId="11370"/>
    <cellStyle name="20% - Accent4 10 2 4 2 3" xfId="11371"/>
    <cellStyle name="20% - Accent4 10 2 4 2 3 2" xfId="11372"/>
    <cellStyle name="20% - Accent4 10 2 4 2 4" xfId="11373"/>
    <cellStyle name="20% - Accent4 10 2 4 3" xfId="11374"/>
    <cellStyle name="20% - Accent4 10 2 4 3 2" xfId="11375"/>
    <cellStyle name="20% - Accent4 10 2 4 3 2 2" xfId="11376"/>
    <cellStyle name="20% - Accent4 10 2 4 3 3" xfId="11377"/>
    <cellStyle name="20% - Accent4 10 2 4 4" xfId="11378"/>
    <cellStyle name="20% - Accent4 10 2 4 4 2" xfId="11379"/>
    <cellStyle name="20% - Accent4 10 2 4 5" xfId="11380"/>
    <cellStyle name="20% - Accent4 10 2 5" xfId="11381"/>
    <cellStyle name="20% - Accent4 10 2 5 2" xfId="11382"/>
    <cellStyle name="20% - Accent4 10 2 5 2 2" xfId="11383"/>
    <cellStyle name="20% - Accent4 10 2 5 2 2 2" xfId="11384"/>
    <cellStyle name="20% - Accent4 10 2 5 2 2 2 2" xfId="11385"/>
    <cellStyle name="20% - Accent4 10 2 5 2 2 3" xfId="11386"/>
    <cellStyle name="20% - Accent4 10 2 5 2 3" xfId="11387"/>
    <cellStyle name="20% - Accent4 10 2 5 2 3 2" xfId="11388"/>
    <cellStyle name="20% - Accent4 10 2 5 2 4" xfId="11389"/>
    <cellStyle name="20% - Accent4 10 2 5 3" xfId="11390"/>
    <cellStyle name="20% - Accent4 10 2 5 3 2" xfId="11391"/>
    <cellStyle name="20% - Accent4 10 2 5 3 2 2" xfId="11392"/>
    <cellStyle name="20% - Accent4 10 2 5 3 3" xfId="11393"/>
    <cellStyle name="20% - Accent4 10 2 5 4" xfId="11394"/>
    <cellStyle name="20% - Accent4 10 2 5 4 2" xfId="11395"/>
    <cellStyle name="20% - Accent4 10 2 5 5" xfId="11396"/>
    <cellStyle name="20% - Accent4 10 2 6" xfId="11397"/>
    <cellStyle name="20% - Accent4 10 2 6 2" xfId="11398"/>
    <cellStyle name="20% - Accent4 10 2 6 2 2" xfId="11399"/>
    <cellStyle name="20% - Accent4 10 2 6 2 2 2" xfId="11400"/>
    <cellStyle name="20% - Accent4 10 2 6 2 2 2 2" xfId="11401"/>
    <cellStyle name="20% - Accent4 10 2 6 2 2 3" xfId="11402"/>
    <cellStyle name="20% - Accent4 10 2 6 2 3" xfId="11403"/>
    <cellStyle name="20% - Accent4 10 2 6 2 3 2" xfId="11404"/>
    <cellStyle name="20% - Accent4 10 2 6 2 4" xfId="11405"/>
    <cellStyle name="20% - Accent4 10 2 6 3" xfId="11406"/>
    <cellStyle name="20% - Accent4 10 2 6 3 2" xfId="11407"/>
    <cellStyle name="20% - Accent4 10 2 6 3 2 2" xfId="11408"/>
    <cellStyle name="20% - Accent4 10 2 6 3 3" xfId="11409"/>
    <cellStyle name="20% - Accent4 10 2 6 4" xfId="11410"/>
    <cellStyle name="20% - Accent4 10 2 6 4 2" xfId="11411"/>
    <cellStyle name="20% - Accent4 10 2 6 5" xfId="11412"/>
    <cellStyle name="20% - Accent4 10 2 7" xfId="11413"/>
    <cellStyle name="20% - Accent4 10 2 7 2" xfId="11414"/>
    <cellStyle name="20% - Accent4 10 2 7 2 2" xfId="11415"/>
    <cellStyle name="20% - Accent4 10 2 7 2 2 2" xfId="11416"/>
    <cellStyle name="20% - Accent4 10 2 7 2 3" xfId="11417"/>
    <cellStyle name="20% - Accent4 10 2 7 3" xfId="11418"/>
    <cellStyle name="20% - Accent4 10 2 7 3 2" xfId="11419"/>
    <cellStyle name="20% - Accent4 10 2 7 4" xfId="11420"/>
    <cellStyle name="20% - Accent4 10 2 8" xfId="11421"/>
    <cellStyle name="20% - Accent4 10 2 8 2" xfId="11422"/>
    <cellStyle name="20% - Accent4 10 2 8 2 2" xfId="11423"/>
    <cellStyle name="20% - Accent4 10 2 8 3" xfId="11424"/>
    <cellStyle name="20% - Accent4 10 2 9" xfId="11425"/>
    <cellStyle name="20% - Accent4 10 2 9 2" xfId="11426"/>
    <cellStyle name="20% - Accent4 10 3" xfId="11427"/>
    <cellStyle name="20% - Accent4 10 3 2" xfId="11428"/>
    <cellStyle name="20% - Accent4 10 3 2 2" xfId="11429"/>
    <cellStyle name="20% - Accent4 10 3 2 2 2" xfId="11430"/>
    <cellStyle name="20% - Accent4 10 3 2 2 2 2" xfId="11431"/>
    <cellStyle name="20% - Accent4 10 3 2 2 3" xfId="11432"/>
    <cellStyle name="20% - Accent4 10 3 2 3" xfId="11433"/>
    <cellStyle name="20% - Accent4 10 3 2 3 2" xfId="11434"/>
    <cellStyle name="20% - Accent4 10 3 2 4" xfId="11435"/>
    <cellStyle name="20% - Accent4 10 3 3" xfId="11436"/>
    <cellStyle name="20% - Accent4 10 3 3 2" xfId="11437"/>
    <cellStyle name="20% - Accent4 10 3 3 2 2" xfId="11438"/>
    <cellStyle name="20% - Accent4 10 3 3 3" xfId="11439"/>
    <cellStyle name="20% - Accent4 10 3 4" xfId="11440"/>
    <cellStyle name="20% - Accent4 10 3 4 2" xfId="11441"/>
    <cellStyle name="20% - Accent4 10 3 5" xfId="11442"/>
    <cellStyle name="20% - Accent4 10 4" xfId="11443"/>
    <cellStyle name="20% - Accent4 10 4 2" xfId="11444"/>
    <cellStyle name="20% - Accent4 10 4 2 2" xfId="11445"/>
    <cellStyle name="20% - Accent4 10 4 2 2 2" xfId="11446"/>
    <cellStyle name="20% - Accent4 10 4 2 2 2 2" xfId="11447"/>
    <cellStyle name="20% - Accent4 10 4 2 2 3" xfId="11448"/>
    <cellStyle name="20% - Accent4 10 4 2 3" xfId="11449"/>
    <cellStyle name="20% - Accent4 10 4 2 3 2" xfId="11450"/>
    <cellStyle name="20% - Accent4 10 4 2 4" xfId="11451"/>
    <cellStyle name="20% - Accent4 10 4 3" xfId="11452"/>
    <cellStyle name="20% - Accent4 10 4 3 2" xfId="11453"/>
    <cellStyle name="20% - Accent4 10 4 3 2 2" xfId="11454"/>
    <cellStyle name="20% - Accent4 10 4 3 3" xfId="11455"/>
    <cellStyle name="20% - Accent4 10 4 4" xfId="11456"/>
    <cellStyle name="20% - Accent4 10 4 4 2" xfId="11457"/>
    <cellStyle name="20% - Accent4 10 4 5" xfId="11458"/>
    <cellStyle name="20% - Accent4 10 5" xfId="11459"/>
    <cellStyle name="20% - Accent4 10 5 2" xfId="11460"/>
    <cellStyle name="20% - Accent4 10 5 2 2" xfId="11461"/>
    <cellStyle name="20% - Accent4 10 5 2 2 2" xfId="11462"/>
    <cellStyle name="20% - Accent4 10 5 2 2 2 2" xfId="11463"/>
    <cellStyle name="20% - Accent4 10 5 2 2 3" xfId="11464"/>
    <cellStyle name="20% - Accent4 10 5 2 3" xfId="11465"/>
    <cellStyle name="20% - Accent4 10 5 2 3 2" xfId="11466"/>
    <cellStyle name="20% - Accent4 10 5 2 4" xfId="11467"/>
    <cellStyle name="20% - Accent4 10 5 3" xfId="11468"/>
    <cellStyle name="20% - Accent4 10 5 3 2" xfId="11469"/>
    <cellStyle name="20% - Accent4 10 5 3 2 2" xfId="11470"/>
    <cellStyle name="20% - Accent4 10 5 3 3" xfId="11471"/>
    <cellStyle name="20% - Accent4 10 5 4" xfId="11472"/>
    <cellStyle name="20% - Accent4 10 5 4 2" xfId="11473"/>
    <cellStyle name="20% - Accent4 10 5 5" xfId="11474"/>
    <cellStyle name="20% - Accent4 10 6" xfId="11475"/>
    <cellStyle name="20% - Accent4 10 6 2" xfId="11476"/>
    <cellStyle name="20% - Accent4 10 6 2 2" xfId="11477"/>
    <cellStyle name="20% - Accent4 10 6 2 2 2" xfId="11478"/>
    <cellStyle name="20% - Accent4 10 6 2 2 2 2" xfId="11479"/>
    <cellStyle name="20% - Accent4 10 6 2 2 3" xfId="11480"/>
    <cellStyle name="20% - Accent4 10 6 2 3" xfId="11481"/>
    <cellStyle name="20% - Accent4 10 6 2 3 2" xfId="11482"/>
    <cellStyle name="20% - Accent4 10 6 2 4" xfId="11483"/>
    <cellStyle name="20% - Accent4 10 6 3" xfId="11484"/>
    <cellStyle name="20% - Accent4 10 6 3 2" xfId="11485"/>
    <cellStyle name="20% - Accent4 10 6 3 2 2" xfId="11486"/>
    <cellStyle name="20% - Accent4 10 6 3 3" xfId="11487"/>
    <cellStyle name="20% - Accent4 10 6 4" xfId="11488"/>
    <cellStyle name="20% - Accent4 10 6 4 2" xfId="11489"/>
    <cellStyle name="20% - Accent4 10 6 5" xfId="11490"/>
    <cellStyle name="20% - Accent4 10 7" xfId="11491"/>
    <cellStyle name="20% - Accent4 10 7 2" xfId="11492"/>
    <cellStyle name="20% - Accent4 10 7 2 2" xfId="11493"/>
    <cellStyle name="20% - Accent4 10 7 2 2 2" xfId="11494"/>
    <cellStyle name="20% - Accent4 10 7 2 2 2 2" xfId="11495"/>
    <cellStyle name="20% - Accent4 10 7 2 2 3" xfId="11496"/>
    <cellStyle name="20% - Accent4 10 7 2 3" xfId="11497"/>
    <cellStyle name="20% - Accent4 10 7 2 3 2" xfId="11498"/>
    <cellStyle name="20% - Accent4 10 7 2 4" xfId="11499"/>
    <cellStyle name="20% - Accent4 10 7 3" xfId="11500"/>
    <cellStyle name="20% - Accent4 10 7 3 2" xfId="11501"/>
    <cellStyle name="20% - Accent4 10 7 3 2 2" xfId="11502"/>
    <cellStyle name="20% - Accent4 10 7 3 3" xfId="11503"/>
    <cellStyle name="20% - Accent4 10 7 4" xfId="11504"/>
    <cellStyle name="20% - Accent4 10 7 4 2" xfId="11505"/>
    <cellStyle name="20% - Accent4 10 7 5" xfId="11506"/>
    <cellStyle name="20% - Accent4 10 8" xfId="11507"/>
    <cellStyle name="20% - Accent4 10 8 2" xfId="11508"/>
    <cellStyle name="20% - Accent4 10 8 2 2" xfId="11509"/>
    <cellStyle name="20% - Accent4 10 8 2 2 2" xfId="11510"/>
    <cellStyle name="20% - Accent4 10 8 2 3" xfId="11511"/>
    <cellStyle name="20% - Accent4 10 8 3" xfId="11512"/>
    <cellStyle name="20% - Accent4 10 8 3 2" xfId="11513"/>
    <cellStyle name="20% - Accent4 10 8 4" xfId="11514"/>
    <cellStyle name="20% - Accent4 10 9" xfId="11515"/>
    <cellStyle name="20% - Accent4 10 9 2" xfId="11516"/>
    <cellStyle name="20% - Accent4 10 9 2 2" xfId="11517"/>
    <cellStyle name="20% - Accent4 10 9 3" xfId="11518"/>
    <cellStyle name="20% - Accent4 11" xfId="11519"/>
    <cellStyle name="20% - Accent4 11 10" xfId="11520"/>
    <cellStyle name="20% - Accent4 11 10 2" xfId="11521"/>
    <cellStyle name="20% - Accent4 11 11" xfId="11522"/>
    <cellStyle name="20% - Accent4 11 2" xfId="11523"/>
    <cellStyle name="20% - Accent4 11 2 10" xfId="11524"/>
    <cellStyle name="20% - Accent4 11 2 2" xfId="11525"/>
    <cellStyle name="20% - Accent4 11 2 2 2" xfId="11526"/>
    <cellStyle name="20% - Accent4 11 2 2 2 2" xfId="11527"/>
    <cellStyle name="20% - Accent4 11 2 2 2 2 2" xfId="11528"/>
    <cellStyle name="20% - Accent4 11 2 2 2 2 2 2" xfId="11529"/>
    <cellStyle name="20% - Accent4 11 2 2 2 2 3" xfId="11530"/>
    <cellStyle name="20% - Accent4 11 2 2 2 3" xfId="11531"/>
    <cellStyle name="20% - Accent4 11 2 2 2 3 2" xfId="11532"/>
    <cellStyle name="20% - Accent4 11 2 2 2 4" xfId="11533"/>
    <cellStyle name="20% - Accent4 11 2 2 3" xfId="11534"/>
    <cellStyle name="20% - Accent4 11 2 2 3 2" xfId="11535"/>
    <cellStyle name="20% - Accent4 11 2 2 3 2 2" xfId="11536"/>
    <cellStyle name="20% - Accent4 11 2 2 3 3" xfId="11537"/>
    <cellStyle name="20% - Accent4 11 2 2 4" xfId="11538"/>
    <cellStyle name="20% - Accent4 11 2 2 4 2" xfId="11539"/>
    <cellStyle name="20% - Accent4 11 2 2 5" xfId="11540"/>
    <cellStyle name="20% - Accent4 11 2 3" xfId="11541"/>
    <cellStyle name="20% - Accent4 11 2 3 2" xfId="11542"/>
    <cellStyle name="20% - Accent4 11 2 3 2 2" xfId="11543"/>
    <cellStyle name="20% - Accent4 11 2 3 2 2 2" xfId="11544"/>
    <cellStyle name="20% - Accent4 11 2 3 2 2 2 2" xfId="11545"/>
    <cellStyle name="20% - Accent4 11 2 3 2 2 3" xfId="11546"/>
    <cellStyle name="20% - Accent4 11 2 3 2 3" xfId="11547"/>
    <cellStyle name="20% - Accent4 11 2 3 2 3 2" xfId="11548"/>
    <cellStyle name="20% - Accent4 11 2 3 2 4" xfId="11549"/>
    <cellStyle name="20% - Accent4 11 2 3 3" xfId="11550"/>
    <cellStyle name="20% - Accent4 11 2 3 3 2" xfId="11551"/>
    <cellStyle name="20% - Accent4 11 2 3 3 2 2" xfId="11552"/>
    <cellStyle name="20% - Accent4 11 2 3 3 3" xfId="11553"/>
    <cellStyle name="20% - Accent4 11 2 3 4" xfId="11554"/>
    <cellStyle name="20% - Accent4 11 2 3 4 2" xfId="11555"/>
    <cellStyle name="20% - Accent4 11 2 3 5" xfId="11556"/>
    <cellStyle name="20% - Accent4 11 2 4" xfId="11557"/>
    <cellStyle name="20% - Accent4 11 2 4 2" xfId="11558"/>
    <cellStyle name="20% - Accent4 11 2 4 2 2" xfId="11559"/>
    <cellStyle name="20% - Accent4 11 2 4 2 2 2" xfId="11560"/>
    <cellStyle name="20% - Accent4 11 2 4 2 2 2 2" xfId="11561"/>
    <cellStyle name="20% - Accent4 11 2 4 2 2 3" xfId="11562"/>
    <cellStyle name="20% - Accent4 11 2 4 2 3" xfId="11563"/>
    <cellStyle name="20% - Accent4 11 2 4 2 3 2" xfId="11564"/>
    <cellStyle name="20% - Accent4 11 2 4 2 4" xfId="11565"/>
    <cellStyle name="20% - Accent4 11 2 4 3" xfId="11566"/>
    <cellStyle name="20% - Accent4 11 2 4 3 2" xfId="11567"/>
    <cellStyle name="20% - Accent4 11 2 4 3 2 2" xfId="11568"/>
    <cellStyle name="20% - Accent4 11 2 4 3 3" xfId="11569"/>
    <cellStyle name="20% - Accent4 11 2 4 4" xfId="11570"/>
    <cellStyle name="20% - Accent4 11 2 4 4 2" xfId="11571"/>
    <cellStyle name="20% - Accent4 11 2 4 5" xfId="11572"/>
    <cellStyle name="20% - Accent4 11 2 5" xfId="11573"/>
    <cellStyle name="20% - Accent4 11 2 5 2" xfId="11574"/>
    <cellStyle name="20% - Accent4 11 2 5 2 2" xfId="11575"/>
    <cellStyle name="20% - Accent4 11 2 5 2 2 2" xfId="11576"/>
    <cellStyle name="20% - Accent4 11 2 5 2 2 2 2" xfId="11577"/>
    <cellStyle name="20% - Accent4 11 2 5 2 2 3" xfId="11578"/>
    <cellStyle name="20% - Accent4 11 2 5 2 3" xfId="11579"/>
    <cellStyle name="20% - Accent4 11 2 5 2 3 2" xfId="11580"/>
    <cellStyle name="20% - Accent4 11 2 5 2 4" xfId="11581"/>
    <cellStyle name="20% - Accent4 11 2 5 3" xfId="11582"/>
    <cellStyle name="20% - Accent4 11 2 5 3 2" xfId="11583"/>
    <cellStyle name="20% - Accent4 11 2 5 3 2 2" xfId="11584"/>
    <cellStyle name="20% - Accent4 11 2 5 3 3" xfId="11585"/>
    <cellStyle name="20% - Accent4 11 2 5 4" xfId="11586"/>
    <cellStyle name="20% - Accent4 11 2 5 4 2" xfId="11587"/>
    <cellStyle name="20% - Accent4 11 2 5 5" xfId="11588"/>
    <cellStyle name="20% - Accent4 11 2 6" xfId="11589"/>
    <cellStyle name="20% - Accent4 11 2 6 2" xfId="11590"/>
    <cellStyle name="20% - Accent4 11 2 6 2 2" xfId="11591"/>
    <cellStyle name="20% - Accent4 11 2 6 2 2 2" xfId="11592"/>
    <cellStyle name="20% - Accent4 11 2 6 2 2 2 2" xfId="11593"/>
    <cellStyle name="20% - Accent4 11 2 6 2 2 3" xfId="11594"/>
    <cellStyle name="20% - Accent4 11 2 6 2 3" xfId="11595"/>
    <cellStyle name="20% - Accent4 11 2 6 2 3 2" xfId="11596"/>
    <cellStyle name="20% - Accent4 11 2 6 2 4" xfId="11597"/>
    <cellStyle name="20% - Accent4 11 2 6 3" xfId="11598"/>
    <cellStyle name="20% - Accent4 11 2 6 3 2" xfId="11599"/>
    <cellStyle name="20% - Accent4 11 2 6 3 2 2" xfId="11600"/>
    <cellStyle name="20% - Accent4 11 2 6 3 3" xfId="11601"/>
    <cellStyle name="20% - Accent4 11 2 6 4" xfId="11602"/>
    <cellStyle name="20% - Accent4 11 2 6 4 2" xfId="11603"/>
    <cellStyle name="20% - Accent4 11 2 6 5" xfId="11604"/>
    <cellStyle name="20% - Accent4 11 2 7" xfId="11605"/>
    <cellStyle name="20% - Accent4 11 2 7 2" xfId="11606"/>
    <cellStyle name="20% - Accent4 11 2 7 2 2" xfId="11607"/>
    <cellStyle name="20% - Accent4 11 2 7 2 2 2" xfId="11608"/>
    <cellStyle name="20% - Accent4 11 2 7 2 3" xfId="11609"/>
    <cellStyle name="20% - Accent4 11 2 7 3" xfId="11610"/>
    <cellStyle name="20% - Accent4 11 2 7 3 2" xfId="11611"/>
    <cellStyle name="20% - Accent4 11 2 7 4" xfId="11612"/>
    <cellStyle name="20% - Accent4 11 2 8" xfId="11613"/>
    <cellStyle name="20% - Accent4 11 2 8 2" xfId="11614"/>
    <cellStyle name="20% - Accent4 11 2 8 2 2" xfId="11615"/>
    <cellStyle name="20% - Accent4 11 2 8 3" xfId="11616"/>
    <cellStyle name="20% - Accent4 11 2 9" xfId="11617"/>
    <cellStyle name="20% - Accent4 11 2 9 2" xfId="11618"/>
    <cellStyle name="20% - Accent4 11 3" xfId="11619"/>
    <cellStyle name="20% - Accent4 11 3 2" xfId="11620"/>
    <cellStyle name="20% - Accent4 11 3 2 2" xfId="11621"/>
    <cellStyle name="20% - Accent4 11 3 2 2 2" xfId="11622"/>
    <cellStyle name="20% - Accent4 11 3 2 2 2 2" xfId="11623"/>
    <cellStyle name="20% - Accent4 11 3 2 2 3" xfId="11624"/>
    <cellStyle name="20% - Accent4 11 3 2 3" xfId="11625"/>
    <cellStyle name="20% - Accent4 11 3 2 3 2" xfId="11626"/>
    <cellStyle name="20% - Accent4 11 3 2 4" xfId="11627"/>
    <cellStyle name="20% - Accent4 11 3 3" xfId="11628"/>
    <cellStyle name="20% - Accent4 11 3 3 2" xfId="11629"/>
    <cellStyle name="20% - Accent4 11 3 3 2 2" xfId="11630"/>
    <cellStyle name="20% - Accent4 11 3 3 3" xfId="11631"/>
    <cellStyle name="20% - Accent4 11 3 4" xfId="11632"/>
    <cellStyle name="20% - Accent4 11 3 4 2" xfId="11633"/>
    <cellStyle name="20% - Accent4 11 3 5" xfId="11634"/>
    <cellStyle name="20% - Accent4 11 4" xfId="11635"/>
    <cellStyle name="20% - Accent4 11 4 2" xfId="11636"/>
    <cellStyle name="20% - Accent4 11 4 2 2" xfId="11637"/>
    <cellStyle name="20% - Accent4 11 4 2 2 2" xfId="11638"/>
    <cellStyle name="20% - Accent4 11 4 2 2 2 2" xfId="11639"/>
    <cellStyle name="20% - Accent4 11 4 2 2 3" xfId="11640"/>
    <cellStyle name="20% - Accent4 11 4 2 3" xfId="11641"/>
    <cellStyle name="20% - Accent4 11 4 2 3 2" xfId="11642"/>
    <cellStyle name="20% - Accent4 11 4 2 4" xfId="11643"/>
    <cellStyle name="20% - Accent4 11 4 3" xfId="11644"/>
    <cellStyle name="20% - Accent4 11 4 3 2" xfId="11645"/>
    <cellStyle name="20% - Accent4 11 4 3 2 2" xfId="11646"/>
    <cellStyle name="20% - Accent4 11 4 3 3" xfId="11647"/>
    <cellStyle name="20% - Accent4 11 4 4" xfId="11648"/>
    <cellStyle name="20% - Accent4 11 4 4 2" xfId="11649"/>
    <cellStyle name="20% - Accent4 11 4 5" xfId="11650"/>
    <cellStyle name="20% - Accent4 11 5" xfId="11651"/>
    <cellStyle name="20% - Accent4 11 5 2" xfId="11652"/>
    <cellStyle name="20% - Accent4 11 5 2 2" xfId="11653"/>
    <cellStyle name="20% - Accent4 11 5 2 2 2" xfId="11654"/>
    <cellStyle name="20% - Accent4 11 5 2 2 2 2" xfId="11655"/>
    <cellStyle name="20% - Accent4 11 5 2 2 3" xfId="11656"/>
    <cellStyle name="20% - Accent4 11 5 2 3" xfId="11657"/>
    <cellStyle name="20% - Accent4 11 5 2 3 2" xfId="11658"/>
    <cellStyle name="20% - Accent4 11 5 2 4" xfId="11659"/>
    <cellStyle name="20% - Accent4 11 5 3" xfId="11660"/>
    <cellStyle name="20% - Accent4 11 5 3 2" xfId="11661"/>
    <cellStyle name="20% - Accent4 11 5 3 2 2" xfId="11662"/>
    <cellStyle name="20% - Accent4 11 5 3 3" xfId="11663"/>
    <cellStyle name="20% - Accent4 11 5 4" xfId="11664"/>
    <cellStyle name="20% - Accent4 11 5 4 2" xfId="11665"/>
    <cellStyle name="20% - Accent4 11 5 5" xfId="11666"/>
    <cellStyle name="20% - Accent4 11 6" xfId="11667"/>
    <cellStyle name="20% - Accent4 11 6 2" xfId="11668"/>
    <cellStyle name="20% - Accent4 11 6 2 2" xfId="11669"/>
    <cellStyle name="20% - Accent4 11 6 2 2 2" xfId="11670"/>
    <cellStyle name="20% - Accent4 11 6 2 2 2 2" xfId="11671"/>
    <cellStyle name="20% - Accent4 11 6 2 2 3" xfId="11672"/>
    <cellStyle name="20% - Accent4 11 6 2 3" xfId="11673"/>
    <cellStyle name="20% - Accent4 11 6 2 3 2" xfId="11674"/>
    <cellStyle name="20% - Accent4 11 6 2 4" xfId="11675"/>
    <cellStyle name="20% - Accent4 11 6 3" xfId="11676"/>
    <cellStyle name="20% - Accent4 11 6 3 2" xfId="11677"/>
    <cellStyle name="20% - Accent4 11 6 3 2 2" xfId="11678"/>
    <cellStyle name="20% - Accent4 11 6 3 3" xfId="11679"/>
    <cellStyle name="20% - Accent4 11 6 4" xfId="11680"/>
    <cellStyle name="20% - Accent4 11 6 4 2" xfId="11681"/>
    <cellStyle name="20% - Accent4 11 6 5" xfId="11682"/>
    <cellStyle name="20% - Accent4 11 7" xfId="11683"/>
    <cellStyle name="20% - Accent4 11 7 2" xfId="11684"/>
    <cellStyle name="20% - Accent4 11 7 2 2" xfId="11685"/>
    <cellStyle name="20% - Accent4 11 7 2 2 2" xfId="11686"/>
    <cellStyle name="20% - Accent4 11 7 2 2 2 2" xfId="11687"/>
    <cellStyle name="20% - Accent4 11 7 2 2 3" xfId="11688"/>
    <cellStyle name="20% - Accent4 11 7 2 3" xfId="11689"/>
    <cellStyle name="20% - Accent4 11 7 2 3 2" xfId="11690"/>
    <cellStyle name="20% - Accent4 11 7 2 4" xfId="11691"/>
    <cellStyle name="20% - Accent4 11 7 3" xfId="11692"/>
    <cellStyle name="20% - Accent4 11 7 3 2" xfId="11693"/>
    <cellStyle name="20% - Accent4 11 7 3 2 2" xfId="11694"/>
    <cellStyle name="20% - Accent4 11 7 3 3" xfId="11695"/>
    <cellStyle name="20% - Accent4 11 7 4" xfId="11696"/>
    <cellStyle name="20% - Accent4 11 7 4 2" xfId="11697"/>
    <cellStyle name="20% - Accent4 11 7 5" xfId="11698"/>
    <cellStyle name="20% - Accent4 11 8" xfId="11699"/>
    <cellStyle name="20% - Accent4 11 8 2" xfId="11700"/>
    <cellStyle name="20% - Accent4 11 8 2 2" xfId="11701"/>
    <cellStyle name="20% - Accent4 11 8 2 2 2" xfId="11702"/>
    <cellStyle name="20% - Accent4 11 8 2 3" xfId="11703"/>
    <cellStyle name="20% - Accent4 11 8 3" xfId="11704"/>
    <cellStyle name="20% - Accent4 11 8 3 2" xfId="11705"/>
    <cellStyle name="20% - Accent4 11 8 4" xfId="11706"/>
    <cellStyle name="20% - Accent4 11 9" xfId="11707"/>
    <cellStyle name="20% - Accent4 11 9 2" xfId="11708"/>
    <cellStyle name="20% - Accent4 11 9 2 2" xfId="11709"/>
    <cellStyle name="20% - Accent4 11 9 3" xfId="11710"/>
    <cellStyle name="20% - Accent4 12" xfId="11711"/>
    <cellStyle name="20% - Accent4 12 10" xfId="11712"/>
    <cellStyle name="20% - Accent4 12 2" xfId="11713"/>
    <cellStyle name="20% - Accent4 12 2 2" xfId="11714"/>
    <cellStyle name="20% - Accent4 12 2 2 2" xfId="11715"/>
    <cellStyle name="20% - Accent4 12 2 2 2 2" xfId="11716"/>
    <cellStyle name="20% - Accent4 12 2 2 2 2 2" xfId="11717"/>
    <cellStyle name="20% - Accent4 12 2 2 2 3" xfId="11718"/>
    <cellStyle name="20% - Accent4 12 2 2 3" xfId="11719"/>
    <cellStyle name="20% - Accent4 12 2 2 3 2" xfId="11720"/>
    <cellStyle name="20% - Accent4 12 2 2 4" xfId="11721"/>
    <cellStyle name="20% - Accent4 12 2 3" xfId="11722"/>
    <cellStyle name="20% - Accent4 12 2 3 2" xfId="11723"/>
    <cellStyle name="20% - Accent4 12 2 3 2 2" xfId="11724"/>
    <cellStyle name="20% - Accent4 12 2 3 3" xfId="11725"/>
    <cellStyle name="20% - Accent4 12 2 4" xfId="11726"/>
    <cellStyle name="20% - Accent4 12 2 4 2" xfId="11727"/>
    <cellStyle name="20% - Accent4 12 2 5" xfId="11728"/>
    <cellStyle name="20% - Accent4 12 3" xfId="11729"/>
    <cellStyle name="20% - Accent4 12 3 2" xfId="11730"/>
    <cellStyle name="20% - Accent4 12 3 2 2" xfId="11731"/>
    <cellStyle name="20% - Accent4 12 3 2 2 2" xfId="11732"/>
    <cellStyle name="20% - Accent4 12 3 2 2 2 2" xfId="11733"/>
    <cellStyle name="20% - Accent4 12 3 2 2 3" xfId="11734"/>
    <cellStyle name="20% - Accent4 12 3 2 3" xfId="11735"/>
    <cellStyle name="20% - Accent4 12 3 2 3 2" xfId="11736"/>
    <cellStyle name="20% - Accent4 12 3 2 4" xfId="11737"/>
    <cellStyle name="20% - Accent4 12 3 3" xfId="11738"/>
    <cellStyle name="20% - Accent4 12 3 3 2" xfId="11739"/>
    <cellStyle name="20% - Accent4 12 3 3 2 2" xfId="11740"/>
    <cellStyle name="20% - Accent4 12 3 3 3" xfId="11741"/>
    <cellStyle name="20% - Accent4 12 3 4" xfId="11742"/>
    <cellStyle name="20% - Accent4 12 3 4 2" xfId="11743"/>
    <cellStyle name="20% - Accent4 12 3 5" xfId="11744"/>
    <cellStyle name="20% - Accent4 12 4" xfId="11745"/>
    <cellStyle name="20% - Accent4 12 4 2" xfId="11746"/>
    <cellStyle name="20% - Accent4 12 4 2 2" xfId="11747"/>
    <cellStyle name="20% - Accent4 12 4 2 2 2" xfId="11748"/>
    <cellStyle name="20% - Accent4 12 4 2 2 2 2" xfId="11749"/>
    <cellStyle name="20% - Accent4 12 4 2 2 3" xfId="11750"/>
    <cellStyle name="20% - Accent4 12 4 2 3" xfId="11751"/>
    <cellStyle name="20% - Accent4 12 4 2 3 2" xfId="11752"/>
    <cellStyle name="20% - Accent4 12 4 2 4" xfId="11753"/>
    <cellStyle name="20% - Accent4 12 4 3" xfId="11754"/>
    <cellStyle name="20% - Accent4 12 4 3 2" xfId="11755"/>
    <cellStyle name="20% - Accent4 12 4 3 2 2" xfId="11756"/>
    <cellStyle name="20% - Accent4 12 4 3 3" xfId="11757"/>
    <cellStyle name="20% - Accent4 12 4 4" xfId="11758"/>
    <cellStyle name="20% - Accent4 12 4 4 2" xfId="11759"/>
    <cellStyle name="20% - Accent4 12 4 5" xfId="11760"/>
    <cellStyle name="20% - Accent4 12 5" xfId="11761"/>
    <cellStyle name="20% - Accent4 12 5 2" xfId="11762"/>
    <cellStyle name="20% - Accent4 12 5 2 2" xfId="11763"/>
    <cellStyle name="20% - Accent4 12 5 2 2 2" xfId="11764"/>
    <cellStyle name="20% - Accent4 12 5 2 2 2 2" xfId="11765"/>
    <cellStyle name="20% - Accent4 12 5 2 2 3" xfId="11766"/>
    <cellStyle name="20% - Accent4 12 5 2 3" xfId="11767"/>
    <cellStyle name="20% - Accent4 12 5 2 3 2" xfId="11768"/>
    <cellStyle name="20% - Accent4 12 5 2 4" xfId="11769"/>
    <cellStyle name="20% - Accent4 12 5 3" xfId="11770"/>
    <cellStyle name="20% - Accent4 12 5 3 2" xfId="11771"/>
    <cellStyle name="20% - Accent4 12 5 3 2 2" xfId="11772"/>
    <cellStyle name="20% - Accent4 12 5 3 3" xfId="11773"/>
    <cellStyle name="20% - Accent4 12 5 4" xfId="11774"/>
    <cellStyle name="20% - Accent4 12 5 4 2" xfId="11775"/>
    <cellStyle name="20% - Accent4 12 5 5" xfId="11776"/>
    <cellStyle name="20% - Accent4 12 6" xfId="11777"/>
    <cellStyle name="20% - Accent4 12 6 2" xfId="11778"/>
    <cellStyle name="20% - Accent4 12 6 2 2" xfId="11779"/>
    <cellStyle name="20% - Accent4 12 6 2 2 2" xfId="11780"/>
    <cellStyle name="20% - Accent4 12 6 2 2 2 2" xfId="11781"/>
    <cellStyle name="20% - Accent4 12 6 2 2 3" xfId="11782"/>
    <cellStyle name="20% - Accent4 12 6 2 3" xfId="11783"/>
    <cellStyle name="20% - Accent4 12 6 2 3 2" xfId="11784"/>
    <cellStyle name="20% - Accent4 12 6 2 4" xfId="11785"/>
    <cellStyle name="20% - Accent4 12 6 3" xfId="11786"/>
    <cellStyle name="20% - Accent4 12 6 3 2" xfId="11787"/>
    <cellStyle name="20% - Accent4 12 6 3 2 2" xfId="11788"/>
    <cellStyle name="20% - Accent4 12 6 3 3" xfId="11789"/>
    <cellStyle name="20% - Accent4 12 6 4" xfId="11790"/>
    <cellStyle name="20% - Accent4 12 6 4 2" xfId="11791"/>
    <cellStyle name="20% - Accent4 12 6 5" xfId="11792"/>
    <cellStyle name="20% - Accent4 12 7" xfId="11793"/>
    <cellStyle name="20% - Accent4 12 7 2" xfId="11794"/>
    <cellStyle name="20% - Accent4 12 7 2 2" xfId="11795"/>
    <cellStyle name="20% - Accent4 12 7 2 2 2" xfId="11796"/>
    <cellStyle name="20% - Accent4 12 7 2 3" xfId="11797"/>
    <cellStyle name="20% - Accent4 12 7 3" xfId="11798"/>
    <cellStyle name="20% - Accent4 12 7 3 2" xfId="11799"/>
    <cellStyle name="20% - Accent4 12 7 4" xfId="11800"/>
    <cellStyle name="20% - Accent4 12 8" xfId="11801"/>
    <cellStyle name="20% - Accent4 12 8 2" xfId="11802"/>
    <cellStyle name="20% - Accent4 12 8 2 2" xfId="11803"/>
    <cellStyle name="20% - Accent4 12 8 3" xfId="11804"/>
    <cellStyle name="20% - Accent4 12 9" xfId="11805"/>
    <cellStyle name="20% - Accent4 12 9 2" xfId="11806"/>
    <cellStyle name="20% - Accent4 13" xfId="11807"/>
    <cellStyle name="20% - Accent4 13 10" xfId="11808"/>
    <cellStyle name="20% - Accent4 13 2" xfId="11809"/>
    <cellStyle name="20% - Accent4 13 2 2" xfId="11810"/>
    <cellStyle name="20% - Accent4 13 2 2 2" xfId="11811"/>
    <cellStyle name="20% - Accent4 13 2 2 2 2" xfId="11812"/>
    <cellStyle name="20% - Accent4 13 2 2 2 2 2" xfId="11813"/>
    <cellStyle name="20% - Accent4 13 2 2 2 3" xfId="11814"/>
    <cellStyle name="20% - Accent4 13 2 2 3" xfId="11815"/>
    <cellStyle name="20% - Accent4 13 2 2 3 2" xfId="11816"/>
    <cellStyle name="20% - Accent4 13 2 2 4" xfId="11817"/>
    <cellStyle name="20% - Accent4 13 2 3" xfId="11818"/>
    <cellStyle name="20% - Accent4 13 2 3 2" xfId="11819"/>
    <cellStyle name="20% - Accent4 13 2 3 2 2" xfId="11820"/>
    <cellStyle name="20% - Accent4 13 2 3 3" xfId="11821"/>
    <cellStyle name="20% - Accent4 13 2 4" xfId="11822"/>
    <cellStyle name="20% - Accent4 13 2 4 2" xfId="11823"/>
    <cellStyle name="20% - Accent4 13 2 5" xfId="11824"/>
    <cellStyle name="20% - Accent4 13 3" xfId="11825"/>
    <cellStyle name="20% - Accent4 13 3 2" xfId="11826"/>
    <cellStyle name="20% - Accent4 13 3 2 2" xfId="11827"/>
    <cellStyle name="20% - Accent4 13 3 2 2 2" xfId="11828"/>
    <cellStyle name="20% - Accent4 13 3 2 2 2 2" xfId="11829"/>
    <cellStyle name="20% - Accent4 13 3 2 2 3" xfId="11830"/>
    <cellStyle name="20% - Accent4 13 3 2 3" xfId="11831"/>
    <cellStyle name="20% - Accent4 13 3 2 3 2" xfId="11832"/>
    <cellStyle name="20% - Accent4 13 3 2 4" xfId="11833"/>
    <cellStyle name="20% - Accent4 13 3 3" xfId="11834"/>
    <cellStyle name="20% - Accent4 13 3 3 2" xfId="11835"/>
    <cellStyle name="20% - Accent4 13 3 3 2 2" xfId="11836"/>
    <cellStyle name="20% - Accent4 13 3 3 3" xfId="11837"/>
    <cellStyle name="20% - Accent4 13 3 4" xfId="11838"/>
    <cellStyle name="20% - Accent4 13 3 4 2" xfId="11839"/>
    <cellStyle name="20% - Accent4 13 3 5" xfId="11840"/>
    <cellStyle name="20% - Accent4 13 4" xfId="11841"/>
    <cellStyle name="20% - Accent4 13 4 2" xfId="11842"/>
    <cellStyle name="20% - Accent4 13 4 2 2" xfId="11843"/>
    <cellStyle name="20% - Accent4 13 4 2 2 2" xfId="11844"/>
    <cellStyle name="20% - Accent4 13 4 2 2 2 2" xfId="11845"/>
    <cellStyle name="20% - Accent4 13 4 2 2 3" xfId="11846"/>
    <cellStyle name="20% - Accent4 13 4 2 3" xfId="11847"/>
    <cellStyle name="20% - Accent4 13 4 2 3 2" xfId="11848"/>
    <cellStyle name="20% - Accent4 13 4 2 4" xfId="11849"/>
    <cellStyle name="20% - Accent4 13 4 3" xfId="11850"/>
    <cellStyle name="20% - Accent4 13 4 3 2" xfId="11851"/>
    <cellStyle name="20% - Accent4 13 4 3 2 2" xfId="11852"/>
    <cellStyle name="20% - Accent4 13 4 3 3" xfId="11853"/>
    <cellStyle name="20% - Accent4 13 4 4" xfId="11854"/>
    <cellStyle name="20% - Accent4 13 4 4 2" xfId="11855"/>
    <cellStyle name="20% - Accent4 13 4 5" xfId="11856"/>
    <cellStyle name="20% - Accent4 13 5" xfId="11857"/>
    <cellStyle name="20% - Accent4 13 5 2" xfId="11858"/>
    <cellStyle name="20% - Accent4 13 5 2 2" xfId="11859"/>
    <cellStyle name="20% - Accent4 13 5 2 2 2" xfId="11860"/>
    <cellStyle name="20% - Accent4 13 5 2 2 2 2" xfId="11861"/>
    <cellStyle name="20% - Accent4 13 5 2 2 3" xfId="11862"/>
    <cellStyle name="20% - Accent4 13 5 2 3" xfId="11863"/>
    <cellStyle name="20% - Accent4 13 5 2 3 2" xfId="11864"/>
    <cellStyle name="20% - Accent4 13 5 2 4" xfId="11865"/>
    <cellStyle name="20% - Accent4 13 5 3" xfId="11866"/>
    <cellStyle name="20% - Accent4 13 5 3 2" xfId="11867"/>
    <cellStyle name="20% - Accent4 13 5 3 2 2" xfId="11868"/>
    <cellStyle name="20% - Accent4 13 5 3 3" xfId="11869"/>
    <cellStyle name="20% - Accent4 13 5 4" xfId="11870"/>
    <cellStyle name="20% - Accent4 13 5 4 2" xfId="11871"/>
    <cellStyle name="20% - Accent4 13 5 5" xfId="11872"/>
    <cellStyle name="20% - Accent4 13 6" xfId="11873"/>
    <cellStyle name="20% - Accent4 13 6 2" xfId="11874"/>
    <cellStyle name="20% - Accent4 13 6 2 2" xfId="11875"/>
    <cellStyle name="20% - Accent4 13 6 2 2 2" xfId="11876"/>
    <cellStyle name="20% - Accent4 13 6 2 2 2 2" xfId="11877"/>
    <cellStyle name="20% - Accent4 13 6 2 2 3" xfId="11878"/>
    <cellStyle name="20% - Accent4 13 6 2 3" xfId="11879"/>
    <cellStyle name="20% - Accent4 13 6 2 3 2" xfId="11880"/>
    <cellStyle name="20% - Accent4 13 6 2 4" xfId="11881"/>
    <cellStyle name="20% - Accent4 13 6 3" xfId="11882"/>
    <cellStyle name="20% - Accent4 13 6 3 2" xfId="11883"/>
    <cellStyle name="20% - Accent4 13 6 3 2 2" xfId="11884"/>
    <cellStyle name="20% - Accent4 13 6 3 3" xfId="11885"/>
    <cellStyle name="20% - Accent4 13 6 4" xfId="11886"/>
    <cellStyle name="20% - Accent4 13 6 4 2" xfId="11887"/>
    <cellStyle name="20% - Accent4 13 6 5" xfId="11888"/>
    <cellStyle name="20% - Accent4 13 7" xfId="11889"/>
    <cellStyle name="20% - Accent4 13 7 2" xfId="11890"/>
    <cellStyle name="20% - Accent4 13 7 2 2" xfId="11891"/>
    <cellStyle name="20% - Accent4 13 7 2 2 2" xfId="11892"/>
    <cellStyle name="20% - Accent4 13 7 2 3" xfId="11893"/>
    <cellStyle name="20% - Accent4 13 7 3" xfId="11894"/>
    <cellStyle name="20% - Accent4 13 7 3 2" xfId="11895"/>
    <cellStyle name="20% - Accent4 13 7 4" xfId="11896"/>
    <cellStyle name="20% - Accent4 13 8" xfId="11897"/>
    <cellStyle name="20% - Accent4 13 8 2" xfId="11898"/>
    <cellStyle name="20% - Accent4 13 8 2 2" xfId="11899"/>
    <cellStyle name="20% - Accent4 13 8 3" xfId="11900"/>
    <cellStyle name="20% - Accent4 13 9" xfId="11901"/>
    <cellStyle name="20% - Accent4 13 9 2" xfId="11902"/>
    <cellStyle name="20% - Accent4 14" xfId="11903"/>
    <cellStyle name="20% - Accent4 14 2" xfId="11904"/>
    <cellStyle name="20% - Accent4 14 2 2" xfId="11905"/>
    <cellStyle name="20% - Accent4 14 2 2 2" xfId="11906"/>
    <cellStyle name="20% - Accent4 14 2 2 2 2" xfId="11907"/>
    <cellStyle name="20% - Accent4 14 2 2 3" xfId="11908"/>
    <cellStyle name="20% - Accent4 14 2 3" xfId="11909"/>
    <cellStyle name="20% - Accent4 14 2 3 2" xfId="11910"/>
    <cellStyle name="20% - Accent4 14 2 4" xfId="11911"/>
    <cellStyle name="20% - Accent4 14 3" xfId="11912"/>
    <cellStyle name="20% - Accent4 14 3 2" xfId="11913"/>
    <cellStyle name="20% - Accent4 14 3 2 2" xfId="11914"/>
    <cellStyle name="20% - Accent4 14 3 3" xfId="11915"/>
    <cellStyle name="20% - Accent4 14 4" xfId="11916"/>
    <cellStyle name="20% - Accent4 14 4 2" xfId="11917"/>
    <cellStyle name="20% - Accent4 14 5" xfId="11918"/>
    <cellStyle name="20% - Accent4 15" xfId="11919"/>
    <cellStyle name="20% - Accent4 15 2" xfId="11920"/>
    <cellStyle name="20% - Accent4 15 2 2" xfId="11921"/>
    <cellStyle name="20% - Accent4 15 2 2 2" xfId="11922"/>
    <cellStyle name="20% - Accent4 15 2 2 2 2" xfId="11923"/>
    <cellStyle name="20% - Accent4 15 2 2 3" xfId="11924"/>
    <cellStyle name="20% - Accent4 15 2 3" xfId="11925"/>
    <cellStyle name="20% - Accent4 15 2 3 2" xfId="11926"/>
    <cellStyle name="20% - Accent4 15 2 4" xfId="11927"/>
    <cellStyle name="20% - Accent4 15 3" xfId="11928"/>
    <cellStyle name="20% - Accent4 15 3 2" xfId="11929"/>
    <cellStyle name="20% - Accent4 15 3 2 2" xfId="11930"/>
    <cellStyle name="20% - Accent4 15 3 3" xfId="11931"/>
    <cellStyle name="20% - Accent4 15 4" xfId="11932"/>
    <cellStyle name="20% - Accent4 15 4 2" xfId="11933"/>
    <cellStyle name="20% - Accent4 15 5" xfId="11934"/>
    <cellStyle name="20% - Accent4 16" xfId="11935"/>
    <cellStyle name="20% - Accent4 16 2" xfId="11936"/>
    <cellStyle name="20% - Accent4 16 2 2" xfId="11937"/>
    <cellStyle name="20% - Accent4 16 2 2 2" xfId="11938"/>
    <cellStyle name="20% - Accent4 16 2 2 2 2" xfId="11939"/>
    <cellStyle name="20% - Accent4 16 2 2 3" xfId="11940"/>
    <cellStyle name="20% - Accent4 16 2 3" xfId="11941"/>
    <cellStyle name="20% - Accent4 16 2 3 2" xfId="11942"/>
    <cellStyle name="20% - Accent4 16 2 4" xfId="11943"/>
    <cellStyle name="20% - Accent4 16 3" xfId="11944"/>
    <cellStyle name="20% - Accent4 16 3 2" xfId="11945"/>
    <cellStyle name="20% - Accent4 16 3 2 2" xfId="11946"/>
    <cellStyle name="20% - Accent4 16 3 3" xfId="11947"/>
    <cellStyle name="20% - Accent4 16 4" xfId="11948"/>
    <cellStyle name="20% - Accent4 16 4 2" xfId="11949"/>
    <cellStyle name="20% - Accent4 16 5" xfId="11950"/>
    <cellStyle name="20% - Accent4 17" xfId="11951"/>
    <cellStyle name="20% - Accent4 17 2" xfId="11952"/>
    <cellStyle name="20% - Accent4 17 2 2" xfId="11953"/>
    <cellStyle name="20% - Accent4 17 2 2 2" xfId="11954"/>
    <cellStyle name="20% - Accent4 17 2 2 2 2" xfId="11955"/>
    <cellStyle name="20% - Accent4 17 2 2 3" xfId="11956"/>
    <cellStyle name="20% - Accent4 17 2 3" xfId="11957"/>
    <cellStyle name="20% - Accent4 17 2 3 2" xfId="11958"/>
    <cellStyle name="20% - Accent4 17 2 4" xfId="11959"/>
    <cellStyle name="20% - Accent4 17 3" xfId="11960"/>
    <cellStyle name="20% - Accent4 17 3 2" xfId="11961"/>
    <cellStyle name="20% - Accent4 17 3 2 2" xfId="11962"/>
    <cellStyle name="20% - Accent4 17 3 3" xfId="11963"/>
    <cellStyle name="20% - Accent4 17 4" xfId="11964"/>
    <cellStyle name="20% - Accent4 17 4 2" xfId="11965"/>
    <cellStyle name="20% - Accent4 17 5" xfId="11966"/>
    <cellStyle name="20% - Accent4 18" xfId="11967"/>
    <cellStyle name="20% - Accent4 18 2" xfId="11968"/>
    <cellStyle name="20% - Accent4 18 2 2" xfId="11969"/>
    <cellStyle name="20% - Accent4 18 2 2 2" xfId="11970"/>
    <cellStyle name="20% - Accent4 18 2 2 2 2" xfId="11971"/>
    <cellStyle name="20% - Accent4 18 2 2 3" xfId="11972"/>
    <cellStyle name="20% - Accent4 18 2 3" xfId="11973"/>
    <cellStyle name="20% - Accent4 18 2 3 2" xfId="11974"/>
    <cellStyle name="20% - Accent4 18 2 4" xfId="11975"/>
    <cellStyle name="20% - Accent4 18 3" xfId="11976"/>
    <cellStyle name="20% - Accent4 18 3 2" xfId="11977"/>
    <cellStyle name="20% - Accent4 18 3 2 2" xfId="11978"/>
    <cellStyle name="20% - Accent4 18 3 3" xfId="11979"/>
    <cellStyle name="20% - Accent4 18 4" xfId="11980"/>
    <cellStyle name="20% - Accent4 18 4 2" xfId="11981"/>
    <cellStyle name="20% - Accent4 18 5" xfId="11982"/>
    <cellStyle name="20% - Accent4 19" xfId="11983"/>
    <cellStyle name="20% - Accent4 19 2" xfId="11984"/>
    <cellStyle name="20% - Accent4 19 2 2" xfId="11985"/>
    <cellStyle name="20% - Accent4 19 2 2 2" xfId="11986"/>
    <cellStyle name="20% - Accent4 19 2 2 2 2" xfId="11987"/>
    <cellStyle name="20% - Accent4 19 2 2 3" xfId="11988"/>
    <cellStyle name="20% - Accent4 19 2 3" xfId="11989"/>
    <cellStyle name="20% - Accent4 19 2 3 2" xfId="11990"/>
    <cellStyle name="20% - Accent4 19 2 4" xfId="11991"/>
    <cellStyle name="20% - Accent4 19 3" xfId="11992"/>
    <cellStyle name="20% - Accent4 19 3 2" xfId="11993"/>
    <cellStyle name="20% - Accent4 19 3 2 2" xfId="11994"/>
    <cellStyle name="20% - Accent4 19 3 3" xfId="11995"/>
    <cellStyle name="20% - Accent4 19 4" xfId="11996"/>
    <cellStyle name="20% - Accent4 19 4 2" xfId="11997"/>
    <cellStyle name="20% - Accent4 19 5" xfId="11998"/>
    <cellStyle name="20% - Accent4 2" xfId="11999"/>
    <cellStyle name="20% - Accent4 2 10" xfId="12000"/>
    <cellStyle name="20% - Accent4 2 10 10" xfId="12001"/>
    <cellStyle name="20% - Accent4 2 10 2" xfId="12002"/>
    <cellStyle name="20% - Accent4 2 10 2 2" xfId="12003"/>
    <cellStyle name="20% - Accent4 2 10 2 2 2" xfId="12004"/>
    <cellStyle name="20% - Accent4 2 10 2 2 2 2" xfId="12005"/>
    <cellStyle name="20% - Accent4 2 10 2 2 2 2 2" xfId="12006"/>
    <cellStyle name="20% - Accent4 2 10 2 2 2 3" xfId="12007"/>
    <cellStyle name="20% - Accent4 2 10 2 2 3" xfId="12008"/>
    <cellStyle name="20% - Accent4 2 10 2 2 3 2" xfId="12009"/>
    <cellStyle name="20% - Accent4 2 10 2 2 4" xfId="12010"/>
    <cellStyle name="20% - Accent4 2 10 2 3" xfId="12011"/>
    <cellStyle name="20% - Accent4 2 10 2 3 2" xfId="12012"/>
    <cellStyle name="20% - Accent4 2 10 2 3 2 2" xfId="12013"/>
    <cellStyle name="20% - Accent4 2 10 2 3 3" xfId="12014"/>
    <cellStyle name="20% - Accent4 2 10 2 4" xfId="12015"/>
    <cellStyle name="20% - Accent4 2 10 2 4 2" xfId="12016"/>
    <cellStyle name="20% - Accent4 2 10 2 5" xfId="12017"/>
    <cellStyle name="20% - Accent4 2 10 3" xfId="12018"/>
    <cellStyle name="20% - Accent4 2 10 3 2" xfId="12019"/>
    <cellStyle name="20% - Accent4 2 10 3 2 2" xfId="12020"/>
    <cellStyle name="20% - Accent4 2 10 3 2 2 2" xfId="12021"/>
    <cellStyle name="20% - Accent4 2 10 3 2 2 2 2" xfId="12022"/>
    <cellStyle name="20% - Accent4 2 10 3 2 2 3" xfId="12023"/>
    <cellStyle name="20% - Accent4 2 10 3 2 3" xfId="12024"/>
    <cellStyle name="20% - Accent4 2 10 3 2 3 2" xfId="12025"/>
    <cellStyle name="20% - Accent4 2 10 3 2 4" xfId="12026"/>
    <cellStyle name="20% - Accent4 2 10 3 3" xfId="12027"/>
    <cellStyle name="20% - Accent4 2 10 3 3 2" xfId="12028"/>
    <cellStyle name="20% - Accent4 2 10 3 3 2 2" xfId="12029"/>
    <cellStyle name="20% - Accent4 2 10 3 3 3" xfId="12030"/>
    <cellStyle name="20% - Accent4 2 10 3 4" xfId="12031"/>
    <cellStyle name="20% - Accent4 2 10 3 4 2" xfId="12032"/>
    <cellStyle name="20% - Accent4 2 10 3 5" xfId="12033"/>
    <cellStyle name="20% - Accent4 2 10 4" xfId="12034"/>
    <cellStyle name="20% - Accent4 2 10 4 2" xfId="12035"/>
    <cellStyle name="20% - Accent4 2 10 4 2 2" xfId="12036"/>
    <cellStyle name="20% - Accent4 2 10 4 2 2 2" xfId="12037"/>
    <cellStyle name="20% - Accent4 2 10 4 2 2 2 2" xfId="12038"/>
    <cellStyle name="20% - Accent4 2 10 4 2 2 3" xfId="12039"/>
    <cellStyle name="20% - Accent4 2 10 4 2 3" xfId="12040"/>
    <cellStyle name="20% - Accent4 2 10 4 2 3 2" xfId="12041"/>
    <cellStyle name="20% - Accent4 2 10 4 2 4" xfId="12042"/>
    <cellStyle name="20% - Accent4 2 10 4 3" xfId="12043"/>
    <cellStyle name="20% - Accent4 2 10 4 3 2" xfId="12044"/>
    <cellStyle name="20% - Accent4 2 10 4 3 2 2" xfId="12045"/>
    <cellStyle name="20% - Accent4 2 10 4 3 3" xfId="12046"/>
    <cellStyle name="20% - Accent4 2 10 4 4" xfId="12047"/>
    <cellStyle name="20% - Accent4 2 10 4 4 2" xfId="12048"/>
    <cellStyle name="20% - Accent4 2 10 4 5" xfId="12049"/>
    <cellStyle name="20% - Accent4 2 10 5" xfId="12050"/>
    <cellStyle name="20% - Accent4 2 10 5 2" xfId="12051"/>
    <cellStyle name="20% - Accent4 2 10 5 2 2" xfId="12052"/>
    <cellStyle name="20% - Accent4 2 10 5 2 2 2" xfId="12053"/>
    <cellStyle name="20% - Accent4 2 10 5 2 2 2 2" xfId="12054"/>
    <cellStyle name="20% - Accent4 2 10 5 2 2 3" xfId="12055"/>
    <cellStyle name="20% - Accent4 2 10 5 2 3" xfId="12056"/>
    <cellStyle name="20% - Accent4 2 10 5 2 3 2" xfId="12057"/>
    <cellStyle name="20% - Accent4 2 10 5 2 4" xfId="12058"/>
    <cellStyle name="20% - Accent4 2 10 5 3" xfId="12059"/>
    <cellStyle name="20% - Accent4 2 10 5 3 2" xfId="12060"/>
    <cellStyle name="20% - Accent4 2 10 5 3 2 2" xfId="12061"/>
    <cellStyle name="20% - Accent4 2 10 5 3 3" xfId="12062"/>
    <cellStyle name="20% - Accent4 2 10 5 4" xfId="12063"/>
    <cellStyle name="20% - Accent4 2 10 5 4 2" xfId="12064"/>
    <cellStyle name="20% - Accent4 2 10 5 5" xfId="12065"/>
    <cellStyle name="20% - Accent4 2 10 6" xfId="12066"/>
    <cellStyle name="20% - Accent4 2 10 6 2" xfId="12067"/>
    <cellStyle name="20% - Accent4 2 10 6 2 2" xfId="12068"/>
    <cellStyle name="20% - Accent4 2 10 6 2 2 2" xfId="12069"/>
    <cellStyle name="20% - Accent4 2 10 6 2 2 2 2" xfId="12070"/>
    <cellStyle name="20% - Accent4 2 10 6 2 2 3" xfId="12071"/>
    <cellStyle name="20% - Accent4 2 10 6 2 3" xfId="12072"/>
    <cellStyle name="20% - Accent4 2 10 6 2 3 2" xfId="12073"/>
    <cellStyle name="20% - Accent4 2 10 6 2 4" xfId="12074"/>
    <cellStyle name="20% - Accent4 2 10 6 3" xfId="12075"/>
    <cellStyle name="20% - Accent4 2 10 6 3 2" xfId="12076"/>
    <cellStyle name="20% - Accent4 2 10 6 3 2 2" xfId="12077"/>
    <cellStyle name="20% - Accent4 2 10 6 3 3" xfId="12078"/>
    <cellStyle name="20% - Accent4 2 10 6 4" xfId="12079"/>
    <cellStyle name="20% - Accent4 2 10 6 4 2" xfId="12080"/>
    <cellStyle name="20% - Accent4 2 10 6 5" xfId="12081"/>
    <cellStyle name="20% - Accent4 2 10 7" xfId="12082"/>
    <cellStyle name="20% - Accent4 2 10 7 2" xfId="12083"/>
    <cellStyle name="20% - Accent4 2 10 7 2 2" xfId="12084"/>
    <cellStyle name="20% - Accent4 2 10 7 2 2 2" xfId="12085"/>
    <cellStyle name="20% - Accent4 2 10 7 2 3" xfId="12086"/>
    <cellStyle name="20% - Accent4 2 10 7 3" xfId="12087"/>
    <cellStyle name="20% - Accent4 2 10 7 3 2" xfId="12088"/>
    <cellStyle name="20% - Accent4 2 10 7 4" xfId="12089"/>
    <cellStyle name="20% - Accent4 2 10 8" xfId="12090"/>
    <cellStyle name="20% - Accent4 2 10 8 2" xfId="12091"/>
    <cellStyle name="20% - Accent4 2 10 8 2 2" xfId="12092"/>
    <cellStyle name="20% - Accent4 2 10 8 3" xfId="12093"/>
    <cellStyle name="20% - Accent4 2 10 9" xfId="12094"/>
    <cellStyle name="20% - Accent4 2 10 9 2" xfId="12095"/>
    <cellStyle name="20% - Accent4 2 11" xfId="12096"/>
    <cellStyle name="20% - Accent4 2 11 2" xfId="12097"/>
    <cellStyle name="20% - Accent4 2 11 2 2" xfId="12098"/>
    <cellStyle name="20% - Accent4 2 11 2 2 2" xfId="12099"/>
    <cellStyle name="20% - Accent4 2 11 2 2 2 2" xfId="12100"/>
    <cellStyle name="20% - Accent4 2 11 2 2 3" xfId="12101"/>
    <cellStyle name="20% - Accent4 2 11 2 3" xfId="12102"/>
    <cellStyle name="20% - Accent4 2 11 2 3 2" xfId="12103"/>
    <cellStyle name="20% - Accent4 2 11 2 4" xfId="12104"/>
    <cellStyle name="20% - Accent4 2 11 3" xfId="12105"/>
    <cellStyle name="20% - Accent4 2 11 3 2" xfId="12106"/>
    <cellStyle name="20% - Accent4 2 11 3 2 2" xfId="12107"/>
    <cellStyle name="20% - Accent4 2 11 3 3" xfId="12108"/>
    <cellStyle name="20% - Accent4 2 11 4" xfId="12109"/>
    <cellStyle name="20% - Accent4 2 11 4 2" xfId="12110"/>
    <cellStyle name="20% - Accent4 2 11 5" xfId="12111"/>
    <cellStyle name="20% - Accent4 2 12" xfId="12112"/>
    <cellStyle name="20% - Accent4 2 12 2" xfId="12113"/>
    <cellStyle name="20% - Accent4 2 12 2 2" xfId="12114"/>
    <cellStyle name="20% - Accent4 2 12 2 2 2" xfId="12115"/>
    <cellStyle name="20% - Accent4 2 12 2 2 2 2" xfId="12116"/>
    <cellStyle name="20% - Accent4 2 12 2 2 3" xfId="12117"/>
    <cellStyle name="20% - Accent4 2 12 2 3" xfId="12118"/>
    <cellStyle name="20% - Accent4 2 12 2 3 2" xfId="12119"/>
    <cellStyle name="20% - Accent4 2 12 2 4" xfId="12120"/>
    <cellStyle name="20% - Accent4 2 12 3" xfId="12121"/>
    <cellStyle name="20% - Accent4 2 12 3 2" xfId="12122"/>
    <cellStyle name="20% - Accent4 2 12 3 2 2" xfId="12123"/>
    <cellStyle name="20% - Accent4 2 12 3 3" xfId="12124"/>
    <cellStyle name="20% - Accent4 2 12 4" xfId="12125"/>
    <cellStyle name="20% - Accent4 2 12 4 2" xfId="12126"/>
    <cellStyle name="20% - Accent4 2 12 5" xfId="12127"/>
    <cellStyle name="20% - Accent4 2 13" xfId="12128"/>
    <cellStyle name="20% - Accent4 2 13 2" xfId="12129"/>
    <cellStyle name="20% - Accent4 2 13 2 2" xfId="12130"/>
    <cellStyle name="20% - Accent4 2 13 2 2 2" xfId="12131"/>
    <cellStyle name="20% - Accent4 2 13 2 2 2 2" xfId="12132"/>
    <cellStyle name="20% - Accent4 2 13 2 2 3" xfId="12133"/>
    <cellStyle name="20% - Accent4 2 13 2 3" xfId="12134"/>
    <cellStyle name="20% - Accent4 2 13 2 3 2" xfId="12135"/>
    <cellStyle name="20% - Accent4 2 13 2 4" xfId="12136"/>
    <cellStyle name="20% - Accent4 2 13 3" xfId="12137"/>
    <cellStyle name="20% - Accent4 2 13 3 2" xfId="12138"/>
    <cellStyle name="20% - Accent4 2 13 3 2 2" xfId="12139"/>
    <cellStyle name="20% - Accent4 2 13 3 3" xfId="12140"/>
    <cellStyle name="20% - Accent4 2 13 4" xfId="12141"/>
    <cellStyle name="20% - Accent4 2 13 4 2" xfId="12142"/>
    <cellStyle name="20% - Accent4 2 13 5" xfId="12143"/>
    <cellStyle name="20% - Accent4 2 14" xfId="12144"/>
    <cellStyle name="20% - Accent4 2 14 2" xfId="12145"/>
    <cellStyle name="20% - Accent4 2 14 2 2" xfId="12146"/>
    <cellStyle name="20% - Accent4 2 14 2 2 2" xfId="12147"/>
    <cellStyle name="20% - Accent4 2 14 2 2 2 2" xfId="12148"/>
    <cellStyle name="20% - Accent4 2 14 2 2 3" xfId="12149"/>
    <cellStyle name="20% - Accent4 2 14 2 3" xfId="12150"/>
    <cellStyle name="20% - Accent4 2 14 2 3 2" xfId="12151"/>
    <cellStyle name="20% - Accent4 2 14 2 4" xfId="12152"/>
    <cellStyle name="20% - Accent4 2 14 3" xfId="12153"/>
    <cellStyle name="20% - Accent4 2 14 3 2" xfId="12154"/>
    <cellStyle name="20% - Accent4 2 14 3 2 2" xfId="12155"/>
    <cellStyle name="20% - Accent4 2 14 3 3" xfId="12156"/>
    <cellStyle name="20% - Accent4 2 14 4" xfId="12157"/>
    <cellStyle name="20% - Accent4 2 14 4 2" xfId="12158"/>
    <cellStyle name="20% - Accent4 2 14 5" xfId="12159"/>
    <cellStyle name="20% - Accent4 2 15" xfId="12160"/>
    <cellStyle name="20% - Accent4 2 15 2" xfId="12161"/>
    <cellStyle name="20% - Accent4 2 15 2 2" xfId="12162"/>
    <cellStyle name="20% - Accent4 2 15 2 2 2" xfId="12163"/>
    <cellStyle name="20% - Accent4 2 15 2 2 2 2" xfId="12164"/>
    <cellStyle name="20% - Accent4 2 15 2 2 3" xfId="12165"/>
    <cellStyle name="20% - Accent4 2 15 2 3" xfId="12166"/>
    <cellStyle name="20% - Accent4 2 15 2 3 2" xfId="12167"/>
    <cellStyle name="20% - Accent4 2 15 2 4" xfId="12168"/>
    <cellStyle name="20% - Accent4 2 15 3" xfId="12169"/>
    <cellStyle name="20% - Accent4 2 15 3 2" xfId="12170"/>
    <cellStyle name="20% - Accent4 2 15 3 2 2" xfId="12171"/>
    <cellStyle name="20% - Accent4 2 15 3 3" xfId="12172"/>
    <cellStyle name="20% - Accent4 2 15 4" xfId="12173"/>
    <cellStyle name="20% - Accent4 2 15 4 2" xfId="12174"/>
    <cellStyle name="20% - Accent4 2 15 5" xfId="12175"/>
    <cellStyle name="20% - Accent4 2 16" xfId="12176"/>
    <cellStyle name="20% - Accent4 2 16 2" xfId="12177"/>
    <cellStyle name="20% - Accent4 2 16 2 2" xfId="12178"/>
    <cellStyle name="20% - Accent4 2 16 2 2 2" xfId="12179"/>
    <cellStyle name="20% - Accent4 2 16 2 3" xfId="12180"/>
    <cellStyle name="20% - Accent4 2 16 3" xfId="12181"/>
    <cellStyle name="20% - Accent4 2 16 3 2" xfId="12182"/>
    <cellStyle name="20% - Accent4 2 16 4" xfId="12183"/>
    <cellStyle name="20% - Accent4 2 17" xfId="12184"/>
    <cellStyle name="20% - Accent4 2 17 2" xfId="12185"/>
    <cellStyle name="20% - Accent4 2 17 2 2" xfId="12186"/>
    <cellStyle name="20% - Accent4 2 17 3" xfId="12187"/>
    <cellStyle name="20% - Accent4 2 18" xfId="12188"/>
    <cellStyle name="20% - Accent4 2 18 2" xfId="12189"/>
    <cellStyle name="20% - Accent4 2 19" xfId="12190"/>
    <cellStyle name="20% - Accent4 2 2" xfId="12191"/>
    <cellStyle name="20% - Accent4 2 2 10" xfId="12192"/>
    <cellStyle name="20% - Accent4 2 2 10 2" xfId="12193"/>
    <cellStyle name="20% - Accent4 2 2 11" xfId="12194"/>
    <cellStyle name="20% - Accent4 2 2 2" xfId="12195"/>
    <cellStyle name="20% - Accent4 2 2 2 10" xfId="12196"/>
    <cellStyle name="20% - Accent4 2 2 2 2" xfId="12197"/>
    <cellStyle name="20% - Accent4 2 2 2 2 2" xfId="12198"/>
    <cellStyle name="20% - Accent4 2 2 2 2 2 2" xfId="12199"/>
    <cellStyle name="20% - Accent4 2 2 2 2 2 2 2" xfId="12200"/>
    <cellStyle name="20% - Accent4 2 2 2 2 2 2 2 2" xfId="12201"/>
    <cellStyle name="20% - Accent4 2 2 2 2 2 2 3" xfId="12202"/>
    <cellStyle name="20% - Accent4 2 2 2 2 2 3" xfId="12203"/>
    <cellStyle name="20% - Accent4 2 2 2 2 2 3 2" xfId="12204"/>
    <cellStyle name="20% - Accent4 2 2 2 2 2 4" xfId="12205"/>
    <cellStyle name="20% - Accent4 2 2 2 2 3" xfId="12206"/>
    <cellStyle name="20% - Accent4 2 2 2 2 3 2" xfId="12207"/>
    <cellStyle name="20% - Accent4 2 2 2 2 3 2 2" xfId="12208"/>
    <cellStyle name="20% - Accent4 2 2 2 2 3 3" xfId="12209"/>
    <cellStyle name="20% - Accent4 2 2 2 2 4" xfId="12210"/>
    <cellStyle name="20% - Accent4 2 2 2 2 4 2" xfId="12211"/>
    <cellStyle name="20% - Accent4 2 2 2 2 5" xfId="12212"/>
    <cellStyle name="20% - Accent4 2 2 2 3" xfId="12213"/>
    <cellStyle name="20% - Accent4 2 2 2 3 2" xfId="12214"/>
    <cellStyle name="20% - Accent4 2 2 2 3 2 2" xfId="12215"/>
    <cellStyle name="20% - Accent4 2 2 2 3 2 2 2" xfId="12216"/>
    <cellStyle name="20% - Accent4 2 2 2 3 2 2 2 2" xfId="12217"/>
    <cellStyle name="20% - Accent4 2 2 2 3 2 2 3" xfId="12218"/>
    <cellStyle name="20% - Accent4 2 2 2 3 2 3" xfId="12219"/>
    <cellStyle name="20% - Accent4 2 2 2 3 2 3 2" xfId="12220"/>
    <cellStyle name="20% - Accent4 2 2 2 3 2 4" xfId="12221"/>
    <cellStyle name="20% - Accent4 2 2 2 3 3" xfId="12222"/>
    <cellStyle name="20% - Accent4 2 2 2 3 3 2" xfId="12223"/>
    <cellStyle name="20% - Accent4 2 2 2 3 3 2 2" xfId="12224"/>
    <cellStyle name="20% - Accent4 2 2 2 3 3 3" xfId="12225"/>
    <cellStyle name="20% - Accent4 2 2 2 3 4" xfId="12226"/>
    <cellStyle name="20% - Accent4 2 2 2 3 4 2" xfId="12227"/>
    <cellStyle name="20% - Accent4 2 2 2 3 5" xfId="12228"/>
    <cellStyle name="20% - Accent4 2 2 2 4" xfId="12229"/>
    <cellStyle name="20% - Accent4 2 2 2 4 2" xfId="12230"/>
    <cellStyle name="20% - Accent4 2 2 2 4 2 2" xfId="12231"/>
    <cellStyle name="20% - Accent4 2 2 2 4 2 2 2" xfId="12232"/>
    <cellStyle name="20% - Accent4 2 2 2 4 2 2 2 2" xfId="12233"/>
    <cellStyle name="20% - Accent4 2 2 2 4 2 2 3" xfId="12234"/>
    <cellStyle name="20% - Accent4 2 2 2 4 2 3" xfId="12235"/>
    <cellStyle name="20% - Accent4 2 2 2 4 2 3 2" xfId="12236"/>
    <cellStyle name="20% - Accent4 2 2 2 4 2 4" xfId="12237"/>
    <cellStyle name="20% - Accent4 2 2 2 4 3" xfId="12238"/>
    <cellStyle name="20% - Accent4 2 2 2 4 3 2" xfId="12239"/>
    <cellStyle name="20% - Accent4 2 2 2 4 3 2 2" xfId="12240"/>
    <cellStyle name="20% - Accent4 2 2 2 4 3 3" xfId="12241"/>
    <cellStyle name="20% - Accent4 2 2 2 4 4" xfId="12242"/>
    <cellStyle name="20% - Accent4 2 2 2 4 4 2" xfId="12243"/>
    <cellStyle name="20% - Accent4 2 2 2 4 5" xfId="12244"/>
    <cellStyle name="20% - Accent4 2 2 2 5" xfId="12245"/>
    <cellStyle name="20% - Accent4 2 2 2 5 2" xfId="12246"/>
    <cellStyle name="20% - Accent4 2 2 2 5 2 2" xfId="12247"/>
    <cellStyle name="20% - Accent4 2 2 2 5 2 2 2" xfId="12248"/>
    <cellStyle name="20% - Accent4 2 2 2 5 2 2 2 2" xfId="12249"/>
    <cellStyle name="20% - Accent4 2 2 2 5 2 2 3" xfId="12250"/>
    <cellStyle name="20% - Accent4 2 2 2 5 2 3" xfId="12251"/>
    <cellStyle name="20% - Accent4 2 2 2 5 2 3 2" xfId="12252"/>
    <cellStyle name="20% - Accent4 2 2 2 5 2 4" xfId="12253"/>
    <cellStyle name="20% - Accent4 2 2 2 5 3" xfId="12254"/>
    <cellStyle name="20% - Accent4 2 2 2 5 3 2" xfId="12255"/>
    <cellStyle name="20% - Accent4 2 2 2 5 3 2 2" xfId="12256"/>
    <cellStyle name="20% - Accent4 2 2 2 5 3 3" xfId="12257"/>
    <cellStyle name="20% - Accent4 2 2 2 5 4" xfId="12258"/>
    <cellStyle name="20% - Accent4 2 2 2 5 4 2" xfId="12259"/>
    <cellStyle name="20% - Accent4 2 2 2 5 5" xfId="12260"/>
    <cellStyle name="20% - Accent4 2 2 2 6" xfId="12261"/>
    <cellStyle name="20% - Accent4 2 2 2 6 2" xfId="12262"/>
    <cellStyle name="20% - Accent4 2 2 2 6 2 2" xfId="12263"/>
    <cellStyle name="20% - Accent4 2 2 2 6 2 2 2" xfId="12264"/>
    <cellStyle name="20% - Accent4 2 2 2 6 2 2 2 2" xfId="12265"/>
    <cellStyle name="20% - Accent4 2 2 2 6 2 2 3" xfId="12266"/>
    <cellStyle name="20% - Accent4 2 2 2 6 2 3" xfId="12267"/>
    <cellStyle name="20% - Accent4 2 2 2 6 2 3 2" xfId="12268"/>
    <cellStyle name="20% - Accent4 2 2 2 6 2 4" xfId="12269"/>
    <cellStyle name="20% - Accent4 2 2 2 6 3" xfId="12270"/>
    <cellStyle name="20% - Accent4 2 2 2 6 3 2" xfId="12271"/>
    <cellStyle name="20% - Accent4 2 2 2 6 3 2 2" xfId="12272"/>
    <cellStyle name="20% - Accent4 2 2 2 6 3 3" xfId="12273"/>
    <cellStyle name="20% - Accent4 2 2 2 6 4" xfId="12274"/>
    <cellStyle name="20% - Accent4 2 2 2 6 4 2" xfId="12275"/>
    <cellStyle name="20% - Accent4 2 2 2 6 5" xfId="12276"/>
    <cellStyle name="20% - Accent4 2 2 2 7" xfId="12277"/>
    <cellStyle name="20% - Accent4 2 2 2 7 2" xfId="12278"/>
    <cellStyle name="20% - Accent4 2 2 2 7 2 2" xfId="12279"/>
    <cellStyle name="20% - Accent4 2 2 2 7 2 2 2" xfId="12280"/>
    <cellStyle name="20% - Accent4 2 2 2 7 2 3" xfId="12281"/>
    <cellStyle name="20% - Accent4 2 2 2 7 3" xfId="12282"/>
    <cellStyle name="20% - Accent4 2 2 2 7 3 2" xfId="12283"/>
    <cellStyle name="20% - Accent4 2 2 2 7 4" xfId="12284"/>
    <cellStyle name="20% - Accent4 2 2 2 8" xfId="12285"/>
    <cellStyle name="20% - Accent4 2 2 2 8 2" xfId="12286"/>
    <cellStyle name="20% - Accent4 2 2 2 8 2 2" xfId="12287"/>
    <cellStyle name="20% - Accent4 2 2 2 8 3" xfId="12288"/>
    <cellStyle name="20% - Accent4 2 2 2 9" xfId="12289"/>
    <cellStyle name="20% - Accent4 2 2 2 9 2" xfId="12290"/>
    <cellStyle name="20% - Accent4 2 2 3" xfId="12291"/>
    <cellStyle name="20% - Accent4 2 2 3 2" xfId="12292"/>
    <cellStyle name="20% - Accent4 2 2 3 2 2" xfId="12293"/>
    <cellStyle name="20% - Accent4 2 2 3 2 2 2" xfId="12294"/>
    <cellStyle name="20% - Accent4 2 2 3 2 2 2 2" xfId="12295"/>
    <cellStyle name="20% - Accent4 2 2 3 2 2 3" xfId="12296"/>
    <cellStyle name="20% - Accent4 2 2 3 2 3" xfId="12297"/>
    <cellStyle name="20% - Accent4 2 2 3 2 3 2" xfId="12298"/>
    <cellStyle name="20% - Accent4 2 2 3 2 4" xfId="12299"/>
    <cellStyle name="20% - Accent4 2 2 3 3" xfId="12300"/>
    <cellStyle name="20% - Accent4 2 2 3 3 2" xfId="12301"/>
    <cellStyle name="20% - Accent4 2 2 3 3 2 2" xfId="12302"/>
    <cellStyle name="20% - Accent4 2 2 3 3 3" xfId="12303"/>
    <cellStyle name="20% - Accent4 2 2 3 4" xfId="12304"/>
    <cellStyle name="20% - Accent4 2 2 3 4 2" xfId="12305"/>
    <cellStyle name="20% - Accent4 2 2 3 5" xfId="12306"/>
    <cellStyle name="20% - Accent4 2 2 4" xfId="12307"/>
    <cellStyle name="20% - Accent4 2 2 4 2" xfId="12308"/>
    <cellStyle name="20% - Accent4 2 2 4 2 2" xfId="12309"/>
    <cellStyle name="20% - Accent4 2 2 4 2 2 2" xfId="12310"/>
    <cellStyle name="20% - Accent4 2 2 4 2 2 2 2" xfId="12311"/>
    <cellStyle name="20% - Accent4 2 2 4 2 2 3" xfId="12312"/>
    <cellStyle name="20% - Accent4 2 2 4 2 3" xfId="12313"/>
    <cellStyle name="20% - Accent4 2 2 4 2 3 2" xfId="12314"/>
    <cellStyle name="20% - Accent4 2 2 4 2 4" xfId="12315"/>
    <cellStyle name="20% - Accent4 2 2 4 3" xfId="12316"/>
    <cellStyle name="20% - Accent4 2 2 4 3 2" xfId="12317"/>
    <cellStyle name="20% - Accent4 2 2 4 3 2 2" xfId="12318"/>
    <cellStyle name="20% - Accent4 2 2 4 3 3" xfId="12319"/>
    <cellStyle name="20% - Accent4 2 2 4 4" xfId="12320"/>
    <cellStyle name="20% - Accent4 2 2 4 4 2" xfId="12321"/>
    <cellStyle name="20% - Accent4 2 2 4 5" xfId="12322"/>
    <cellStyle name="20% - Accent4 2 2 5" xfId="12323"/>
    <cellStyle name="20% - Accent4 2 2 5 2" xfId="12324"/>
    <cellStyle name="20% - Accent4 2 2 5 2 2" xfId="12325"/>
    <cellStyle name="20% - Accent4 2 2 5 2 2 2" xfId="12326"/>
    <cellStyle name="20% - Accent4 2 2 5 2 2 2 2" xfId="12327"/>
    <cellStyle name="20% - Accent4 2 2 5 2 2 3" xfId="12328"/>
    <cellStyle name="20% - Accent4 2 2 5 2 3" xfId="12329"/>
    <cellStyle name="20% - Accent4 2 2 5 2 3 2" xfId="12330"/>
    <cellStyle name="20% - Accent4 2 2 5 2 4" xfId="12331"/>
    <cellStyle name="20% - Accent4 2 2 5 3" xfId="12332"/>
    <cellStyle name="20% - Accent4 2 2 5 3 2" xfId="12333"/>
    <cellStyle name="20% - Accent4 2 2 5 3 2 2" xfId="12334"/>
    <cellStyle name="20% - Accent4 2 2 5 3 3" xfId="12335"/>
    <cellStyle name="20% - Accent4 2 2 5 4" xfId="12336"/>
    <cellStyle name="20% - Accent4 2 2 5 4 2" xfId="12337"/>
    <cellStyle name="20% - Accent4 2 2 5 5" xfId="12338"/>
    <cellStyle name="20% - Accent4 2 2 6" xfId="12339"/>
    <cellStyle name="20% - Accent4 2 2 6 2" xfId="12340"/>
    <cellStyle name="20% - Accent4 2 2 6 2 2" xfId="12341"/>
    <cellStyle name="20% - Accent4 2 2 6 2 2 2" xfId="12342"/>
    <cellStyle name="20% - Accent4 2 2 6 2 2 2 2" xfId="12343"/>
    <cellStyle name="20% - Accent4 2 2 6 2 2 3" xfId="12344"/>
    <cellStyle name="20% - Accent4 2 2 6 2 3" xfId="12345"/>
    <cellStyle name="20% - Accent4 2 2 6 2 3 2" xfId="12346"/>
    <cellStyle name="20% - Accent4 2 2 6 2 4" xfId="12347"/>
    <cellStyle name="20% - Accent4 2 2 6 3" xfId="12348"/>
    <cellStyle name="20% - Accent4 2 2 6 3 2" xfId="12349"/>
    <cellStyle name="20% - Accent4 2 2 6 3 2 2" xfId="12350"/>
    <cellStyle name="20% - Accent4 2 2 6 3 3" xfId="12351"/>
    <cellStyle name="20% - Accent4 2 2 6 4" xfId="12352"/>
    <cellStyle name="20% - Accent4 2 2 6 4 2" xfId="12353"/>
    <cellStyle name="20% - Accent4 2 2 6 5" xfId="12354"/>
    <cellStyle name="20% - Accent4 2 2 7" xfId="12355"/>
    <cellStyle name="20% - Accent4 2 2 7 2" xfId="12356"/>
    <cellStyle name="20% - Accent4 2 2 7 2 2" xfId="12357"/>
    <cellStyle name="20% - Accent4 2 2 7 2 2 2" xfId="12358"/>
    <cellStyle name="20% - Accent4 2 2 7 2 2 2 2" xfId="12359"/>
    <cellStyle name="20% - Accent4 2 2 7 2 2 3" xfId="12360"/>
    <cellStyle name="20% - Accent4 2 2 7 2 3" xfId="12361"/>
    <cellStyle name="20% - Accent4 2 2 7 2 3 2" xfId="12362"/>
    <cellStyle name="20% - Accent4 2 2 7 2 4" xfId="12363"/>
    <cellStyle name="20% - Accent4 2 2 7 3" xfId="12364"/>
    <cellStyle name="20% - Accent4 2 2 7 3 2" xfId="12365"/>
    <cellStyle name="20% - Accent4 2 2 7 3 2 2" xfId="12366"/>
    <cellStyle name="20% - Accent4 2 2 7 3 3" xfId="12367"/>
    <cellStyle name="20% - Accent4 2 2 7 4" xfId="12368"/>
    <cellStyle name="20% - Accent4 2 2 7 4 2" xfId="12369"/>
    <cellStyle name="20% - Accent4 2 2 7 5" xfId="12370"/>
    <cellStyle name="20% - Accent4 2 2 8" xfId="12371"/>
    <cellStyle name="20% - Accent4 2 2 8 2" xfId="12372"/>
    <cellStyle name="20% - Accent4 2 2 8 2 2" xfId="12373"/>
    <cellStyle name="20% - Accent4 2 2 8 2 2 2" xfId="12374"/>
    <cellStyle name="20% - Accent4 2 2 8 2 3" xfId="12375"/>
    <cellStyle name="20% - Accent4 2 2 8 3" xfId="12376"/>
    <cellStyle name="20% - Accent4 2 2 8 3 2" xfId="12377"/>
    <cellStyle name="20% - Accent4 2 2 8 4" xfId="12378"/>
    <cellStyle name="20% - Accent4 2 2 9" xfId="12379"/>
    <cellStyle name="20% - Accent4 2 2 9 2" xfId="12380"/>
    <cellStyle name="20% - Accent4 2 2 9 2 2" xfId="12381"/>
    <cellStyle name="20% - Accent4 2 2 9 3" xfId="12382"/>
    <cellStyle name="20% - Accent4 2 3" xfId="12383"/>
    <cellStyle name="20% - Accent4 2 3 10" xfId="12384"/>
    <cellStyle name="20% - Accent4 2 3 10 2" xfId="12385"/>
    <cellStyle name="20% - Accent4 2 3 11" xfId="12386"/>
    <cellStyle name="20% - Accent4 2 3 2" xfId="12387"/>
    <cellStyle name="20% - Accent4 2 3 2 10" xfId="12388"/>
    <cellStyle name="20% - Accent4 2 3 2 2" xfId="12389"/>
    <cellStyle name="20% - Accent4 2 3 2 2 2" xfId="12390"/>
    <cellStyle name="20% - Accent4 2 3 2 2 2 2" xfId="12391"/>
    <cellStyle name="20% - Accent4 2 3 2 2 2 2 2" xfId="12392"/>
    <cellStyle name="20% - Accent4 2 3 2 2 2 2 2 2" xfId="12393"/>
    <cellStyle name="20% - Accent4 2 3 2 2 2 2 3" xfId="12394"/>
    <cellStyle name="20% - Accent4 2 3 2 2 2 3" xfId="12395"/>
    <cellStyle name="20% - Accent4 2 3 2 2 2 3 2" xfId="12396"/>
    <cellStyle name="20% - Accent4 2 3 2 2 2 4" xfId="12397"/>
    <cellStyle name="20% - Accent4 2 3 2 2 3" xfId="12398"/>
    <cellStyle name="20% - Accent4 2 3 2 2 3 2" xfId="12399"/>
    <cellStyle name="20% - Accent4 2 3 2 2 3 2 2" xfId="12400"/>
    <cellStyle name="20% - Accent4 2 3 2 2 3 3" xfId="12401"/>
    <cellStyle name="20% - Accent4 2 3 2 2 4" xfId="12402"/>
    <cellStyle name="20% - Accent4 2 3 2 2 4 2" xfId="12403"/>
    <cellStyle name="20% - Accent4 2 3 2 2 5" xfId="12404"/>
    <cellStyle name="20% - Accent4 2 3 2 3" xfId="12405"/>
    <cellStyle name="20% - Accent4 2 3 2 3 2" xfId="12406"/>
    <cellStyle name="20% - Accent4 2 3 2 3 2 2" xfId="12407"/>
    <cellStyle name="20% - Accent4 2 3 2 3 2 2 2" xfId="12408"/>
    <cellStyle name="20% - Accent4 2 3 2 3 2 2 2 2" xfId="12409"/>
    <cellStyle name="20% - Accent4 2 3 2 3 2 2 3" xfId="12410"/>
    <cellStyle name="20% - Accent4 2 3 2 3 2 3" xfId="12411"/>
    <cellStyle name="20% - Accent4 2 3 2 3 2 3 2" xfId="12412"/>
    <cellStyle name="20% - Accent4 2 3 2 3 2 4" xfId="12413"/>
    <cellStyle name="20% - Accent4 2 3 2 3 3" xfId="12414"/>
    <cellStyle name="20% - Accent4 2 3 2 3 3 2" xfId="12415"/>
    <cellStyle name="20% - Accent4 2 3 2 3 3 2 2" xfId="12416"/>
    <cellStyle name="20% - Accent4 2 3 2 3 3 3" xfId="12417"/>
    <cellStyle name="20% - Accent4 2 3 2 3 4" xfId="12418"/>
    <cellStyle name="20% - Accent4 2 3 2 3 4 2" xfId="12419"/>
    <cellStyle name="20% - Accent4 2 3 2 3 5" xfId="12420"/>
    <cellStyle name="20% - Accent4 2 3 2 4" xfId="12421"/>
    <cellStyle name="20% - Accent4 2 3 2 4 2" xfId="12422"/>
    <cellStyle name="20% - Accent4 2 3 2 4 2 2" xfId="12423"/>
    <cellStyle name="20% - Accent4 2 3 2 4 2 2 2" xfId="12424"/>
    <cellStyle name="20% - Accent4 2 3 2 4 2 2 2 2" xfId="12425"/>
    <cellStyle name="20% - Accent4 2 3 2 4 2 2 3" xfId="12426"/>
    <cellStyle name="20% - Accent4 2 3 2 4 2 3" xfId="12427"/>
    <cellStyle name="20% - Accent4 2 3 2 4 2 3 2" xfId="12428"/>
    <cellStyle name="20% - Accent4 2 3 2 4 2 4" xfId="12429"/>
    <cellStyle name="20% - Accent4 2 3 2 4 3" xfId="12430"/>
    <cellStyle name="20% - Accent4 2 3 2 4 3 2" xfId="12431"/>
    <cellStyle name="20% - Accent4 2 3 2 4 3 2 2" xfId="12432"/>
    <cellStyle name="20% - Accent4 2 3 2 4 3 3" xfId="12433"/>
    <cellStyle name="20% - Accent4 2 3 2 4 4" xfId="12434"/>
    <cellStyle name="20% - Accent4 2 3 2 4 4 2" xfId="12435"/>
    <cellStyle name="20% - Accent4 2 3 2 4 5" xfId="12436"/>
    <cellStyle name="20% - Accent4 2 3 2 5" xfId="12437"/>
    <cellStyle name="20% - Accent4 2 3 2 5 2" xfId="12438"/>
    <cellStyle name="20% - Accent4 2 3 2 5 2 2" xfId="12439"/>
    <cellStyle name="20% - Accent4 2 3 2 5 2 2 2" xfId="12440"/>
    <cellStyle name="20% - Accent4 2 3 2 5 2 2 2 2" xfId="12441"/>
    <cellStyle name="20% - Accent4 2 3 2 5 2 2 3" xfId="12442"/>
    <cellStyle name="20% - Accent4 2 3 2 5 2 3" xfId="12443"/>
    <cellStyle name="20% - Accent4 2 3 2 5 2 3 2" xfId="12444"/>
    <cellStyle name="20% - Accent4 2 3 2 5 2 4" xfId="12445"/>
    <cellStyle name="20% - Accent4 2 3 2 5 3" xfId="12446"/>
    <cellStyle name="20% - Accent4 2 3 2 5 3 2" xfId="12447"/>
    <cellStyle name="20% - Accent4 2 3 2 5 3 2 2" xfId="12448"/>
    <cellStyle name="20% - Accent4 2 3 2 5 3 3" xfId="12449"/>
    <cellStyle name="20% - Accent4 2 3 2 5 4" xfId="12450"/>
    <cellStyle name="20% - Accent4 2 3 2 5 4 2" xfId="12451"/>
    <cellStyle name="20% - Accent4 2 3 2 5 5" xfId="12452"/>
    <cellStyle name="20% - Accent4 2 3 2 6" xfId="12453"/>
    <cellStyle name="20% - Accent4 2 3 2 6 2" xfId="12454"/>
    <cellStyle name="20% - Accent4 2 3 2 6 2 2" xfId="12455"/>
    <cellStyle name="20% - Accent4 2 3 2 6 2 2 2" xfId="12456"/>
    <cellStyle name="20% - Accent4 2 3 2 6 2 2 2 2" xfId="12457"/>
    <cellStyle name="20% - Accent4 2 3 2 6 2 2 3" xfId="12458"/>
    <cellStyle name="20% - Accent4 2 3 2 6 2 3" xfId="12459"/>
    <cellStyle name="20% - Accent4 2 3 2 6 2 3 2" xfId="12460"/>
    <cellStyle name="20% - Accent4 2 3 2 6 2 4" xfId="12461"/>
    <cellStyle name="20% - Accent4 2 3 2 6 3" xfId="12462"/>
    <cellStyle name="20% - Accent4 2 3 2 6 3 2" xfId="12463"/>
    <cellStyle name="20% - Accent4 2 3 2 6 3 2 2" xfId="12464"/>
    <cellStyle name="20% - Accent4 2 3 2 6 3 3" xfId="12465"/>
    <cellStyle name="20% - Accent4 2 3 2 6 4" xfId="12466"/>
    <cellStyle name="20% - Accent4 2 3 2 6 4 2" xfId="12467"/>
    <cellStyle name="20% - Accent4 2 3 2 6 5" xfId="12468"/>
    <cellStyle name="20% - Accent4 2 3 2 7" xfId="12469"/>
    <cellStyle name="20% - Accent4 2 3 2 7 2" xfId="12470"/>
    <cellStyle name="20% - Accent4 2 3 2 7 2 2" xfId="12471"/>
    <cellStyle name="20% - Accent4 2 3 2 7 2 2 2" xfId="12472"/>
    <cellStyle name="20% - Accent4 2 3 2 7 2 3" xfId="12473"/>
    <cellStyle name="20% - Accent4 2 3 2 7 3" xfId="12474"/>
    <cellStyle name="20% - Accent4 2 3 2 7 3 2" xfId="12475"/>
    <cellStyle name="20% - Accent4 2 3 2 7 4" xfId="12476"/>
    <cellStyle name="20% - Accent4 2 3 2 8" xfId="12477"/>
    <cellStyle name="20% - Accent4 2 3 2 8 2" xfId="12478"/>
    <cellStyle name="20% - Accent4 2 3 2 8 2 2" xfId="12479"/>
    <cellStyle name="20% - Accent4 2 3 2 8 3" xfId="12480"/>
    <cellStyle name="20% - Accent4 2 3 2 9" xfId="12481"/>
    <cellStyle name="20% - Accent4 2 3 2 9 2" xfId="12482"/>
    <cellStyle name="20% - Accent4 2 3 3" xfId="12483"/>
    <cellStyle name="20% - Accent4 2 3 3 2" xfId="12484"/>
    <cellStyle name="20% - Accent4 2 3 3 2 2" xfId="12485"/>
    <cellStyle name="20% - Accent4 2 3 3 2 2 2" xfId="12486"/>
    <cellStyle name="20% - Accent4 2 3 3 2 2 2 2" xfId="12487"/>
    <cellStyle name="20% - Accent4 2 3 3 2 2 3" xfId="12488"/>
    <cellStyle name="20% - Accent4 2 3 3 2 3" xfId="12489"/>
    <cellStyle name="20% - Accent4 2 3 3 2 3 2" xfId="12490"/>
    <cellStyle name="20% - Accent4 2 3 3 2 4" xfId="12491"/>
    <cellStyle name="20% - Accent4 2 3 3 3" xfId="12492"/>
    <cellStyle name="20% - Accent4 2 3 3 3 2" xfId="12493"/>
    <cellStyle name="20% - Accent4 2 3 3 3 2 2" xfId="12494"/>
    <cellStyle name="20% - Accent4 2 3 3 3 3" xfId="12495"/>
    <cellStyle name="20% - Accent4 2 3 3 4" xfId="12496"/>
    <cellStyle name="20% - Accent4 2 3 3 4 2" xfId="12497"/>
    <cellStyle name="20% - Accent4 2 3 3 5" xfId="12498"/>
    <cellStyle name="20% - Accent4 2 3 4" xfId="12499"/>
    <cellStyle name="20% - Accent4 2 3 4 2" xfId="12500"/>
    <cellStyle name="20% - Accent4 2 3 4 2 2" xfId="12501"/>
    <cellStyle name="20% - Accent4 2 3 4 2 2 2" xfId="12502"/>
    <cellStyle name="20% - Accent4 2 3 4 2 2 2 2" xfId="12503"/>
    <cellStyle name="20% - Accent4 2 3 4 2 2 3" xfId="12504"/>
    <cellStyle name="20% - Accent4 2 3 4 2 3" xfId="12505"/>
    <cellStyle name="20% - Accent4 2 3 4 2 3 2" xfId="12506"/>
    <cellStyle name="20% - Accent4 2 3 4 2 4" xfId="12507"/>
    <cellStyle name="20% - Accent4 2 3 4 3" xfId="12508"/>
    <cellStyle name="20% - Accent4 2 3 4 3 2" xfId="12509"/>
    <cellStyle name="20% - Accent4 2 3 4 3 2 2" xfId="12510"/>
    <cellStyle name="20% - Accent4 2 3 4 3 3" xfId="12511"/>
    <cellStyle name="20% - Accent4 2 3 4 4" xfId="12512"/>
    <cellStyle name="20% - Accent4 2 3 4 4 2" xfId="12513"/>
    <cellStyle name="20% - Accent4 2 3 4 5" xfId="12514"/>
    <cellStyle name="20% - Accent4 2 3 5" xfId="12515"/>
    <cellStyle name="20% - Accent4 2 3 5 2" xfId="12516"/>
    <cellStyle name="20% - Accent4 2 3 5 2 2" xfId="12517"/>
    <cellStyle name="20% - Accent4 2 3 5 2 2 2" xfId="12518"/>
    <cellStyle name="20% - Accent4 2 3 5 2 2 2 2" xfId="12519"/>
    <cellStyle name="20% - Accent4 2 3 5 2 2 3" xfId="12520"/>
    <cellStyle name="20% - Accent4 2 3 5 2 3" xfId="12521"/>
    <cellStyle name="20% - Accent4 2 3 5 2 3 2" xfId="12522"/>
    <cellStyle name="20% - Accent4 2 3 5 2 4" xfId="12523"/>
    <cellStyle name="20% - Accent4 2 3 5 3" xfId="12524"/>
    <cellStyle name="20% - Accent4 2 3 5 3 2" xfId="12525"/>
    <cellStyle name="20% - Accent4 2 3 5 3 2 2" xfId="12526"/>
    <cellStyle name="20% - Accent4 2 3 5 3 3" xfId="12527"/>
    <cellStyle name="20% - Accent4 2 3 5 4" xfId="12528"/>
    <cellStyle name="20% - Accent4 2 3 5 4 2" xfId="12529"/>
    <cellStyle name="20% - Accent4 2 3 5 5" xfId="12530"/>
    <cellStyle name="20% - Accent4 2 3 6" xfId="12531"/>
    <cellStyle name="20% - Accent4 2 3 6 2" xfId="12532"/>
    <cellStyle name="20% - Accent4 2 3 6 2 2" xfId="12533"/>
    <cellStyle name="20% - Accent4 2 3 6 2 2 2" xfId="12534"/>
    <cellStyle name="20% - Accent4 2 3 6 2 2 2 2" xfId="12535"/>
    <cellStyle name="20% - Accent4 2 3 6 2 2 3" xfId="12536"/>
    <cellStyle name="20% - Accent4 2 3 6 2 3" xfId="12537"/>
    <cellStyle name="20% - Accent4 2 3 6 2 3 2" xfId="12538"/>
    <cellStyle name="20% - Accent4 2 3 6 2 4" xfId="12539"/>
    <cellStyle name="20% - Accent4 2 3 6 3" xfId="12540"/>
    <cellStyle name="20% - Accent4 2 3 6 3 2" xfId="12541"/>
    <cellStyle name="20% - Accent4 2 3 6 3 2 2" xfId="12542"/>
    <cellStyle name="20% - Accent4 2 3 6 3 3" xfId="12543"/>
    <cellStyle name="20% - Accent4 2 3 6 4" xfId="12544"/>
    <cellStyle name="20% - Accent4 2 3 6 4 2" xfId="12545"/>
    <cellStyle name="20% - Accent4 2 3 6 5" xfId="12546"/>
    <cellStyle name="20% - Accent4 2 3 7" xfId="12547"/>
    <cellStyle name="20% - Accent4 2 3 7 2" xfId="12548"/>
    <cellStyle name="20% - Accent4 2 3 7 2 2" xfId="12549"/>
    <cellStyle name="20% - Accent4 2 3 7 2 2 2" xfId="12550"/>
    <cellStyle name="20% - Accent4 2 3 7 2 2 2 2" xfId="12551"/>
    <cellStyle name="20% - Accent4 2 3 7 2 2 3" xfId="12552"/>
    <cellStyle name="20% - Accent4 2 3 7 2 3" xfId="12553"/>
    <cellStyle name="20% - Accent4 2 3 7 2 3 2" xfId="12554"/>
    <cellStyle name="20% - Accent4 2 3 7 2 4" xfId="12555"/>
    <cellStyle name="20% - Accent4 2 3 7 3" xfId="12556"/>
    <cellStyle name="20% - Accent4 2 3 7 3 2" xfId="12557"/>
    <cellStyle name="20% - Accent4 2 3 7 3 2 2" xfId="12558"/>
    <cellStyle name="20% - Accent4 2 3 7 3 3" xfId="12559"/>
    <cellStyle name="20% - Accent4 2 3 7 4" xfId="12560"/>
    <cellStyle name="20% - Accent4 2 3 7 4 2" xfId="12561"/>
    <cellStyle name="20% - Accent4 2 3 7 5" xfId="12562"/>
    <cellStyle name="20% - Accent4 2 3 8" xfId="12563"/>
    <cellStyle name="20% - Accent4 2 3 8 2" xfId="12564"/>
    <cellStyle name="20% - Accent4 2 3 8 2 2" xfId="12565"/>
    <cellStyle name="20% - Accent4 2 3 8 2 2 2" xfId="12566"/>
    <cellStyle name="20% - Accent4 2 3 8 2 3" xfId="12567"/>
    <cellStyle name="20% - Accent4 2 3 8 3" xfId="12568"/>
    <cellStyle name="20% - Accent4 2 3 8 3 2" xfId="12569"/>
    <cellStyle name="20% - Accent4 2 3 8 4" xfId="12570"/>
    <cellStyle name="20% - Accent4 2 3 9" xfId="12571"/>
    <cellStyle name="20% - Accent4 2 3 9 2" xfId="12572"/>
    <cellStyle name="20% - Accent4 2 3 9 2 2" xfId="12573"/>
    <cellStyle name="20% - Accent4 2 3 9 3" xfId="12574"/>
    <cellStyle name="20% - Accent4 2 4" xfId="12575"/>
    <cellStyle name="20% - Accent4 2 4 10" xfId="12576"/>
    <cellStyle name="20% - Accent4 2 4 10 2" xfId="12577"/>
    <cellStyle name="20% - Accent4 2 4 11" xfId="12578"/>
    <cellStyle name="20% - Accent4 2 4 2" xfId="12579"/>
    <cellStyle name="20% - Accent4 2 4 2 10" xfId="12580"/>
    <cellStyle name="20% - Accent4 2 4 2 2" xfId="12581"/>
    <cellStyle name="20% - Accent4 2 4 2 2 2" xfId="12582"/>
    <cellStyle name="20% - Accent4 2 4 2 2 2 2" xfId="12583"/>
    <cellStyle name="20% - Accent4 2 4 2 2 2 2 2" xfId="12584"/>
    <cellStyle name="20% - Accent4 2 4 2 2 2 2 2 2" xfId="12585"/>
    <cellStyle name="20% - Accent4 2 4 2 2 2 2 3" xfId="12586"/>
    <cellStyle name="20% - Accent4 2 4 2 2 2 3" xfId="12587"/>
    <cellStyle name="20% - Accent4 2 4 2 2 2 3 2" xfId="12588"/>
    <cellStyle name="20% - Accent4 2 4 2 2 2 4" xfId="12589"/>
    <cellStyle name="20% - Accent4 2 4 2 2 3" xfId="12590"/>
    <cellStyle name="20% - Accent4 2 4 2 2 3 2" xfId="12591"/>
    <cellStyle name="20% - Accent4 2 4 2 2 3 2 2" xfId="12592"/>
    <cellStyle name="20% - Accent4 2 4 2 2 3 3" xfId="12593"/>
    <cellStyle name="20% - Accent4 2 4 2 2 4" xfId="12594"/>
    <cellStyle name="20% - Accent4 2 4 2 2 4 2" xfId="12595"/>
    <cellStyle name="20% - Accent4 2 4 2 2 5" xfId="12596"/>
    <cellStyle name="20% - Accent4 2 4 2 3" xfId="12597"/>
    <cellStyle name="20% - Accent4 2 4 2 3 2" xfId="12598"/>
    <cellStyle name="20% - Accent4 2 4 2 3 2 2" xfId="12599"/>
    <cellStyle name="20% - Accent4 2 4 2 3 2 2 2" xfId="12600"/>
    <cellStyle name="20% - Accent4 2 4 2 3 2 2 2 2" xfId="12601"/>
    <cellStyle name="20% - Accent4 2 4 2 3 2 2 3" xfId="12602"/>
    <cellStyle name="20% - Accent4 2 4 2 3 2 3" xfId="12603"/>
    <cellStyle name="20% - Accent4 2 4 2 3 2 3 2" xfId="12604"/>
    <cellStyle name="20% - Accent4 2 4 2 3 2 4" xfId="12605"/>
    <cellStyle name="20% - Accent4 2 4 2 3 3" xfId="12606"/>
    <cellStyle name="20% - Accent4 2 4 2 3 3 2" xfId="12607"/>
    <cellStyle name="20% - Accent4 2 4 2 3 3 2 2" xfId="12608"/>
    <cellStyle name="20% - Accent4 2 4 2 3 3 3" xfId="12609"/>
    <cellStyle name="20% - Accent4 2 4 2 3 4" xfId="12610"/>
    <cellStyle name="20% - Accent4 2 4 2 3 4 2" xfId="12611"/>
    <cellStyle name="20% - Accent4 2 4 2 3 5" xfId="12612"/>
    <cellStyle name="20% - Accent4 2 4 2 4" xfId="12613"/>
    <cellStyle name="20% - Accent4 2 4 2 4 2" xfId="12614"/>
    <cellStyle name="20% - Accent4 2 4 2 4 2 2" xfId="12615"/>
    <cellStyle name="20% - Accent4 2 4 2 4 2 2 2" xfId="12616"/>
    <cellStyle name="20% - Accent4 2 4 2 4 2 2 2 2" xfId="12617"/>
    <cellStyle name="20% - Accent4 2 4 2 4 2 2 3" xfId="12618"/>
    <cellStyle name="20% - Accent4 2 4 2 4 2 3" xfId="12619"/>
    <cellStyle name="20% - Accent4 2 4 2 4 2 3 2" xfId="12620"/>
    <cellStyle name="20% - Accent4 2 4 2 4 2 4" xfId="12621"/>
    <cellStyle name="20% - Accent4 2 4 2 4 3" xfId="12622"/>
    <cellStyle name="20% - Accent4 2 4 2 4 3 2" xfId="12623"/>
    <cellStyle name="20% - Accent4 2 4 2 4 3 2 2" xfId="12624"/>
    <cellStyle name="20% - Accent4 2 4 2 4 3 3" xfId="12625"/>
    <cellStyle name="20% - Accent4 2 4 2 4 4" xfId="12626"/>
    <cellStyle name="20% - Accent4 2 4 2 4 4 2" xfId="12627"/>
    <cellStyle name="20% - Accent4 2 4 2 4 5" xfId="12628"/>
    <cellStyle name="20% - Accent4 2 4 2 5" xfId="12629"/>
    <cellStyle name="20% - Accent4 2 4 2 5 2" xfId="12630"/>
    <cellStyle name="20% - Accent4 2 4 2 5 2 2" xfId="12631"/>
    <cellStyle name="20% - Accent4 2 4 2 5 2 2 2" xfId="12632"/>
    <cellStyle name="20% - Accent4 2 4 2 5 2 2 2 2" xfId="12633"/>
    <cellStyle name="20% - Accent4 2 4 2 5 2 2 3" xfId="12634"/>
    <cellStyle name="20% - Accent4 2 4 2 5 2 3" xfId="12635"/>
    <cellStyle name="20% - Accent4 2 4 2 5 2 3 2" xfId="12636"/>
    <cellStyle name="20% - Accent4 2 4 2 5 2 4" xfId="12637"/>
    <cellStyle name="20% - Accent4 2 4 2 5 3" xfId="12638"/>
    <cellStyle name="20% - Accent4 2 4 2 5 3 2" xfId="12639"/>
    <cellStyle name="20% - Accent4 2 4 2 5 3 2 2" xfId="12640"/>
    <cellStyle name="20% - Accent4 2 4 2 5 3 3" xfId="12641"/>
    <cellStyle name="20% - Accent4 2 4 2 5 4" xfId="12642"/>
    <cellStyle name="20% - Accent4 2 4 2 5 4 2" xfId="12643"/>
    <cellStyle name="20% - Accent4 2 4 2 5 5" xfId="12644"/>
    <cellStyle name="20% - Accent4 2 4 2 6" xfId="12645"/>
    <cellStyle name="20% - Accent4 2 4 2 6 2" xfId="12646"/>
    <cellStyle name="20% - Accent4 2 4 2 6 2 2" xfId="12647"/>
    <cellStyle name="20% - Accent4 2 4 2 6 2 2 2" xfId="12648"/>
    <cellStyle name="20% - Accent4 2 4 2 6 2 2 2 2" xfId="12649"/>
    <cellStyle name="20% - Accent4 2 4 2 6 2 2 3" xfId="12650"/>
    <cellStyle name="20% - Accent4 2 4 2 6 2 3" xfId="12651"/>
    <cellStyle name="20% - Accent4 2 4 2 6 2 3 2" xfId="12652"/>
    <cellStyle name="20% - Accent4 2 4 2 6 2 4" xfId="12653"/>
    <cellStyle name="20% - Accent4 2 4 2 6 3" xfId="12654"/>
    <cellStyle name="20% - Accent4 2 4 2 6 3 2" xfId="12655"/>
    <cellStyle name="20% - Accent4 2 4 2 6 3 2 2" xfId="12656"/>
    <cellStyle name="20% - Accent4 2 4 2 6 3 3" xfId="12657"/>
    <cellStyle name="20% - Accent4 2 4 2 6 4" xfId="12658"/>
    <cellStyle name="20% - Accent4 2 4 2 6 4 2" xfId="12659"/>
    <cellStyle name="20% - Accent4 2 4 2 6 5" xfId="12660"/>
    <cellStyle name="20% - Accent4 2 4 2 7" xfId="12661"/>
    <cellStyle name="20% - Accent4 2 4 2 7 2" xfId="12662"/>
    <cellStyle name="20% - Accent4 2 4 2 7 2 2" xfId="12663"/>
    <cellStyle name="20% - Accent4 2 4 2 7 2 2 2" xfId="12664"/>
    <cellStyle name="20% - Accent4 2 4 2 7 2 3" xfId="12665"/>
    <cellStyle name="20% - Accent4 2 4 2 7 3" xfId="12666"/>
    <cellStyle name="20% - Accent4 2 4 2 7 3 2" xfId="12667"/>
    <cellStyle name="20% - Accent4 2 4 2 7 4" xfId="12668"/>
    <cellStyle name="20% - Accent4 2 4 2 8" xfId="12669"/>
    <cellStyle name="20% - Accent4 2 4 2 8 2" xfId="12670"/>
    <cellStyle name="20% - Accent4 2 4 2 8 2 2" xfId="12671"/>
    <cellStyle name="20% - Accent4 2 4 2 8 3" xfId="12672"/>
    <cellStyle name="20% - Accent4 2 4 2 9" xfId="12673"/>
    <cellStyle name="20% - Accent4 2 4 2 9 2" xfId="12674"/>
    <cellStyle name="20% - Accent4 2 4 3" xfId="12675"/>
    <cellStyle name="20% - Accent4 2 4 3 2" xfId="12676"/>
    <cellStyle name="20% - Accent4 2 4 3 2 2" xfId="12677"/>
    <cellStyle name="20% - Accent4 2 4 3 2 2 2" xfId="12678"/>
    <cellStyle name="20% - Accent4 2 4 3 2 2 2 2" xfId="12679"/>
    <cellStyle name="20% - Accent4 2 4 3 2 2 3" xfId="12680"/>
    <cellStyle name="20% - Accent4 2 4 3 2 3" xfId="12681"/>
    <cellStyle name="20% - Accent4 2 4 3 2 3 2" xfId="12682"/>
    <cellStyle name="20% - Accent4 2 4 3 2 4" xfId="12683"/>
    <cellStyle name="20% - Accent4 2 4 3 3" xfId="12684"/>
    <cellStyle name="20% - Accent4 2 4 3 3 2" xfId="12685"/>
    <cellStyle name="20% - Accent4 2 4 3 3 2 2" xfId="12686"/>
    <cellStyle name="20% - Accent4 2 4 3 3 3" xfId="12687"/>
    <cellStyle name="20% - Accent4 2 4 3 4" xfId="12688"/>
    <cellStyle name="20% - Accent4 2 4 3 4 2" xfId="12689"/>
    <cellStyle name="20% - Accent4 2 4 3 5" xfId="12690"/>
    <cellStyle name="20% - Accent4 2 4 4" xfId="12691"/>
    <cellStyle name="20% - Accent4 2 4 4 2" xfId="12692"/>
    <cellStyle name="20% - Accent4 2 4 4 2 2" xfId="12693"/>
    <cellStyle name="20% - Accent4 2 4 4 2 2 2" xfId="12694"/>
    <cellStyle name="20% - Accent4 2 4 4 2 2 2 2" xfId="12695"/>
    <cellStyle name="20% - Accent4 2 4 4 2 2 3" xfId="12696"/>
    <cellStyle name="20% - Accent4 2 4 4 2 3" xfId="12697"/>
    <cellStyle name="20% - Accent4 2 4 4 2 3 2" xfId="12698"/>
    <cellStyle name="20% - Accent4 2 4 4 2 4" xfId="12699"/>
    <cellStyle name="20% - Accent4 2 4 4 3" xfId="12700"/>
    <cellStyle name="20% - Accent4 2 4 4 3 2" xfId="12701"/>
    <cellStyle name="20% - Accent4 2 4 4 3 2 2" xfId="12702"/>
    <cellStyle name="20% - Accent4 2 4 4 3 3" xfId="12703"/>
    <cellStyle name="20% - Accent4 2 4 4 4" xfId="12704"/>
    <cellStyle name="20% - Accent4 2 4 4 4 2" xfId="12705"/>
    <cellStyle name="20% - Accent4 2 4 4 5" xfId="12706"/>
    <cellStyle name="20% - Accent4 2 4 5" xfId="12707"/>
    <cellStyle name="20% - Accent4 2 4 5 2" xfId="12708"/>
    <cellStyle name="20% - Accent4 2 4 5 2 2" xfId="12709"/>
    <cellStyle name="20% - Accent4 2 4 5 2 2 2" xfId="12710"/>
    <cellStyle name="20% - Accent4 2 4 5 2 2 2 2" xfId="12711"/>
    <cellStyle name="20% - Accent4 2 4 5 2 2 3" xfId="12712"/>
    <cellStyle name="20% - Accent4 2 4 5 2 3" xfId="12713"/>
    <cellStyle name="20% - Accent4 2 4 5 2 3 2" xfId="12714"/>
    <cellStyle name="20% - Accent4 2 4 5 2 4" xfId="12715"/>
    <cellStyle name="20% - Accent4 2 4 5 3" xfId="12716"/>
    <cellStyle name="20% - Accent4 2 4 5 3 2" xfId="12717"/>
    <cellStyle name="20% - Accent4 2 4 5 3 2 2" xfId="12718"/>
    <cellStyle name="20% - Accent4 2 4 5 3 3" xfId="12719"/>
    <cellStyle name="20% - Accent4 2 4 5 4" xfId="12720"/>
    <cellStyle name="20% - Accent4 2 4 5 4 2" xfId="12721"/>
    <cellStyle name="20% - Accent4 2 4 5 5" xfId="12722"/>
    <cellStyle name="20% - Accent4 2 4 6" xfId="12723"/>
    <cellStyle name="20% - Accent4 2 4 6 2" xfId="12724"/>
    <cellStyle name="20% - Accent4 2 4 6 2 2" xfId="12725"/>
    <cellStyle name="20% - Accent4 2 4 6 2 2 2" xfId="12726"/>
    <cellStyle name="20% - Accent4 2 4 6 2 2 2 2" xfId="12727"/>
    <cellStyle name="20% - Accent4 2 4 6 2 2 3" xfId="12728"/>
    <cellStyle name="20% - Accent4 2 4 6 2 3" xfId="12729"/>
    <cellStyle name="20% - Accent4 2 4 6 2 3 2" xfId="12730"/>
    <cellStyle name="20% - Accent4 2 4 6 2 4" xfId="12731"/>
    <cellStyle name="20% - Accent4 2 4 6 3" xfId="12732"/>
    <cellStyle name="20% - Accent4 2 4 6 3 2" xfId="12733"/>
    <cellStyle name="20% - Accent4 2 4 6 3 2 2" xfId="12734"/>
    <cellStyle name="20% - Accent4 2 4 6 3 3" xfId="12735"/>
    <cellStyle name="20% - Accent4 2 4 6 4" xfId="12736"/>
    <cellStyle name="20% - Accent4 2 4 6 4 2" xfId="12737"/>
    <cellStyle name="20% - Accent4 2 4 6 5" xfId="12738"/>
    <cellStyle name="20% - Accent4 2 4 7" xfId="12739"/>
    <cellStyle name="20% - Accent4 2 4 7 2" xfId="12740"/>
    <cellStyle name="20% - Accent4 2 4 7 2 2" xfId="12741"/>
    <cellStyle name="20% - Accent4 2 4 7 2 2 2" xfId="12742"/>
    <cellStyle name="20% - Accent4 2 4 7 2 2 2 2" xfId="12743"/>
    <cellStyle name="20% - Accent4 2 4 7 2 2 3" xfId="12744"/>
    <cellStyle name="20% - Accent4 2 4 7 2 3" xfId="12745"/>
    <cellStyle name="20% - Accent4 2 4 7 2 3 2" xfId="12746"/>
    <cellStyle name="20% - Accent4 2 4 7 2 4" xfId="12747"/>
    <cellStyle name="20% - Accent4 2 4 7 3" xfId="12748"/>
    <cellStyle name="20% - Accent4 2 4 7 3 2" xfId="12749"/>
    <cellStyle name="20% - Accent4 2 4 7 3 2 2" xfId="12750"/>
    <cellStyle name="20% - Accent4 2 4 7 3 3" xfId="12751"/>
    <cellStyle name="20% - Accent4 2 4 7 4" xfId="12752"/>
    <cellStyle name="20% - Accent4 2 4 7 4 2" xfId="12753"/>
    <cellStyle name="20% - Accent4 2 4 7 5" xfId="12754"/>
    <cellStyle name="20% - Accent4 2 4 8" xfId="12755"/>
    <cellStyle name="20% - Accent4 2 4 8 2" xfId="12756"/>
    <cellStyle name="20% - Accent4 2 4 8 2 2" xfId="12757"/>
    <cellStyle name="20% - Accent4 2 4 8 2 2 2" xfId="12758"/>
    <cellStyle name="20% - Accent4 2 4 8 2 3" xfId="12759"/>
    <cellStyle name="20% - Accent4 2 4 8 3" xfId="12760"/>
    <cellStyle name="20% - Accent4 2 4 8 3 2" xfId="12761"/>
    <cellStyle name="20% - Accent4 2 4 8 4" xfId="12762"/>
    <cellStyle name="20% - Accent4 2 4 9" xfId="12763"/>
    <cellStyle name="20% - Accent4 2 4 9 2" xfId="12764"/>
    <cellStyle name="20% - Accent4 2 4 9 2 2" xfId="12765"/>
    <cellStyle name="20% - Accent4 2 4 9 3" xfId="12766"/>
    <cellStyle name="20% - Accent4 2 5" xfId="12767"/>
    <cellStyle name="20% - Accent4 2 5 10" xfId="12768"/>
    <cellStyle name="20% - Accent4 2 5 10 2" xfId="12769"/>
    <cellStyle name="20% - Accent4 2 5 11" xfId="12770"/>
    <cellStyle name="20% - Accent4 2 5 2" xfId="12771"/>
    <cellStyle name="20% - Accent4 2 5 2 10" xfId="12772"/>
    <cellStyle name="20% - Accent4 2 5 2 2" xfId="12773"/>
    <cellStyle name="20% - Accent4 2 5 2 2 2" xfId="12774"/>
    <cellStyle name="20% - Accent4 2 5 2 2 2 2" xfId="12775"/>
    <cellStyle name="20% - Accent4 2 5 2 2 2 2 2" xfId="12776"/>
    <cellStyle name="20% - Accent4 2 5 2 2 2 2 2 2" xfId="12777"/>
    <cellStyle name="20% - Accent4 2 5 2 2 2 2 3" xfId="12778"/>
    <cellStyle name="20% - Accent4 2 5 2 2 2 3" xfId="12779"/>
    <cellStyle name="20% - Accent4 2 5 2 2 2 3 2" xfId="12780"/>
    <cellStyle name="20% - Accent4 2 5 2 2 2 4" xfId="12781"/>
    <cellStyle name="20% - Accent4 2 5 2 2 3" xfId="12782"/>
    <cellStyle name="20% - Accent4 2 5 2 2 3 2" xfId="12783"/>
    <cellStyle name="20% - Accent4 2 5 2 2 3 2 2" xfId="12784"/>
    <cellStyle name="20% - Accent4 2 5 2 2 3 3" xfId="12785"/>
    <cellStyle name="20% - Accent4 2 5 2 2 4" xfId="12786"/>
    <cellStyle name="20% - Accent4 2 5 2 2 4 2" xfId="12787"/>
    <cellStyle name="20% - Accent4 2 5 2 2 5" xfId="12788"/>
    <cellStyle name="20% - Accent4 2 5 2 3" xfId="12789"/>
    <cellStyle name="20% - Accent4 2 5 2 3 2" xfId="12790"/>
    <cellStyle name="20% - Accent4 2 5 2 3 2 2" xfId="12791"/>
    <cellStyle name="20% - Accent4 2 5 2 3 2 2 2" xfId="12792"/>
    <cellStyle name="20% - Accent4 2 5 2 3 2 2 2 2" xfId="12793"/>
    <cellStyle name="20% - Accent4 2 5 2 3 2 2 3" xfId="12794"/>
    <cellStyle name="20% - Accent4 2 5 2 3 2 3" xfId="12795"/>
    <cellStyle name="20% - Accent4 2 5 2 3 2 3 2" xfId="12796"/>
    <cellStyle name="20% - Accent4 2 5 2 3 2 4" xfId="12797"/>
    <cellStyle name="20% - Accent4 2 5 2 3 3" xfId="12798"/>
    <cellStyle name="20% - Accent4 2 5 2 3 3 2" xfId="12799"/>
    <cellStyle name="20% - Accent4 2 5 2 3 3 2 2" xfId="12800"/>
    <cellStyle name="20% - Accent4 2 5 2 3 3 3" xfId="12801"/>
    <cellStyle name="20% - Accent4 2 5 2 3 4" xfId="12802"/>
    <cellStyle name="20% - Accent4 2 5 2 3 4 2" xfId="12803"/>
    <cellStyle name="20% - Accent4 2 5 2 3 5" xfId="12804"/>
    <cellStyle name="20% - Accent4 2 5 2 4" xfId="12805"/>
    <cellStyle name="20% - Accent4 2 5 2 4 2" xfId="12806"/>
    <cellStyle name="20% - Accent4 2 5 2 4 2 2" xfId="12807"/>
    <cellStyle name="20% - Accent4 2 5 2 4 2 2 2" xfId="12808"/>
    <cellStyle name="20% - Accent4 2 5 2 4 2 2 2 2" xfId="12809"/>
    <cellStyle name="20% - Accent4 2 5 2 4 2 2 3" xfId="12810"/>
    <cellStyle name="20% - Accent4 2 5 2 4 2 3" xfId="12811"/>
    <cellStyle name="20% - Accent4 2 5 2 4 2 3 2" xfId="12812"/>
    <cellStyle name="20% - Accent4 2 5 2 4 2 4" xfId="12813"/>
    <cellStyle name="20% - Accent4 2 5 2 4 3" xfId="12814"/>
    <cellStyle name="20% - Accent4 2 5 2 4 3 2" xfId="12815"/>
    <cellStyle name="20% - Accent4 2 5 2 4 3 2 2" xfId="12816"/>
    <cellStyle name="20% - Accent4 2 5 2 4 3 3" xfId="12817"/>
    <cellStyle name="20% - Accent4 2 5 2 4 4" xfId="12818"/>
    <cellStyle name="20% - Accent4 2 5 2 4 4 2" xfId="12819"/>
    <cellStyle name="20% - Accent4 2 5 2 4 5" xfId="12820"/>
    <cellStyle name="20% - Accent4 2 5 2 5" xfId="12821"/>
    <cellStyle name="20% - Accent4 2 5 2 5 2" xfId="12822"/>
    <cellStyle name="20% - Accent4 2 5 2 5 2 2" xfId="12823"/>
    <cellStyle name="20% - Accent4 2 5 2 5 2 2 2" xfId="12824"/>
    <cellStyle name="20% - Accent4 2 5 2 5 2 2 2 2" xfId="12825"/>
    <cellStyle name="20% - Accent4 2 5 2 5 2 2 3" xfId="12826"/>
    <cellStyle name="20% - Accent4 2 5 2 5 2 3" xfId="12827"/>
    <cellStyle name="20% - Accent4 2 5 2 5 2 3 2" xfId="12828"/>
    <cellStyle name="20% - Accent4 2 5 2 5 2 4" xfId="12829"/>
    <cellStyle name="20% - Accent4 2 5 2 5 3" xfId="12830"/>
    <cellStyle name="20% - Accent4 2 5 2 5 3 2" xfId="12831"/>
    <cellStyle name="20% - Accent4 2 5 2 5 3 2 2" xfId="12832"/>
    <cellStyle name="20% - Accent4 2 5 2 5 3 3" xfId="12833"/>
    <cellStyle name="20% - Accent4 2 5 2 5 4" xfId="12834"/>
    <cellStyle name="20% - Accent4 2 5 2 5 4 2" xfId="12835"/>
    <cellStyle name="20% - Accent4 2 5 2 5 5" xfId="12836"/>
    <cellStyle name="20% - Accent4 2 5 2 6" xfId="12837"/>
    <cellStyle name="20% - Accent4 2 5 2 6 2" xfId="12838"/>
    <cellStyle name="20% - Accent4 2 5 2 6 2 2" xfId="12839"/>
    <cellStyle name="20% - Accent4 2 5 2 6 2 2 2" xfId="12840"/>
    <cellStyle name="20% - Accent4 2 5 2 6 2 2 2 2" xfId="12841"/>
    <cellStyle name="20% - Accent4 2 5 2 6 2 2 3" xfId="12842"/>
    <cellStyle name="20% - Accent4 2 5 2 6 2 3" xfId="12843"/>
    <cellStyle name="20% - Accent4 2 5 2 6 2 3 2" xfId="12844"/>
    <cellStyle name="20% - Accent4 2 5 2 6 2 4" xfId="12845"/>
    <cellStyle name="20% - Accent4 2 5 2 6 3" xfId="12846"/>
    <cellStyle name="20% - Accent4 2 5 2 6 3 2" xfId="12847"/>
    <cellStyle name="20% - Accent4 2 5 2 6 3 2 2" xfId="12848"/>
    <cellStyle name="20% - Accent4 2 5 2 6 3 3" xfId="12849"/>
    <cellStyle name="20% - Accent4 2 5 2 6 4" xfId="12850"/>
    <cellStyle name="20% - Accent4 2 5 2 6 4 2" xfId="12851"/>
    <cellStyle name="20% - Accent4 2 5 2 6 5" xfId="12852"/>
    <cellStyle name="20% - Accent4 2 5 2 7" xfId="12853"/>
    <cellStyle name="20% - Accent4 2 5 2 7 2" xfId="12854"/>
    <cellStyle name="20% - Accent4 2 5 2 7 2 2" xfId="12855"/>
    <cellStyle name="20% - Accent4 2 5 2 7 2 2 2" xfId="12856"/>
    <cellStyle name="20% - Accent4 2 5 2 7 2 3" xfId="12857"/>
    <cellStyle name="20% - Accent4 2 5 2 7 3" xfId="12858"/>
    <cellStyle name="20% - Accent4 2 5 2 7 3 2" xfId="12859"/>
    <cellStyle name="20% - Accent4 2 5 2 7 4" xfId="12860"/>
    <cellStyle name="20% - Accent4 2 5 2 8" xfId="12861"/>
    <cellStyle name="20% - Accent4 2 5 2 8 2" xfId="12862"/>
    <cellStyle name="20% - Accent4 2 5 2 8 2 2" xfId="12863"/>
    <cellStyle name="20% - Accent4 2 5 2 8 3" xfId="12864"/>
    <cellStyle name="20% - Accent4 2 5 2 9" xfId="12865"/>
    <cellStyle name="20% - Accent4 2 5 2 9 2" xfId="12866"/>
    <cellStyle name="20% - Accent4 2 5 3" xfId="12867"/>
    <cellStyle name="20% - Accent4 2 5 3 2" xfId="12868"/>
    <cellStyle name="20% - Accent4 2 5 3 2 2" xfId="12869"/>
    <cellStyle name="20% - Accent4 2 5 3 2 2 2" xfId="12870"/>
    <cellStyle name="20% - Accent4 2 5 3 2 2 2 2" xfId="12871"/>
    <cellStyle name="20% - Accent4 2 5 3 2 2 3" xfId="12872"/>
    <cellStyle name="20% - Accent4 2 5 3 2 3" xfId="12873"/>
    <cellStyle name="20% - Accent4 2 5 3 2 3 2" xfId="12874"/>
    <cellStyle name="20% - Accent4 2 5 3 2 4" xfId="12875"/>
    <cellStyle name="20% - Accent4 2 5 3 3" xfId="12876"/>
    <cellStyle name="20% - Accent4 2 5 3 3 2" xfId="12877"/>
    <cellStyle name="20% - Accent4 2 5 3 3 2 2" xfId="12878"/>
    <cellStyle name="20% - Accent4 2 5 3 3 3" xfId="12879"/>
    <cellStyle name="20% - Accent4 2 5 3 4" xfId="12880"/>
    <cellStyle name="20% - Accent4 2 5 3 4 2" xfId="12881"/>
    <cellStyle name="20% - Accent4 2 5 3 5" xfId="12882"/>
    <cellStyle name="20% - Accent4 2 5 4" xfId="12883"/>
    <cellStyle name="20% - Accent4 2 5 4 2" xfId="12884"/>
    <cellStyle name="20% - Accent4 2 5 4 2 2" xfId="12885"/>
    <cellStyle name="20% - Accent4 2 5 4 2 2 2" xfId="12886"/>
    <cellStyle name="20% - Accent4 2 5 4 2 2 2 2" xfId="12887"/>
    <cellStyle name="20% - Accent4 2 5 4 2 2 3" xfId="12888"/>
    <cellStyle name="20% - Accent4 2 5 4 2 3" xfId="12889"/>
    <cellStyle name="20% - Accent4 2 5 4 2 3 2" xfId="12890"/>
    <cellStyle name="20% - Accent4 2 5 4 2 4" xfId="12891"/>
    <cellStyle name="20% - Accent4 2 5 4 3" xfId="12892"/>
    <cellStyle name="20% - Accent4 2 5 4 3 2" xfId="12893"/>
    <cellStyle name="20% - Accent4 2 5 4 3 2 2" xfId="12894"/>
    <cellStyle name="20% - Accent4 2 5 4 3 3" xfId="12895"/>
    <cellStyle name="20% - Accent4 2 5 4 4" xfId="12896"/>
    <cellStyle name="20% - Accent4 2 5 4 4 2" xfId="12897"/>
    <cellStyle name="20% - Accent4 2 5 4 5" xfId="12898"/>
    <cellStyle name="20% - Accent4 2 5 5" xfId="12899"/>
    <cellStyle name="20% - Accent4 2 5 5 2" xfId="12900"/>
    <cellStyle name="20% - Accent4 2 5 5 2 2" xfId="12901"/>
    <cellStyle name="20% - Accent4 2 5 5 2 2 2" xfId="12902"/>
    <cellStyle name="20% - Accent4 2 5 5 2 2 2 2" xfId="12903"/>
    <cellStyle name="20% - Accent4 2 5 5 2 2 3" xfId="12904"/>
    <cellStyle name="20% - Accent4 2 5 5 2 3" xfId="12905"/>
    <cellStyle name="20% - Accent4 2 5 5 2 3 2" xfId="12906"/>
    <cellStyle name="20% - Accent4 2 5 5 2 4" xfId="12907"/>
    <cellStyle name="20% - Accent4 2 5 5 3" xfId="12908"/>
    <cellStyle name="20% - Accent4 2 5 5 3 2" xfId="12909"/>
    <cellStyle name="20% - Accent4 2 5 5 3 2 2" xfId="12910"/>
    <cellStyle name="20% - Accent4 2 5 5 3 3" xfId="12911"/>
    <cellStyle name="20% - Accent4 2 5 5 4" xfId="12912"/>
    <cellStyle name="20% - Accent4 2 5 5 4 2" xfId="12913"/>
    <cellStyle name="20% - Accent4 2 5 5 5" xfId="12914"/>
    <cellStyle name="20% - Accent4 2 5 6" xfId="12915"/>
    <cellStyle name="20% - Accent4 2 5 6 2" xfId="12916"/>
    <cellStyle name="20% - Accent4 2 5 6 2 2" xfId="12917"/>
    <cellStyle name="20% - Accent4 2 5 6 2 2 2" xfId="12918"/>
    <cellStyle name="20% - Accent4 2 5 6 2 2 2 2" xfId="12919"/>
    <cellStyle name="20% - Accent4 2 5 6 2 2 3" xfId="12920"/>
    <cellStyle name="20% - Accent4 2 5 6 2 3" xfId="12921"/>
    <cellStyle name="20% - Accent4 2 5 6 2 3 2" xfId="12922"/>
    <cellStyle name="20% - Accent4 2 5 6 2 4" xfId="12923"/>
    <cellStyle name="20% - Accent4 2 5 6 3" xfId="12924"/>
    <cellStyle name="20% - Accent4 2 5 6 3 2" xfId="12925"/>
    <cellStyle name="20% - Accent4 2 5 6 3 2 2" xfId="12926"/>
    <cellStyle name="20% - Accent4 2 5 6 3 3" xfId="12927"/>
    <cellStyle name="20% - Accent4 2 5 6 4" xfId="12928"/>
    <cellStyle name="20% - Accent4 2 5 6 4 2" xfId="12929"/>
    <cellStyle name="20% - Accent4 2 5 6 5" xfId="12930"/>
    <cellStyle name="20% - Accent4 2 5 7" xfId="12931"/>
    <cellStyle name="20% - Accent4 2 5 7 2" xfId="12932"/>
    <cellStyle name="20% - Accent4 2 5 7 2 2" xfId="12933"/>
    <cellStyle name="20% - Accent4 2 5 7 2 2 2" xfId="12934"/>
    <cellStyle name="20% - Accent4 2 5 7 2 2 2 2" xfId="12935"/>
    <cellStyle name="20% - Accent4 2 5 7 2 2 3" xfId="12936"/>
    <cellStyle name="20% - Accent4 2 5 7 2 3" xfId="12937"/>
    <cellStyle name="20% - Accent4 2 5 7 2 3 2" xfId="12938"/>
    <cellStyle name="20% - Accent4 2 5 7 2 4" xfId="12939"/>
    <cellStyle name="20% - Accent4 2 5 7 3" xfId="12940"/>
    <cellStyle name="20% - Accent4 2 5 7 3 2" xfId="12941"/>
    <cellStyle name="20% - Accent4 2 5 7 3 2 2" xfId="12942"/>
    <cellStyle name="20% - Accent4 2 5 7 3 3" xfId="12943"/>
    <cellStyle name="20% - Accent4 2 5 7 4" xfId="12944"/>
    <cellStyle name="20% - Accent4 2 5 7 4 2" xfId="12945"/>
    <cellStyle name="20% - Accent4 2 5 7 5" xfId="12946"/>
    <cellStyle name="20% - Accent4 2 5 8" xfId="12947"/>
    <cellStyle name="20% - Accent4 2 5 8 2" xfId="12948"/>
    <cellStyle name="20% - Accent4 2 5 8 2 2" xfId="12949"/>
    <cellStyle name="20% - Accent4 2 5 8 2 2 2" xfId="12950"/>
    <cellStyle name="20% - Accent4 2 5 8 2 3" xfId="12951"/>
    <cellStyle name="20% - Accent4 2 5 8 3" xfId="12952"/>
    <cellStyle name="20% - Accent4 2 5 8 3 2" xfId="12953"/>
    <cellStyle name="20% - Accent4 2 5 8 4" xfId="12954"/>
    <cellStyle name="20% - Accent4 2 5 9" xfId="12955"/>
    <cellStyle name="20% - Accent4 2 5 9 2" xfId="12956"/>
    <cellStyle name="20% - Accent4 2 5 9 2 2" xfId="12957"/>
    <cellStyle name="20% - Accent4 2 5 9 3" xfId="12958"/>
    <cellStyle name="20% - Accent4 2 6" xfId="12959"/>
    <cellStyle name="20% - Accent4 2 6 10" xfId="12960"/>
    <cellStyle name="20% - Accent4 2 6 10 2" xfId="12961"/>
    <cellStyle name="20% - Accent4 2 6 11" xfId="12962"/>
    <cellStyle name="20% - Accent4 2 6 2" xfId="12963"/>
    <cellStyle name="20% - Accent4 2 6 2 10" xfId="12964"/>
    <cellStyle name="20% - Accent4 2 6 2 2" xfId="12965"/>
    <cellStyle name="20% - Accent4 2 6 2 2 2" xfId="12966"/>
    <cellStyle name="20% - Accent4 2 6 2 2 2 2" xfId="12967"/>
    <cellStyle name="20% - Accent4 2 6 2 2 2 2 2" xfId="12968"/>
    <cellStyle name="20% - Accent4 2 6 2 2 2 2 2 2" xfId="12969"/>
    <cellStyle name="20% - Accent4 2 6 2 2 2 2 3" xfId="12970"/>
    <cellStyle name="20% - Accent4 2 6 2 2 2 3" xfId="12971"/>
    <cellStyle name="20% - Accent4 2 6 2 2 2 3 2" xfId="12972"/>
    <cellStyle name="20% - Accent4 2 6 2 2 2 4" xfId="12973"/>
    <cellStyle name="20% - Accent4 2 6 2 2 3" xfId="12974"/>
    <cellStyle name="20% - Accent4 2 6 2 2 3 2" xfId="12975"/>
    <cellStyle name="20% - Accent4 2 6 2 2 3 2 2" xfId="12976"/>
    <cellStyle name="20% - Accent4 2 6 2 2 3 3" xfId="12977"/>
    <cellStyle name="20% - Accent4 2 6 2 2 4" xfId="12978"/>
    <cellStyle name="20% - Accent4 2 6 2 2 4 2" xfId="12979"/>
    <cellStyle name="20% - Accent4 2 6 2 2 5" xfId="12980"/>
    <cellStyle name="20% - Accent4 2 6 2 3" xfId="12981"/>
    <cellStyle name="20% - Accent4 2 6 2 3 2" xfId="12982"/>
    <cellStyle name="20% - Accent4 2 6 2 3 2 2" xfId="12983"/>
    <cellStyle name="20% - Accent4 2 6 2 3 2 2 2" xfId="12984"/>
    <cellStyle name="20% - Accent4 2 6 2 3 2 2 2 2" xfId="12985"/>
    <cellStyle name="20% - Accent4 2 6 2 3 2 2 3" xfId="12986"/>
    <cellStyle name="20% - Accent4 2 6 2 3 2 3" xfId="12987"/>
    <cellStyle name="20% - Accent4 2 6 2 3 2 3 2" xfId="12988"/>
    <cellStyle name="20% - Accent4 2 6 2 3 2 4" xfId="12989"/>
    <cellStyle name="20% - Accent4 2 6 2 3 3" xfId="12990"/>
    <cellStyle name="20% - Accent4 2 6 2 3 3 2" xfId="12991"/>
    <cellStyle name="20% - Accent4 2 6 2 3 3 2 2" xfId="12992"/>
    <cellStyle name="20% - Accent4 2 6 2 3 3 3" xfId="12993"/>
    <cellStyle name="20% - Accent4 2 6 2 3 4" xfId="12994"/>
    <cellStyle name="20% - Accent4 2 6 2 3 4 2" xfId="12995"/>
    <cellStyle name="20% - Accent4 2 6 2 3 5" xfId="12996"/>
    <cellStyle name="20% - Accent4 2 6 2 4" xfId="12997"/>
    <cellStyle name="20% - Accent4 2 6 2 4 2" xfId="12998"/>
    <cellStyle name="20% - Accent4 2 6 2 4 2 2" xfId="12999"/>
    <cellStyle name="20% - Accent4 2 6 2 4 2 2 2" xfId="13000"/>
    <cellStyle name="20% - Accent4 2 6 2 4 2 2 2 2" xfId="13001"/>
    <cellStyle name="20% - Accent4 2 6 2 4 2 2 3" xfId="13002"/>
    <cellStyle name="20% - Accent4 2 6 2 4 2 3" xfId="13003"/>
    <cellStyle name="20% - Accent4 2 6 2 4 2 3 2" xfId="13004"/>
    <cellStyle name="20% - Accent4 2 6 2 4 2 4" xfId="13005"/>
    <cellStyle name="20% - Accent4 2 6 2 4 3" xfId="13006"/>
    <cellStyle name="20% - Accent4 2 6 2 4 3 2" xfId="13007"/>
    <cellStyle name="20% - Accent4 2 6 2 4 3 2 2" xfId="13008"/>
    <cellStyle name="20% - Accent4 2 6 2 4 3 3" xfId="13009"/>
    <cellStyle name="20% - Accent4 2 6 2 4 4" xfId="13010"/>
    <cellStyle name="20% - Accent4 2 6 2 4 4 2" xfId="13011"/>
    <cellStyle name="20% - Accent4 2 6 2 4 5" xfId="13012"/>
    <cellStyle name="20% - Accent4 2 6 2 5" xfId="13013"/>
    <cellStyle name="20% - Accent4 2 6 2 5 2" xfId="13014"/>
    <cellStyle name="20% - Accent4 2 6 2 5 2 2" xfId="13015"/>
    <cellStyle name="20% - Accent4 2 6 2 5 2 2 2" xfId="13016"/>
    <cellStyle name="20% - Accent4 2 6 2 5 2 2 2 2" xfId="13017"/>
    <cellStyle name="20% - Accent4 2 6 2 5 2 2 3" xfId="13018"/>
    <cellStyle name="20% - Accent4 2 6 2 5 2 3" xfId="13019"/>
    <cellStyle name="20% - Accent4 2 6 2 5 2 3 2" xfId="13020"/>
    <cellStyle name="20% - Accent4 2 6 2 5 2 4" xfId="13021"/>
    <cellStyle name="20% - Accent4 2 6 2 5 3" xfId="13022"/>
    <cellStyle name="20% - Accent4 2 6 2 5 3 2" xfId="13023"/>
    <cellStyle name="20% - Accent4 2 6 2 5 3 2 2" xfId="13024"/>
    <cellStyle name="20% - Accent4 2 6 2 5 3 3" xfId="13025"/>
    <cellStyle name="20% - Accent4 2 6 2 5 4" xfId="13026"/>
    <cellStyle name="20% - Accent4 2 6 2 5 4 2" xfId="13027"/>
    <cellStyle name="20% - Accent4 2 6 2 5 5" xfId="13028"/>
    <cellStyle name="20% - Accent4 2 6 2 6" xfId="13029"/>
    <cellStyle name="20% - Accent4 2 6 2 6 2" xfId="13030"/>
    <cellStyle name="20% - Accent4 2 6 2 6 2 2" xfId="13031"/>
    <cellStyle name="20% - Accent4 2 6 2 6 2 2 2" xfId="13032"/>
    <cellStyle name="20% - Accent4 2 6 2 6 2 2 2 2" xfId="13033"/>
    <cellStyle name="20% - Accent4 2 6 2 6 2 2 3" xfId="13034"/>
    <cellStyle name="20% - Accent4 2 6 2 6 2 3" xfId="13035"/>
    <cellStyle name="20% - Accent4 2 6 2 6 2 3 2" xfId="13036"/>
    <cellStyle name="20% - Accent4 2 6 2 6 2 4" xfId="13037"/>
    <cellStyle name="20% - Accent4 2 6 2 6 3" xfId="13038"/>
    <cellStyle name="20% - Accent4 2 6 2 6 3 2" xfId="13039"/>
    <cellStyle name="20% - Accent4 2 6 2 6 3 2 2" xfId="13040"/>
    <cellStyle name="20% - Accent4 2 6 2 6 3 3" xfId="13041"/>
    <cellStyle name="20% - Accent4 2 6 2 6 4" xfId="13042"/>
    <cellStyle name="20% - Accent4 2 6 2 6 4 2" xfId="13043"/>
    <cellStyle name="20% - Accent4 2 6 2 6 5" xfId="13044"/>
    <cellStyle name="20% - Accent4 2 6 2 7" xfId="13045"/>
    <cellStyle name="20% - Accent4 2 6 2 7 2" xfId="13046"/>
    <cellStyle name="20% - Accent4 2 6 2 7 2 2" xfId="13047"/>
    <cellStyle name="20% - Accent4 2 6 2 7 2 2 2" xfId="13048"/>
    <cellStyle name="20% - Accent4 2 6 2 7 2 3" xfId="13049"/>
    <cellStyle name="20% - Accent4 2 6 2 7 3" xfId="13050"/>
    <cellStyle name="20% - Accent4 2 6 2 7 3 2" xfId="13051"/>
    <cellStyle name="20% - Accent4 2 6 2 7 4" xfId="13052"/>
    <cellStyle name="20% - Accent4 2 6 2 8" xfId="13053"/>
    <cellStyle name="20% - Accent4 2 6 2 8 2" xfId="13054"/>
    <cellStyle name="20% - Accent4 2 6 2 8 2 2" xfId="13055"/>
    <cellStyle name="20% - Accent4 2 6 2 8 3" xfId="13056"/>
    <cellStyle name="20% - Accent4 2 6 2 9" xfId="13057"/>
    <cellStyle name="20% - Accent4 2 6 2 9 2" xfId="13058"/>
    <cellStyle name="20% - Accent4 2 6 3" xfId="13059"/>
    <cellStyle name="20% - Accent4 2 6 3 2" xfId="13060"/>
    <cellStyle name="20% - Accent4 2 6 3 2 2" xfId="13061"/>
    <cellStyle name="20% - Accent4 2 6 3 2 2 2" xfId="13062"/>
    <cellStyle name="20% - Accent4 2 6 3 2 2 2 2" xfId="13063"/>
    <cellStyle name="20% - Accent4 2 6 3 2 2 3" xfId="13064"/>
    <cellStyle name="20% - Accent4 2 6 3 2 3" xfId="13065"/>
    <cellStyle name="20% - Accent4 2 6 3 2 3 2" xfId="13066"/>
    <cellStyle name="20% - Accent4 2 6 3 2 4" xfId="13067"/>
    <cellStyle name="20% - Accent4 2 6 3 3" xfId="13068"/>
    <cellStyle name="20% - Accent4 2 6 3 3 2" xfId="13069"/>
    <cellStyle name="20% - Accent4 2 6 3 3 2 2" xfId="13070"/>
    <cellStyle name="20% - Accent4 2 6 3 3 3" xfId="13071"/>
    <cellStyle name="20% - Accent4 2 6 3 4" xfId="13072"/>
    <cellStyle name="20% - Accent4 2 6 3 4 2" xfId="13073"/>
    <cellStyle name="20% - Accent4 2 6 3 5" xfId="13074"/>
    <cellStyle name="20% - Accent4 2 6 4" xfId="13075"/>
    <cellStyle name="20% - Accent4 2 6 4 2" xfId="13076"/>
    <cellStyle name="20% - Accent4 2 6 4 2 2" xfId="13077"/>
    <cellStyle name="20% - Accent4 2 6 4 2 2 2" xfId="13078"/>
    <cellStyle name="20% - Accent4 2 6 4 2 2 2 2" xfId="13079"/>
    <cellStyle name="20% - Accent4 2 6 4 2 2 3" xfId="13080"/>
    <cellStyle name="20% - Accent4 2 6 4 2 3" xfId="13081"/>
    <cellStyle name="20% - Accent4 2 6 4 2 3 2" xfId="13082"/>
    <cellStyle name="20% - Accent4 2 6 4 2 4" xfId="13083"/>
    <cellStyle name="20% - Accent4 2 6 4 3" xfId="13084"/>
    <cellStyle name="20% - Accent4 2 6 4 3 2" xfId="13085"/>
    <cellStyle name="20% - Accent4 2 6 4 3 2 2" xfId="13086"/>
    <cellStyle name="20% - Accent4 2 6 4 3 3" xfId="13087"/>
    <cellStyle name="20% - Accent4 2 6 4 4" xfId="13088"/>
    <cellStyle name="20% - Accent4 2 6 4 4 2" xfId="13089"/>
    <cellStyle name="20% - Accent4 2 6 4 5" xfId="13090"/>
    <cellStyle name="20% - Accent4 2 6 5" xfId="13091"/>
    <cellStyle name="20% - Accent4 2 6 5 2" xfId="13092"/>
    <cellStyle name="20% - Accent4 2 6 5 2 2" xfId="13093"/>
    <cellStyle name="20% - Accent4 2 6 5 2 2 2" xfId="13094"/>
    <cellStyle name="20% - Accent4 2 6 5 2 2 2 2" xfId="13095"/>
    <cellStyle name="20% - Accent4 2 6 5 2 2 3" xfId="13096"/>
    <cellStyle name="20% - Accent4 2 6 5 2 3" xfId="13097"/>
    <cellStyle name="20% - Accent4 2 6 5 2 3 2" xfId="13098"/>
    <cellStyle name="20% - Accent4 2 6 5 2 4" xfId="13099"/>
    <cellStyle name="20% - Accent4 2 6 5 3" xfId="13100"/>
    <cellStyle name="20% - Accent4 2 6 5 3 2" xfId="13101"/>
    <cellStyle name="20% - Accent4 2 6 5 3 2 2" xfId="13102"/>
    <cellStyle name="20% - Accent4 2 6 5 3 3" xfId="13103"/>
    <cellStyle name="20% - Accent4 2 6 5 4" xfId="13104"/>
    <cellStyle name="20% - Accent4 2 6 5 4 2" xfId="13105"/>
    <cellStyle name="20% - Accent4 2 6 5 5" xfId="13106"/>
    <cellStyle name="20% - Accent4 2 6 6" xfId="13107"/>
    <cellStyle name="20% - Accent4 2 6 6 2" xfId="13108"/>
    <cellStyle name="20% - Accent4 2 6 6 2 2" xfId="13109"/>
    <cellStyle name="20% - Accent4 2 6 6 2 2 2" xfId="13110"/>
    <cellStyle name="20% - Accent4 2 6 6 2 2 2 2" xfId="13111"/>
    <cellStyle name="20% - Accent4 2 6 6 2 2 3" xfId="13112"/>
    <cellStyle name="20% - Accent4 2 6 6 2 3" xfId="13113"/>
    <cellStyle name="20% - Accent4 2 6 6 2 3 2" xfId="13114"/>
    <cellStyle name="20% - Accent4 2 6 6 2 4" xfId="13115"/>
    <cellStyle name="20% - Accent4 2 6 6 3" xfId="13116"/>
    <cellStyle name="20% - Accent4 2 6 6 3 2" xfId="13117"/>
    <cellStyle name="20% - Accent4 2 6 6 3 2 2" xfId="13118"/>
    <cellStyle name="20% - Accent4 2 6 6 3 3" xfId="13119"/>
    <cellStyle name="20% - Accent4 2 6 6 4" xfId="13120"/>
    <cellStyle name="20% - Accent4 2 6 6 4 2" xfId="13121"/>
    <cellStyle name="20% - Accent4 2 6 6 5" xfId="13122"/>
    <cellStyle name="20% - Accent4 2 6 7" xfId="13123"/>
    <cellStyle name="20% - Accent4 2 6 7 2" xfId="13124"/>
    <cellStyle name="20% - Accent4 2 6 7 2 2" xfId="13125"/>
    <cellStyle name="20% - Accent4 2 6 7 2 2 2" xfId="13126"/>
    <cellStyle name="20% - Accent4 2 6 7 2 2 2 2" xfId="13127"/>
    <cellStyle name="20% - Accent4 2 6 7 2 2 3" xfId="13128"/>
    <cellStyle name="20% - Accent4 2 6 7 2 3" xfId="13129"/>
    <cellStyle name="20% - Accent4 2 6 7 2 3 2" xfId="13130"/>
    <cellStyle name="20% - Accent4 2 6 7 2 4" xfId="13131"/>
    <cellStyle name="20% - Accent4 2 6 7 3" xfId="13132"/>
    <cellStyle name="20% - Accent4 2 6 7 3 2" xfId="13133"/>
    <cellStyle name="20% - Accent4 2 6 7 3 2 2" xfId="13134"/>
    <cellStyle name="20% - Accent4 2 6 7 3 3" xfId="13135"/>
    <cellStyle name="20% - Accent4 2 6 7 4" xfId="13136"/>
    <cellStyle name="20% - Accent4 2 6 7 4 2" xfId="13137"/>
    <cellStyle name="20% - Accent4 2 6 7 5" xfId="13138"/>
    <cellStyle name="20% - Accent4 2 6 8" xfId="13139"/>
    <cellStyle name="20% - Accent4 2 6 8 2" xfId="13140"/>
    <cellStyle name="20% - Accent4 2 6 8 2 2" xfId="13141"/>
    <cellStyle name="20% - Accent4 2 6 8 2 2 2" xfId="13142"/>
    <cellStyle name="20% - Accent4 2 6 8 2 3" xfId="13143"/>
    <cellStyle name="20% - Accent4 2 6 8 3" xfId="13144"/>
    <cellStyle name="20% - Accent4 2 6 8 3 2" xfId="13145"/>
    <cellStyle name="20% - Accent4 2 6 8 4" xfId="13146"/>
    <cellStyle name="20% - Accent4 2 6 9" xfId="13147"/>
    <cellStyle name="20% - Accent4 2 6 9 2" xfId="13148"/>
    <cellStyle name="20% - Accent4 2 6 9 2 2" xfId="13149"/>
    <cellStyle name="20% - Accent4 2 6 9 3" xfId="13150"/>
    <cellStyle name="20% - Accent4 2 7" xfId="13151"/>
    <cellStyle name="20% - Accent4 2 7 10" xfId="13152"/>
    <cellStyle name="20% - Accent4 2 7 10 2" xfId="13153"/>
    <cellStyle name="20% - Accent4 2 7 11" xfId="13154"/>
    <cellStyle name="20% - Accent4 2 7 2" xfId="13155"/>
    <cellStyle name="20% - Accent4 2 7 2 10" xfId="13156"/>
    <cellStyle name="20% - Accent4 2 7 2 2" xfId="13157"/>
    <cellStyle name="20% - Accent4 2 7 2 2 2" xfId="13158"/>
    <cellStyle name="20% - Accent4 2 7 2 2 2 2" xfId="13159"/>
    <cellStyle name="20% - Accent4 2 7 2 2 2 2 2" xfId="13160"/>
    <cellStyle name="20% - Accent4 2 7 2 2 2 2 2 2" xfId="13161"/>
    <cellStyle name="20% - Accent4 2 7 2 2 2 2 3" xfId="13162"/>
    <cellStyle name="20% - Accent4 2 7 2 2 2 3" xfId="13163"/>
    <cellStyle name="20% - Accent4 2 7 2 2 2 3 2" xfId="13164"/>
    <cellStyle name="20% - Accent4 2 7 2 2 2 4" xfId="13165"/>
    <cellStyle name="20% - Accent4 2 7 2 2 3" xfId="13166"/>
    <cellStyle name="20% - Accent4 2 7 2 2 3 2" xfId="13167"/>
    <cellStyle name="20% - Accent4 2 7 2 2 3 2 2" xfId="13168"/>
    <cellStyle name="20% - Accent4 2 7 2 2 3 3" xfId="13169"/>
    <cellStyle name="20% - Accent4 2 7 2 2 4" xfId="13170"/>
    <cellStyle name="20% - Accent4 2 7 2 2 4 2" xfId="13171"/>
    <cellStyle name="20% - Accent4 2 7 2 2 5" xfId="13172"/>
    <cellStyle name="20% - Accent4 2 7 2 3" xfId="13173"/>
    <cellStyle name="20% - Accent4 2 7 2 3 2" xfId="13174"/>
    <cellStyle name="20% - Accent4 2 7 2 3 2 2" xfId="13175"/>
    <cellStyle name="20% - Accent4 2 7 2 3 2 2 2" xfId="13176"/>
    <cellStyle name="20% - Accent4 2 7 2 3 2 2 2 2" xfId="13177"/>
    <cellStyle name="20% - Accent4 2 7 2 3 2 2 3" xfId="13178"/>
    <cellStyle name="20% - Accent4 2 7 2 3 2 3" xfId="13179"/>
    <cellStyle name="20% - Accent4 2 7 2 3 2 3 2" xfId="13180"/>
    <cellStyle name="20% - Accent4 2 7 2 3 2 4" xfId="13181"/>
    <cellStyle name="20% - Accent4 2 7 2 3 3" xfId="13182"/>
    <cellStyle name="20% - Accent4 2 7 2 3 3 2" xfId="13183"/>
    <cellStyle name="20% - Accent4 2 7 2 3 3 2 2" xfId="13184"/>
    <cellStyle name="20% - Accent4 2 7 2 3 3 3" xfId="13185"/>
    <cellStyle name="20% - Accent4 2 7 2 3 4" xfId="13186"/>
    <cellStyle name="20% - Accent4 2 7 2 3 4 2" xfId="13187"/>
    <cellStyle name="20% - Accent4 2 7 2 3 5" xfId="13188"/>
    <cellStyle name="20% - Accent4 2 7 2 4" xfId="13189"/>
    <cellStyle name="20% - Accent4 2 7 2 4 2" xfId="13190"/>
    <cellStyle name="20% - Accent4 2 7 2 4 2 2" xfId="13191"/>
    <cellStyle name="20% - Accent4 2 7 2 4 2 2 2" xfId="13192"/>
    <cellStyle name="20% - Accent4 2 7 2 4 2 2 2 2" xfId="13193"/>
    <cellStyle name="20% - Accent4 2 7 2 4 2 2 3" xfId="13194"/>
    <cellStyle name="20% - Accent4 2 7 2 4 2 3" xfId="13195"/>
    <cellStyle name="20% - Accent4 2 7 2 4 2 3 2" xfId="13196"/>
    <cellStyle name="20% - Accent4 2 7 2 4 2 4" xfId="13197"/>
    <cellStyle name="20% - Accent4 2 7 2 4 3" xfId="13198"/>
    <cellStyle name="20% - Accent4 2 7 2 4 3 2" xfId="13199"/>
    <cellStyle name="20% - Accent4 2 7 2 4 3 2 2" xfId="13200"/>
    <cellStyle name="20% - Accent4 2 7 2 4 3 3" xfId="13201"/>
    <cellStyle name="20% - Accent4 2 7 2 4 4" xfId="13202"/>
    <cellStyle name="20% - Accent4 2 7 2 4 4 2" xfId="13203"/>
    <cellStyle name="20% - Accent4 2 7 2 4 5" xfId="13204"/>
    <cellStyle name="20% - Accent4 2 7 2 5" xfId="13205"/>
    <cellStyle name="20% - Accent4 2 7 2 5 2" xfId="13206"/>
    <cellStyle name="20% - Accent4 2 7 2 5 2 2" xfId="13207"/>
    <cellStyle name="20% - Accent4 2 7 2 5 2 2 2" xfId="13208"/>
    <cellStyle name="20% - Accent4 2 7 2 5 2 2 2 2" xfId="13209"/>
    <cellStyle name="20% - Accent4 2 7 2 5 2 2 3" xfId="13210"/>
    <cellStyle name="20% - Accent4 2 7 2 5 2 3" xfId="13211"/>
    <cellStyle name="20% - Accent4 2 7 2 5 2 3 2" xfId="13212"/>
    <cellStyle name="20% - Accent4 2 7 2 5 2 4" xfId="13213"/>
    <cellStyle name="20% - Accent4 2 7 2 5 3" xfId="13214"/>
    <cellStyle name="20% - Accent4 2 7 2 5 3 2" xfId="13215"/>
    <cellStyle name="20% - Accent4 2 7 2 5 3 2 2" xfId="13216"/>
    <cellStyle name="20% - Accent4 2 7 2 5 3 3" xfId="13217"/>
    <cellStyle name="20% - Accent4 2 7 2 5 4" xfId="13218"/>
    <cellStyle name="20% - Accent4 2 7 2 5 4 2" xfId="13219"/>
    <cellStyle name="20% - Accent4 2 7 2 5 5" xfId="13220"/>
    <cellStyle name="20% - Accent4 2 7 2 6" xfId="13221"/>
    <cellStyle name="20% - Accent4 2 7 2 6 2" xfId="13222"/>
    <cellStyle name="20% - Accent4 2 7 2 6 2 2" xfId="13223"/>
    <cellStyle name="20% - Accent4 2 7 2 6 2 2 2" xfId="13224"/>
    <cellStyle name="20% - Accent4 2 7 2 6 2 2 2 2" xfId="13225"/>
    <cellStyle name="20% - Accent4 2 7 2 6 2 2 3" xfId="13226"/>
    <cellStyle name="20% - Accent4 2 7 2 6 2 3" xfId="13227"/>
    <cellStyle name="20% - Accent4 2 7 2 6 2 3 2" xfId="13228"/>
    <cellStyle name="20% - Accent4 2 7 2 6 2 4" xfId="13229"/>
    <cellStyle name="20% - Accent4 2 7 2 6 3" xfId="13230"/>
    <cellStyle name="20% - Accent4 2 7 2 6 3 2" xfId="13231"/>
    <cellStyle name="20% - Accent4 2 7 2 6 3 2 2" xfId="13232"/>
    <cellStyle name="20% - Accent4 2 7 2 6 3 3" xfId="13233"/>
    <cellStyle name="20% - Accent4 2 7 2 6 4" xfId="13234"/>
    <cellStyle name="20% - Accent4 2 7 2 6 4 2" xfId="13235"/>
    <cellStyle name="20% - Accent4 2 7 2 6 5" xfId="13236"/>
    <cellStyle name="20% - Accent4 2 7 2 7" xfId="13237"/>
    <cellStyle name="20% - Accent4 2 7 2 7 2" xfId="13238"/>
    <cellStyle name="20% - Accent4 2 7 2 7 2 2" xfId="13239"/>
    <cellStyle name="20% - Accent4 2 7 2 7 2 2 2" xfId="13240"/>
    <cellStyle name="20% - Accent4 2 7 2 7 2 3" xfId="13241"/>
    <cellStyle name="20% - Accent4 2 7 2 7 3" xfId="13242"/>
    <cellStyle name="20% - Accent4 2 7 2 7 3 2" xfId="13243"/>
    <cellStyle name="20% - Accent4 2 7 2 7 4" xfId="13244"/>
    <cellStyle name="20% - Accent4 2 7 2 8" xfId="13245"/>
    <cellStyle name="20% - Accent4 2 7 2 8 2" xfId="13246"/>
    <cellStyle name="20% - Accent4 2 7 2 8 2 2" xfId="13247"/>
    <cellStyle name="20% - Accent4 2 7 2 8 3" xfId="13248"/>
    <cellStyle name="20% - Accent4 2 7 2 9" xfId="13249"/>
    <cellStyle name="20% - Accent4 2 7 2 9 2" xfId="13250"/>
    <cellStyle name="20% - Accent4 2 7 3" xfId="13251"/>
    <cellStyle name="20% - Accent4 2 7 3 2" xfId="13252"/>
    <cellStyle name="20% - Accent4 2 7 3 2 2" xfId="13253"/>
    <cellStyle name="20% - Accent4 2 7 3 2 2 2" xfId="13254"/>
    <cellStyle name="20% - Accent4 2 7 3 2 2 2 2" xfId="13255"/>
    <cellStyle name="20% - Accent4 2 7 3 2 2 3" xfId="13256"/>
    <cellStyle name="20% - Accent4 2 7 3 2 3" xfId="13257"/>
    <cellStyle name="20% - Accent4 2 7 3 2 3 2" xfId="13258"/>
    <cellStyle name="20% - Accent4 2 7 3 2 4" xfId="13259"/>
    <cellStyle name="20% - Accent4 2 7 3 3" xfId="13260"/>
    <cellStyle name="20% - Accent4 2 7 3 3 2" xfId="13261"/>
    <cellStyle name="20% - Accent4 2 7 3 3 2 2" xfId="13262"/>
    <cellStyle name="20% - Accent4 2 7 3 3 3" xfId="13263"/>
    <cellStyle name="20% - Accent4 2 7 3 4" xfId="13264"/>
    <cellStyle name="20% - Accent4 2 7 3 4 2" xfId="13265"/>
    <cellStyle name="20% - Accent4 2 7 3 5" xfId="13266"/>
    <cellStyle name="20% - Accent4 2 7 4" xfId="13267"/>
    <cellStyle name="20% - Accent4 2 7 4 2" xfId="13268"/>
    <cellStyle name="20% - Accent4 2 7 4 2 2" xfId="13269"/>
    <cellStyle name="20% - Accent4 2 7 4 2 2 2" xfId="13270"/>
    <cellStyle name="20% - Accent4 2 7 4 2 2 2 2" xfId="13271"/>
    <cellStyle name="20% - Accent4 2 7 4 2 2 3" xfId="13272"/>
    <cellStyle name="20% - Accent4 2 7 4 2 3" xfId="13273"/>
    <cellStyle name="20% - Accent4 2 7 4 2 3 2" xfId="13274"/>
    <cellStyle name="20% - Accent4 2 7 4 2 4" xfId="13275"/>
    <cellStyle name="20% - Accent4 2 7 4 3" xfId="13276"/>
    <cellStyle name="20% - Accent4 2 7 4 3 2" xfId="13277"/>
    <cellStyle name="20% - Accent4 2 7 4 3 2 2" xfId="13278"/>
    <cellStyle name="20% - Accent4 2 7 4 3 3" xfId="13279"/>
    <cellStyle name="20% - Accent4 2 7 4 4" xfId="13280"/>
    <cellStyle name="20% - Accent4 2 7 4 4 2" xfId="13281"/>
    <cellStyle name="20% - Accent4 2 7 4 5" xfId="13282"/>
    <cellStyle name="20% - Accent4 2 7 5" xfId="13283"/>
    <cellStyle name="20% - Accent4 2 7 5 2" xfId="13284"/>
    <cellStyle name="20% - Accent4 2 7 5 2 2" xfId="13285"/>
    <cellStyle name="20% - Accent4 2 7 5 2 2 2" xfId="13286"/>
    <cellStyle name="20% - Accent4 2 7 5 2 2 2 2" xfId="13287"/>
    <cellStyle name="20% - Accent4 2 7 5 2 2 3" xfId="13288"/>
    <cellStyle name="20% - Accent4 2 7 5 2 3" xfId="13289"/>
    <cellStyle name="20% - Accent4 2 7 5 2 3 2" xfId="13290"/>
    <cellStyle name="20% - Accent4 2 7 5 2 4" xfId="13291"/>
    <cellStyle name="20% - Accent4 2 7 5 3" xfId="13292"/>
    <cellStyle name="20% - Accent4 2 7 5 3 2" xfId="13293"/>
    <cellStyle name="20% - Accent4 2 7 5 3 2 2" xfId="13294"/>
    <cellStyle name="20% - Accent4 2 7 5 3 3" xfId="13295"/>
    <cellStyle name="20% - Accent4 2 7 5 4" xfId="13296"/>
    <cellStyle name="20% - Accent4 2 7 5 4 2" xfId="13297"/>
    <cellStyle name="20% - Accent4 2 7 5 5" xfId="13298"/>
    <cellStyle name="20% - Accent4 2 7 6" xfId="13299"/>
    <cellStyle name="20% - Accent4 2 7 6 2" xfId="13300"/>
    <cellStyle name="20% - Accent4 2 7 6 2 2" xfId="13301"/>
    <cellStyle name="20% - Accent4 2 7 6 2 2 2" xfId="13302"/>
    <cellStyle name="20% - Accent4 2 7 6 2 2 2 2" xfId="13303"/>
    <cellStyle name="20% - Accent4 2 7 6 2 2 3" xfId="13304"/>
    <cellStyle name="20% - Accent4 2 7 6 2 3" xfId="13305"/>
    <cellStyle name="20% - Accent4 2 7 6 2 3 2" xfId="13306"/>
    <cellStyle name="20% - Accent4 2 7 6 2 4" xfId="13307"/>
    <cellStyle name="20% - Accent4 2 7 6 3" xfId="13308"/>
    <cellStyle name="20% - Accent4 2 7 6 3 2" xfId="13309"/>
    <cellStyle name="20% - Accent4 2 7 6 3 2 2" xfId="13310"/>
    <cellStyle name="20% - Accent4 2 7 6 3 3" xfId="13311"/>
    <cellStyle name="20% - Accent4 2 7 6 4" xfId="13312"/>
    <cellStyle name="20% - Accent4 2 7 6 4 2" xfId="13313"/>
    <cellStyle name="20% - Accent4 2 7 6 5" xfId="13314"/>
    <cellStyle name="20% - Accent4 2 7 7" xfId="13315"/>
    <cellStyle name="20% - Accent4 2 7 7 2" xfId="13316"/>
    <cellStyle name="20% - Accent4 2 7 7 2 2" xfId="13317"/>
    <cellStyle name="20% - Accent4 2 7 7 2 2 2" xfId="13318"/>
    <cellStyle name="20% - Accent4 2 7 7 2 2 2 2" xfId="13319"/>
    <cellStyle name="20% - Accent4 2 7 7 2 2 3" xfId="13320"/>
    <cellStyle name="20% - Accent4 2 7 7 2 3" xfId="13321"/>
    <cellStyle name="20% - Accent4 2 7 7 2 3 2" xfId="13322"/>
    <cellStyle name="20% - Accent4 2 7 7 2 4" xfId="13323"/>
    <cellStyle name="20% - Accent4 2 7 7 3" xfId="13324"/>
    <cellStyle name="20% - Accent4 2 7 7 3 2" xfId="13325"/>
    <cellStyle name="20% - Accent4 2 7 7 3 2 2" xfId="13326"/>
    <cellStyle name="20% - Accent4 2 7 7 3 3" xfId="13327"/>
    <cellStyle name="20% - Accent4 2 7 7 4" xfId="13328"/>
    <cellStyle name="20% - Accent4 2 7 7 4 2" xfId="13329"/>
    <cellStyle name="20% - Accent4 2 7 7 5" xfId="13330"/>
    <cellStyle name="20% - Accent4 2 7 8" xfId="13331"/>
    <cellStyle name="20% - Accent4 2 7 8 2" xfId="13332"/>
    <cellStyle name="20% - Accent4 2 7 8 2 2" xfId="13333"/>
    <cellStyle name="20% - Accent4 2 7 8 2 2 2" xfId="13334"/>
    <cellStyle name="20% - Accent4 2 7 8 2 3" xfId="13335"/>
    <cellStyle name="20% - Accent4 2 7 8 3" xfId="13336"/>
    <cellStyle name="20% - Accent4 2 7 8 3 2" xfId="13337"/>
    <cellStyle name="20% - Accent4 2 7 8 4" xfId="13338"/>
    <cellStyle name="20% - Accent4 2 7 9" xfId="13339"/>
    <cellStyle name="20% - Accent4 2 7 9 2" xfId="13340"/>
    <cellStyle name="20% - Accent4 2 7 9 2 2" xfId="13341"/>
    <cellStyle name="20% - Accent4 2 7 9 3" xfId="13342"/>
    <cellStyle name="20% - Accent4 2 8" xfId="13343"/>
    <cellStyle name="20% - Accent4 2 8 10" xfId="13344"/>
    <cellStyle name="20% - Accent4 2 8 10 2" xfId="13345"/>
    <cellStyle name="20% - Accent4 2 8 11" xfId="13346"/>
    <cellStyle name="20% - Accent4 2 8 2" xfId="13347"/>
    <cellStyle name="20% - Accent4 2 8 2 10" xfId="13348"/>
    <cellStyle name="20% - Accent4 2 8 2 2" xfId="13349"/>
    <cellStyle name="20% - Accent4 2 8 2 2 2" xfId="13350"/>
    <cellStyle name="20% - Accent4 2 8 2 2 2 2" xfId="13351"/>
    <cellStyle name="20% - Accent4 2 8 2 2 2 2 2" xfId="13352"/>
    <cellStyle name="20% - Accent4 2 8 2 2 2 2 2 2" xfId="13353"/>
    <cellStyle name="20% - Accent4 2 8 2 2 2 2 3" xfId="13354"/>
    <cellStyle name="20% - Accent4 2 8 2 2 2 3" xfId="13355"/>
    <cellStyle name="20% - Accent4 2 8 2 2 2 3 2" xfId="13356"/>
    <cellStyle name="20% - Accent4 2 8 2 2 2 4" xfId="13357"/>
    <cellStyle name="20% - Accent4 2 8 2 2 3" xfId="13358"/>
    <cellStyle name="20% - Accent4 2 8 2 2 3 2" xfId="13359"/>
    <cellStyle name="20% - Accent4 2 8 2 2 3 2 2" xfId="13360"/>
    <cellStyle name="20% - Accent4 2 8 2 2 3 3" xfId="13361"/>
    <cellStyle name="20% - Accent4 2 8 2 2 4" xfId="13362"/>
    <cellStyle name="20% - Accent4 2 8 2 2 4 2" xfId="13363"/>
    <cellStyle name="20% - Accent4 2 8 2 2 5" xfId="13364"/>
    <cellStyle name="20% - Accent4 2 8 2 3" xfId="13365"/>
    <cellStyle name="20% - Accent4 2 8 2 3 2" xfId="13366"/>
    <cellStyle name="20% - Accent4 2 8 2 3 2 2" xfId="13367"/>
    <cellStyle name="20% - Accent4 2 8 2 3 2 2 2" xfId="13368"/>
    <cellStyle name="20% - Accent4 2 8 2 3 2 2 2 2" xfId="13369"/>
    <cellStyle name="20% - Accent4 2 8 2 3 2 2 3" xfId="13370"/>
    <cellStyle name="20% - Accent4 2 8 2 3 2 3" xfId="13371"/>
    <cellStyle name="20% - Accent4 2 8 2 3 2 3 2" xfId="13372"/>
    <cellStyle name="20% - Accent4 2 8 2 3 2 4" xfId="13373"/>
    <cellStyle name="20% - Accent4 2 8 2 3 3" xfId="13374"/>
    <cellStyle name="20% - Accent4 2 8 2 3 3 2" xfId="13375"/>
    <cellStyle name="20% - Accent4 2 8 2 3 3 2 2" xfId="13376"/>
    <cellStyle name="20% - Accent4 2 8 2 3 3 3" xfId="13377"/>
    <cellStyle name="20% - Accent4 2 8 2 3 4" xfId="13378"/>
    <cellStyle name="20% - Accent4 2 8 2 3 4 2" xfId="13379"/>
    <cellStyle name="20% - Accent4 2 8 2 3 5" xfId="13380"/>
    <cellStyle name="20% - Accent4 2 8 2 4" xfId="13381"/>
    <cellStyle name="20% - Accent4 2 8 2 4 2" xfId="13382"/>
    <cellStyle name="20% - Accent4 2 8 2 4 2 2" xfId="13383"/>
    <cellStyle name="20% - Accent4 2 8 2 4 2 2 2" xfId="13384"/>
    <cellStyle name="20% - Accent4 2 8 2 4 2 2 2 2" xfId="13385"/>
    <cellStyle name="20% - Accent4 2 8 2 4 2 2 3" xfId="13386"/>
    <cellStyle name="20% - Accent4 2 8 2 4 2 3" xfId="13387"/>
    <cellStyle name="20% - Accent4 2 8 2 4 2 3 2" xfId="13388"/>
    <cellStyle name="20% - Accent4 2 8 2 4 2 4" xfId="13389"/>
    <cellStyle name="20% - Accent4 2 8 2 4 3" xfId="13390"/>
    <cellStyle name="20% - Accent4 2 8 2 4 3 2" xfId="13391"/>
    <cellStyle name="20% - Accent4 2 8 2 4 3 2 2" xfId="13392"/>
    <cellStyle name="20% - Accent4 2 8 2 4 3 3" xfId="13393"/>
    <cellStyle name="20% - Accent4 2 8 2 4 4" xfId="13394"/>
    <cellStyle name="20% - Accent4 2 8 2 4 4 2" xfId="13395"/>
    <cellStyle name="20% - Accent4 2 8 2 4 5" xfId="13396"/>
    <cellStyle name="20% - Accent4 2 8 2 5" xfId="13397"/>
    <cellStyle name="20% - Accent4 2 8 2 5 2" xfId="13398"/>
    <cellStyle name="20% - Accent4 2 8 2 5 2 2" xfId="13399"/>
    <cellStyle name="20% - Accent4 2 8 2 5 2 2 2" xfId="13400"/>
    <cellStyle name="20% - Accent4 2 8 2 5 2 2 2 2" xfId="13401"/>
    <cellStyle name="20% - Accent4 2 8 2 5 2 2 3" xfId="13402"/>
    <cellStyle name="20% - Accent4 2 8 2 5 2 3" xfId="13403"/>
    <cellStyle name="20% - Accent4 2 8 2 5 2 3 2" xfId="13404"/>
    <cellStyle name="20% - Accent4 2 8 2 5 2 4" xfId="13405"/>
    <cellStyle name="20% - Accent4 2 8 2 5 3" xfId="13406"/>
    <cellStyle name="20% - Accent4 2 8 2 5 3 2" xfId="13407"/>
    <cellStyle name="20% - Accent4 2 8 2 5 3 2 2" xfId="13408"/>
    <cellStyle name="20% - Accent4 2 8 2 5 3 3" xfId="13409"/>
    <cellStyle name="20% - Accent4 2 8 2 5 4" xfId="13410"/>
    <cellStyle name="20% - Accent4 2 8 2 5 4 2" xfId="13411"/>
    <cellStyle name="20% - Accent4 2 8 2 5 5" xfId="13412"/>
    <cellStyle name="20% - Accent4 2 8 2 6" xfId="13413"/>
    <cellStyle name="20% - Accent4 2 8 2 6 2" xfId="13414"/>
    <cellStyle name="20% - Accent4 2 8 2 6 2 2" xfId="13415"/>
    <cellStyle name="20% - Accent4 2 8 2 6 2 2 2" xfId="13416"/>
    <cellStyle name="20% - Accent4 2 8 2 6 2 2 2 2" xfId="13417"/>
    <cellStyle name="20% - Accent4 2 8 2 6 2 2 3" xfId="13418"/>
    <cellStyle name="20% - Accent4 2 8 2 6 2 3" xfId="13419"/>
    <cellStyle name="20% - Accent4 2 8 2 6 2 3 2" xfId="13420"/>
    <cellStyle name="20% - Accent4 2 8 2 6 2 4" xfId="13421"/>
    <cellStyle name="20% - Accent4 2 8 2 6 3" xfId="13422"/>
    <cellStyle name="20% - Accent4 2 8 2 6 3 2" xfId="13423"/>
    <cellStyle name="20% - Accent4 2 8 2 6 3 2 2" xfId="13424"/>
    <cellStyle name="20% - Accent4 2 8 2 6 3 3" xfId="13425"/>
    <cellStyle name="20% - Accent4 2 8 2 6 4" xfId="13426"/>
    <cellStyle name="20% - Accent4 2 8 2 6 4 2" xfId="13427"/>
    <cellStyle name="20% - Accent4 2 8 2 6 5" xfId="13428"/>
    <cellStyle name="20% - Accent4 2 8 2 7" xfId="13429"/>
    <cellStyle name="20% - Accent4 2 8 2 7 2" xfId="13430"/>
    <cellStyle name="20% - Accent4 2 8 2 7 2 2" xfId="13431"/>
    <cellStyle name="20% - Accent4 2 8 2 7 2 2 2" xfId="13432"/>
    <cellStyle name="20% - Accent4 2 8 2 7 2 3" xfId="13433"/>
    <cellStyle name="20% - Accent4 2 8 2 7 3" xfId="13434"/>
    <cellStyle name="20% - Accent4 2 8 2 7 3 2" xfId="13435"/>
    <cellStyle name="20% - Accent4 2 8 2 7 4" xfId="13436"/>
    <cellStyle name="20% - Accent4 2 8 2 8" xfId="13437"/>
    <cellStyle name="20% - Accent4 2 8 2 8 2" xfId="13438"/>
    <cellStyle name="20% - Accent4 2 8 2 8 2 2" xfId="13439"/>
    <cellStyle name="20% - Accent4 2 8 2 8 3" xfId="13440"/>
    <cellStyle name="20% - Accent4 2 8 2 9" xfId="13441"/>
    <cellStyle name="20% - Accent4 2 8 2 9 2" xfId="13442"/>
    <cellStyle name="20% - Accent4 2 8 3" xfId="13443"/>
    <cellStyle name="20% - Accent4 2 8 3 2" xfId="13444"/>
    <cellStyle name="20% - Accent4 2 8 3 2 2" xfId="13445"/>
    <cellStyle name="20% - Accent4 2 8 3 2 2 2" xfId="13446"/>
    <cellStyle name="20% - Accent4 2 8 3 2 2 2 2" xfId="13447"/>
    <cellStyle name="20% - Accent4 2 8 3 2 2 3" xfId="13448"/>
    <cellStyle name="20% - Accent4 2 8 3 2 3" xfId="13449"/>
    <cellStyle name="20% - Accent4 2 8 3 2 3 2" xfId="13450"/>
    <cellStyle name="20% - Accent4 2 8 3 2 4" xfId="13451"/>
    <cellStyle name="20% - Accent4 2 8 3 3" xfId="13452"/>
    <cellStyle name="20% - Accent4 2 8 3 3 2" xfId="13453"/>
    <cellStyle name="20% - Accent4 2 8 3 3 2 2" xfId="13454"/>
    <cellStyle name="20% - Accent4 2 8 3 3 3" xfId="13455"/>
    <cellStyle name="20% - Accent4 2 8 3 4" xfId="13456"/>
    <cellStyle name="20% - Accent4 2 8 3 4 2" xfId="13457"/>
    <cellStyle name="20% - Accent4 2 8 3 5" xfId="13458"/>
    <cellStyle name="20% - Accent4 2 8 4" xfId="13459"/>
    <cellStyle name="20% - Accent4 2 8 4 2" xfId="13460"/>
    <cellStyle name="20% - Accent4 2 8 4 2 2" xfId="13461"/>
    <cellStyle name="20% - Accent4 2 8 4 2 2 2" xfId="13462"/>
    <cellStyle name="20% - Accent4 2 8 4 2 2 2 2" xfId="13463"/>
    <cellStyle name="20% - Accent4 2 8 4 2 2 3" xfId="13464"/>
    <cellStyle name="20% - Accent4 2 8 4 2 3" xfId="13465"/>
    <cellStyle name="20% - Accent4 2 8 4 2 3 2" xfId="13466"/>
    <cellStyle name="20% - Accent4 2 8 4 2 4" xfId="13467"/>
    <cellStyle name="20% - Accent4 2 8 4 3" xfId="13468"/>
    <cellStyle name="20% - Accent4 2 8 4 3 2" xfId="13469"/>
    <cellStyle name="20% - Accent4 2 8 4 3 2 2" xfId="13470"/>
    <cellStyle name="20% - Accent4 2 8 4 3 3" xfId="13471"/>
    <cellStyle name="20% - Accent4 2 8 4 4" xfId="13472"/>
    <cellStyle name="20% - Accent4 2 8 4 4 2" xfId="13473"/>
    <cellStyle name="20% - Accent4 2 8 4 5" xfId="13474"/>
    <cellStyle name="20% - Accent4 2 8 5" xfId="13475"/>
    <cellStyle name="20% - Accent4 2 8 5 2" xfId="13476"/>
    <cellStyle name="20% - Accent4 2 8 5 2 2" xfId="13477"/>
    <cellStyle name="20% - Accent4 2 8 5 2 2 2" xfId="13478"/>
    <cellStyle name="20% - Accent4 2 8 5 2 2 2 2" xfId="13479"/>
    <cellStyle name="20% - Accent4 2 8 5 2 2 3" xfId="13480"/>
    <cellStyle name="20% - Accent4 2 8 5 2 3" xfId="13481"/>
    <cellStyle name="20% - Accent4 2 8 5 2 3 2" xfId="13482"/>
    <cellStyle name="20% - Accent4 2 8 5 2 4" xfId="13483"/>
    <cellStyle name="20% - Accent4 2 8 5 3" xfId="13484"/>
    <cellStyle name="20% - Accent4 2 8 5 3 2" xfId="13485"/>
    <cellStyle name="20% - Accent4 2 8 5 3 2 2" xfId="13486"/>
    <cellStyle name="20% - Accent4 2 8 5 3 3" xfId="13487"/>
    <cellStyle name="20% - Accent4 2 8 5 4" xfId="13488"/>
    <cellStyle name="20% - Accent4 2 8 5 4 2" xfId="13489"/>
    <cellStyle name="20% - Accent4 2 8 5 5" xfId="13490"/>
    <cellStyle name="20% - Accent4 2 8 6" xfId="13491"/>
    <cellStyle name="20% - Accent4 2 8 6 2" xfId="13492"/>
    <cellStyle name="20% - Accent4 2 8 6 2 2" xfId="13493"/>
    <cellStyle name="20% - Accent4 2 8 6 2 2 2" xfId="13494"/>
    <cellStyle name="20% - Accent4 2 8 6 2 2 2 2" xfId="13495"/>
    <cellStyle name="20% - Accent4 2 8 6 2 2 3" xfId="13496"/>
    <cellStyle name="20% - Accent4 2 8 6 2 3" xfId="13497"/>
    <cellStyle name="20% - Accent4 2 8 6 2 3 2" xfId="13498"/>
    <cellStyle name="20% - Accent4 2 8 6 2 4" xfId="13499"/>
    <cellStyle name="20% - Accent4 2 8 6 3" xfId="13500"/>
    <cellStyle name="20% - Accent4 2 8 6 3 2" xfId="13501"/>
    <cellStyle name="20% - Accent4 2 8 6 3 2 2" xfId="13502"/>
    <cellStyle name="20% - Accent4 2 8 6 3 3" xfId="13503"/>
    <cellStyle name="20% - Accent4 2 8 6 4" xfId="13504"/>
    <cellStyle name="20% - Accent4 2 8 6 4 2" xfId="13505"/>
    <cellStyle name="20% - Accent4 2 8 6 5" xfId="13506"/>
    <cellStyle name="20% - Accent4 2 8 7" xfId="13507"/>
    <cellStyle name="20% - Accent4 2 8 7 2" xfId="13508"/>
    <cellStyle name="20% - Accent4 2 8 7 2 2" xfId="13509"/>
    <cellStyle name="20% - Accent4 2 8 7 2 2 2" xfId="13510"/>
    <cellStyle name="20% - Accent4 2 8 7 2 2 2 2" xfId="13511"/>
    <cellStyle name="20% - Accent4 2 8 7 2 2 3" xfId="13512"/>
    <cellStyle name="20% - Accent4 2 8 7 2 3" xfId="13513"/>
    <cellStyle name="20% - Accent4 2 8 7 2 3 2" xfId="13514"/>
    <cellStyle name="20% - Accent4 2 8 7 2 4" xfId="13515"/>
    <cellStyle name="20% - Accent4 2 8 7 3" xfId="13516"/>
    <cellStyle name="20% - Accent4 2 8 7 3 2" xfId="13517"/>
    <cellStyle name="20% - Accent4 2 8 7 3 2 2" xfId="13518"/>
    <cellStyle name="20% - Accent4 2 8 7 3 3" xfId="13519"/>
    <cellStyle name="20% - Accent4 2 8 7 4" xfId="13520"/>
    <cellStyle name="20% - Accent4 2 8 7 4 2" xfId="13521"/>
    <cellStyle name="20% - Accent4 2 8 7 5" xfId="13522"/>
    <cellStyle name="20% - Accent4 2 8 8" xfId="13523"/>
    <cellStyle name="20% - Accent4 2 8 8 2" xfId="13524"/>
    <cellStyle name="20% - Accent4 2 8 8 2 2" xfId="13525"/>
    <cellStyle name="20% - Accent4 2 8 8 2 2 2" xfId="13526"/>
    <cellStyle name="20% - Accent4 2 8 8 2 3" xfId="13527"/>
    <cellStyle name="20% - Accent4 2 8 8 3" xfId="13528"/>
    <cellStyle name="20% - Accent4 2 8 8 3 2" xfId="13529"/>
    <cellStyle name="20% - Accent4 2 8 8 4" xfId="13530"/>
    <cellStyle name="20% - Accent4 2 8 9" xfId="13531"/>
    <cellStyle name="20% - Accent4 2 8 9 2" xfId="13532"/>
    <cellStyle name="20% - Accent4 2 8 9 2 2" xfId="13533"/>
    <cellStyle name="20% - Accent4 2 8 9 3" xfId="13534"/>
    <cellStyle name="20% - Accent4 2 9" xfId="13535"/>
    <cellStyle name="20% - Accent4 2 9 10" xfId="13536"/>
    <cellStyle name="20% - Accent4 2 9 10 2" xfId="13537"/>
    <cellStyle name="20% - Accent4 2 9 11" xfId="13538"/>
    <cellStyle name="20% - Accent4 2 9 2" xfId="13539"/>
    <cellStyle name="20% - Accent4 2 9 2 10" xfId="13540"/>
    <cellStyle name="20% - Accent4 2 9 2 2" xfId="13541"/>
    <cellStyle name="20% - Accent4 2 9 2 2 2" xfId="13542"/>
    <cellStyle name="20% - Accent4 2 9 2 2 2 2" xfId="13543"/>
    <cellStyle name="20% - Accent4 2 9 2 2 2 2 2" xfId="13544"/>
    <cellStyle name="20% - Accent4 2 9 2 2 2 2 2 2" xfId="13545"/>
    <cellStyle name="20% - Accent4 2 9 2 2 2 2 3" xfId="13546"/>
    <cellStyle name="20% - Accent4 2 9 2 2 2 3" xfId="13547"/>
    <cellStyle name="20% - Accent4 2 9 2 2 2 3 2" xfId="13548"/>
    <cellStyle name="20% - Accent4 2 9 2 2 2 4" xfId="13549"/>
    <cellStyle name="20% - Accent4 2 9 2 2 3" xfId="13550"/>
    <cellStyle name="20% - Accent4 2 9 2 2 3 2" xfId="13551"/>
    <cellStyle name="20% - Accent4 2 9 2 2 3 2 2" xfId="13552"/>
    <cellStyle name="20% - Accent4 2 9 2 2 3 3" xfId="13553"/>
    <cellStyle name="20% - Accent4 2 9 2 2 4" xfId="13554"/>
    <cellStyle name="20% - Accent4 2 9 2 2 4 2" xfId="13555"/>
    <cellStyle name="20% - Accent4 2 9 2 2 5" xfId="13556"/>
    <cellStyle name="20% - Accent4 2 9 2 3" xfId="13557"/>
    <cellStyle name="20% - Accent4 2 9 2 3 2" xfId="13558"/>
    <cellStyle name="20% - Accent4 2 9 2 3 2 2" xfId="13559"/>
    <cellStyle name="20% - Accent4 2 9 2 3 2 2 2" xfId="13560"/>
    <cellStyle name="20% - Accent4 2 9 2 3 2 2 2 2" xfId="13561"/>
    <cellStyle name="20% - Accent4 2 9 2 3 2 2 3" xfId="13562"/>
    <cellStyle name="20% - Accent4 2 9 2 3 2 3" xfId="13563"/>
    <cellStyle name="20% - Accent4 2 9 2 3 2 3 2" xfId="13564"/>
    <cellStyle name="20% - Accent4 2 9 2 3 2 4" xfId="13565"/>
    <cellStyle name="20% - Accent4 2 9 2 3 3" xfId="13566"/>
    <cellStyle name="20% - Accent4 2 9 2 3 3 2" xfId="13567"/>
    <cellStyle name="20% - Accent4 2 9 2 3 3 2 2" xfId="13568"/>
    <cellStyle name="20% - Accent4 2 9 2 3 3 3" xfId="13569"/>
    <cellStyle name="20% - Accent4 2 9 2 3 4" xfId="13570"/>
    <cellStyle name="20% - Accent4 2 9 2 3 4 2" xfId="13571"/>
    <cellStyle name="20% - Accent4 2 9 2 3 5" xfId="13572"/>
    <cellStyle name="20% - Accent4 2 9 2 4" xfId="13573"/>
    <cellStyle name="20% - Accent4 2 9 2 4 2" xfId="13574"/>
    <cellStyle name="20% - Accent4 2 9 2 4 2 2" xfId="13575"/>
    <cellStyle name="20% - Accent4 2 9 2 4 2 2 2" xfId="13576"/>
    <cellStyle name="20% - Accent4 2 9 2 4 2 2 2 2" xfId="13577"/>
    <cellStyle name="20% - Accent4 2 9 2 4 2 2 3" xfId="13578"/>
    <cellStyle name="20% - Accent4 2 9 2 4 2 3" xfId="13579"/>
    <cellStyle name="20% - Accent4 2 9 2 4 2 3 2" xfId="13580"/>
    <cellStyle name="20% - Accent4 2 9 2 4 2 4" xfId="13581"/>
    <cellStyle name="20% - Accent4 2 9 2 4 3" xfId="13582"/>
    <cellStyle name="20% - Accent4 2 9 2 4 3 2" xfId="13583"/>
    <cellStyle name="20% - Accent4 2 9 2 4 3 2 2" xfId="13584"/>
    <cellStyle name="20% - Accent4 2 9 2 4 3 3" xfId="13585"/>
    <cellStyle name="20% - Accent4 2 9 2 4 4" xfId="13586"/>
    <cellStyle name="20% - Accent4 2 9 2 4 4 2" xfId="13587"/>
    <cellStyle name="20% - Accent4 2 9 2 4 5" xfId="13588"/>
    <cellStyle name="20% - Accent4 2 9 2 5" xfId="13589"/>
    <cellStyle name="20% - Accent4 2 9 2 5 2" xfId="13590"/>
    <cellStyle name="20% - Accent4 2 9 2 5 2 2" xfId="13591"/>
    <cellStyle name="20% - Accent4 2 9 2 5 2 2 2" xfId="13592"/>
    <cellStyle name="20% - Accent4 2 9 2 5 2 2 2 2" xfId="13593"/>
    <cellStyle name="20% - Accent4 2 9 2 5 2 2 3" xfId="13594"/>
    <cellStyle name="20% - Accent4 2 9 2 5 2 3" xfId="13595"/>
    <cellStyle name="20% - Accent4 2 9 2 5 2 3 2" xfId="13596"/>
    <cellStyle name="20% - Accent4 2 9 2 5 2 4" xfId="13597"/>
    <cellStyle name="20% - Accent4 2 9 2 5 3" xfId="13598"/>
    <cellStyle name="20% - Accent4 2 9 2 5 3 2" xfId="13599"/>
    <cellStyle name="20% - Accent4 2 9 2 5 3 2 2" xfId="13600"/>
    <cellStyle name="20% - Accent4 2 9 2 5 3 3" xfId="13601"/>
    <cellStyle name="20% - Accent4 2 9 2 5 4" xfId="13602"/>
    <cellStyle name="20% - Accent4 2 9 2 5 4 2" xfId="13603"/>
    <cellStyle name="20% - Accent4 2 9 2 5 5" xfId="13604"/>
    <cellStyle name="20% - Accent4 2 9 2 6" xfId="13605"/>
    <cellStyle name="20% - Accent4 2 9 2 6 2" xfId="13606"/>
    <cellStyle name="20% - Accent4 2 9 2 6 2 2" xfId="13607"/>
    <cellStyle name="20% - Accent4 2 9 2 6 2 2 2" xfId="13608"/>
    <cellStyle name="20% - Accent4 2 9 2 6 2 2 2 2" xfId="13609"/>
    <cellStyle name="20% - Accent4 2 9 2 6 2 2 3" xfId="13610"/>
    <cellStyle name="20% - Accent4 2 9 2 6 2 3" xfId="13611"/>
    <cellStyle name="20% - Accent4 2 9 2 6 2 3 2" xfId="13612"/>
    <cellStyle name="20% - Accent4 2 9 2 6 2 4" xfId="13613"/>
    <cellStyle name="20% - Accent4 2 9 2 6 3" xfId="13614"/>
    <cellStyle name="20% - Accent4 2 9 2 6 3 2" xfId="13615"/>
    <cellStyle name="20% - Accent4 2 9 2 6 3 2 2" xfId="13616"/>
    <cellStyle name="20% - Accent4 2 9 2 6 3 3" xfId="13617"/>
    <cellStyle name="20% - Accent4 2 9 2 6 4" xfId="13618"/>
    <cellStyle name="20% - Accent4 2 9 2 6 4 2" xfId="13619"/>
    <cellStyle name="20% - Accent4 2 9 2 6 5" xfId="13620"/>
    <cellStyle name="20% - Accent4 2 9 2 7" xfId="13621"/>
    <cellStyle name="20% - Accent4 2 9 2 7 2" xfId="13622"/>
    <cellStyle name="20% - Accent4 2 9 2 7 2 2" xfId="13623"/>
    <cellStyle name="20% - Accent4 2 9 2 7 2 2 2" xfId="13624"/>
    <cellStyle name="20% - Accent4 2 9 2 7 2 3" xfId="13625"/>
    <cellStyle name="20% - Accent4 2 9 2 7 3" xfId="13626"/>
    <cellStyle name="20% - Accent4 2 9 2 7 3 2" xfId="13627"/>
    <cellStyle name="20% - Accent4 2 9 2 7 4" xfId="13628"/>
    <cellStyle name="20% - Accent4 2 9 2 8" xfId="13629"/>
    <cellStyle name="20% - Accent4 2 9 2 8 2" xfId="13630"/>
    <cellStyle name="20% - Accent4 2 9 2 8 2 2" xfId="13631"/>
    <cellStyle name="20% - Accent4 2 9 2 8 3" xfId="13632"/>
    <cellStyle name="20% - Accent4 2 9 2 9" xfId="13633"/>
    <cellStyle name="20% - Accent4 2 9 2 9 2" xfId="13634"/>
    <cellStyle name="20% - Accent4 2 9 3" xfId="13635"/>
    <cellStyle name="20% - Accent4 2 9 3 2" xfId="13636"/>
    <cellStyle name="20% - Accent4 2 9 3 2 2" xfId="13637"/>
    <cellStyle name="20% - Accent4 2 9 3 2 2 2" xfId="13638"/>
    <cellStyle name="20% - Accent4 2 9 3 2 2 2 2" xfId="13639"/>
    <cellStyle name="20% - Accent4 2 9 3 2 2 3" xfId="13640"/>
    <cellStyle name="20% - Accent4 2 9 3 2 3" xfId="13641"/>
    <cellStyle name="20% - Accent4 2 9 3 2 3 2" xfId="13642"/>
    <cellStyle name="20% - Accent4 2 9 3 2 4" xfId="13643"/>
    <cellStyle name="20% - Accent4 2 9 3 3" xfId="13644"/>
    <cellStyle name="20% - Accent4 2 9 3 3 2" xfId="13645"/>
    <cellStyle name="20% - Accent4 2 9 3 3 2 2" xfId="13646"/>
    <cellStyle name="20% - Accent4 2 9 3 3 3" xfId="13647"/>
    <cellStyle name="20% - Accent4 2 9 3 4" xfId="13648"/>
    <cellStyle name="20% - Accent4 2 9 3 4 2" xfId="13649"/>
    <cellStyle name="20% - Accent4 2 9 3 5" xfId="13650"/>
    <cellStyle name="20% - Accent4 2 9 4" xfId="13651"/>
    <cellStyle name="20% - Accent4 2 9 4 2" xfId="13652"/>
    <cellStyle name="20% - Accent4 2 9 4 2 2" xfId="13653"/>
    <cellStyle name="20% - Accent4 2 9 4 2 2 2" xfId="13654"/>
    <cellStyle name="20% - Accent4 2 9 4 2 2 2 2" xfId="13655"/>
    <cellStyle name="20% - Accent4 2 9 4 2 2 3" xfId="13656"/>
    <cellStyle name="20% - Accent4 2 9 4 2 3" xfId="13657"/>
    <cellStyle name="20% - Accent4 2 9 4 2 3 2" xfId="13658"/>
    <cellStyle name="20% - Accent4 2 9 4 2 4" xfId="13659"/>
    <cellStyle name="20% - Accent4 2 9 4 3" xfId="13660"/>
    <cellStyle name="20% - Accent4 2 9 4 3 2" xfId="13661"/>
    <cellStyle name="20% - Accent4 2 9 4 3 2 2" xfId="13662"/>
    <cellStyle name="20% - Accent4 2 9 4 3 3" xfId="13663"/>
    <cellStyle name="20% - Accent4 2 9 4 4" xfId="13664"/>
    <cellStyle name="20% - Accent4 2 9 4 4 2" xfId="13665"/>
    <cellStyle name="20% - Accent4 2 9 4 5" xfId="13666"/>
    <cellStyle name="20% - Accent4 2 9 5" xfId="13667"/>
    <cellStyle name="20% - Accent4 2 9 5 2" xfId="13668"/>
    <cellStyle name="20% - Accent4 2 9 5 2 2" xfId="13669"/>
    <cellStyle name="20% - Accent4 2 9 5 2 2 2" xfId="13670"/>
    <cellStyle name="20% - Accent4 2 9 5 2 2 2 2" xfId="13671"/>
    <cellStyle name="20% - Accent4 2 9 5 2 2 3" xfId="13672"/>
    <cellStyle name="20% - Accent4 2 9 5 2 3" xfId="13673"/>
    <cellStyle name="20% - Accent4 2 9 5 2 3 2" xfId="13674"/>
    <cellStyle name="20% - Accent4 2 9 5 2 4" xfId="13675"/>
    <cellStyle name="20% - Accent4 2 9 5 3" xfId="13676"/>
    <cellStyle name="20% - Accent4 2 9 5 3 2" xfId="13677"/>
    <cellStyle name="20% - Accent4 2 9 5 3 2 2" xfId="13678"/>
    <cellStyle name="20% - Accent4 2 9 5 3 3" xfId="13679"/>
    <cellStyle name="20% - Accent4 2 9 5 4" xfId="13680"/>
    <cellStyle name="20% - Accent4 2 9 5 4 2" xfId="13681"/>
    <cellStyle name="20% - Accent4 2 9 5 5" xfId="13682"/>
    <cellStyle name="20% - Accent4 2 9 6" xfId="13683"/>
    <cellStyle name="20% - Accent4 2 9 6 2" xfId="13684"/>
    <cellStyle name="20% - Accent4 2 9 6 2 2" xfId="13685"/>
    <cellStyle name="20% - Accent4 2 9 6 2 2 2" xfId="13686"/>
    <cellStyle name="20% - Accent4 2 9 6 2 2 2 2" xfId="13687"/>
    <cellStyle name="20% - Accent4 2 9 6 2 2 3" xfId="13688"/>
    <cellStyle name="20% - Accent4 2 9 6 2 3" xfId="13689"/>
    <cellStyle name="20% - Accent4 2 9 6 2 3 2" xfId="13690"/>
    <cellStyle name="20% - Accent4 2 9 6 2 4" xfId="13691"/>
    <cellStyle name="20% - Accent4 2 9 6 3" xfId="13692"/>
    <cellStyle name="20% - Accent4 2 9 6 3 2" xfId="13693"/>
    <cellStyle name="20% - Accent4 2 9 6 3 2 2" xfId="13694"/>
    <cellStyle name="20% - Accent4 2 9 6 3 3" xfId="13695"/>
    <cellStyle name="20% - Accent4 2 9 6 4" xfId="13696"/>
    <cellStyle name="20% - Accent4 2 9 6 4 2" xfId="13697"/>
    <cellStyle name="20% - Accent4 2 9 6 5" xfId="13698"/>
    <cellStyle name="20% - Accent4 2 9 7" xfId="13699"/>
    <cellStyle name="20% - Accent4 2 9 7 2" xfId="13700"/>
    <cellStyle name="20% - Accent4 2 9 7 2 2" xfId="13701"/>
    <cellStyle name="20% - Accent4 2 9 7 2 2 2" xfId="13702"/>
    <cellStyle name="20% - Accent4 2 9 7 2 2 2 2" xfId="13703"/>
    <cellStyle name="20% - Accent4 2 9 7 2 2 3" xfId="13704"/>
    <cellStyle name="20% - Accent4 2 9 7 2 3" xfId="13705"/>
    <cellStyle name="20% - Accent4 2 9 7 2 3 2" xfId="13706"/>
    <cellStyle name="20% - Accent4 2 9 7 2 4" xfId="13707"/>
    <cellStyle name="20% - Accent4 2 9 7 3" xfId="13708"/>
    <cellStyle name="20% - Accent4 2 9 7 3 2" xfId="13709"/>
    <cellStyle name="20% - Accent4 2 9 7 3 2 2" xfId="13710"/>
    <cellStyle name="20% - Accent4 2 9 7 3 3" xfId="13711"/>
    <cellStyle name="20% - Accent4 2 9 7 4" xfId="13712"/>
    <cellStyle name="20% - Accent4 2 9 7 4 2" xfId="13713"/>
    <cellStyle name="20% - Accent4 2 9 7 5" xfId="13714"/>
    <cellStyle name="20% - Accent4 2 9 8" xfId="13715"/>
    <cellStyle name="20% - Accent4 2 9 8 2" xfId="13716"/>
    <cellStyle name="20% - Accent4 2 9 8 2 2" xfId="13717"/>
    <cellStyle name="20% - Accent4 2 9 8 2 2 2" xfId="13718"/>
    <cellStyle name="20% - Accent4 2 9 8 2 3" xfId="13719"/>
    <cellStyle name="20% - Accent4 2 9 8 3" xfId="13720"/>
    <cellStyle name="20% - Accent4 2 9 8 3 2" xfId="13721"/>
    <cellStyle name="20% - Accent4 2 9 8 4" xfId="13722"/>
    <cellStyle name="20% - Accent4 2 9 9" xfId="13723"/>
    <cellStyle name="20% - Accent4 2 9 9 2" xfId="13724"/>
    <cellStyle name="20% - Accent4 2 9 9 2 2" xfId="13725"/>
    <cellStyle name="20% - Accent4 2 9 9 3" xfId="13726"/>
    <cellStyle name="20% - Accent4 20" xfId="13727"/>
    <cellStyle name="20% - Accent4 20 2" xfId="13728"/>
    <cellStyle name="20% - Accent4 20 2 2" xfId="13729"/>
    <cellStyle name="20% - Accent4 20 2 2 2" xfId="13730"/>
    <cellStyle name="20% - Accent4 20 2 2 2 2" xfId="13731"/>
    <cellStyle name="20% - Accent4 20 2 2 3" xfId="13732"/>
    <cellStyle name="20% - Accent4 20 2 3" xfId="13733"/>
    <cellStyle name="20% - Accent4 20 2 3 2" xfId="13734"/>
    <cellStyle name="20% - Accent4 20 2 4" xfId="13735"/>
    <cellStyle name="20% - Accent4 20 3" xfId="13736"/>
    <cellStyle name="20% - Accent4 20 3 2" xfId="13737"/>
    <cellStyle name="20% - Accent4 20 3 2 2" xfId="13738"/>
    <cellStyle name="20% - Accent4 20 3 3" xfId="13739"/>
    <cellStyle name="20% - Accent4 20 4" xfId="13740"/>
    <cellStyle name="20% - Accent4 20 4 2" xfId="13741"/>
    <cellStyle name="20% - Accent4 20 5" xfId="13742"/>
    <cellStyle name="20% - Accent4 21" xfId="13743"/>
    <cellStyle name="20% - Accent4 21 2" xfId="13744"/>
    <cellStyle name="20% - Accent4 21 2 2" xfId="13745"/>
    <cellStyle name="20% - Accent4 21 2 2 2" xfId="13746"/>
    <cellStyle name="20% - Accent4 21 2 3" xfId="13747"/>
    <cellStyle name="20% - Accent4 21 3" xfId="13748"/>
    <cellStyle name="20% - Accent4 21 3 2" xfId="13749"/>
    <cellStyle name="20% - Accent4 21 4" xfId="13750"/>
    <cellStyle name="20% - Accent4 22" xfId="13751"/>
    <cellStyle name="20% - Accent4 22 2" xfId="13752"/>
    <cellStyle name="20% - Accent4 22 2 2" xfId="13753"/>
    <cellStyle name="20% - Accent4 22 3" xfId="13754"/>
    <cellStyle name="20% - Accent4 23" xfId="13755"/>
    <cellStyle name="20% - Accent4 23 2" xfId="13756"/>
    <cellStyle name="20% - Accent4 24" xfId="13757"/>
    <cellStyle name="20% - Accent4 3" xfId="13758"/>
    <cellStyle name="20% - Accent4 3 10" xfId="13759"/>
    <cellStyle name="20% - Accent4 3 10 2" xfId="13760"/>
    <cellStyle name="20% - Accent4 3 11" xfId="13761"/>
    <cellStyle name="20% - Accent4 3 2" xfId="13762"/>
    <cellStyle name="20% - Accent4 3 2 10" xfId="13763"/>
    <cellStyle name="20% - Accent4 3 2 2" xfId="13764"/>
    <cellStyle name="20% - Accent4 3 2 2 2" xfId="13765"/>
    <cellStyle name="20% - Accent4 3 2 2 2 2" xfId="13766"/>
    <cellStyle name="20% - Accent4 3 2 2 2 2 2" xfId="13767"/>
    <cellStyle name="20% - Accent4 3 2 2 2 2 2 2" xfId="13768"/>
    <cellStyle name="20% - Accent4 3 2 2 2 2 3" xfId="13769"/>
    <cellStyle name="20% - Accent4 3 2 2 2 3" xfId="13770"/>
    <cellStyle name="20% - Accent4 3 2 2 2 3 2" xfId="13771"/>
    <cellStyle name="20% - Accent4 3 2 2 2 4" xfId="13772"/>
    <cellStyle name="20% - Accent4 3 2 2 3" xfId="13773"/>
    <cellStyle name="20% - Accent4 3 2 2 3 2" xfId="13774"/>
    <cellStyle name="20% - Accent4 3 2 2 3 2 2" xfId="13775"/>
    <cellStyle name="20% - Accent4 3 2 2 3 3" xfId="13776"/>
    <cellStyle name="20% - Accent4 3 2 2 4" xfId="13777"/>
    <cellStyle name="20% - Accent4 3 2 2 4 2" xfId="13778"/>
    <cellStyle name="20% - Accent4 3 2 2 5" xfId="13779"/>
    <cellStyle name="20% - Accent4 3 2 3" xfId="13780"/>
    <cellStyle name="20% - Accent4 3 2 3 2" xfId="13781"/>
    <cellStyle name="20% - Accent4 3 2 3 2 2" xfId="13782"/>
    <cellStyle name="20% - Accent4 3 2 3 2 2 2" xfId="13783"/>
    <cellStyle name="20% - Accent4 3 2 3 2 2 2 2" xfId="13784"/>
    <cellStyle name="20% - Accent4 3 2 3 2 2 3" xfId="13785"/>
    <cellStyle name="20% - Accent4 3 2 3 2 3" xfId="13786"/>
    <cellStyle name="20% - Accent4 3 2 3 2 3 2" xfId="13787"/>
    <cellStyle name="20% - Accent4 3 2 3 2 4" xfId="13788"/>
    <cellStyle name="20% - Accent4 3 2 3 3" xfId="13789"/>
    <cellStyle name="20% - Accent4 3 2 3 3 2" xfId="13790"/>
    <cellStyle name="20% - Accent4 3 2 3 3 2 2" xfId="13791"/>
    <cellStyle name="20% - Accent4 3 2 3 3 3" xfId="13792"/>
    <cellStyle name="20% - Accent4 3 2 3 4" xfId="13793"/>
    <cellStyle name="20% - Accent4 3 2 3 4 2" xfId="13794"/>
    <cellStyle name="20% - Accent4 3 2 3 5" xfId="13795"/>
    <cellStyle name="20% - Accent4 3 2 4" xfId="13796"/>
    <cellStyle name="20% - Accent4 3 2 4 2" xfId="13797"/>
    <cellStyle name="20% - Accent4 3 2 4 2 2" xfId="13798"/>
    <cellStyle name="20% - Accent4 3 2 4 2 2 2" xfId="13799"/>
    <cellStyle name="20% - Accent4 3 2 4 2 2 2 2" xfId="13800"/>
    <cellStyle name="20% - Accent4 3 2 4 2 2 3" xfId="13801"/>
    <cellStyle name="20% - Accent4 3 2 4 2 3" xfId="13802"/>
    <cellStyle name="20% - Accent4 3 2 4 2 3 2" xfId="13803"/>
    <cellStyle name="20% - Accent4 3 2 4 2 4" xfId="13804"/>
    <cellStyle name="20% - Accent4 3 2 4 3" xfId="13805"/>
    <cellStyle name="20% - Accent4 3 2 4 3 2" xfId="13806"/>
    <cellStyle name="20% - Accent4 3 2 4 3 2 2" xfId="13807"/>
    <cellStyle name="20% - Accent4 3 2 4 3 3" xfId="13808"/>
    <cellStyle name="20% - Accent4 3 2 4 4" xfId="13809"/>
    <cellStyle name="20% - Accent4 3 2 4 4 2" xfId="13810"/>
    <cellStyle name="20% - Accent4 3 2 4 5" xfId="13811"/>
    <cellStyle name="20% - Accent4 3 2 5" xfId="13812"/>
    <cellStyle name="20% - Accent4 3 2 5 2" xfId="13813"/>
    <cellStyle name="20% - Accent4 3 2 5 2 2" xfId="13814"/>
    <cellStyle name="20% - Accent4 3 2 5 2 2 2" xfId="13815"/>
    <cellStyle name="20% - Accent4 3 2 5 2 2 2 2" xfId="13816"/>
    <cellStyle name="20% - Accent4 3 2 5 2 2 3" xfId="13817"/>
    <cellStyle name="20% - Accent4 3 2 5 2 3" xfId="13818"/>
    <cellStyle name="20% - Accent4 3 2 5 2 3 2" xfId="13819"/>
    <cellStyle name="20% - Accent4 3 2 5 2 4" xfId="13820"/>
    <cellStyle name="20% - Accent4 3 2 5 3" xfId="13821"/>
    <cellStyle name="20% - Accent4 3 2 5 3 2" xfId="13822"/>
    <cellStyle name="20% - Accent4 3 2 5 3 2 2" xfId="13823"/>
    <cellStyle name="20% - Accent4 3 2 5 3 3" xfId="13824"/>
    <cellStyle name="20% - Accent4 3 2 5 4" xfId="13825"/>
    <cellStyle name="20% - Accent4 3 2 5 4 2" xfId="13826"/>
    <cellStyle name="20% - Accent4 3 2 5 5" xfId="13827"/>
    <cellStyle name="20% - Accent4 3 2 6" xfId="13828"/>
    <cellStyle name="20% - Accent4 3 2 6 2" xfId="13829"/>
    <cellStyle name="20% - Accent4 3 2 6 2 2" xfId="13830"/>
    <cellStyle name="20% - Accent4 3 2 6 2 2 2" xfId="13831"/>
    <cellStyle name="20% - Accent4 3 2 6 2 2 2 2" xfId="13832"/>
    <cellStyle name="20% - Accent4 3 2 6 2 2 3" xfId="13833"/>
    <cellStyle name="20% - Accent4 3 2 6 2 3" xfId="13834"/>
    <cellStyle name="20% - Accent4 3 2 6 2 3 2" xfId="13835"/>
    <cellStyle name="20% - Accent4 3 2 6 2 4" xfId="13836"/>
    <cellStyle name="20% - Accent4 3 2 6 3" xfId="13837"/>
    <cellStyle name="20% - Accent4 3 2 6 3 2" xfId="13838"/>
    <cellStyle name="20% - Accent4 3 2 6 3 2 2" xfId="13839"/>
    <cellStyle name="20% - Accent4 3 2 6 3 3" xfId="13840"/>
    <cellStyle name="20% - Accent4 3 2 6 4" xfId="13841"/>
    <cellStyle name="20% - Accent4 3 2 6 4 2" xfId="13842"/>
    <cellStyle name="20% - Accent4 3 2 6 5" xfId="13843"/>
    <cellStyle name="20% - Accent4 3 2 7" xfId="13844"/>
    <cellStyle name="20% - Accent4 3 2 7 2" xfId="13845"/>
    <cellStyle name="20% - Accent4 3 2 7 2 2" xfId="13846"/>
    <cellStyle name="20% - Accent4 3 2 7 2 2 2" xfId="13847"/>
    <cellStyle name="20% - Accent4 3 2 7 2 3" xfId="13848"/>
    <cellStyle name="20% - Accent4 3 2 7 3" xfId="13849"/>
    <cellStyle name="20% - Accent4 3 2 7 3 2" xfId="13850"/>
    <cellStyle name="20% - Accent4 3 2 7 4" xfId="13851"/>
    <cellStyle name="20% - Accent4 3 2 8" xfId="13852"/>
    <cellStyle name="20% - Accent4 3 2 8 2" xfId="13853"/>
    <cellStyle name="20% - Accent4 3 2 8 2 2" xfId="13854"/>
    <cellStyle name="20% - Accent4 3 2 8 3" xfId="13855"/>
    <cellStyle name="20% - Accent4 3 2 9" xfId="13856"/>
    <cellStyle name="20% - Accent4 3 2 9 2" xfId="13857"/>
    <cellStyle name="20% - Accent4 3 3" xfId="13858"/>
    <cellStyle name="20% - Accent4 3 3 2" xfId="13859"/>
    <cellStyle name="20% - Accent4 3 3 2 2" xfId="13860"/>
    <cellStyle name="20% - Accent4 3 3 2 2 2" xfId="13861"/>
    <cellStyle name="20% - Accent4 3 3 2 2 2 2" xfId="13862"/>
    <cellStyle name="20% - Accent4 3 3 2 2 3" xfId="13863"/>
    <cellStyle name="20% - Accent4 3 3 2 3" xfId="13864"/>
    <cellStyle name="20% - Accent4 3 3 2 3 2" xfId="13865"/>
    <cellStyle name="20% - Accent4 3 3 2 4" xfId="13866"/>
    <cellStyle name="20% - Accent4 3 3 3" xfId="13867"/>
    <cellStyle name="20% - Accent4 3 3 3 2" xfId="13868"/>
    <cellStyle name="20% - Accent4 3 3 3 2 2" xfId="13869"/>
    <cellStyle name="20% - Accent4 3 3 3 3" xfId="13870"/>
    <cellStyle name="20% - Accent4 3 3 4" xfId="13871"/>
    <cellStyle name="20% - Accent4 3 3 4 2" xfId="13872"/>
    <cellStyle name="20% - Accent4 3 3 5" xfId="13873"/>
    <cellStyle name="20% - Accent4 3 4" xfId="13874"/>
    <cellStyle name="20% - Accent4 3 4 2" xfId="13875"/>
    <cellStyle name="20% - Accent4 3 4 2 2" xfId="13876"/>
    <cellStyle name="20% - Accent4 3 4 2 2 2" xfId="13877"/>
    <cellStyle name="20% - Accent4 3 4 2 2 2 2" xfId="13878"/>
    <cellStyle name="20% - Accent4 3 4 2 2 3" xfId="13879"/>
    <cellStyle name="20% - Accent4 3 4 2 3" xfId="13880"/>
    <cellStyle name="20% - Accent4 3 4 2 3 2" xfId="13881"/>
    <cellStyle name="20% - Accent4 3 4 2 4" xfId="13882"/>
    <cellStyle name="20% - Accent4 3 4 3" xfId="13883"/>
    <cellStyle name="20% - Accent4 3 4 3 2" xfId="13884"/>
    <cellStyle name="20% - Accent4 3 4 3 2 2" xfId="13885"/>
    <cellStyle name="20% - Accent4 3 4 3 3" xfId="13886"/>
    <cellStyle name="20% - Accent4 3 4 4" xfId="13887"/>
    <cellStyle name="20% - Accent4 3 4 4 2" xfId="13888"/>
    <cellStyle name="20% - Accent4 3 4 5" xfId="13889"/>
    <cellStyle name="20% - Accent4 3 5" xfId="13890"/>
    <cellStyle name="20% - Accent4 3 5 2" xfId="13891"/>
    <cellStyle name="20% - Accent4 3 5 2 2" xfId="13892"/>
    <cellStyle name="20% - Accent4 3 5 2 2 2" xfId="13893"/>
    <cellStyle name="20% - Accent4 3 5 2 2 2 2" xfId="13894"/>
    <cellStyle name="20% - Accent4 3 5 2 2 3" xfId="13895"/>
    <cellStyle name="20% - Accent4 3 5 2 3" xfId="13896"/>
    <cellStyle name="20% - Accent4 3 5 2 3 2" xfId="13897"/>
    <cellStyle name="20% - Accent4 3 5 2 4" xfId="13898"/>
    <cellStyle name="20% - Accent4 3 5 3" xfId="13899"/>
    <cellStyle name="20% - Accent4 3 5 3 2" xfId="13900"/>
    <cellStyle name="20% - Accent4 3 5 3 2 2" xfId="13901"/>
    <cellStyle name="20% - Accent4 3 5 3 3" xfId="13902"/>
    <cellStyle name="20% - Accent4 3 5 4" xfId="13903"/>
    <cellStyle name="20% - Accent4 3 5 4 2" xfId="13904"/>
    <cellStyle name="20% - Accent4 3 5 5" xfId="13905"/>
    <cellStyle name="20% - Accent4 3 6" xfId="13906"/>
    <cellStyle name="20% - Accent4 3 6 2" xfId="13907"/>
    <cellStyle name="20% - Accent4 3 6 2 2" xfId="13908"/>
    <cellStyle name="20% - Accent4 3 6 2 2 2" xfId="13909"/>
    <cellStyle name="20% - Accent4 3 6 2 2 2 2" xfId="13910"/>
    <cellStyle name="20% - Accent4 3 6 2 2 3" xfId="13911"/>
    <cellStyle name="20% - Accent4 3 6 2 3" xfId="13912"/>
    <cellStyle name="20% - Accent4 3 6 2 3 2" xfId="13913"/>
    <cellStyle name="20% - Accent4 3 6 2 4" xfId="13914"/>
    <cellStyle name="20% - Accent4 3 6 3" xfId="13915"/>
    <cellStyle name="20% - Accent4 3 6 3 2" xfId="13916"/>
    <cellStyle name="20% - Accent4 3 6 3 2 2" xfId="13917"/>
    <cellStyle name="20% - Accent4 3 6 3 3" xfId="13918"/>
    <cellStyle name="20% - Accent4 3 6 4" xfId="13919"/>
    <cellStyle name="20% - Accent4 3 6 4 2" xfId="13920"/>
    <cellStyle name="20% - Accent4 3 6 5" xfId="13921"/>
    <cellStyle name="20% - Accent4 3 7" xfId="13922"/>
    <cellStyle name="20% - Accent4 3 7 2" xfId="13923"/>
    <cellStyle name="20% - Accent4 3 7 2 2" xfId="13924"/>
    <cellStyle name="20% - Accent4 3 7 2 2 2" xfId="13925"/>
    <cellStyle name="20% - Accent4 3 7 2 2 2 2" xfId="13926"/>
    <cellStyle name="20% - Accent4 3 7 2 2 3" xfId="13927"/>
    <cellStyle name="20% - Accent4 3 7 2 3" xfId="13928"/>
    <cellStyle name="20% - Accent4 3 7 2 3 2" xfId="13929"/>
    <cellStyle name="20% - Accent4 3 7 2 4" xfId="13930"/>
    <cellStyle name="20% - Accent4 3 7 3" xfId="13931"/>
    <cellStyle name="20% - Accent4 3 7 3 2" xfId="13932"/>
    <cellStyle name="20% - Accent4 3 7 3 2 2" xfId="13933"/>
    <cellStyle name="20% - Accent4 3 7 3 3" xfId="13934"/>
    <cellStyle name="20% - Accent4 3 7 4" xfId="13935"/>
    <cellStyle name="20% - Accent4 3 7 4 2" xfId="13936"/>
    <cellStyle name="20% - Accent4 3 7 5" xfId="13937"/>
    <cellStyle name="20% - Accent4 3 8" xfId="13938"/>
    <cellStyle name="20% - Accent4 3 8 2" xfId="13939"/>
    <cellStyle name="20% - Accent4 3 8 2 2" xfId="13940"/>
    <cellStyle name="20% - Accent4 3 8 2 2 2" xfId="13941"/>
    <cellStyle name="20% - Accent4 3 8 2 3" xfId="13942"/>
    <cellStyle name="20% - Accent4 3 8 3" xfId="13943"/>
    <cellStyle name="20% - Accent4 3 8 3 2" xfId="13944"/>
    <cellStyle name="20% - Accent4 3 8 4" xfId="13945"/>
    <cellStyle name="20% - Accent4 3 9" xfId="13946"/>
    <cellStyle name="20% - Accent4 3 9 2" xfId="13947"/>
    <cellStyle name="20% - Accent4 3 9 2 2" xfId="13948"/>
    <cellStyle name="20% - Accent4 3 9 3" xfId="13949"/>
    <cellStyle name="20% - Accent4 4" xfId="13950"/>
    <cellStyle name="20% - Accent4 4 10" xfId="13951"/>
    <cellStyle name="20% - Accent4 4 10 2" xfId="13952"/>
    <cellStyle name="20% - Accent4 4 11" xfId="13953"/>
    <cellStyle name="20% - Accent4 4 2" xfId="13954"/>
    <cellStyle name="20% - Accent4 4 2 10" xfId="13955"/>
    <cellStyle name="20% - Accent4 4 2 2" xfId="13956"/>
    <cellStyle name="20% - Accent4 4 2 2 2" xfId="13957"/>
    <cellStyle name="20% - Accent4 4 2 2 2 2" xfId="13958"/>
    <cellStyle name="20% - Accent4 4 2 2 2 2 2" xfId="13959"/>
    <cellStyle name="20% - Accent4 4 2 2 2 2 2 2" xfId="13960"/>
    <cellStyle name="20% - Accent4 4 2 2 2 2 3" xfId="13961"/>
    <cellStyle name="20% - Accent4 4 2 2 2 3" xfId="13962"/>
    <cellStyle name="20% - Accent4 4 2 2 2 3 2" xfId="13963"/>
    <cellStyle name="20% - Accent4 4 2 2 2 4" xfId="13964"/>
    <cellStyle name="20% - Accent4 4 2 2 3" xfId="13965"/>
    <cellStyle name="20% - Accent4 4 2 2 3 2" xfId="13966"/>
    <cellStyle name="20% - Accent4 4 2 2 3 2 2" xfId="13967"/>
    <cellStyle name="20% - Accent4 4 2 2 3 3" xfId="13968"/>
    <cellStyle name="20% - Accent4 4 2 2 4" xfId="13969"/>
    <cellStyle name="20% - Accent4 4 2 2 4 2" xfId="13970"/>
    <cellStyle name="20% - Accent4 4 2 2 5" xfId="13971"/>
    <cellStyle name="20% - Accent4 4 2 3" xfId="13972"/>
    <cellStyle name="20% - Accent4 4 2 3 2" xfId="13973"/>
    <cellStyle name="20% - Accent4 4 2 3 2 2" xfId="13974"/>
    <cellStyle name="20% - Accent4 4 2 3 2 2 2" xfId="13975"/>
    <cellStyle name="20% - Accent4 4 2 3 2 2 2 2" xfId="13976"/>
    <cellStyle name="20% - Accent4 4 2 3 2 2 3" xfId="13977"/>
    <cellStyle name="20% - Accent4 4 2 3 2 3" xfId="13978"/>
    <cellStyle name="20% - Accent4 4 2 3 2 3 2" xfId="13979"/>
    <cellStyle name="20% - Accent4 4 2 3 2 4" xfId="13980"/>
    <cellStyle name="20% - Accent4 4 2 3 3" xfId="13981"/>
    <cellStyle name="20% - Accent4 4 2 3 3 2" xfId="13982"/>
    <cellStyle name="20% - Accent4 4 2 3 3 2 2" xfId="13983"/>
    <cellStyle name="20% - Accent4 4 2 3 3 3" xfId="13984"/>
    <cellStyle name="20% - Accent4 4 2 3 4" xfId="13985"/>
    <cellStyle name="20% - Accent4 4 2 3 4 2" xfId="13986"/>
    <cellStyle name="20% - Accent4 4 2 3 5" xfId="13987"/>
    <cellStyle name="20% - Accent4 4 2 4" xfId="13988"/>
    <cellStyle name="20% - Accent4 4 2 4 2" xfId="13989"/>
    <cellStyle name="20% - Accent4 4 2 4 2 2" xfId="13990"/>
    <cellStyle name="20% - Accent4 4 2 4 2 2 2" xfId="13991"/>
    <cellStyle name="20% - Accent4 4 2 4 2 2 2 2" xfId="13992"/>
    <cellStyle name="20% - Accent4 4 2 4 2 2 3" xfId="13993"/>
    <cellStyle name="20% - Accent4 4 2 4 2 3" xfId="13994"/>
    <cellStyle name="20% - Accent4 4 2 4 2 3 2" xfId="13995"/>
    <cellStyle name="20% - Accent4 4 2 4 2 4" xfId="13996"/>
    <cellStyle name="20% - Accent4 4 2 4 3" xfId="13997"/>
    <cellStyle name="20% - Accent4 4 2 4 3 2" xfId="13998"/>
    <cellStyle name="20% - Accent4 4 2 4 3 2 2" xfId="13999"/>
    <cellStyle name="20% - Accent4 4 2 4 3 3" xfId="14000"/>
    <cellStyle name="20% - Accent4 4 2 4 4" xfId="14001"/>
    <cellStyle name="20% - Accent4 4 2 4 4 2" xfId="14002"/>
    <cellStyle name="20% - Accent4 4 2 4 5" xfId="14003"/>
    <cellStyle name="20% - Accent4 4 2 5" xfId="14004"/>
    <cellStyle name="20% - Accent4 4 2 5 2" xfId="14005"/>
    <cellStyle name="20% - Accent4 4 2 5 2 2" xfId="14006"/>
    <cellStyle name="20% - Accent4 4 2 5 2 2 2" xfId="14007"/>
    <cellStyle name="20% - Accent4 4 2 5 2 2 2 2" xfId="14008"/>
    <cellStyle name="20% - Accent4 4 2 5 2 2 3" xfId="14009"/>
    <cellStyle name="20% - Accent4 4 2 5 2 3" xfId="14010"/>
    <cellStyle name="20% - Accent4 4 2 5 2 3 2" xfId="14011"/>
    <cellStyle name="20% - Accent4 4 2 5 2 4" xfId="14012"/>
    <cellStyle name="20% - Accent4 4 2 5 3" xfId="14013"/>
    <cellStyle name="20% - Accent4 4 2 5 3 2" xfId="14014"/>
    <cellStyle name="20% - Accent4 4 2 5 3 2 2" xfId="14015"/>
    <cellStyle name="20% - Accent4 4 2 5 3 3" xfId="14016"/>
    <cellStyle name="20% - Accent4 4 2 5 4" xfId="14017"/>
    <cellStyle name="20% - Accent4 4 2 5 4 2" xfId="14018"/>
    <cellStyle name="20% - Accent4 4 2 5 5" xfId="14019"/>
    <cellStyle name="20% - Accent4 4 2 6" xfId="14020"/>
    <cellStyle name="20% - Accent4 4 2 6 2" xfId="14021"/>
    <cellStyle name="20% - Accent4 4 2 6 2 2" xfId="14022"/>
    <cellStyle name="20% - Accent4 4 2 6 2 2 2" xfId="14023"/>
    <cellStyle name="20% - Accent4 4 2 6 2 2 2 2" xfId="14024"/>
    <cellStyle name="20% - Accent4 4 2 6 2 2 3" xfId="14025"/>
    <cellStyle name="20% - Accent4 4 2 6 2 3" xfId="14026"/>
    <cellStyle name="20% - Accent4 4 2 6 2 3 2" xfId="14027"/>
    <cellStyle name="20% - Accent4 4 2 6 2 4" xfId="14028"/>
    <cellStyle name="20% - Accent4 4 2 6 3" xfId="14029"/>
    <cellStyle name="20% - Accent4 4 2 6 3 2" xfId="14030"/>
    <cellStyle name="20% - Accent4 4 2 6 3 2 2" xfId="14031"/>
    <cellStyle name="20% - Accent4 4 2 6 3 3" xfId="14032"/>
    <cellStyle name="20% - Accent4 4 2 6 4" xfId="14033"/>
    <cellStyle name="20% - Accent4 4 2 6 4 2" xfId="14034"/>
    <cellStyle name="20% - Accent4 4 2 6 5" xfId="14035"/>
    <cellStyle name="20% - Accent4 4 2 7" xfId="14036"/>
    <cellStyle name="20% - Accent4 4 2 7 2" xfId="14037"/>
    <cellStyle name="20% - Accent4 4 2 7 2 2" xfId="14038"/>
    <cellStyle name="20% - Accent4 4 2 7 2 2 2" xfId="14039"/>
    <cellStyle name="20% - Accent4 4 2 7 2 3" xfId="14040"/>
    <cellStyle name="20% - Accent4 4 2 7 3" xfId="14041"/>
    <cellStyle name="20% - Accent4 4 2 7 3 2" xfId="14042"/>
    <cellStyle name="20% - Accent4 4 2 7 4" xfId="14043"/>
    <cellStyle name="20% - Accent4 4 2 8" xfId="14044"/>
    <cellStyle name="20% - Accent4 4 2 8 2" xfId="14045"/>
    <cellStyle name="20% - Accent4 4 2 8 2 2" xfId="14046"/>
    <cellStyle name="20% - Accent4 4 2 8 3" xfId="14047"/>
    <cellStyle name="20% - Accent4 4 2 9" xfId="14048"/>
    <cellStyle name="20% - Accent4 4 2 9 2" xfId="14049"/>
    <cellStyle name="20% - Accent4 4 3" xfId="14050"/>
    <cellStyle name="20% - Accent4 4 3 2" xfId="14051"/>
    <cellStyle name="20% - Accent4 4 3 2 2" xfId="14052"/>
    <cellStyle name="20% - Accent4 4 3 2 2 2" xfId="14053"/>
    <cellStyle name="20% - Accent4 4 3 2 2 2 2" xfId="14054"/>
    <cellStyle name="20% - Accent4 4 3 2 2 3" xfId="14055"/>
    <cellStyle name="20% - Accent4 4 3 2 3" xfId="14056"/>
    <cellStyle name="20% - Accent4 4 3 2 3 2" xfId="14057"/>
    <cellStyle name="20% - Accent4 4 3 2 4" xfId="14058"/>
    <cellStyle name="20% - Accent4 4 3 3" xfId="14059"/>
    <cellStyle name="20% - Accent4 4 3 3 2" xfId="14060"/>
    <cellStyle name="20% - Accent4 4 3 3 2 2" xfId="14061"/>
    <cellStyle name="20% - Accent4 4 3 3 3" xfId="14062"/>
    <cellStyle name="20% - Accent4 4 3 4" xfId="14063"/>
    <cellStyle name="20% - Accent4 4 3 4 2" xfId="14064"/>
    <cellStyle name="20% - Accent4 4 3 5" xfId="14065"/>
    <cellStyle name="20% - Accent4 4 4" xfId="14066"/>
    <cellStyle name="20% - Accent4 4 4 2" xfId="14067"/>
    <cellStyle name="20% - Accent4 4 4 2 2" xfId="14068"/>
    <cellStyle name="20% - Accent4 4 4 2 2 2" xfId="14069"/>
    <cellStyle name="20% - Accent4 4 4 2 2 2 2" xfId="14070"/>
    <cellStyle name="20% - Accent4 4 4 2 2 3" xfId="14071"/>
    <cellStyle name="20% - Accent4 4 4 2 3" xfId="14072"/>
    <cellStyle name="20% - Accent4 4 4 2 3 2" xfId="14073"/>
    <cellStyle name="20% - Accent4 4 4 2 4" xfId="14074"/>
    <cellStyle name="20% - Accent4 4 4 3" xfId="14075"/>
    <cellStyle name="20% - Accent4 4 4 3 2" xfId="14076"/>
    <cellStyle name="20% - Accent4 4 4 3 2 2" xfId="14077"/>
    <cellStyle name="20% - Accent4 4 4 3 3" xfId="14078"/>
    <cellStyle name="20% - Accent4 4 4 4" xfId="14079"/>
    <cellStyle name="20% - Accent4 4 4 4 2" xfId="14080"/>
    <cellStyle name="20% - Accent4 4 4 5" xfId="14081"/>
    <cellStyle name="20% - Accent4 4 5" xfId="14082"/>
    <cellStyle name="20% - Accent4 4 5 2" xfId="14083"/>
    <cellStyle name="20% - Accent4 4 5 2 2" xfId="14084"/>
    <cellStyle name="20% - Accent4 4 5 2 2 2" xfId="14085"/>
    <cellStyle name="20% - Accent4 4 5 2 2 2 2" xfId="14086"/>
    <cellStyle name="20% - Accent4 4 5 2 2 3" xfId="14087"/>
    <cellStyle name="20% - Accent4 4 5 2 3" xfId="14088"/>
    <cellStyle name="20% - Accent4 4 5 2 3 2" xfId="14089"/>
    <cellStyle name="20% - Accent4 4 5 2 4" xfId="14090"/>
    <cellStyle name="20% - Accent4 4 5 3" xfId="14091"/>
    <cellStyle name="20% - Accent4 4 5 3 2" xfId="14092"/>
    <cellStyle name="20% - Accent4 4 5 3 2 2" xfId="14093"/>
    <cellStyle name="20% - Accent4 4 5 3 3" xfId="14094"/>
    <cellStyle name="20% - Accent4 4 5 4" xfId="14095"/>
    <cellStyle name="20% - Accent4 4 5 4 2" xfId="14096"/>
    <cellStyle name="20% - Accent4 4 5 5" xfId="14097"/>
    <cellStyle name="20% - Accent4 4 6" xfId="14098"/>
    <cellStyle name="20% - Accent4 4 6 2" xfId="14099"/>
    <cellStyle name="20% - Accent4 4 6 2 2" xfId="14100"/>
    <cellStyle name="20% - Accent4 4 6 2 2 2" xfId="14101"/>
    <cellStyle name="20% - Accent4 4 6 2 2 2 2" xfId="14102"/>
    <cellStyle name="20% - Accent4 4 6 2 2 3" xfId="14103"/>
    <cellStyle name="20% - Accent4 4 6 2 3" xfId="14104"/>
    <cellStyle name="20% - Accent4 4 6 2 3 2" xfId="14105"/>
    <cellStyle name="20% - Accent4 4 6 2 4" xfId="14106"/>
    <cellStyle name="20% - Accent4 4 6 3" xfId="14107"/>
    <cellStyle name="20% - Accent4 4 6 3 2" xfId="14108"/>
    <cellStyle name="20% - Accent4 4 6 3 2 2" xfId="14109"/>
    <cellStyle name="20% - Accent4 4 6 3 3" xfId="14110"/>
    <cellStyle name="20% - Accent4 4 6 4" xfId="14111"/>
    <cellStyle name="20% - Accent4 4 6 4 2" xfId="14112"/>
    <cellStyle name="20% - Accent4 4 6 5" xfId="14113"/>
    <cellStyle name="20% - Accent4 4 7" xfId="14114"/>
    <cellStyle name="20% - Accent4 4 7 2" xfId="14115"/>
    <cellStyle name="20% - Accent4 4 7 2 2" xfId="14116"/>
    <cellStyle name="20% - Accent4 4 7 2 2 2" xfId="14117"/>
    <cellStyle name="20% - Accent4 4 7 2 2 2 2" xfId="14118"/>
    <cellStyle name="20% - Accent4 4 7 2 2 3" xfId="14119"/>
    <cellStyle name="20% - Accent4 4 7 2 3" xfId="14120"/>
    <cellStyle name="20% - Accent4 4 7 2 3 2" xfId="14121"/>
    <cellStyle name="20% - Accent4 4 7 2 4" xfId="14122"/>
    <cellStyle name="20% - Accent4 4 7 3" xfId="14123"/>
    <cellStyle name="20% - Accent4 4 7 3 2" xfId="14124"/>
    <cellStyle name="20% - Accent4 4 7 3 2 2" xfId="14125"/>
    <cellStyle name="20% - Accent4 4 7 3 3" xfId="14126"/>
    <cellStyle name="20% - Accent4 4 7 4" xfId="14127"/>
    <cellStyle name="20% - Accent4 4 7 4 2" xfId="14128"/>
    <cellStyle name="20% - Accent4 4 7 5" xfId="14129"/>
    <cellStyle name="20% - Accent4 4 8" xfId="14130"/>
    <cellStyle name="20% - Accent4 4 8 2" xfId="14131"/>
    <cellStyle name="20% - Accent4 4 8 2 2" xfId="14132"/>
    <cellStyle name="20% - Accent4 4 8 2 2 2" xfId="14133"/>
    <cellStyle name="20% - Accent4 4 8 2 3" xfId="14134"/>
    <cellStyle name="20% - Accent4 4 8 3" xfId="14135"/>
    <cellStyle name="20% - Accent4 4 8 3 2" xfId="14136"/>
    <cellStyle name="20% - Accent4 4 8 4" xfId="14137"/>
    <cellStyle name="20% - Accent4 4 9" xfId="14138"/>
    <cellStyle name="20% - Accent4 4 9 2" xfId="14139"/>
    <cellStyle name="20% - Accent4 4 9 2 2" xfId="14140"/>
    <cellStyle name="20% - Accent4 4 9 3" xfId="14141"/>
    <cellStyle name="20% - Accent4 5" xfId="14142"/>
    <cellStyle name="20% - Accent4 5 10" xfId="14143"/>
    <cellStyle name="20% - Accent4 5 10 2" xfId="14144"/>
    <cellStyle name="20% - Accent4 5 11" xfId="14145"/>
    <cellStyle name="20% - Accent4 5 2" xfId="14146"/>
    <cellStyle name="20% - Accent4 5 2 10" xfId="14147"/>
    <cellStyle name="20% - Accent4 5 2 2" xfId="14148"/>
    <cellStyle name="20% - Accent4 5 2 2 2" xfId="14149"/>
    <cellStyle name="20% - Accent4 5 2 2 2 2" xfId="14150"/>
    <cellStyle name="20% - Accent4 5 2 2 2 2 2" xfId="14151"/>
    <cellStyle name="20% - Accent4 5 2 2 2 2 2 2" xfId="14152"/>
    <cellStyle name="20% - Accent4 5 2 2 2 2 3" xfId="14153"/>
    <cellStyle name="20% - Accent4 5 2 2 2 3" xfId="14154"/>
    <cellStyle name="20% - Accent4 5 2 2 2 3 2" xfId="14155"/>
    <cellStyle name="20% - Accent4 5 2 2 2 4" xfId="14156"/>
    <cellStyle name="20% - Accent4 5 2 2 3" xfId="14157"/>
    <cellStyle name="20% - Accent4 5 2 2 3 2" xfId="14158"/>
    <cellStyle name="20% - Accent4 5 2 2 3 2 2" xfId="14159"/>
    <cellStyle name="20% - Accent4 5 2 2 3 3" xfId="14160"/>
    <cellStyle name="20% - Accent4 5 2 2 4" xfId="14161"/>
    <cellStyle name="20% - Accent4 5 2 2 4 2" xfId="14162"/>
    <cellStyle name="20% - Accent4 5 2 2 5" xfId="14163"/>
    <cellStyle name="20% - Accent4 5 2 3" xfId="14164"/>
    <cellStyle name="20% - Accent4 5 2 3 2" xfId="14165"/>
    <cellStyle name="20% - Accent4 5 2 3 2 2" xfId="14166"/>
    <cellStyle name="20% - Accent4 5 2 3 2 2 2" xfId="14167"/>
    <cellStyle name="20% - Accent4 5 2 3 2 2 2 2" xfId="14168"/>
    <cellStyle name="20% - Accent4 5 2 3 2 2 3" xfId="14169"/>
    <cellStyle name="20% - Accent4 5 2 3 2 3" xfId="14170"/>
    <cellStyle name="20% - Accent4 5 2 3 2 3 2" xfId="14171"/>
    <cellStyle name="20% - Accent4 5 2 3 2 4" xfId="14172"/>
    <cellStyle name="20% - Accent4 5 2 3 3" xfId="14173"/>
    <cellStyle name="20% - Accent4 5 2 3 3 2" xfId="14174"/>
    <cellStyle name="20% - Accent4 5 2 3 3 2 2" xfId="14175"/>
    <cellStyle name="20% - Accent4 5 2 3 3 3" xfId="14176"/>
    <cellStyle name="20% - Accent4 5 2 3 4" xfId="14177"/>
    <cellStyle name="20% - Accent4 5 2 3 4 2" xfId="14178"/>
    <cellStyle name="20% - Accent4 5 2 3 5" xfId="14179"/>
    <cellStyle name="20% - Accent4 5 2 4" xfId="14180"/>
    <cellStyle name="20% - Accent4 5 2 4 2" xfId="14181"/>
    <cellStyle name="20% - Accent4 5 2 4 2 2" xfId="14182"/>
    <cellStyle name="20% - Accent4 5 2 4 2 2 2" xfId="14183"/>
    <cellStyle name="20% - Accent4 5 2 4 2 2 2 2" xfId="14184"/>
    <cellStyle name="20% - Accent4 5 2 4 2 2 3" xfId="14185"/>
    <cellStyle name="20% - Accent4 5 2 4 2 3" xfId="14186"/>
    <cellStyle name="20% - Accent4 5 2 4 2 3 2" xfId="14187"/>
    <cellStyle name="20% - Accent4 5 2 4 2 4" xfId="14188"/>
    <cellStyle name="20% - Accent4 5 2 4 3" xfId="14189"/>
    <cellStyle name="20% - Accent4 5 2 4 3 2" xfId="14190"/>
    <cellStyle name="20% - Accent4 5 2 4 3 2 2" xfId="14191"/>
    <cellStyle name="20% - Accent4 5 2 4 3 3" xfId="14192"/>
    <cellStyle name="20% - Accent4 5 2 4 4" xfId="14193"/>
    <cellStyle name="20% - Accent4 5 2 4 4 2" xfId="14194"/>
    <cellStyle name="20% - Accent4 5 2 4 5" xfId="14195"/>
    <cellStyle name="20% - Accent4 5 2 5" xfId="14196"/>
    <cellStyle name="20% - Accent4 5 2 5 2" xfId="14197"/>
    <cellStyle name="20% - Accent4 5 2 5 2 2" xfId="14198"/>
    <cellStyle name="20% - Accent4 5 2 5 2 2 2" xfId="14199"/>
    <cellStyle name="20% - Accent4 5 2 5 2 2 2 2" xfId="14200"/>
    <cellStyle name="20% - Accent4 5 2 5 2 2 3" xfId="14201"/>
    <cellStyle name="20% - Accent4 5 2 5 2 3" xfId="14202"/>
    <cellStyle name="20% - Accent4 5 2 5 2 3 2" xfId="14203"/>
    <cellStyle name="20% - Accent4 5 2 5 2 4" xfId="14204"/>
    <cellStyle name="20% - Accent4 5 2 5 3" xfId="14205"/>
    <cellStyle name="20% - Accent4 5 2 5 3 2" xfId="14206"/>
    <cellStyle name="20% - Accent4 5 2 5 3 2 2" xfId="14207"/>
    <cellStyle name="20% - Accent4 5 2 5 3 3" xfId="14208"/>
    <cellStyle name="20% - Accent4 5 2 5 4" xfId="14209"/>
    <cellStyle name="20% - Accent4 5 2 5 4 2" xfId="14210"/>
    <cellStyle name="20% - Accent4 5 2 5 5" xfId="14211"/>
    <cellStyle name="20% - Accent4 5 2 6" xfId="14212"/>
    <cellStyle name="20% - Accent4 5 2 6 2" xfId="14213"/>
    <cellStyle name="20% - Accent4 5 2 6 2 2" xfId="14214"/>
    <cellStyle name="20% - Accent4 5 2 6 2 2 2" xfId="14215"/>
    <cellStyle name="20% - Accent4 5 2 6 2 2 2 2" xfId="14216"/>
    <cellStyle name="20% - Accent4 5 2 6 2 2 3" xfId="14217"/>
    <cellStyle name="20% - Accent4 5 2 6 2 3" xfId="14218"/>
    <cellStyle name="20% - Accent4 5 2 6 2 3 2" xfId="14219"/>
    <cellStyle name="20% - Accent4 5 2 6 2 4" xfId="14220"/>
    <cellStyle name="20% - Accent4 5 2 6 3" xfId="14221"/>
    <cellStyle name="20% - Accent4 5 2 6 3 2" xfId="14222"/>
    <cellStyle name="20% - Accent4 5 2 6 3 2 2" xfId="14223"/>
    <cellStyle name="20% - Accent4 5 2 6 3 3" xfId="14224"/>
    <cellStyle name="20% - Accent4 5 2 6 4" xfId="14225"/>
    <cellStyle name="20% - Accent4 5 2 6 4 2" xfId="14226"/>
    <cellStyle name="20% - Accent4 5 2 6 5" xfId="14227"/>
    <cellStyle name="20% - Accent4 5 2 7" xfId="14228"/>
    <cellStyle name="20% - Accent4 5 2 7 2" xfId="14229"/>
    <cellStyle name="20% - Accent4 5 2 7 2 2" xfId="14230"/>
    <cellStyle name="20% - Accent4 5 2 7 2 2 2" xfId="14231"/>
    <cellStyle name="20% - Accent4 5 2 7 2 3" xfId="14232"/>
    <cellStyle name="20% - Accent4 5 2 7 3" xfId="14233"/>
    <cellStyle name="20% - Accent4 5 2 7 3 2" xfId="14234"/>
    <cellStyle name="20% - Accent4 5 2 7 4" xfId="14235"/>
    <cellStyle name="20% - Accent4 5 2 8" xfId="14236"/>
    <cellStyle name="20% - Accent4 5 2 8 2" xfId="14237"/>
    <cellStyle name="20% - Accent4 5 2 8 2 2" xfId="14238"/>
    <cellStyle name="20% - Accent4 5 2 8 3" xfId="14239"/>
    <cellStyle name="20% - Accent4 5 2 9" xfId="14240"/>
    <cellStyle name="20% - Accent4 5 2 9 2" xfId="14241"/>
    <cellStyle name="20% - Accent4 5 3" xfId="14242"/>
    <cellStyle name="20% - Accent4 5 3 2" xfId="14243"/>
    <cellStyle name="20% - Accent4 5 3 2 2" xfId="14244"/>
    <cellStyle name="20% - Accent4 5 3 2 2 2" xfId="14245"/>
    <cellStyle name="20% - Accent4 5 3 2 2 2 2" xfId="14246"/>
    <cellStyle name="20% - Accent4 5 3 2 2 3" xfId="14247"/>
    <cellStyle name="20% - Accent4 5 3 2 3" xfId="14248"/>
    <cellStyle name="20% - Accent4 5 3 2 3 2" xfId="14249"/>
    <cellStyle name="20% - Accent4 5 3 2 4" xfId="14250"/>
    <cellStyle name="20% - Accent4 5 3 3" xfId="14251"/>
    <cellStyle name="20% - Accent4 5 3 3 2" xfId="14252"/>
    <cellStyle name="20% - Accent4 5 3 3 2 2" xfId="14253"/>
    <cellStyle name="20% - Accent4 5 3 3 3" xfId="14254"/>
    <cellStyle name="20% - Accent4 5 3 4" xfId="14255"/>
    <cellStyle name="20% - Accent4 5 3 4 2" xfId="14256"/>
    <cellStyle name="20% - Accent4 5 3 5" xfId="14257"/>
    <cellStyle name="20% - Accent4 5 4" xfId="14258"/>
    <cellStyle name="20% - Accent4 5 4 2" xfId="14259"/>
    <cellStyle name="20% - Accent4 5 4 2 2" xfId="14260"/>
    <cellStyle name="20% - Accent4 5 4 2 2 2" xfId="14261"/>
    <cellStyle name="20% - Accent4 5 4 2 2 2 2" xfId="14262"/>
    <cellStyle name="20% - Accent4 5 4 2 2 3" xfId="14263"/>
    <cellStyle name="20% - Accent4 5 4 2 3" xfId="14264"/>
    <cellStyle name="20% - Accent4 5 4 2 3 2" xfId="14265"/>
    <cellStyle name="20% - Accent4 5 4 2 4" xfId="14266"/>
    <cellStyle name="20% - Accent4 5 4 3" xfId="14267"/>
    <cellStyle name="20% - Accent4 5 4 3 2" xfId="14268"/>
    <cellStyle name="20% - Accent4 5 4 3 2 2" xfId="14269"/>
    <cellStyle name="20% - Accent4 5 4 3 3" xfId="14270"/>
    <cellStyle name="20% - Accent4 5 4 4" xfId="14271"/>
    <cellStyle name="20% - Accent4 5 4 4 2" xfId="14272"/>
    <cellStyle name="20% - Accent4 5 4 5" xfId="14273"/>
    <cellStyle name="20% - Accent4 5 5" xfId="14274"/>
    <cellStyle name="20% - Accent4 5 5 2" xfId="14275"/>
    <cellStyle name="20% - Accent4 5 5 2 2" xfId="14276"/>
    <cellStyle name="20% - Accent4 5 5 2 2 2" xfId="14277"/>
    <cellStyle name="20% - Accent4 5 5 2 2 2 2" xfId="14278"/>
    <cellStyle name="20% - Accent4 5 5 2 2 3" xfId="14279"/>
    <cellStyle name="20% - Accent4 5 5 2 3" xfId="14280"/>
    <cellStyle name="20% - Accent4 5 5 2 3 2" xfId="14281"/>
    <cellStyle name="20% - Accent4 5 5 2 4" xfId="14282"/>
    <cellStyle name="20% - Accent4 5 5 3" xfId="14283"/>
    <cellStyle name="20% - Accent4 5 5 3 2" xfId="14284"/>
    <cellStyle name="20% - Accent4 5 5 3 2 2" xfId="14285"/>
    <cellStyle name="20% - Accent4 5 5 3 3" xfId="14286"/>
    <cellStyle name="20% - Accent4 5 5 4" xfId="14287"/>
    <cellStyle name="20% - Accent4 5 5 4 2" xfId="14288"/>
    <cellStyle name="20% - Accent4 5 5 5" xfId="14289"/>
    <cellStyle name="20% - Accent4 5 6" xfId="14290"/>
    <cellStyle name="20% - Accent4 5 6 2" xfId="14291"/>
    <cellStyle name="20% - Accent4 5 6 2 2" xfId="14292"/>
    <cellStyle name="20% - Accent4 5 6 2 2 2" xfId="14293"/>
    <cellStyle name="20% - Accent4 5 6 2 2 2 2" xfId="14294"/>
    <cellStyle name="20% - Accent4 5 6 2 2 3" xfId="14295"/>
    <cellStyle name="20% - Accent4 5 6 2 3" xfId="14296"/>
    <cellStyle name="20% - Accent4 5 6 2 3 2" xfId="14297"/>
    <cellStyle name="20% - Accent4 5 6 2 4" xfId="14298"/>
    <cellStyle name="20% - Accent4 5 6 3" xfId="14299"/>
    <cellStyle name="20% - Accent4 5 6 3 2" xfId="14300"/>
    <cellStyle name="20% - Accent4 5 6 3 2 2" xfId="14301"/>
    <cellStyle name="20% - Accent4 5 6 3 3" xfId="14302"/>
    <cellStyle name="20% - Accent4 5 6 4" xfId="14303"/>
    <cellStyle name="20% - Accent4 5 6 4 2" xfId="14304"/>
    <cellStyle name="20% - Accent4 5 6 5" xfId="14305"/>
    <cellStyle name="20% - Accent4 5 7" xfId="14306"/>
    <cellStyle name="20% - Accent4 5 7 2" xfId="14307"/>
    <cellStyle name="20% - Accent4 5 7 2 2" xfId="14308"/>
    <cellStyle name="20% - Accent4 5 7 2 2 2" xfId="14309"/>
    <cellStyle name="20% - Accent4 5 7 2 2 2 2" xfId="14310"/>
    <cellStyle name="20% - Accent4 5 7 2 2 3" xfId="14311"/>
    <cellStyle name="20% - Accent4 5 7 2 3" xfId="14312"/>
    <cellStyle name="20% - Accent4 5 7 2 3 2" xfId="14313"/>
    <cellStyle name="20% - Accent4 5 7 2 4" xfId="14314"/>
    <cellStyle name="20% - Accent4 5 7 3" xfId="14315"/>
    <cellStyle name="20% - Accent4 5 7 3 2" xfId="14316"/>
    <cellStyle name="20% - Accent4 5 7 3 2 2" xfId="14317"/>
    <cellStyle name="20% - Accent4 5 7 3 3" xfId="14318"/>
    <cellStyle name="20% - Accent4 5 7 4" xfId="14319"/>
    <cellStyle name="20% - Accent4 5 7 4 2" xfId="14320"/>
    <cellStyle name="20% - Accent4 5 7 5" xfId="14321"/>
    <cellStyle name="20% - Accent4 5 8" xfId="14322"/>
    <cellStyle name="20% - Accent4 5 8 2" xfId="14323"/>
    <cellStyle name="20% - Accent4 5 8 2 2" xfId="14324"/>
    <cellStyle name="20% - Accent4 5 8 2 2 2" xfId="14325"/>
    <cellStyle name="20% - Accent4 5 8 2 3" xfId="14326"/>
    <cellStyle name="20% - Accent4 5 8 3" xfId="14327"/>
    <cellStyle name="20% - Accent4 5 8 3 2" xfId="14328"/>
    <cellStyle name="20% - Accent4 5 8 4" xfId="14329"/>
    <cellStyle name="20% - Accent4 5 9" xfId="14330"/>
    <cellStyle name="20% - Accent4 5 9 2" xfId="14331"/>
    <cellStyle name="20% - Accent4 5 9 2 2" xfId="14332"/>
    <cellStyle name="20% - Accent4 5 9 3" xfId="14333"/>
    <cellStyle name="20% - Accent4 6" xfId="14334"/>
    <cellStyle name="20% - Accent4 6 10" xfId="14335"/>
    <cellStyle name="20% - Accent4 6 10 2" xfId="14336"/>
    <cellStyle name="20% - Accent4 6 11" xfId="14337"/>
    <cellStyle name="20% - Accent4 6 2" xfId="14338"/>
    <cellStyle name="20% - Accent4 6 2 10" xfId="14339"/>
    <cellStyle name="20% - Accent4 6 2 2" xfId="14340"/>
    <cellStyle name="20% - Accent4 6 2 2 2" xfId="14341"/>
    <cellStyle name="20% - Accent4 6 2 2 2 2" xfId="14342"/>
    <cellStyle name="20% - Accent4 6 2 2 2 2 2" xfId="14343"/>
    <cellStyle name="20% - Accent4 6 2 2 2 2 2 2" xfId="14344"/>
    <cellStyle name="20% - Accent4 6 2 2 2 2 3" xfId="14345"/>
    <cellStyle name="20% - Accent4 6 2 2 2 3" xfId="14346"/>
    <cellStyle name="20% - Accent4 6 2 2 2 3 2" xfId="14347"/>
    <cellStyle name="20% - Accent4 6 2 2 2 4" xfId="14348"/>
    <cellStyle name="20% - Accent4 6 2 2 3" xfId="14349"/>
    <cellStyle name="20% - Accent4 6 2 2 3 2" xfId="14350"/>
    <cellStyle name="20% - Accent4 6 2 2 3 2 2" xfId="14351"/>
    <cellStyle name="20% - Accent4 6 2 2 3 3" xfId="14352"/>
    <cellStyle name="20% - Accent4 6 2 2 4" xfId="14353"/>
    <cellStyle name="20% - Accent4 6 2 2 4 2" xfId="14354"/>
    <cellStyle name="20% - Accent4 6 2 2 5" xfId="14355"/>
    <cellStyle name="20% - Accent4 6 2 3" xfId="14356"/>
    <cellStyle name="20% - Accent4 6 2 3 2" xfId="14357"/>
    <cellStyle name="20% - Accent4 6 2 3 2 2" xfId="14358"/>
    <cellStyle name="20% - Accent4 6 2 3 2 2 2" xfId="14359"/>
    <cellStyle name="20% - Accent4 6 2 3 2 2 2 2" xfId="14360"/>
    <cellStyle name="20% - Accent4 6 2 3 2 2 3" xfId="14361"/>
    <cellStyle name="20% - Accent4 6 2 3 2 3" xfId="14362"/>
    <cellStyle name="20% - Accent4 6 2 3 2 3 2" xfId="14363"/>
    <cellStyle name="20% - Accent4 6 2 3 2 4" xfId="14364"/>
    <cellStyle name="20% - Accent4 6 2 3 3" xfId="14365"/>
    <cellStyle name="20% - Accent4 6 2 3 3 2" xfId="14366"/>
    <cellStyle name="20% - Accent4 6 2 3 3 2 2" xfId="14367"/>
    <cellStyle name="20% - Accent4 6 2 3 3 3" xfId="14368"/>
    <cellStyle name="20% - Accent4 6 2 3 4" xfId="14369"/>
    <cellStyle name="20% - Accent4 6 2 3 4 2" xfId="14370"/>
    <cellStyle name="20% - Accent4 6 2 3 5" xfId="14371"/>
    <cellStyle name="20% - Accent4 6 2 4" xfId="14372"/>
    <cellStyle name="20% - Accent4 6 2 4 2" xfId="14373"/>
    <cellStyle name="20% - Accent4 6 2 4 2 2" xfId="14374"/>
    <cellStyle name="20% - Accent4 6 2 4 2 2 2" xfId="14375"/>
    <cellStyle name="20% - Accent4 6 2 4 2 2 2 2" xfId="14376"/>
    <cellStyle name="20% - Accent4 6 2 4 2 2 3" xfId="14377"/>
    <cellStyle name="20% - Accent4 6 2 4 2 3" xfId="14378"/>
    <cellStyle name="20% - Accent4 6 2 4 2 3 2" xfId="14379"/>
    <cellStyle name="20% - Accent4 6 2 4 2 4" xfId="14380"/>
    <cellStyle name="20% - Accent4 6 2 4 3" xfId="14381"/>
    <cellStyle name="20% - Accent4 6 2 4 3 2" xfId="14382"/>
    <cellStyle name="20% - Accent4 6 2 4 3 2 2" xfId="14383"/>
    <cellStyle name="20% - Accent4 6 2 4 3 3" xfId="14384"/>
    <cellStyle name="20% - Accent4 6 2 4 4" xfId="14385"/>
    <cellStyle name="20% - Accent4 6 2 4 4 2" xfId="14386"/>
    <cellStyle name="20% - Accent4 6 2 4 5" xfId="14387"/>
    <cellStyle name="20% - Accent4 6 2 5" xfId="14388"/>
    <cellStyle name="20% - Accent4 6 2 5 2" xfId="14389"/>
    <cellStyle name="20% - Accent4 6 2 5 2 2" xfId="14390"/>
    <cellStyle name="20% - Accent4 6 2 5 2 2 2" xfId="14391"/>
    <cellStyle name="20% - Accent4 6 2 5 2 2 2 2" xfId="14392"/>
    <cellStyle name="20% - Accent4 6 2 5 2 2 3" xfId="14393"/>
    <cellStyle name="20% - Accent4 6 2 5 2 3" xfId="14394"/>
    <cellStyle name="20% - Accent4 6 2 5 2 3 2" xfId="14395"/>
    <cellStyle name="20% - Accent4 6 2 5 2 4" xfId="14396"/>
    <cellStyle name="20% - Accent4 6 2 5 3" xfId="14397"/>
    <cellStyle name="20% - Accent4 6 2 5 3 2" xfId="14398"/>
    <cellStyle name="20% - Accent4 6 2 5 3 2 2" xfId="14399"/>
    <cellStyle name="20% - Accent4 6 2 5 3 3" xfId="14400"/>
    <cellStyle name="20% - Accent4 6 2 5 4" xfId="14401"/>
    <cellStyle name="20% - Accent4 6 2 5 4 2" xfId="14402"/>
    <cellStyle name="20% - Accent4 6 2 5 5" xfId="14403"/>
    <cellStyle name="20% - Accent4 6 2 6" xfId="14404"/>
    <cellStyle name="20% - Accent4 6 2 6 2" xfId="14405"/>
    <cellStyle name="20% - Accent4 6 2 6 2 2" xfId="14406"/>
    <cellStyle name="20% - Accent4 6 2 6 2 2 2" xfId="14407"/>
    <cellStyle name="20% - Accent4 6 2 6 2 2 2 2" xfId="14408"/>
    <cellStyle name="20% - Accent4 6 2 6 2 2 3" xfId="14409"/>
    <cellStyle name="20% - Accent4 6 2 6 2 3" xfId="14410"/>
    <cellStyle name="20% - Accent4 6 2 6 2 3 2" xfId="14411"/>
    <cellStyle name="20% - Accent4 6 2 6 2 4" xfId="14412"/>
    <cellStyle name="20% - Accent4 6 2 6 3" xfId="14413"/>
    <cellStyle name="20% - Accent4 6 2 6 3 2" xfId="14414"/>
    <cellStyle name="20% - Accent4 6 2 6 3 2 2" xfId="14415"/>
    <cellStyle name="20% - Accent4 6 2 6 3 3" xfId="14416"/>
    <cellStyle name="20% - Accent4 6 2 6 4" xfId="14417"/>
    <cellStyle name="20% - Accent4 6 2 6 4 2" xfId="14418"/>
    <cellStyle name="20% - Accent4 6 2 6 5" xfId="14419"/>
    <cellStyle name="20% - Accent4 6 2 7" xfId="14420"/>
    <cellStyle name="20% - Accent4 6 2 7 2" xfId="14421"/>
    <cellStyle name="20% - Accent4 6 2 7 2 2" xfId="14422"/>
    <cellStyle name="20% - Accent4 6 2 7 2 2 2" xfId="14423"/>
    <cellStyle name="20% - Accent4 6 2 7 2 3" xfId="14424"/>
    <cellStyle name="20% - Accent4 6 2 7 3" xfId="14425"/>
    <cellStyle name="20% - Accent4 6 2 7 3 2" xfId="14426"/>
    <cellStyle name="20% - Accent4 6 2 7 4" xfId="14427"/>
    <cellStyle name="20% - Accent4 6 2 8" xfId="14428"/>
    <cellStyle name="20% - Accent4 6 2 8 2" xfId="14429"/>
    <cellStyle name="20% - Accent4 6 2 8 2 2" xfId="14430"/>
    <cellStyle name="20% - Accent4 6 2 8 3" xfId="14431"/>
    <cellStyle name="20% - Accent4 6 2 9" xfId="14432"/>
    <cellStyle name="20% - Accent4 6 2 9 2" xfId="14433"/>
    <cellStyle name="20% - Accent4 6 3" xfId="14434"/>
    <cellStyle name="20% - Accent4 6 3 2" xfId="14435"/>
    <cellStyle name="20% - Accent4 6 3 2 2" xfId="14436"/>
    <cellStyle name="20% - Accent4 6 3 2 2 2" xfId="14437"/>
    <cellStyle name="20% - Accent4 6 3 2 2 2 2" xfId="14438"/>
    <cellStyle name="20% - Accent4 6 3 2 2 3" xfId="14439"/>
    <cellStyle name="20% - Accent4 6 3 2 3" xfId="14440"/>
    <cellStyle name="20% - Accent4 6 3 2 3 2" xfId="14441"/>
    <cellStyle name="20% - Accent4 6 3 2 4" xfId="14442"/>
    <cellStyle name="20% - Accent4 6 3 3" xfId="14443"/>
    <cellStyle name="20% - Accent4 6 3 3 2" xfId="14444"/>
    <cellStyle name="20% - Accent4 6 3 3 2 2" xfId="14445"/>
    <cellStyle name="20% - Accent4 6 3 3 3" xfId="14446"/>
    <cellStyle name="20% - Accent4 6 3 4" xfId="14447"/>
    <cellStyle name="20% - Accent4 6 3 4 2" xfId="14448"/>
    <cellStyle name="20% - Accent4 6 3 5" xfId="14449"/>
    <cellStyle name="20% - Accent4 6 4" xfId="14450"/>
    <cellStyle name="20% - Accent4 6 4 2" xfId="14451"/>
    <cellStyle name="20% - Accent4 6 4 2 2" xfId="14452"/>
    <cellStyle name="20% - Accent4 6 4 2 2 2" xfId="14453"/>
    <cellStyle name="20% - Accent4 6 4 2 2 2 2" xfId="14454"/>
    <cellStyle name="20% - Accent4 6 4 2 2 3" xfId="14455"/>
    <cellStyle name="20% - Accent4 6 4 2 3" xfId="14456"/>
    <cellStyle name="20% - Accent4 6 4 2 3 2" xfId="14457"/>
    <cellStyle name="20% - Accent4 6 4 2 4" xfId="14458"/>
    <cellStyle name="20% - Accent4 6 4 3" xfId="14459"/>
    <cellStyle name="20% - Accent4 6 4 3 2" xfId="14460"/>
    <cellStyle name="20% - Accent4 6 4 3 2 2" xfId="14461"/>
    <cellStyle name="20% - Accent4 6 4 3 3" xfId="14462"/>
    <cellStyle name="20% - Accent4 6 4 4" xfId="14463"/>
    <cellStyle name="20% - Accent4 6 4 4 2" xfId="14464"/>
    <cellStyle name="20% - Accent4 6 4 5" xfId="14465"/>
    <cellStyle name="20% - Accent4 6 5" xfId="14466"/>
    <cellStyle name="20% - Accent4 6 5 2" xfId="14467"/>
    <cellStyle name="20% - Accent4 6 5 2 2" xfId="14468"/>
    <cellStyle name="20% - Accent4 6 5 2 2 2" xfId="14469"/>
    <cellStyle name="20% - Accent4 6 5 2 2 2 2" xfId="14470"/>
    <cellStyle name="20% - Accent4 6 5 2 2 3" xfId="14471"/>
    <cellStyle name="20% - Accent4 6 5 2 3" xfId="14472"/>
    <cellStyle name="20% - Accent4 6 5 2 3 2" xfId="14473"/>
    <cellStyle name="20% - Accent4 6 5 2 4" xfId="14474"/>
    <cellStyle name="20% - Accent4 6 5 3" xfId="14475"/>
    <cellStyle name="20% - Accent4 6 5 3 2" xfId="14476"/>
    <cellStyle name="20% - Accent4 6 5 3 2 2" xfId="14477"/>
    <cellStyle name="20% - Accent4 6 5 3 3" xfId="14478"/>
    <cellStyle name="20% - Accent4 6 5 4" xfId="14479"/>
    <cellStyle name="20% - Accent4 6 5 4 2" xfId="14480"/>
    <cellStyle name="20% - Accent4 6 5 5" xfId="14481"/>
    <cellStyle name="20% - Accent4 6 6" xfId="14482"/>
    <cellStyle name="20% - Accent4 6 6 2" xfId="14483"/>
    <cellStyle name="20% - Accent4 6 6 2 2" xfId="14484"/>
    <cellStyle name="20% - Accent4 6 6 2 2 2" xfId="14485"/>
    <cellStyle name="20% - Accent4 6 6 2 2 2 2" xfId="14486"/>
    <cellStyle name="20% - Accent4 6 6 2 2 3" xfId="14487"/>
    <cellStyle name="20% - Accent4 6 6 2 3" xfId="14488"/>
    <cellStyle name="20% - Accent4 6 6 2 3 2" xfId="14489"/>
    <cellStyle name="20% - Accent4 6 6 2 4" xfId="14490"/>
    <cellStyle name="20% - Accent4 6 6 3" xfId="14491"/>
    <cellStyle name="20% - Accent4 6 6 3 2" xfId="14492"/>
    <cellStyle name="20% - Accent4 6 6 3 2 2" xfId="14493"/>
    <cellStyle name="20% - Accent4 6 6 3 3" xfId="14494"/>
    <cellStyle name="20% - Accent4 6 6 4" xfId="14495"/>
    <cellStyle name="20% - Accent4 6 6 4 2" xfId="14496"/>
    <cellStyle name="20% - Accent4 6 6 5" xfId="14497"/>
    <cellStyle name="20% - Accent4 6 7" xfId="14498"/>
    <cellStyle name="20% - Accent4 6 7 2" xfId="14499"/>
    <cellStyle name="20% - Accent4 6 7 2 2" xfId="14500"/>
    <cellStyle name="20% - Accent4 6 7 2 2 2" xfId="14501"/>
    <cellStyle name="20% - Accent4 6 7 2 2 2 2" xfId="14502"/>
    <cellStyle name="20% - Accent4 6 7 2 2 3" xfId="14503"/>
    <cellStyle name="20% - Accent4 6 7 2 3" xfId="14504"/>
    <cellStyle name="20% - Accent4 6 7 2 3 2" xfId="14505"/>
    <cellStyle name="20% - Accent4 6 7 2 4" xfId="14506"/>
    <cellStyle name="20% - Accent4 6 7 3" xfId="14507"/>
    <cellStyle name="20% - Accent4 6 7 3 2" xfId="14508"/>
    <cellStyle name="20% - Accent4 6 7 3 2 2" xfId="14509"/>
    <cellStyle name="20% - Accent4 6 7 3 3" xfId="14510"/>
    <cellStyle name="20% - Accent4 6 7 4" xfId="14511"/>
    <cellStyle name="20% - Accent4 6 7 4 2" xfId="14512"/>
    <cellStyle name="20% - Accent4 6 7 5" xfId="14513"/>
    <cellStyle name="20% - Accent4 6 8" xfId="14514"/>
    <cellStyle name="20% - Accent4 6 8 2" xfId="14515"/>
    <cellStyle name="20% - Accent4 6 8 2 2" xfId="14516"/>
    <cellStyle name="20% - Accent4 6 8 2 2 2" xfId="14517"/>
    <cellStyle name="20% - Accent4 6 8 2 3" xfId="14518"/>
    <cellStyle name="20% - Accent4 6 8 3" xfId="14519"/>
    <cellStyle name="20% - Accent4 6 8 3 2" xfId="14520"/>
    <cellStyle name="20% - Accent4 6 8 4" xfId="14521"/>
    <cellStyle name="20% - Accent4 6 9" xfId="14522"/>
    <cellStyle name="20% - Accent4 6 9 2" xfId="14523"/>
    <cellStyle name="20% - Accent4 6 9 2 2" xfId="14524"/>
    <cellStyle name="20% - Accent4 6 9 3" xfId="14525"/>
    <cellStyle name="20% - Accent4 7" xfId="14526"/>
    <cellStyle name="20% - Accent4 7 10" xfId="14527"/>
    <cellStyle name="20% - Accent4 7 10 2" xfId="14528"/>
    <cellStyle name="20% - Accent4 7 11" xfId="14529"/>
    <cellStyle name="20% - Accent4 7 2" xfId="14530"/>
    <cellStyle name="20% - Accent4 7 2 10" xfId="14531"/>
    <cellStyle name="20% - Accent4 7 2 2" xfId="14532"/>
    <cellStyle name="20% - Accent4 7 2 2 2" xfId="14533"/>
    <cellStyle name="20% - Accent4 7 2 2 2 2" xfId="14534"/>
    <cellStyle name="20% - Accent4 7 2 2 2 2 2" xfId="14535"/>
    <cellStyle name="20% - Accent4 7 2 2 2 2 2 2" xfId="14536"/>
    <cellStyle name="20% - Accent4 7 2 2 2 2 3" xfId="14537"/>
    <cellStyle name="20% - Accent4 7 2 2 2 3" xfId="14538"/>
    <cellStyle name="20% - Accent4 7 2 2 2 3 2" xfId="14539"/>
    <cellStyle name="20% - Accent4 7 2 2 2 4" xfId="14540"/>
    <cellStyle name="20% - Accent4 7 2 2 3" xfId="14541"/>
    <cellStyle name="20% - Accent4 7 2 2 3 2" xfId="14542"/>
    <cellStyle name="20% - Accent4 7 2 2 3 2 2" xfId="14543"/>
    <cellStyle name="20% - Accent4 7 2 2 3 3" xfId="14544"/>
    <cellStyle name="20% - Accent4 7 2 2 4" xfId="14545"/>
    <cellStyle name="20% - Accent4 7 2 2 4 2" xfId="14546"/>
    <cellStyle name="20% - Accent4 7 2 2 5" xfId="14547"/>
    <cellStyle name="20% - Accent4 7 2 3" xfId="14548"/>
    <cellStyle name="20% - Accent4 7 2 3 2" xfId="14549"/>
    <cellStyle name="20% - Accent4 7 2 3 2 2" xfId="14550"/>
    <cellStyle name="20% - Accent4 7 2 3 2 2 2" xfId="14551"/>
    <cellStyle name="20% - Accent4 7 2 3 2 2 2 2" xfId="14552"/>
    <cellStyle name="20% - Accent4 7 2 3 2 2 3" xfId="14553"/>
    <cellStyle name="20% - Accent4 7 2 3 2 3" xfId="14554"/>
    <cellStyle name="20% - Accent4 7 2 3 2 3 2" xfId="14555"/>
    <cellStyle name="20% - Accent4 7 2 3 2 4" xfId="14556"/>
    <cellStyle name="20% - Accent4 7 2 3 3" xfId="14557"/>
    <cellStyle name="20% - Accent4 7 2 3 3 2" xfId="14558"/>
    <cellStyle name="20% - Accent4 7 2 3 3 2 2" xfId="14559"/>
    <cellStyle name="20% - Accent4 7 2 3 3 3" xfId="14560"/>
    <cellStyle name="20% - Accent4 7 2 3 4" xfId="14561"/>
    <cellStyle name="20% - Accent4 7 2 3 4 2" xfId="14562"/>
    <cellStyle name="20% - Accent4 7 2 3 5" xfId="14563"/>
    <cellStyle name="20% - Accent4 7 2 4" xfId="14564"/>
    <cellStyle name="20% - Accent4 7 2 4 2" xfId="14565"/>
    <cellStyle name="20% - Accent4 7 2 4 2 2" xfId="14566"/>
    <cellStyle name="20% - Accent4 7 2 4 2 2 2" xfId="14567"/>
    <cellStyle name="20% - Accent4 7 2 4 2 2 2 2" xfId="14568"/>
    <cellStyle name="20% - Accent4 7 2 4 2 2 3" xfId="14569"/>
    <cellStyle name="20% - Accent4 7 2 4 2 3" xfId="14570"/>
    <cellStyle name="20% - Accent4 7 2 4 2 3 2" xfId="14571"/>
    <cellStyle name="20% - Accent4 7 2 4 2 4" xfId="14572"/>
    <cellStyle name="20% - Accent4 7 2 4 3" xfId="14573"/>
    <cellStyle name="20% - Accent4 7 2 4 3 2" xfId="14574"/>
    <cellStyle name="20% - Accent4 7 2 4 3 2 2" xfId="14575"/>
    <cellStyle name="20% - Accent4 7 2 4 3 3" xfId="14576"/>
    <cellStyle name="20% - Accent4 7 2 4 4" xfId="14577"/>
    <cellStyle name="20% - Accent4 7 2 4 4 2" xfId="14578"/>
    <cellStyle name="20% - Accent4 7 2 4 5" xfId="14579"/>
    <cellStyle name="20% - Accent4 7 2 5" xfId="14580"/>
    <cellStyle name="20% - Accent4 7 2 5 2" xfId="14581"/>
    <cellStyle name="20% - Accent4 7 2 5 2 2" xfId="14582"/>
    <cellStyle name="20% - Accent4 7 2 5 2 2 2" xfId="14583"/>
    <cellStyle name="20% - Accent4 7 2 5 2 2 2 2" xfId="14584"/>
    <cellStyle name="20% - Accent4 7 2 5 2 2 3" xfId="14585"/>
    <cellStyle name="20% - Accent4 7 2 5 2 3" xfId="14586"/>
    <cellStyle name="20% - Accent4 7 2 5 2 3 2" xfId="14587"/>
    <cellStyle name="20% - Accent4 7 2 5 2 4" xfId="14588"/>
    <cellStyle name="20% - Accent4 7 2 5 3" xfId="14589"/>
    <cellStyle name="20% - Accent4 7 2 5 3 2" xfId="14590"/>
    <cellStyle name="20% - Accent4 7 2 5 3 2 2" xfId="14591"/>
    <cellStyle name="20% - Accent4 7 2 5 3 3" xfId="14592"/>
    <cellStyle name="20% - Accent4 7 2 5 4" xfId="14593"/>
    <cellStyle name="20% - Accent4 7 2 5 4 2" xfId="14594"/>
    <cellStyle name="20% - Accent4 7 2 5 5" xfId="14595"/>
    <cellStyle name="20% - Accent4 7 2 6" xfId="14596"/>
    <cellStyle name="20% - Accent4 7 2 6 2" xfId="14597"/>
    <cellStyle name="20% - Accent4 7 2 6 2 2" xfId="14598"/>
    <cellStyle name="20% - Accent4 7 2 6 2 2 2" xfId="14599"/>
    <cellStyle name="20% - Accent4 7 2 6 2 2 2 2" xfId="14600"/>
    <cellStyle name="20% - Accent4 7 2 6 2 2 3" xfId="14601"/>
    <cellStyle name="20% - Accent4 7 2 6 2 3" xfId="14602"/>
    <cellStyle name="20% - Accent4 7 2 6 2 3 2" xfId="14603"/>
    <cellStyle name="20% - Accent4 7 2 6 2 4" xfId="14604"/>
    <cellStyle name="20% - Accent4 7 2 6 3" xfId="14605"/>
    <cellStyle name="20% - Accent4 7 2 6 3 2" xfId="14606"/>
    <cellStyle name="20% - Accent4 7 2 6 3 2 2" xfId="14607"/>
    <cellStyle name="20% - Accent4 7 2 6 3 3" xfId="14608"/>
    <cellStyle name="20% - Accent4 7 2 6 4" xfId="14609"/>
    <cellStyle name="20% - Accent4 7 2 6 4 2" xfId="14610"/>
    <cellStyle name="20% - Accent4 7 2 6 5" xfId="14611"/>
    <cellStyle name="20% - Accent4 7 2 7" xfId="14612"/>
    <cellStyle name="20% - Accent4 7 2 7 2" xfId="14613"/>
    <cellStyle name="20% - Accent4 7 2 7 2 2" xfId="14614"/>
    <cellStyle name="20% - Accent4 7 2 7 2 2 2" xfId="14615"/>
    <cellStyle name="20% - Accent4 7 2 7 2 3" xfId="14616"/>
    <cellStyle name="20% - Accent4 7 2 7 3" xfId="14617"/>
    <cellStyle name="20% - Accent4 7 2 7 3 2" xfId="14618"/>
    <cellStyle name="20% - Accent4 7 2 7 4" xfId="14619"/>
    <cellStyle name="20% - Accent4 7 2 8" xfId="14620"/>
    <cellStyle name="20% - Accent4 7 2 8 2" xfId="14621"/>
    <cellStyle name="20% - Accent4 7 2 8 2 2" xfId="14622"/>
    <cellStyle name="20% - Accent4 7 2 8 3" xfId="14623"/>
    <cellStyle name="20% - Accent4 7 2 9" xfId="14624"/>
    <cellStyle name="20% - Accent4 7 2 9 2" xfId="14625"/>
    <cellStyle name="20% - Accent4 7 3" xfId="14626"/>
    <cellStyle name="20% - Accent4 7 3 2" xfId="14627"/>
    <cellStyle name="20% - Accent4 7 3 2 2" xfId="14628"/>
    <cellStyle name="20% - Accent4 7 3 2 2 2" xfId="14629"/>
    <cellStyle name="20% - Accent4 7 3 2 2 2 2" xfId="14630"/>
    <cellStyle name="20% - Accent4 7 3 2 2 3" xfId="14631"/>
    <cellStyle name="20% - Accent4 7 3 2 3" xfId="14632"/>
    <cellStyle name="20% - Accent4 7 3 2 3 2" xfId="14633"/>
    <cellStyle name="20% - Accent4 7 3 2 4" xfId="14634"/>
    <cellStyle name="20% - Accent4 7 3 3" xfId="14635"/>
    <cellStyle name="20% - Accent4 7 3 3 2" xfId="14636"/>
    <cellStyle name="20% - Accent4 7 3 3 2 2" xfId="14637"/>
    <cellStyle name="20% - Accent4 7 3 3 3" xfId="14638"/>
    <cellStyle name="20% - Accent4 7 3 4" xfId="14639"/>
    <cellStyle name="20% - Accent4 7 3 4 2" xfId="14640"/>
    <cellStyle name="20% - Accent4 7 3 5" xfId="14641"/>
    <cellStyle name="20% - Accent4 7 4" xfId="14642"/>
    <cellStyle name="20% - Accent4 7 4 2" xfId="14643"/>
    <cellStyle name="20% - Accent4 7 4 2 2" xfId="14644"/>
    <cellStyle name="20% - Accent4 7 4 2 2 2" xfId="14645"/>
    <cellStyle name="20% - Accent4 7 4 2 2 2 2" xfId="14646"/>
    <cellStyle name="20% - Accent4 7 4 2 2 3" xfId="14647"/>
    <cellStyle name="20% - Accent4 7 4 2 3" xfId="14648"/>
    <cellStyle name="20% - Accent4 7 4 2 3 2" xfId="14649"/>
    <cellStyle name="20% - Accent4 7 4 2 4" xfId="14650"/>
    <cellStyle name="20% - Accent4 7 4 3" xfId="14651"/>
    <cellStyle name="20% - Accent4 7 4 3 2" xfId="14652"/>
    <cellStyle name="20% - Accent4 7 4 3 2 2" xfId="14653"/>
    <cellStyle name="20% - Accent4 7 4 3 3" xfId="14654"/>
    <cellStyle name="20% - Accent4 7 4 4" xfId="14655"/>
    <cellStyle name="20% - Accent4 7 4 4 2" xfId="14656"/>
    <cellStyle name="20% - Accent4 7 4 5" xfId="14657"/>
    <cellStyle name="20% - Accent4 7 5" xfId="14658"/>
    <cellStyle name="20% - Accent4 7 5 2" xfId="14659"/>
    <cellStyle name="20% - Accent4 7 5 2 2" xfId="14660"/>
    <cellStyle name="20% - Accent4 7 5 2 2 2" xfId="14661"/>
    <cellStyle name="20% - Accent4 7 5 2 2 2 2" xfId="14662"/>
    <cellStyle name="20% - Accent4 7 5 2 2 3" xfId="14663"/>
    <cellStyle name="20% - Accent4 7 5 2 3" xfId="14664"/>
    <cellStyle name="20% - Accent4 7 5 2 3 2" xfId="14665"/>
    <cellStyle name="20% - Accent4 7 5 2 4" xfId="14666"/>
    <cellStyle name="20% - Accent4 7 5 3" xfId="14667"/>
    <cellStyle name="20% - Accent4 7 5 3 2" xfId="14668"/>
    <cellStyle name="20% - Accent4 7 5 3 2 2" xfId="14669"/>
    <cellStyle name="20% - Accent4 7 5 3 3" xfId="14670"/>
    <cellStyle name="20% - Accent4 7 5 4" xfId="14671"/>
    <cellStyle name="20% - Accent4 7 5 4 2" xfId="14672"/>
    <cellStyle name="20% - Accent4 7 5 5" xfId="14673"/>
    <cellStyle name="20% - Accent4 7 6" xfId="14674"/>
    <cellStyle name="20% - Accent4 7 6 2" xfId="14675"/>
    <cellStyle name="20% - Accent4 7 6 2 2" xfId="14676"/>
    <cellStyle name="20% - Accent4 7 6 2 2 2" xfId="14677"/>
    <cellStyle name="20% - Accent4 7 6 2 2 2 2" xfId="14678"/>
    <cellStyle name="20% - Accent4 7 6 2 2 3" xfId="14679"/>
    <cellStyle name="20% - Accent4 7 6 2 3" xfId="14680"/>
    <cellStyle name="20% - Accent4 7 6 2 3 2" xfId="14681"/>
    <cellStyle name="20% - Accent4 7 6 2 4" xfId="14682"/>
    <cellStyle name="20% - Accent4 7 6 3" xfId="14683"/>
    <cellStyle name="20% - Accent4 7 6 3 2" xfId="14684"/>
    <cellStyle name="20% - Accent4 7 6 3 2 2" xfId="14685"/>
    <cellStyle name="20% - Accent4 7 6 3 3" xfId="14686"/>
    <cellStyle name="20% - Accent4 7 6 4" xfId="14687"/>
    <cellStyle name="20% - Accent4 7 6 4 2" xfId="14688"/>
    <cellStyle name="20% - Accent4 7 6 5" xfId="14689"/>
    <cellStyle name="20% - Accent4 7 7" xfId="14690"/>
    <cellStyle name="20% - Accent4 7 7 2" xfId="14691"/>
    <cellStyle name="20% - Accent4 7 7 2 2" xfId="14692"/>
    <cellStyle name="20% - Accent4 7 7 2 2 2" xfId="14693"/>
    <cellStyle name="20% - Accent4 7 7 2 2 2 2" xfId="14694"/>
    <cellStyle name="20% - Accent4 7 7 2 2 3" xfId="14695"/>
    <cellStyle name="20% - Accent4 7 7 2 3" xfId="14696"/>
    <cellStyle name="20% - Accent4 7 7 2 3 2" xfId="14697"/>
    <cellStyle name="20% - Accent4 7 7 2 4" xfId="14698"/>
    <cellStyle name="20% - Accent4 7 7 3" xfId="14699"/>
    <cellStyle name="20% - Accent4 7 7 3 2" xfId="14700"/>
    <cellStyle name="20% - Accent4 7 7 3 2 2" xfId="14701"/>
    <cellStyle name="20% - Accent4 7 7 3 3" xfId="14702"/>
    <cellStyle name="20% - Accent4 7 7 4" xfId="14703"/>
    <cellStyle name="20% - Accent4 7 7 4 2" xfId="14704"/>
    <cellStyle name="20% - Accent4 7 7 5" xfId="14705"/>
    <cellStyle name="20% - Accent4 7 8" xfId="14706"/>
    <cellStyle name="20% - Accent4 7 8 2" xfId="14707"/>
    <cellStyle name="20% - Accent4 7 8 2 2" xfId="14708"/>
    <cellStyle name="20% - Accent4 7 8 2 2 2" xfId="14709"/>
    <cellStyle name="20% - Accent4 7 8 2 3" xfId="14710"/>
    <cellStyle name="20% - Accent4 7 8 3" xfId="14711"/>
    <cellStyle name="20% - Accent4 7 8 3 2" xfId="14712"/>
    <cellStyle name="20% - Accent4 7 8 4" xfId="14713"/>
    <cellStyle name="20% - Accent4 7 9" xfId="14714"/>
    <cellStyle name="20% - Accent4 7 9 2" xfId="14715"/>
    <cellStyle name="20% - Accent4 7 9 2 2" xfId="14716"/>
    <cellStyle name="20% - Accent4 7 9 3" xfId="14717"/>
    <cellStyle name="20% - Accent4 8" xfId="14718"/>
    <cellStyle name="20% - Accent4 8 10" xfId="14719"/>
    <cellStyle name="20% - Accent4 8 10 2" xfId="14720"/>
    <cellStyle name="20% - Accent4 8 11" xfId="14721"/>
    <cellStyle name="20% - Accent4 8 2" xfId="14722"/>
    <cellStyle name="20% - Accent4 8 2 10" xfId="14723"/>
    <cellStyle name="20% - Accent4 8 2 2" xfId="14724"/>
    <cellStyle name="20% - Accent4 8 2 2 2" xfId="14725"/>
    <cellStyle name="20% - Accent4 8 2 2 2 2" xfId="14726"/>
    <cellStyle name="20% - Accent4 8 2 2 2 2 2" xfId="14727"/>
    <cellStyle name="20% - Accent4 8 2 2 2 2 2 2" xfId="14728"/>
    <cellStyle name="20% - Accent4 8 2 2 2 2 3" xfId="14729"/>
    <cellStyle name="20% - Accent4 8 2 2 2 3" xfId="14730"/>
    <cellStyle name="20% - Accent4 8 2 2 2 3 2" xfId="14731"/>
    <cellStyle name="20% - Accent4 8 2 2 2 4" xfId="14732"/>
    <cellStyle name="20% - Accent4 8 2 2 3" xfId="14733"/>
    <cellStyle name="20% - Accent4 8 2 2 3 2" xfId="14734"/>
    <cellStyle name="20% - Accent4 8 2 2 3 2 2" xfId="14735"/>
    <cellStyle name="20% - Accent4 8 2 2 3 3" xfId="14736"/>
    <cellStyle name="20% - Accent4 8 2 2 4" xfId="14737"/>
    <cellStyle name="20% - Accent4 8 2 2 4 2" xfId="14738"/>
    <cellStyle name="20% - Accent4 8 2 2 5" xfId="14739"/>
    <cellStyle name="20% - Accent4 8 2 3" xfId="14740"/>
    <cellStyle name="20% - Accent4 8 2 3 2" xfId="14741"/>
    <cellStyle name="20% - Accent4 8 2 3 2 2" xfId="14742"/>
    <cellStyle name="20% - Accent4 8 2 3 2 2 2" xfId="14743"/>
    <cellStyle name="20% - Accent4 8 2 3 2 2 2 2" xfId="14744"/>
    <cellStyle name="20% - Accent4 8 2 3 2 2 3" xfId="14745"/>
    <cellStyle name="20% - Accent4 8 2 3 2 3" xfId="14746"/>
    <cellStyle name="20% - Accent4 8 2 3 2 3 2" xfId="14747"/>
    <cellStyle name="20% - Accent4 8 2 3 2 4" xfId="14748"/>
    <cellStyle name="20% - Accent4 8 2 3 3" xfId="14749"/>
    <cellStyle name="20% - Accent4 8 2 3 3 2" xfId="14750"/>
    <cellStyle name="20% - Accent4 8 2 3 3 2 2" xfId="14751"/>
    <cellStyle name="20% - Accent4 8 2 3 3 3" xfId="14752"/>
    <cellStyle name="20% - Accent4 8 2 3 4" xfId="14753"/>
    <cellStyle name="20% - Accent4 8 2 3 4 2" xfId="14754"/>
    <cellStyle name="20% - Accent4 8 2 3 5" xfId="14755"/>
    <cellStyle name="20% - Accent4 8 2 4" xfId="14756"/>
    <cellStyle name="20% - Accent4 8 2 4 2" xfId="14757"/>
    <cellStyle name="20% - Accent4 8 2 4 2 2" xfId="14758"/>
    <cellStyle name="20% - Accent4 8 2 4 2 2 2" xfId="14759"/>
    <cellStyle name="20% - Accent4 8 2 4 2 2 2 2" xfId="14760"/>
    <cellStyle name="20% - Accent4 8 2 4 2 2 3" xfId="14761"/>
    <cellStyle name="20% - Accent4 8 2 4 2 3" xfId="14762"/>
    <cellStyle name="20% - Accent4 8 2 4 2 3 2" xfId="14763"/>
    <cellStyle name="20% - Accent4 8 2 4 2 4" xfId="14764"/>
    <cellStyle name="20% - Accent4 8 2 4 3" xfId="14765"/>
    <cellStyle name="20% - Accent4 8 2 4 3 2" xfId="14766"/>
    <cellStyle name="20% - Accent4 8 2 4 3 2 2" xfId="14767"/>
    <cellStyle name="20% - Accent4 8 2 4 3 3" xfId="14768"/>
    <cellStyle name="20% - Accent4 8 2 4 4" xfId="14769"/>
    <cellStyle name="20% - Accent4 8 2 4 4 2" xfId="14770"/>
    <cellStyle name="20% - Accent4 8 2 4 5" xfId="14771"/>
    <cellStyle name="20% - Accent4 8 2 5" xfId="14772"/>
    <cellStyle name="20% - Accent4 8 2 5 2" xfId="14773"/>
    <cellStyle name="20% - Accent4 8 2 5 2 2" xfId="14774"/>
    <cellStyle name="20% - Accent4 8 2 5 2 2 2" xfId="14775"/>
    <cellStyle name="20% - Accent4 8 2 5 2 2 2 2" xfId="14776"/>
    <cellStyle name="20% - Accent4 8 2 5 2 2 3" xfId="14777"/>
    <cellStyle name="20% - Accent4 8 2 5 2 3" xfId="14778"/>
    <cellStyle name="20% - Accent4 8 2 5 2 3 2" xfId="14779"/>
    <cellStyle name="20% - Accent4 8 2 5 2 4" xfId="14780"/>
    <cellStyle name="20% - Accent4 8 2 5 3" xfId="14781"/>
    <cellStyle name="20% - Accent4 8 2 5 3 2" xfId="14782"/>
    <cellStyle name="20% - Accent4 8 2 5 3 2 2" xfId="14783"/>
    <cellStyle name="20% - Accent4 8 2 5 3 3" xfId="14784"/>
    <cellStyle name="20% - Accent4 8 2 5 4" xfId="14785"/>
    <cellStyle name="20% - Accent4 8 2 5 4 2" xfId="14786"/>
    <cellStyle name="20% - Accent4 8 2 5 5" xfId="14787"/>
    <cellStyle name="20% - Accent4 8 2 6" xfId="14788"/>
    <cellStyle name="20% - Accent4 8 2 6 2" xfId="14789"/>
    <cellStyle name="20% - Accent4 8 2 6 2 2" xfId="14790"/>
    <cellStyle name="20% - Accent4 8 2 6 2 2 2" xfId="14791"/>
    <cellStyle name="20% - Accent4 8 2 6 2 2 2 2" xfId="14792"/>
    <cellStyle name="20% - Accent4 8 2 6 2 2 3" xfId="14793"/>
    <cellStyle name="20% - Accent4 8 2 6 2 3" xfId="14794"/>
    <cellStyle name="20% - Accent4 8 2 6 2 3 2" xfId="14795"/>
    <cellStyle name="20% - Accent4 8 2 6 2 4" xfId="14796"/>
    <cellStyle name="20% - Accent4 8 2 6 3" xfId="14797"/>
    <cellStyle name="20% - Accent4 8 2 6 3 2" xfId="14798"/>
    <cellStyle name="20% - Accent4 8 2 6 3 2 2" xfId="14799"/>
    <cellStyle name="20% - Accent4 8 2 6 3 3" xfId="14800"/>
    <cellStyle name="20% - Accent4 8 2 6 4" xfId="14801"/>
    <cellStyle name="20% - Accent4 8 2 6 4 2" xfId="14802"/>
    <cellStyle name="20% - Accent4 8 2 6 5" xfId="14803"/>
    <cellStyle name="20% - Accent4 8 2 7" xfId="14804"/>
    <cellStyle name="20% - Accent4 8 2 7 2" xfId="14805"/>
    <cellStyle name="20% - Accent4 8 2 7 2 2" xfId="14806"/>
    <cellStyle name="20% - Accent4 8 2 7 2 2 2" xfId="14807"/>
    <cellStyle name="20% - Accent4 8 2 7 2 3" xfId="14808"/>
    <cellStyle name="20% - Accent4 8 2 7 3" xfId="14809"/>
    <cellStyle name="20% - Accent4 8 2 7 3 2" xfId="14810"/>
    <cellStyle name="20% - Accent4 8 2 7 4" xfId="14811"/>
    <cellStyle name="20% - Accent4 8 2 8" xfId="14812"/>
    <cellStyle name="20% - Accent4 8 2 8 2" xfId="14813"/>
    <cellStyle name="20% - Accent4 8 2 8 2 2" xfId="14814"/>
    <cellStyle name="20% - Accent4 8 2 8 3" xfId="14815"/>
    <cellStyle name="20% - Accent4 8 2 9" xfId="14816"/>
    <cellStyle name="20% - Accent4 8 2 9 2" xfId="14817"/>
    <cellStyle name="20% - Accent4 8 3" xfId="14818"/>
    <cellStyle name="20% - Accent4 8 3 2" xfId="14819"/>
    <cellStyle name="20% - Accent4 8 3 2 2" xfId="14820"/>
    <cellStyle name="20% - Accent4 8 3 2 2 2" xfId="14821"/>
    <cellStyle name="20% - Accent4 8 3 2 2 2 2" xfId="14822"/>
    <cellStyle name="20% - Accent4 8 3 2 2 3" xfId="14823"/>
    <cellStyle name="20% - Accent4 8 3 2 3" xfId="14824"/>
    <cellStyle name="20% - Accent4 8 3 2 3 2" xfId="14825"/>
    <cellStyle name="20% - Accent4 8 3 2 4" xfId="14826"/>
    <cellStyle name="20% - Accent4 8 3 3" xfId="14827"/>
    <cellStyle name="20% - Accent4 8 3 3 2" xfId="14828"/>
    <cellStyle name="20% - Accent4 8 3 3 2 2" xfId="14829"/>
    <cellStyle name="20% - Accent4 8 3 3 3" xfId="14830"/>
    <cellStyle name="20% - Accent4 8 3 4" xfId="14831"/>
    <cellStyle name="20% - Accent4 8 3 4 2" xfId="14832"/>
    <cellStyle name="20% - Accent4 8 3 5" xfId="14833"/>
    <cellStyle name="20% - Accent4 8 4" xfId="14834"/>
    <cellStyle name="20% - Accent4 8 4 2" xfId="14835"/>
    <cellStyle name="20% - Accent4 8 4 2 2" xfId="14836"/>
    <cellStyle name="20% - Accent4 8 4 2 2 2" xfId="14837"/>
    <cellStyle name="20% - Accent4 8 4 2 2 2 2" xfId="14838"/>
    <cellStyle name="20% - Accent4 8 4 2 2 3" xfId="14839"/>
    <cellStyle name="20% - Accent4 8 4 2 3" xfId="14840"/>
    <cellStyle name="20% - Accent4 8 4 2 3 2" xfId="14841"/>
    <cellStyle name="20% - Accent4 8 4 2 4" xfId="14842"/>
    <cellStyle name="20% - Accent4 8 4 3" xfId="14843"/>
    <cellStyle name="20% - Accent4 8 4 3 2" xfId="14844"/>
    <cellStyle name="20% - Accent4 8 4 3 2 2" xfId="14845"/>
    <cellStyle name="20% - Accent4 8 4 3 3" xfId="14846"/>
    <cellStyle name="20% - Accent4 8 4 4" xfId="14847"/>
    <cellStyle name="20% - Accent4 8 4 4 2" xfId="14848"/>
    <cellStyle name="20% - Accent4 8 4 5" xfId="14849"/>
    <cellStyle name="20% - Accent4 8 5" xfId="14850"/>
    <cellStyle name="20% - Accent4 8 5 2" xfId="14851"/>
    <cellStyle name="20% - Accent4 8 5 2 2" xfId="14852"/>
    <cellStyle name="20% - Accent4 8 5 2 2 2" xfId="14853"/>
    <cellStyle name="20% - Accent4 8 5 2 2 2 2" xfId="14854"/>
    <cellStyle name="20% - Accent4 8 5 2 2 3" xfId="14855"/>
    <cellStyle name="20% - Accent4 8 5 2 3" xfId="14856"/>
    <cellStyle name="20% - Accent4 8 5 2 3 2" xfId="14857"/>
    <cellStyle name="20% - Accent4 8 5 2 4" xfId="14858"/>
    <cellStyle name="20% - Accent4 8 5 3" xfId="14859"/>
    <cellStyle name="20% - Accent4 8 5 3 2" xfId="14860"/>
    <cellStyle name="20% - Accent4 8 5 3 2 2" xfId="14861"/>
    <cellStyle name="20% - Accent4 8 5 3 3" xfId="14862"/>
    <cellStyle name="20% - Accent4 8 5 4" xfId="14863"/>
    <cellStyle name="20% - Accent4 8 5 4 2" xfId="14864"/>
    <cellStyle name="20% - Accent4 8 5 5" xfId="14865"/>
    <cellStyle name="20% - Accent4 8 6" xfId="14866"/>
    <cellStyle name="20% - Accent4 8 6 2" xfId="14867"/>
    <cellStyle name="20% - Accent4 8 6 2 2" xfId="14868"/>
    <cellStyle name="20% - Accent4 8 6 2 2 2" xfId="14869"/>
    <cellStyle name="20% - Accent4 8 6 2 2 2 2" xfId="14870"/>
    <cellStyle name="20% - Accent4 8 6 2 2 3" xfId="14871"/>
    <cellStyle name="20% - Accent4 8 6 2 3" xfId="14872"/>
    <cellStyle name="20% - Accent4 8 6 2 3 2" xfId="14873"/>
    <cellStyle name="20% - Accent4 8 6 2 4" xfId="14874"/>
    <cellStyle name="20% - Accent4 8 6 3" xfId="14875"/>
    <cellStyle name="20% - Accent4 8 6 3 2" xfId="14876"/>
    <cellStyle name="20% - Accent4 8 6 3 2 2" xfId="14877"/>
    <cellStyle name="20% - Accent4 8 6 3 3" xfId="14878"/>
    <cellStyle name="20% - Accent4 8 6 4" xfId="14879"/>
    <cellStyle name="20% - Accent4 8 6 4 2" xfId="14880"/>
    <cellStyle name="20% - Accent4 8 6 5" xfId="14881"/>
    <cellStyle name="20% - Accent4 8 7" xfId="14882"/>
    <cellStyle name="20% - Accent4 8 7 2" xfId="14883"/>
    <cellStyle name="20% - Accent4 8 7 2 2" xfId="14884"/>
    <cellStyle name="20% - Accent4 8 7 2 2 2" xfId="14885"/>
    <cellStyle name="20% - Accent4 8 7 2 2 2 2" xfId="14886"/>
    <cellStyle name="20% - Accent4 8 7 2 2 3" xfId="14887"/>
    <cellStyle name="20% - Accent4 8 7 2 3" xfId="14888"/>
    <cellStyle name="20% - Accent4 8 7 2 3 2" xfId="14889"/>
    <cellStyle name="20% - Accent4 8 7 2 4" xfId="14890"/>
    <cellStyle name="20% - Accent4 8 7 3" xfId="14891"/>
    <cellStyle name="20% - Accent4 8 7 3 2" xfId="14892"/>
    <cellStyle name="20% - Accent4 8 7 3 2 2" xfId="14893"/>
    <cellStyle name="20% - Accent4 8 7 3 3" xfId="14894"/>
    <cellStyle name="20% - Accent4 8 7 4" xfId="14895"/>
    <cellStyle name="20% - Accent4 8 7 4 2" xfId="14896"/>
    <cellStyle name="20% - Accent4 8 7 5" xfId="14897"/>
    <cellStyle name="20% - Accent4 8 8" xfId="14898"/>
    <cellStyle name="20% - Accent4 8 8 2" xfId="14899"/>
    <cellStyle name="20% - Accent4 8 8 2 2" xfId="14900"/>
    <cellStyle name="20% - Accent4 8 8 2 2 2" xfId="14901"/>
    <cellStyle name="20% - Accent4 8 8 2 3" xfId="14902"/>
    <cellStyle name="20% - Accent4 8 8 3" xfId="14903"/>
    <cellStyle name="20% - Accent4 8 8 3 2" xfId="14904"/>
    <cellStyle name="20% - Accent4 8 8 4" xfId="14905"/>
    <cellStyle name="20% - Accent4 8 9" xfId="14906"/>
    <cellStyle name="20% - Accent4 8 9 2" xfId="14907"/>
    <cellStyle name="20% - Accent4 8 9 2 2" xfId="14908"/>
    <cellStyle name="20% - Accent4 8 9 3" xfId="14909"/>
    <cellStyle name="20% - Accent4 9" xfId="14910"/>
    <cellStyle name="20% - Accent4 9 10" xfId="14911"/>
    <cellStyle name="20% - Accent4 9 10 2" xfId="14912"/>
    <cellStyle name="20% - Accent4 9 11" xfId="14913"/>
    <cellStyle name="20% - Accent4 9 2" xfId="14914"/>
    <cellStyle name="20% - Accent4 9 2 10" xfId="14915"/>
    <cellStyle name="20% - Accent4 9 2 2" xfId="14916"/>
    <cellStyle name="20% - Accent4 9 2 2 2" xfId="14917"/>
    <cellStyle name="20% - Accent4 9 2 2 2 2" xfId="14918"/>
    <cellStyle name="20% - Accent4 9 2 2 2 2 2" xfId="14919"/>
    <cellStyle name="20% - Accent4 9 2 2 2 2 2 2" xfId="14920"/>
    <cellStyle name="20% - Accent4 9 2 2 2 2 3" xfId="14921"/>
    <cellStyle name="20% - Accent4 9 2 2 2 3" xfId="14922"/>
    <cellStyle name="20% - Accent4 9 2 2 2 3 2" xfId="14923"/>
    <cellStyle name="20% - Accent4 9 2 2 2 4" xfId="14924"/>
    <cellStyle name="20% - Accent4 9 2 2 3" xfId="14925"/>
    <cellStyle name="20% - Accent4 9 2 2 3 2" xfId="14926"/>
    <cellStyle name="20% - Accent4 9 2 2 3 2 2" xfId="14927"/>
    <cellStyle name="20% - Accent4 9 2 2 3 3" xfId="14928"/>
    <cellStyle name="20% - Accent4 9 2 2 4" xfId="14929"/>
    <cellStyle name="20% - Accent4 9 2 2 4 2" xfId="14930"/>
    <cellStyle name="20% - Accent4 9 2 2 5" xfId="14931"/>
    <cellStyle name="20% - Accent4 9 2 3" xfId="14932"/>
    <cellStyle name="20% - Accent4 9 2 3 2" xfId="14933"/>
    <cellStyle name="20% - Accent4 9 2 3 2 2" xfId="14934"/>
    <cellStyle name="20% - Accent4 9 2 3 2 2 2" xfId="14935"/>
    <cellStyle name="20% - Accent4 9 2 3 2 2 2 2" xfId="14936"/>
    <cellStyle name="20% - Accent4 9 2 3 2 2 3" xfId="14937"/>
    <cellStyle name="20% - Accent4 9 2 3 2 3" xfId="14938"/>
    <cellStyle name="20% - Accent4 9 2 3 2 3 2" xfId="14939"/>
    <cellStyle name="20% - Accent4 9 2 3 2 4" xfId="14940"/>
    <cellStyle name="20% - Accent4 9 2 3 3" xfId="14941"/>
    <cellStyle name="20% - Accent4 9 2 3 3 2" xfId="14942"/>
    <cellStyle name="20% - Accent4 9 2 3 3 2 2" xfId="14943"/>
    <cellStyle name="20% - Accent4 9 2 3 3 3" xfId="14944"/>
    <cellStyle name="20% - Accent4 9 2 3 4" xfId="14945"/>
    <cellStyle name="20% - Accent4 9 2 3 4 2" xfId="14946"/>
    <cellStyle name="20% - Accent4 9 2 3 5" xfId="14947"/>
    <cellStyle name="20% - Accent4 9 2 4" xfId="14948"/>
    <cellStyle name="20% - Accent4 9 2 4 2" xfId="14949"/>
    <cellStyle name="20% - Accent4 9 2 4 2 2" xfId="14950"/>
    <cellStyle name="20% - Accent4 9 2 4 2 2 2" xfId="14951"/>
    <cellStyle name="20% - Accent4 9 2 4 2 2 2 2" xfId="14952"/>
    <cellStyle name="20% - Accent4 9 2 4 2 2 3" xfId="14953"/>
    <cellStyle name="20% - Accent4 9 2 4 2 3" xfId="14954"/>
    <cellStyle name="20% - Accent4 9 2 4 2 3 2" xfId="14955"/>
    <cellStyle name="20% - Accent4 9 2 4 2 4" xfId="14956"/>
    <cellStyle name="20% - Accent4 9 2 4 3" xfId="14957"/>
    <cellStyle name="20% - Accent4 9 2 4 3 2" xfId="14958"/>
    <cellStyle name="20% - Accent4 9 2 4 3 2 2" xfId="14959"/>
    <cellStyle name="20% - Accent4 9 2 4 3 3" xfId="14960"/>
    <cellStyle name="20% - Accent4 9 2 4 4" xfId="14961"/>
    <cellStyle name="20% - Accent4 9 2 4 4 2" xfId="14962"/>
    <cellStyle name="20% - Accent4 9 2 4 5" xfId="14963"/>
    <cellStyle name="20% - Accent4 9 2 5" xfId="14964"/>
    <cellStyle name="20% - Accent4 9 2 5 2" xfId="14965"/>
    <cellStyle name="20% - Accent4 9 2 5 2 2" xfId="14966"/>
    <cellStyle name="20% - Accent4 9 2 5 2 2 2" xfId="14967"/>
    <cellStyle name="20% - Accent4 9 2 5 2 2 2 2" xfId="14968"/>
    <cellStyle name="20% - Accent4 9 2 5 2 2 3" xfId="14969"/>
    <cellStyle name="20% - Accent4 9 2 5 2 3" xfId="14970"/>
    <cellStyle name="20% - Accent4 9 2 5 2 3 2" xfId="14971"/>
    <cellStyle name="20% - Accent4 9 2 5 2 4" xfId="14972"/>
    <cellStyle name="20% - Accent4 9 2 5 3" xfId="14973"/>
    <cellStyle name="20% - Accent4 9 2 5 3 2" xfId="14974"/>
    <cellStyle name="20% - Accent4 9 2 5 3 2 2" xfId="14975"/>
    <cellStyle name="20% - Accent4 9 2 5 3 3" xfId="14976"/>
    <cellStyle name="20% - Accent4 9 2 5 4" xfId="14977"/>
    <cellStyle name="20% - Accent4 9 2 5 4 2" xfId="14978"/>
    <cellStyle name="20% - Accent4 9 2 5 5" xfId="14979"/>
    <cellStyle name="20% - Accent4 9 2 6" xfId="14980"/>
    <cellStyle name="20% - Accent4 9 2 6 2" xfId="14981"/>
    <cellStyle name="20% - Accent4 9 2 6 2 2" xfId="14982"/>
    <cellStyle name="20% - Accent4 9 2 6 2 2 2" xfId="14983"/>
    <cellStyle name="20% - Accent4 9 2 6 2 2 2 2" xfId="14984"/>
    <cellStyle name="20% - Accent4 9 2 6 2 2 3" xfId="14985"/>
    <cellStyle name="20% - Accent4 9 2 6 2 3" xfId="14986"/>
    <cellStyle name="20% - Accent4 9 2 6 2 3 2" xfId="14987"/>
    <cellStyle name="20% - Accent4 9 2 6 2 4" xfId="14988"/>
    <cellStyle name="20% - Accent4 9 2 6 3" xfId="14989"/>
    <cellStyle name="20% - Accent4 9 2 6 3 2" xfId="14990"/>
    <cellStyle name="20% - Accent4 9 2 6 3 2 2" xfId="14991"/>
    <cellStyle name="20% - Accent4 9 2 6 3 3" xfId="14992"/>
    <cellStyle name="20% - Accent4 9 2 6 4" xfId="14993"/>
    <cellStyle name="20% - Accent4 9 2 6 4 2" xfId="14994"/>
    <cellStyle name="20% - Accent4 9 2 6 5" xfId="14995"/>
    <cellStyle name="20% - Accent4 9 2 7" xfId="14996"/>
    <cellStyle name="20% - Accent4 9 2 7 2" xfId="14997"/>
    <cellStyle name="20% - Accent4 9 2 7 2 2" xfId="14998"/>
    <cellStyle name="20% - Accent4 9 2 7 2 2 2" xfId="14999"/>
    <cellStyle name="20% - Accent4 9 2 7 2 3" xfId="15000"/>
    <cellStyle name="20% - Accent4 9 2 7 3" xfId="15001"/>
    <cellStyle name="20% - Accent4 9 2 7 3 2" xfId="15002"/>
    <cellStyle name="20% - Accent4 9 2 7 4" xfId="15003"/>
    <cellStyle name="20% - Accent4 9 2 8" xfId="15004"/>
    <cellStyle name="20% - Accent4 9 2 8 2" xfId="15005"/>
    <cellStyle name="20% - Accent4 9 2 8 2 2" xfId="15006"/>
    <cellStyle name="20% - Accent4 9 2 8 3" xfId="15007"/>
    <cellStyle name="20% - Accent4 9 2 9" xfId="15008"/>
    <cellStyle name="20% - Accent4 9 2 9 2" xfId="15009"/>
    <cellStyle name="20% - Accent4 9 3" xfId="15010"/>
    <cellStyle name="20% - Accent4 9 3 2" xfId="15011"/>
    <cellStyle name="20% - Accent4 9 3 2 2" xfId="15012"/>
    <cellStyle name="20% - Accent4 9 3 2 2 2" xfId="15013"/>
    <cellStyle name="20% - Accent4 9 3 2 2 2 2" xfId="15014"/>
    <cellStyle name="20% - Accent4 9 3 2 2 3" xfId="15015"/>
    <cellStyle name="20% - Accent4 9 3 2 3" xfId="15016"/>
    <cellStyle name="20% - Accent4 9 3 2 3 2" xfId="15017"/>
    <cellStyle name="20% - Accent4 9 3 2 4" xfId="15018"/>
    <cellStyle name="20% - Accent4 9 3 3" xfId="15019"/>
    <cellStyle name="20% - Accent4 9 3 3 2" xfId="15020"/>
    <cellStyle name="20% - Accent4 9 3 3 2 2" xfId="15021"/>
    <cellStyle name="20% - Accent4 9 3 3 3" xfId="15022"/>
    <cellStyle name="20% - Accent4 9 3 4" xfId="15023"/>
    <cellStyle name="20% - Accent4 9 3 4 2" xfId="15024"/>
    <cellStyle name="20% - Accent4 9 3 5" xfId="15025"/>
    <cellStyle name="20% - Accent4 9 4" xfId="15026"/>
    <cellStyle name="20% - Accent4 9 4 2" xfId="15027"/>
    <cellStyle name="20% - Accent4 9 4 2 2" xfId="15028"/>
    <cellStyle name="20% - Accent4 9 4 2 2 2" xfId="15029"/>
    <cellStyle name="20% - Accent4 9 4 2 2 2 2" xfId="15030"/>
    <cellStyle name="20% - Accent4 9 4 2 2 3" xfId="15031"/>
    <cellStyle name="20% - Accent4 9 4 2 3" xfId="15032"/>
    <cellStyle name="20% - Accent4 9 4 2 3 2" xfId="15033"/>
    <cellStyle name="20% - Accent4 9 4 2 4" xfId="15034"/>
    <cellStyle name="20% - Accent4 9 4 3" xfId="15035"/>
    <cellStyle name="20% - Accent4 9 4 3 2" xfId="15036"/>
    <cellStyle name="20% - Accent4 9 4 3 2 2" xfId="15037"/>
    <cellStyle name="20% - Accent4 9 4 3 3" xfId="15038"/>
    <cellStyle name="20% - Accent4 9 4 4" xfId="15039"/>
    <cellStyle name="20% - Accent4 9 4 4 2" xfId="15040"/>
    <cellStyle name="20% - Accent4 9 4 5" xfId="15041"/>
    <cellStyle name="20% - Accent4 9 5" xfId="15042"/>
    <cellStyle name="20% - Accent4 9 5 2" xfId="15043"/>
    <cellStyle name="20% - Accent4 9 5 2 2" xfId="15044"/>
    <cellStyle name="20% - Accent4 9 5 2 2 2" xfId="15045"/>
    <cellStyle name="20% - Accent4 9 5 2 2 2 2" xfId="15046"/>
    <cellStyle name="20% - Accent4 9 5 2 2 3" xfId="15047"/>
    <cellStyle name="20% - Accent4 9 5 2 3" xfId="15048"/>
    <cellStyle name="20% - Accent4 9 5 2 3 2" xfId="15049"/>
    <cellStyle name="20% - Accent4 9 5 2 4" xfId="15050"/>
    <cellStyle name="20% - Accent4 9 5 3" xfId="15051"/>
    <cellStyle name="20% - Accent4 9 5 3 2" xfId="15052"/>
    <cellStyle name="20% - Accent4 9 5 3 2 2" xfId="15053"/>
    <cellStyle name="20% - Accent4 9 5 3 3" xfId="15054"/>
    <cellStyle name="20% - Accent4 9 5 4" xfId="15055"/>
    <cellStyle name="20% - Accent4 9 5 4 2" xfId="15056"/>
    <cellStyle name="20% - Accent4 9 5 5" xfId="15057"/>
    <cellStyle name="20% - Accent4 9 6" xfId="15058"/>
    <cellStyle name="20% - Accent4 9 6 2" xfId="15059"/>
    <cellStyle name="20% - Accent4 9 6 2 2" xfId="15060"/>
    <cellStyle name="20% - Accent4 9 6 2 2 2" xfId="15061"/>
    <cellStyle name="20% - Accent4 9 6 2 2 2 2" xfId="15062"/>
    <cellStyle name="20% - Accent4 9 6 2 2 3" xfId="15063"/>
    <cellStyle name="20% - Accent4 9 6 2 3" xfId="15064"/>
    <cellStyle name="20% - Accent4 9 6 2 3 2" xfId="15065"/>
    <cellStyle name="20% - Accent4 9 6 2 4" xfId="15066"/>
    <cellStyle name="20% - Accent4 9 6 3" xfId="15067"/>
    <cellStyle name="20% - Accent4 9 6 3 2" xfId="15068"/>
    <cellStyle name="20% - Accent4 9 6 3 2 2" xfId="15069"/>
    <cellStyle name="20% - Accent4 9 6 3 3" xfId="15070"/>
    <cellStyle name="20% - Accent4 9 6 4" xfId="15071"/>
    <cellStyle name="20% - Accent4 9 6 4 2" xfId="15072"/>
    <cellStyle name="20% - Accent4 9 6 5" xfId="15073"/>
    <cellStyle name="20% - Accent4 9 7" xfId="15074"/>
    <cellStyle name="20% - Accent4 9 7 2" xfId="15075"/>
    <cellStyle name="20% - Accent4 9 7 2 2" xfId="15076"/>
    <cellStyle name="20% - Accent4 9 7 2 2 2" xfId="15077"/>
    <cellStyle name="20% - Accent4 9 7 2 2 2 2" xfId="15078"/>
    <cellStyle name="20% - Accent4 9 7 2 2 3" xfId="15079"/>
    <cellStyle name="20% - Accent4 9 7 2 3" xfId="15080"/>
    <cellStyle name="20% - Accent4 9 7 2 3 2" xfId="15081"/>
    <cellStyle name="20% - Accent4 9 7 2 4" xfId="15082"/>
    <cellStyle name="20% - Accent4 9 7 3" xfId="15083"/>
    <cellStyle name="20% - Accent4 9 7 3 2" xfId="15084"/>
    <cellStyle name="20% - Accent4 9 7 3 2 2" xfId="15085"/>
    <cellStyle name="20% - Accent4 9 7 3 3" xfId="15086"/>
    <cellStyle name="20% - Accent4 9 7 4" xfId="15087"/>
    <cellStyle name="20% - Accent4 9 7 4 2" xfId="15088"/>
    <cellStyle name="20% - Accent4 9 7 5" xfId="15089"/>
    <cellStyle name="20% - Accent4 9 8" xfId="15090"/>
    <cellStyle name="20% - Accent4 9 8 2" xfId="15091"/>
    <cellStyle name="20% - Accent4 9 8 2 2" xfId="15092"/>
    <cellStyle name="20% - Accent4 9 8 2 2 2" xfId="15093"/>
    <cellStyle name="20% - Accent4 9 8 2 3" xfId="15094"/>
    <cellStyle name="20% - Accent4 9 8 3" xfId="15095"/>
    <cellStyle name="20% - Accent4 9 8 3 2" xfId="15096"/>
    <cellStyle name="20% - Accent4 9 8 4" xfId="15097"/>
    <cellStyle name="20% - Accent4 9 9" xfId="15098"/>
    <cellStyle name="20% - Accent4 9 9 2" xfId="15099"/>
    <cellStyle name="20% - Accent4 9 9 2 2" xfId="15100"/>
    <cellStyle name="20% - Accent4 9 9 3" xfId="15101"/>
    <cellStyle name="20% - Accent5" xfId="52865" builtinId="46" customBuiltin="1"/>
    <cellStyle name="20% - Accent5 10" xfId="15102"/>
    <cellStyle name="20% - Accent5 10 10" xfId="15103"/>
    <cellStyle name="20% - Accent5 10 10 2" xfId="15104"/>
    <cellStyle name="20% - Accent5 10 11" xfId="15105"/>
    <cellStyle name="20% - Accent5 10 2" xfId="15106"/>
    <cellStyle name="20% - Accent5 10 2 10" xfId="15107"/>
    <cellStyle name="20% - Accent5 10 2 2" xfId="15108"/>
    <cellStyle name="20% - Accent5 10 2 2 2" xfId="15109"/>
    <cellStyle name="20% - Accent5 10 2 2 2 2" xfId="15110"/>
    <cellStyle name="20% - Accent5 10 2 2 2 2 2" xfId="15111"/>
    <cellStyle name="20% - Accent5 10 2 2 2 2 2 2" xfId="15112"/>
    <cellStyle name="20% - Accent5 10 2 2 2 2 3" xfId="15113"/>
    <cellStyle name="20% - Accent5 10 2 2 2 3" xfId="15114"/>
    <cellStyle name="20% - Accent5 10 2 2 2 3 2" xfId="15115"/>
    <cellStyle name="20% - Accent5 10 2 2 2 4" xfId="15116"/>
    <cellStyle name="20% - Accent5 10 2 2 3" xfId="15117"/>
    <cellStyle name="20% - Accent5 10 2 2 3 2" xfId="15118"/>
    <cellStyle name="20% - Accent5 10 2 2 3 2 2" xfId="15119"/>
    <cellStyle name="20% - Accent5 10 2 2 3 3" xfId="15120"/>
    <cellStyle name="20% - Accent5 10 2 2 4" xfId="15121"/>
    <cellStyle name="20% - Accent5 10 2 2 4 2" xfId="15122"/>
    <cellStyle name="20% - Accent5 10 2 2 5" xfId="15123"/>
    <cellStyle name="20% - Accent5 10 2 3" xfId="15124"/>
    <cellStyle name="20% - Accent5 10 2 3 2" xfId="15125"/>
    <cellStyle name="20% - Accent5 10 2 3 2 2" xfId="15126"/>
    <cellStyle name="20% - Accent5 10 2 3 2 2 2" xfId="15127"/>
    <cellStyle name="20% - Accent5 10 2 3 2 2 2 2" xfId="15128"/>
    <cellStyle name="20% - Accent5 10 2 3 2 2 3" xfId="15129"/>
    <cellStyle name="20% - Accent5 10 2 3 2 3" xfId="15130"/>
    <cellStyle name="20% - Accent5 10 2 3 2 3 2" xfId="15131"/>
    <cellStyle name="20% - Accent5 10 2 3 2 4" xfId="15132"/>
    <cellStyle name="20% - Accent5 10 2 3 3" xfId="15133"/>
    <cellStyle name="20% - Accent5 10 2 3 3 2" xfId="15134"/>
    <cellStyle name="20% - Accent5 10 2 3 3 2 2" xfId="15135"/>
    <cellStyle name="20% - Accent5 10 2 3 3 3" xfId="15136"/>
    <cellStyle name="20% - Accent5 10 2 3 4" xfId="15137"/>
    <cellStyle name="20% - Accent5 10 2 3 4 2" xfId="15138"/>
    <cellStyle name="20% - Accent5 10 2 3 5" xfId="15139"/>
    <cellStyle name="20% - Accent5 10 2 4" xfId="15140"/>
    <cellStyle name="20% - Accent5 10 2 4 2" xfId="15141"/>
    <cellStyle name="20% - Accent5 10 2 4 2 2" xfId="15142"/>
    <cellStyle name="20% - Accent5 10 2 4 2 2 2" xfId="15143"/>
    <cellStyle name="20% - Accent5 10 2 4 2 2 2 2" xfId="15144"/>
    <cellStyle name="20% - Accent5 10 2 4 2 2 3" xfId="15145"/>
    <cellStyle name="20% - Accent5 10 2 4 2 3" xfId="15146"/>
    <cellStyle name="20% - Accent5 10 2 4 2 3 2" xfId="15147"/>
    <cellStyle name="20% - Accent5 10 2 4 2 4" xfId="15148"/>
    <cellStyle name="20% - Accent5 10 2 4 3" xfId="15149"/>
    <cellStyle name="20% - Accent5 10 2 4 3 2" xfId="15150"/>
    <cellStyle name="20% - Accent5 10 2 4 3 2 2" xfId="15151"/>
    <cellStyle name="20% - Accent5 10 2 4 3 3" xfId="15152"/>
    <cellStyle name="20% - Accent5 10 2 4 4" xfId="15153"/>
    <cellStyle name="20% - Accent5 10 2 4 4 2" xfId="15154"/>
    <cellStyle name="20% - Accent5 10 2 4 5" xfId="15155"/>
    <cellStyle name="20% - Accent5 10 2 5" xfId="15156"/>
    <cellStyle name="20% - Accent5 10 2 5 2" xfId="15157"/>
    <cellStyle name="20% - Accent5 10 2 5 2 2" xfId="15158"/>
    <cellStyle name="20% - Accent5 10 2 5 2 2 2" xfId="15159"/>
    <cellStyle name="20% - Accent5 10 2 5 2 2 2 2" xfId="15160"/>
    <cellStyle name="20% - Accent5 10 2 5 2 2 3" xfId="15161"/>
    <cellStyle name="20% - Accent5 10 2 5 2 3" xfId="15162"/>
    <cellStyle name="20% - Accent5 10 2 5 2 3 2" xfId="15163"/>
    <cellStyle name="20% - Accent5 10 2 5 2 4" xfId="15164"/>
    <cellStyle name="20% - Accent5 10 2 5 3" xfId="15165"/>
    <cellStyle name="20% - Accent5 10 2 5 3 2" xfId="15166"/>
    <cellStyle name="20% - Accent5 10 2 5 3 2 2" xfId="15167"/>
    <cellStyle name="20% - Accent5 10 2 5 3 3" xfId="15168"/>
    <cellStyle name="20% - Accent5 10 2 5 4" xfId="15169"/>
    <cellStyle name="20% - Accent5 10 2 5 4 2" xfId="15170"/>
    <cellStyle name="20% - Accent5 10 2 5 5" xfId="15171"/>
    <cellStyle name="20% - Accent5 10 2 6" xfId="15172"/>
    <cellStyle name="20% - Accent5 10 2 6 2" xfId="15173"/>
    <cellStyle name="20% - Accent5 10 2 6 2 2" xfId="15174"/>
    <cellStyle name="20% - Accent5 10 2 6 2 2 2" xfId="15175"/>
    <cellStyle name="20% - Accent5 10 2 6 2 2 2 2" xfId="15176"/>
    <cellStyle name="20% - Accent5 10 2 6 2 2 3" xfId="15177"/>
    <cellStyle name="20% - Accent5 10 2 6 2 3" xfId="15178"/>
    <cellStyle name="20% - Accent5 10 2 6 2 3 2" xfId="15179"/>
    <cellStyle name="20% - Accent5 10 2 6 2 4" xfId="15180"/>
    <cellStyle name="20% - Accent5 10 2 6 3" xfId="15181"/>
    <cellStyle name="20% - Accent5 10 2 6 3 2" xfId="15182"/>
    <cellStyle name="20% - Accent5 10 2 6 3 2 2" xfId="15183"/>
    <cellStyle name="20% - Accent5 10 2 6 3 3" xfId="15184"/>
    <cellStyle name="20% - Accent5 10 2 6 4" xfId="15185"/>
    <cellStyle name="20% - Accent5 10 2 6 4 2" xfId="15186"/>
    <cellStyle name="20% - Accent5 10 2 6 5" xfId="15187"/>
    <cellStyle name="20% - Accent5 10 2 7" xfId="15188"/>
    <cellStyle name="20% - Accent5 10 2 7 2" xfId="15189"/>
    <cellStyle name="20% - Accent5 10 2 7 2 2" xfId="15190"/>
    <cellStyle name="20% - Accent5 10 2 7 2 2 2" xfId="15191"/>
    <cellStyle name="20% - Accent5 10 2 7 2 3" xfId="15192"/>
    <cellStyle name="20% - Accent5 10 2 7 3" xfId="15193"/>
    <cellStyle name="20% - Accent5 10 2 7 3 2" xfId="15194"/>
    <cellStyle name="20% - Accent5 10 2 7 4" xfId="15195"/>
    <cellStyle name="20% - Accent5 10 2 8" xfId="15196"/>
    <cellStyle name="20% - Accent5 10 2 8 2" xfId="15197"/>
    <cellStyle name="20% - Accent5 10 2 8 2 2" xfId="15198"/>
    <cellStyle name="20% - Accent5 10 2 8 3" xfId="15199"/>
    <cellStyle name="20% - Accent5 10 2 9" xfId="15200"/>
    <cellStyle name="20% - Accent5 10 2 9 2" xfId="15201"/>
    <cellStyle name="20% - Accent5 10 3" xfId="15202"/>
    <cellStyle name="20% - Accent5 10 3 2" xfId="15203"/>
    <cellStyle name="20% - Accent5 10 3 2 2" xfId="15204"/>
    <cellStyle name="20% - Accent5 10 3 2 2 2" xfId="15205"/>
    <cellStyle name="20% - Accent5 10 3 2 2 2 2" xfId="15206"/>
    <cellStyle name="20% - Accent5 10 3 2 2 3" xfId="15207"/>
    <cellStyle name="20% - Accent5 10 3 2 3" xfId="15208"/>
    <cellStyle name="20% - Accent5 10 3 2 3 2" xfId="15209"/>
    <cellStyle name="20% - Accent5 10 3 2 4" xfId="15210"/>
    <cellStyle name="20% - Accent5 10 3 3" xfId="15211"/>
    <cellStyle name="20% - Accent5 10 3 3 2" xfId="15212"/>
    <cellStyle name="20% - Accent5 10 3 3 2 2" xfId="15213"/>
    <cellStyle name="20% - Accent5 10 3 3 3" xfId="15214"/>
    <cellStyle name="20% - Accent5 10 3 4" xfId="15215"/>
    <cellStyle name="20% - Accent5 10 3 4 2" xfId="15216"/>
    <cellStyle name="20% - Accent5 10 3 5" xfId="15217"/>
    <cellStyle name="20% - Accent5 10 4" xfId="15218"/>
    <cellStyle name="20% - Accent5 10 4 2" xfId="15219"/>
    <cellStyle name="20% - Accent5 10 4 2 2" xfId="15220"/>
    <cellStyle name="20% - Accent5 10 4 2 2 2" xfId="15221"/>
    <cellStyle name="20% - Accent5 10 4 2 2 2 2" xfId="15222"/>
    <cellStyle name="20% - Accent5 10 4 2 2 3" xfId="15223"/>
    <cellStyle name="20% - Accent5 10 4 2 3" xfId="15224"/>
    <cellStyle name="20% - Accent5 10 4 2 3 2" xfId="15225"/>
    <cellStyle name="20% - Accent5 10 4 2 4" xfId="15226"/>
    <cellStyle name="20% - Accent5 10 4 3" xfId="15227"/>
    <cellStyle name="20% - Accent5 10 4 3 2" xfId="15228"/>
    <cellStyle name="20% - Accent5 10 4 3 2 2" xfId="15229"/>
    <cellStyle name="20% - Accent5 10 4 3 3" xfId="15230"/>
    <cellStyle name="20% - Accent5 10 4 4" xfId="15231"/>
    <cellStyle name="20% - Accent5 10 4 4 2" xfId="15232"/>
    <cellStyle name="20% - Accent5 10 4 5" xfId="15233"/>
    <cellStyle name="20% - Accent5 10 5" xfId="15234"/>
    <cellStyle name="20% - Accent5 10 5 2" xfId="15235"/>
    <cellStyle name="20% - Accent5 10 5 2 2" xfId="15236"/>
    <cellStyle name="20% - Accent5 10 5 2 2 2" xfId="15237"/>
    <cellStyle name="20% - Accent5 10 5 2 2 2 2" xfId="15238"/>
    <cellStyle name="20% - Accent5 10 5 2 2 3" xfId="15239"/>
    <cellStyle name="20% - Accent5 10 5 2 3" xfId="15240"/>
    <cellStyle name="20% - Accent5 10 5 2 3 2" xfId="15241"/>
    <cellStyle name="20% - Accent5 10 5 2 4" xfId="15242"/>
    <cellStyle name="20% - Accent5 10 5 3" xfId="15243"/>
    <cellStyle name="20% - Accent5 10 5 3 2" xfId="15244"/>
    <cellStyle name="20% - Accent5 10 5 3 2 2" xfId="15245"/>
    <cellStyle name="20% - Accent5 10 5 3 3" xfId="15246"/>
    <cellStyle name="20% - Accent5 10 5 4" xfId="15247"/>
    <cellStyle name="20% - Accent5 10 5 4 2" xfId="15248"/>
    <cellStyle name="20% - Accent5 10 5 5" xfId="15249"/>
    <cellStyle name="20% - Accent5 10 6" xfId="15250"/>
    <cellStyle name="20% - Accent5 10 6 2" xfId="15251"/>
    <cellStyle name="20% - Accent5 10 6 2 2" xfId="15252"/>
    <cellStyle name="20% - Accent5 10 6 2 2 2" xfId="15253"/>
    <cellStyle name="20% - Accent5 10 6 2 2 2 2" xfId="15254"/>
    <cellStyle name="20% - Accent5 10 6 2 2 3" xfId="15255"/>
    <cellStyle name="20% - Accent5 10 6 2 3" xfId="15256"/>
    <cellStyle name="20% - Accent5 10 6 2 3 2" xfId="15257"/>
    <cellStyle name="20% - Accent5 10 6 2 4" xfId="15258"/>
    <cellStyle name="20% - Accent5 10 6 3" xfId="15259"/>
    <cellStyle name="20% - Accent5 10 6 3 2" xfId="15260"/>
    <cellStyle name="20% - Accent5 10 6 3 2 2" xfId="15261"/>
    <cellStyle name="20% - Accent5 10 6 3 3" xfId="15262"/>
    <cellStyle name="20% - Accent5 10 6 4" xfId="15263"/>
    <cellStyle name="20% - Accent5 10 6 4 2" xfId="15264"/>
    <cellStyle name="20% - Accent5 10 6 5" xfId="15265"/>
    <cellStyle name="20% - Accent5 10 7" xfId="15266"/>
    <cellStyle name="20% - Accent5 10 7 2" xfId="15267"/>
    <cellStyle name="20% - Accent5 10 7 2 2" xfId="15268"/>
    <cellStyle name="20% - Accent5 10 7 2 2 2" xfId="15269"/>
    <cellStyle name="20% - Accent5 10 7 2 2 2 2" xfId="15270"/>
    <cellStyle name="20% - Accent5 10 7 2 2 3" xfId="15271"/>
    <cellStyle name="20% - Accent5 10 7 2 3" xfId="15272"/>
    <cellStyle name="20% - Accent5 10 7 2 3 2" xfId="15273"/>
    <cellStyle name="20% - Accent5 10 7 2 4" xfId="15274"/>
    <cellStyle name="20% - Accent5 10 7 3" xfId="15275"/>
    <cellStyle name="20% - Accent5 10 7 3 2" xfId="15276"/>
    <cellStyle name="20% - Accent5 10 7 3 2 2" xfId="15277"/>
    <cellStyle name="20% - Accent5 10 7 3 3" xfId="15278"/>
    <cellStyle name="20% - Accent5 10 7 4" xfId="15279"/>
    <cellStyle name="20% - Accent5 10 7 4 2" xfId="15280"/>
    <cellStyle name="20% - Accent5 10 7 5" xfId="15281"/>
    <cellStyle name="20% - Accent5 10 8" xfId="15282"/>
    <cellStyle name="20% - Accent5 10 8 2" xfId="15283"/>
    <cellStyle name="20% - Accent5 10 8 2 2" xfId="15284"/>
    <cellStyle name="20% - Accent5 10 8 2 2 2" xfId="15285"/>
    <cellStyle name="20% - Accent5 10 8 2 3" xfId="15286"/>
    <cellStyle name="20% - Accent5 10 8 3" xfId="15287"/>
    <cellStyle name="20% - Accent5 10 8 3 2" xfId="15288"/>
    <cellStyle name="20% - Accent5 10 8 4" xfId="15289"/>
    <cellStyle name="20% - Accent5 10 9" xfId="15290"/>
    <cellStyle name="20% - Accent5 10 9 2" xfId="15291"/>
    <cellStyle name="20% - Accent5 10 9 2 2" xfId="15292"/>
    <cellStyle name="20% - Accent5 10 9 3" xfId="15293"/>
    <cellStyle name="20% - Accent5 11" xfId="15294"/>
    <cellStyle name="20% - Accent5 11 10" xfId="15295"/>
    <cellStyle name="20% - Accent5 11 10 2" xfId="15296"/>
    <cellStyle name="20% - Accent5 11 11" xfId="15297"/>
    <cellStyle name="20% - Accent5 11 2" xfId="15298"/>
    <cellStyle name="20% - Accent5 11 2 10" xfId="15299"/>
    <cellStyle name="20% - Accent5 11 2 2" xfId="15300"/>
    <cellStyle name="20% - Accent5 11 2 2 2" xfId="15301"/>
    <cellStyle name="20% - Accent5 11 2 2 2 2" xfId="15302"/>
    <cellStyle name="20% - Accent5 11 2 2 2 2 2" xfId="15303"/>
    <cellStyle name="20% - Accent5 11 2 2 2 2 2 2" xfId="15304"/>
    <cellStyle name="20% - Accent5 11 2 2 2 2 3" xfId="15305"/>
    <cellStyle name="20% - Accent5 11 2 2 2 3" xfId="15306"/>
    <cellStyle name="20% - Accent5 11 2 2 2 3 2" xfId="15307"/>
    <cellStyle name="20% - Accent5 11 2 2 2 4" xfId="15308"/>
    <cellStyle name="20% - Accent5 11 2 2 3" xfId="15309"/>
    <cellStyle name="20% - Accent5 11 2 2 3 2" xfId="15310"/>
    <cellStyle name="20% - Accent5 11 2 2 3 2 2" xfId="15311"/>
    <cellStyle name="20% - Accent5 11 2 2 3 3" xfId="15312"/>
    <cellStyle name="20% - Accent5 11 2 2 4" xfId="15313"/>
    <cellStyle name="20% - Accent5 11 2 2 4 2" xfId="15314"/>
    <cellStyle name="20% - Accent5 11 2 2 5" xfId="15315"/>
    <cellStyle name="20% - Accent5 11 2 3" xfId="15316"/>
    <cellStyle name="20% - Accent5 11 2 3 2" xfId="15317"/>
    <cellStyle name="20% - Accent5 11 2 3 2 2" xfId="15318"/>
    <cellStyle name="20% - Accent5 11 2 3 2 2 2" xfId="15319"/>
    <cellStyle name="20% - Accent5 11 2 3 2 2 2 2" xfId="15320"/>
    <cellStyle name="20% - Accent5 11 2 3 2 2 3" xfId="15321"/>
    <cellStyle name="20% - Accent5 11 2 3 2 3" xfId="15322"/>
    <cellStyle name="20% - Accent5 11 2 3 2 3 2" xfId="15323"/>
    <cellStyle name="20% - Accent5 11 2 3 2 4" xfId="15324"/>
    <cellStyle name="20% - Accent5 11 2 3 3" xfId="15325"/>
    <cellStyle name="20% - Accent5 11 2 3 3 2" xfId="15326"/>
    <cellStyle name="20% - Accent5 11 2 3 3 2 2" xfId="15327"/>
    <cellStyle name="20% - Accent5 11 2 3 3 3" xfId="15328"/>
    <cellStyle name="20% - Accent5 11 2 3 4" xfId="15329"/>
    <cellStyle name="20% - Accent5 11 2 3 4 2" xfId="15330"/>
    <cellStyle name="20% - Accent5 11 2 3 5" xfId="15331"/>
    <cellStyle name="20% - Accent5 11 2 4" xfId="15332"/>
    <cellStyle name="20% - Accent5 11 2 4 2" xfId="15333"/>
    <cellStyle name="20% - Accent5 11 2 4 2 2" xfId="15334"/>
    <cellStyle name="20% - Accent5 11 2 4 2 2 2" xfId="15335"/>
    <cellStyle name="20% - Accent5 11 2 4 2 2 2 2" xfId="15336"/>
    <cellStyle name="20% - Accent5 11 2 4 2 2 3" xfId="15337"/>
    <cellStyle name="20% - Accent5 11 2 4 2 3" xfId="15338"/>
    <cellStyle name="20% - Accent5 11 2 4 2 3 2" xfId="15339"/>
    <cellStyle name="20% - Accent5 11 2 4 2 4" xfId="15340"/>
    <cellStyle name="20% - Accent5 11 2 4 3" xfId="15341"/>
    <cellStyle name="20% - Accent5 11 2 4 3 2" xfId="15342"/>
    <cellStyle name="20% - Accent5 11 2 4 3 2 2" xfId="15343"/>
    <cellStyle name="20% - Accent5 11 2 4 3 3" xfId="15344"/>
    <cellStyle name="20% - Accent5 11 2 4 4" xfId="15345"/>
    <cellStyle name="20% - Accent5 11 2 4 4 2" xfId="15346"/>
    <cellStyle name="20% - Accent5 11 2 4 5" xfId="15347"/>
    <cellStyle name="20% - Accent5 11 2 5" xfId="15348"/>
    <cellStyle name="20% - Accent5 11 2 5 2" xfId="15349"/>
    <cellStyle name="20% - Accent5 11 2 5 2 2" xfId="15350"/>
    <cellStyle name="20% - Accent5 11 2 5 2 2 2" xfId="15351"/>
    <cellStyle name="20% - Accent5 11 2 5 2 2 2 2" xfId="15352"/>
    <cellStyle name="20% - Accent5 11 2 5 2 2 3" xfId="15353"/>
    <cellStyle name="20% - Accent5 11 2 5 2 3" xfId="15354"/>
    <cellStyle name="20% - Accent5 11 2 5 2 3 2" xfId="15355"/>
    <cellStyle name="20% - Accent5 11 2 5 2 4" xfId="15356"/>
    <cellStyle name="20% - Accent5 11 2 5 3" xfId="15357"/>
    <cellStyle name="20% - Accent5 11 2 5 3 2" xfId="15358"/>
    <cellStyle name="20% - Accent5 11 2 5 3 2 2" xfId="15359"/>
    <cellStyle name="20% - Accent5 11 2 5 3 3" xfId="15360"/>
    <cellStyle name="20% - Accent5 11 2 5 4" xfId="15361"/>
    <cellStyle name="20% - Accent5 11 2 5 4 2" xfId="15362"/>
    <cellStyle name="20% - Accent5 11 2 5 5" xfId="15363"/>
    <cellStyle name="20% - Accent5 11 2 6" xfId="15364"/>
    <cellStyle name="20% - Accent5 11 2 6 2" xfId="15365"/>
    <cellStyle name="20% - Accent5 11 2 6 2 2" xfId="15366"/>
    <cellStyle name="20% - Accent5 11 2 6 2 2 2" xfId="15367"/>
    <cellStyle name="20% - Accent5 11 2 6 2 2 2 2" xfId="15368"/>
    <cellStyle name="20% - Accent5 11 2 6 2 2 3" xfId="15369"/>
    <cellStyle name="20% - Accent5 11 2 6 2 3" xfId="15370"/>
    <cellStyle name="20% - Accent5 11 2 6 2 3 2" xfId="15371"/>
    <cellStyle name="20% - Accent5 11 2 6 2 4" xfId="15372"/>
    <cellStyle name="20% - Accent5 11 2 6 3" xfId="15373"/>
    <cellStyle name="20% - Accent5 11 2 6 3 2" xfId="15374"/>
    <cellStyle name="20% - Accent5 11 2 6 3 2 2" xfId="15375"/>
    <cellStyle name="20% - Accent5 11 2 6 3 3" xfId="15376"/>
    <cellStyle name="20% - Accent5 11 2 6 4" xfId="15377"/>
    <cellStyle name="20% - Accent5 11 2 6 4 2" xfId="15378"/>
    <cellStyle name="20% - Accent5 11 2 6 5" xfId="15379"/>
    <cellStyle name="20% - Accent5 11 2 7" xfId="15380"/>
    <cellStyle name="20% - Accent5 11 2 7 2" xfId="15381"/>
    <cellStyle name="20% - Accent5 11 2 7 2 2" xfId="15382"/>
    <cellStyle name="20% - Accent5 11 2 7 2 2 2" xfId="15383"/>
    <cellStyle name="20% - Accent5 11 2 7 2 3" xfId="15384"/>
    <cellStyle name="20% - Accent5 11 2 7 3" xfId="15385"/>
    <cellStyle name="20% - Accent5 11 2 7 3 2" xfId="15386"/>
    <cellStyle name="20% - Accent5 11 2 7 4" xfId="15387"/>
    <cellStyle name="20% - Accent5 11 2 8" xfId="15388"/>
    <cellStyle name="20% - Accent5 11 2 8 2" xfId="15389"/>
    <cellStyle name="20% - Accent5 11 2 8 2 2" xfId="15390"/>
    <cellStyle name="20% - Accent5 11 2 8 3" xfId="15391"/>
    <cellStyle name="20% - Accent5 11 2 9" xfId="15392"/>
    <cellStyle name="20% - Accent5 11 2 9 2" xfId="15393"/>
    <cellStyle name="20% - Accent5 11 3" xfId="15394"/>
    <cellStyle name="20% - Accent5 11 3 2" xfId="15395"/>
    <cellStyle name="20% - Accent5 11 3 2 2" xfId="15396"/>
    <cellStyle name="20% - Accent5 11 3 2 2 2" xfId="15397"/>
    <cellStyle name="20% - Accent5 11 3 2 2 2 2" xfId="15398"/>
    <cellStyle name="20% - Accent5 11 3 2 2 3" xfId="15399"/>
    <cellStyle name="20% - Accent5 11 3 2 3" xfId="15400"/>
    <cellStyle name="20% - Accent5 11 3 2 3 2" xfId="15401"/>
    <cellStyle name="20% - Accent5 11 3 2 4" xfId="15402"/>
    <cellStyle name="20% - Accent5 11 3 3" xfId="15403"/>
    <cellStyle name="20% - Accent5 11 3 3 2" xfId="15404"/>
    <cellStyle name="20% - Accent5 11 3 3 2 2" xfId="15405"/>
    <cellStyle name="20% - Accent5 11 3 3 3" xfId="15406"/>
    <cellStyle name="20% - Accent5 11 3 4" xfId="15407"/>
    <cellStyle name="20% - Accent5 11 3 4 2" xfId="15408"/>
    <cellStyle name="20% - Accent5 11 3 5" xfId="15409"/>
    <cellStyle name="20% - Accent5 11 4" xfId="15410"/>
    <cellStyle name="20% - Accent5 11 4 2" xfId="15411"/>
    <cellStyle name="20% - Accent5 11 4 2 2" xfId="15412"/>
    <cellStyle name="20% - Accent5 11 4 2 2 2" xfId="15413"/>
    <cellStyle name="20% - Accent5 11 4 2 2 2 2" xfId="15414"/>
    <cellStyle name="20% - Accent5 11 4 2 2 3" xfId="15415"/>
    <cellStyle name="20% - Accent5 11 4 2 3" xfId="15416"/>
    <cellStyle name="20% - Accent5 11 4 2 3 2" xfId="15417"/>
    <cellStyle name="20% - Accent5 11 4 2 4" xfId="15418"/>
    <cellStyle name="20% - Accent5 11 4 3" xfId="15419"/>
    <cellStyle name="20% - Accent5 11 4 3 2" xfId="15420"/>
    <cellStyle name="20% - Accent5 11 4 3 2 2" xfId="15421"/>
    <cellStyle name="20% - Accent5 11 4 3 3" xfId="15422"/>
    <cellStyle name="20% - Accent5 11 4 4" xfId="15423"/>
    <cellStyle name="20% - Accent5 11 4 4 2" xfId="15424"/>
    <cellStyle name="20% - Accent5 11 4 5" xfId="15425"/>
    <cellStyle name="20% - Accent5 11 5" xfId="15426"/>
    <cellStyle name="20% - Accent5 11 5 2" xfId="15427"/>
    <cellStyle name="20% - Accent5 11 5 2 2" xfId="15428"/>
    <cellStyle name="20% - Accent5 11 5 2 2 2" xfId="15429"/>
    <cellStyle name="20% - Accent5 11 5 2 2 2 2" xfId="15430"/>
    <cellStyle name="20% - Accent5 11 5 2 2 3" xfId="15431"/>
    <cellStyle name="20% - Accent5 11 5 2 3" xfId="15432"/>
    <cellStyle name="20% - Accent5 11 5 2 3 2" xfId="15433"/>
    <cellStyle name="20% - Accent5 11 5 2 4" xfId="15434"/>
    <cellStyle name="20% - Accent5 11 5 3" xfId="15435"/>
    <cellStyle name="20% - Accent5 11 5 3 2" xfId="15436"/>
    <cellStyle name="20% - Accent5 11 5 3 2 2" xfId="15437"/>
    <cellStyle name="20% - Accent5 11 5 3 3" xfId="15438"/>
    <cellStyle name="20% - Accent5 11 5 4" xfId="15439"/>
    <cellStyle name="20% - Accent5 11 5 4 2" xfId="15440"/>
    <cellStyle name="20% - Accent5 11 5 5" xfId="15441"/>
    <cellStyle name="20% - Accent5 11 6" xfId="15442"/>
    <cellStyle name="20% - Accent5 11 6 2" xfId="15443"/>
    <cellStyle name="20% - Accent5 11 6 2 2" xfId="15444"/>
    <cellStyle name="20% - Accent5 11 6 2 2 2" xfId="15445"/>
    <cellStyle name="20% - Accent5 11 6 2 2 2 2" xfId="15446"/>
    <cellStyle name="20% - Accent5 11 6 2 2 3" xfId="15447"/>
    <cellStyle name="20% - Accent5 11 6 2 3" xfId="15448"/>
    <cellStyle name="20% - Accent5 11 6 2 3 2" xfId="15449"/>
    <cellStyle name="20% - Accent5 11 6 2 4" xfId="15450"/>
    <cellStyle name="20% - Accent5 11 6 3" xfId="15451"/>
    <cellStyle name="20% - Accent5 11 6 3 2" xfId="15452"/>
    <cellStyle name="20% - Accent5 11 6 3 2 2" xfId="15453"/>
    <cellStyle name="20% - Accent5 11 6 3 3" xfId="15454"/>
    <cellStyle name="20% - Accent5 11 6 4" xfId="15455"/>
    <cellStyle name="20% - Accent5 11 6 4 2" xfId="15456"/>
    <cellStyle name="20% - Accent5 11 6 5" xfId="15457"/>
    <cellStyle name="20% - Accent5 11 7" xfId="15458"/>
    <cellStyle name="20% - Accent5 11 7 2" xfId="15459"/>
    <cellStyle name="20% - Accent5 11 7 2 2" xfId="15460"/>
    <cellStyle name="20% - Accent5 11 7 2 2 2" xfId="15461"/>
    <cellStyle name="20% - Accent5 11 7 2 2 2 2" xfId="15462"/>
    <cellStyle name="20% - Accent5 11 7 2 2 3" xfId="15463"/>
    <cellStyle name="20% - Accent5 11 7 2 3" xfId="15464"/>
    <cellStyle name="20% - Accent5 11 7 2 3 2" xfId="15465"/>
    <cellStyle name="20% - Accent5 11 7 2 4" xfId="15466"/>
    <cellStyle name="20% - Accent5 11 7 3" xfId="15467"/>
    <cellStyle name="20% - Accent5 11 7 3 2" xfId="15468"/>
    <cellStyle name="20% - Accent5 11 7 3 2 2" xfId="15469"/>
    <cellStyle name="20% - Accent5 11 7 3 3" xfId="15470"/>
    <cellStyle name="20% - Accent5 11 7 4" xfId="15471"/>
    <cellStyle name="20% - Accent5 11 7 4 2" xfId="15472"/>
    <cellStyle name="20% - Accent5 11 7 5" xfId="15473"/>
    <cellStyle name="20% - Accent5 11 8" xfId="15474"/>
    <cellStyle name="20% - Accent5 11 8 2" xfId="15475"/>
    <cellStyle name="20% - Accent5 11 8 2 2" xfId="15476"/>
    <cellStyle name="20% - Accent5 11 8 2 2 2" xfId="15477"/>
    <cellStyle name="20% - Accent5 11 8 2 3" xfId="15478"/>
    <cellStyle name="20% - Accent5 11 8 3" xfId="15479"/>
    <cellStyle name="20% - Accent5 11 8 3 2" xfId="15480"/>
    <cellStyle name="20% - Accent5 11 8 4" xfId="15481"/>
    <cellStyle name="20% - Accent5 11 9" xfId="15482"/>
    <cellStyle name="20% - Accent5 11 9 2" xfId="15483"/>
    <cellStyle name="20% - Accent5 11 9 2 2" xfId="15484"/>
    <cellStyle name="20% - Accent5 11 9 3" xfId="15485"/>
    <cellStyle name="20% - Accent5 12" xfId="15486"/>
    <cellStyle name="20% - Accent5 12 10" xfId="15487"/>
    <cellStyle name="20% - Accent5 12 2" xfId="15488"/>
    <cellStyle name="20% - Accent5 12 2 2" xfId="15489"/>
    <cellStyle name="20% - Accent5 12 2 2 2" xfId="15490"/>
    <cellStyle name="20% - Accent5 12 2 2 2 2" xfId="15491"/>
    <cellStyle name="20% - Accent5 12 2 2 2 2 2" xfId="15492"/>
    <cellStyle name="20% - Accent5 12 2 2 2 3" xfId="15493"/>
    <cellStyle name="20% - Accent5 12 2 2 3" xfId="15494"/>
    <cellStyle name="20% - Accent5 12 2 2 3 2" xfId="15495"/>
    <cellStyle name="20% - Accent5 12 2 2 4" xfId="15496"/>
    <cellStyle name="20% - Accent5 12 2 3" xfId="15497"/>
    <cellStyle name="20% - Accent5 12 2 3 2" xfId="15498"/>
    <cellStyle name="20% - Accent5 12 2 3 2 2" xfId="15499"/>
    <cellStyle name="20% - Accent5 12 2 3 3" xfId="15500"/>
    <cellStyle name="20% - Accent5 12 2 4" xfId="15501"/>
    <cellStyle name="20% - Accent5 12 2 4 2" xfId="15502"/>
    <cellStyle name="20% - Accent5 12 2 5" xfId="15503"/>
    <cellStyle name="20% - Accent5 12 3" xfId="15504"/>
    <cellStyle name="20% - Accent5 12 3 2" xfId="15505"/>
    <cellStyle name="20% - Accent5 12 3 2 2" xfId="15506"/>
    <cellStyle name="20% - Accent5 12 3 2 2 2" xfId="15507"/>
    <cellStyle name="20% - Accent5 12 3 2 2 2 2" xfId="15508"/>
    <cellStyle name="20% - Accent5 12 3 2 2 3" xfId="15509"/>
    <cellStyle name="20% - Accent5 12 3 2 3" xfId="15510"/>
    <cellStyle name="20% - Accent5 12 3 2 3 2" xfId="15511"/>
    <cellStyle name="20% - Accent5 12 3 2 4" xfId="15512"/>
    <cellStyle name="20% - Accent5 12 3 3" xfId="15513"/>
    <cellStyle name="20% - Accent5 12 3 3 2" xfId="15514"/>
    <cellStyle name="20% - Accent5 12 3 3 2 2" xfId="15515"/>
    <cellStyle name="20% - Accent5 12 3 3 3" xfId="15516"/>
    <cellStyle name="20% - Accent5 12 3 4" xfId="15517"/>
    <cellStyle name="20% - Accent5 12 3 4 2" xfId="15518"/>
    <cellStyle name="20% - Accent5 12 3 5" xfId="15519"/>
    <cellStyle name="20% - Accent5 12 4" xfId="15520"/>
    <cellStyle name="20% - Accent5 12 4 2" xfId="15521"/>
    <cellStyle name="20% - Accent5 12 4 2 2" xfId="15522"/>
    <cellStyle name="20% - Accent5 12 4 2 2 2" xfId="15523"/>
    <cellStyle name="20% - Accent5 12 4 2 2 2 2" xfId="15524"/>
    <cellStyle name="20% - Accent5 12 4 2 2 3" xfId="15525"/>
    <cellStyle name="20% - Accent5 12 4 2 3" xfId="15526"/>
    <cellStyle name="20% - Accent5 12 4 2 3 2" xfId="15527"/>
    <cellStyle name="20% - Accent5 12 4 2 4" xfId="15528"/>
    <cellStyle name="20% - Accent5 12 4 3" xfId="15529"/>
    <cellStyle name="20% - Accent5 12 4 3 2" xfId="15530"/>
    <cellStyle name="20% - Accent5 12 4 3 2 2" xfId="15531"/>
    <cellStyle name="20% - Accent5 12 4 3 3" xfId="15532"/>
    <cellStyle name="20% - Accent5 12 4 4" xfId="15533"/>
    <cellStyle name="20% - Accent5 12 4 4 2" xfId="15534"/>
    <cellStyle name="20% - Accent5 12 4 5" xfId="15535"/>
    <cellStyle name="20% - Accent5 12 5" xfId="15536"/>
    <cellStyle name="20% - Accent5 12 5 2" xfId="15537"/>
    <cellStyle name="20% - Accent5 12 5 2 2" xfId="15538"/>
    <cellStyle name="20% - Accent5 12 5 2 2 2" xfId="15539"/>
    <cellStyle name="20% - Accent5 12 5 2 2 2 2" xfId="15540"/>
    <cellStyle name="20% - Accent5 12 5 2 2 3" xfId="15541"/>
    <cellStyle name="20% - Accent5 12 5 2 3" xfId="15542"/>
    <cellStyle name="20% - Accent5 12 5 2 3 2" xfId="15543"/>
    <cellStyle name="20% - Accent5 12 5 2 4" xfId="15544"/>
    <cellStyle name="20% - Accent5 12 5 3" xfId="15545"/>
    <cellStyle name="20% - Accent5 12 5 3 2" xfId="15546"/>
    <cellStyle name="20% - Accent5 12 5 3 2 2" xfId="15547"/>
    <cellStyle name="20% - Accent5 12 5 3 3" xfId="15548"/>
    <cellStyle name="20% - Accent5 12 5 4" xfId="15549"/>
    <cellStyle name="20% - Accent5 12 5 4 2" xfId="15550"/>
    <cellStyle name="20% - Accent5 12 5 5" xfId="15551"/>
    <cellStyle name="20% - Accent5 12 6" xfId="15552"/>
    <cellStyle name="20% - Accent5 12 6 2" xfId="15553"/>
    <cellStyle name="20% - Accent5 12 6 2 2" xfId="15554"/>
    <cellStyle name="20% - Accent5 12 6 2 2 2" xfId="15555"/>
    <cellStyle name="20% - Accent5 12 6 2 2 2 2" xfId="15556"/>
    <cellStyle name="20% - Accent5 12 6 2 2 3" xfId="15557"/>
    <cellStyle name="20% - Accent5 12 6 2 3" xfId="15558"/>
    <cellStyle name="20% - Accent5 12 6 2 3 2" xfId="15559"/>
    <cellStyle name="20% - Accent5 12 6 2 4" xfId="15560"/>
    <cellStyle name="20% - Accent5 12 6 3" xfId="15561"/>
    <cellStyle name="20% - Accent5 12 6 3 2" xfId="15562"/>
    <cellStyle name="20% - Accent5 12 6 3 2 2" xfId="15563"/>
    <cellStyle name="20% - Accent5 12 6 3 3" xfId="15564"/>
    <cellStyle name="20% - Accent5 12 6 4" xfId="15565"/>
    <cellStyle name="20% - Accent5 12 6 4 2" xfId="15566"/>
    <cellStyle name="20% - Accent5 12 6 5" xfId="15567"/>
    <cellStyle name="20% - Accent5 12 7" xfId="15568"/>
    <cellStyle name="20% - Accent5 12 7 2" xfId="15569"/>
    <cellStyle name="20% - Accent5 12 7 2 2" xfId="15570"/>
    <cellStyle name="20% - Accent5 12 7 2 2 2" xfId="15571"/>
    <cellStyle name="20% - Accent5 12 7 2 3" xfId="15572"/>
    <cellStyle name="20% - Accent5 12 7 3" xfId="15573"/>
    <cellStyle name="20% - Accent5 12 7 3 2" xfId="15574"/>
    <cellStyle name="20% - Accent5 12 7 4" xfId="15575"/>
    <cellStyle name="20% - Accent5 12 8" xfId="15576"/>
    <cellStyle name="20% - Accent5 12 8 2" xfId="15577"/>
    <cellStyle name="20% - Accent5 12 8 2 2" xfId="15578"/>
    <cellStyle name="20% - Accent5 12 8 3" xfId="15579"/>
    <cellStyle name="20% - Accent5 12 9" xfId="15580"/>
    <cellStyle name="20% - Accent5 12 9 2" xfId="15581"/>
    <cellStyle name="20% - Accent5 13" xfId="15582"/>
    <cellStyle name="20% - Accent5 13 10" xfId="15583"/>
    <cellStyle name="20% - Accent5 13 2" xfId="15584"/>
    <cellStyle name="20% - Accent5 13 2 2" xfId="15585"/>
    <cellStyle name="20% - Accent5 13 2 2 2" xfId="15586"/>
    <cellStyle name="20% - Accent5 13 2 2 2 2" xfId="15587"/>
    <cellStyle name="20% - Accent5 13 2 2 2 2 2" xfId="15588"/>
    <cellStyle name="20% - Accent5 13 2 2 2 3" xfId="15589"/>
    <cellStyle name="20% - Accent5 13 2 2 3" xfId="15590"/>
    <cellStyle name="20% - Accent5 13 2 2 3 2" xfId="15591"/>
    <cellStyle name="20% - Accent5 13 2 2 4" xfId="15592"/>
    <cellStyle name="20% - Accent5 13 2 3" xfId="15593"/>
    <cellStyle name="20% - Accent5 13 2 3 2" xfId="15594"/>
    <cellStyle name="20% - Accent5 13 2 3 2 2" xfId="15595"/>
    <cellStyle name="20% - Accent5 13 2 3 3" xfId="15596"/>
    <cellStyle name="20% - Accent5 13 2 4" xfId="15597"/>
    <cellStyle name="20% - Accent5 13 2 4 2" xfId="15598"/>
    <cellStyle name="20% - Accent5 13 2 5" xfId="15599"/>
    <cellStyle name="20% - Accent5 13 3" xfId="15600"/>
    <cellStyle name="20% - Accent5 13 3 2" xfId="15601"/>
    <cellStyle name="20% - Accent5 13 3 2 2" xfId="15602"/>
    <cellStyle name="20% - Accent5 13 3 2 2 2" xfId="15603"/>
    <cellStyle name="20% - Accent5 13 3 2 2 2 2" xfId="15604"/>
    <cellStyle name="20% - Accent5 13 3 2 2 3" xfId="15605"/>
    <cellStyle name="20% - Accent5 13 3 2 3" xfId="15606"/>
    <cellStyle name="20% - Accent5 13 3 2 3 2" xfId="15607"/>
    <cellStyle name="20% - Accent5 13 3 2 4" xfId="15608"/>
    <cellStyle name="20% - Accent5 13 3 3" xfId="15609"/>
    <cellStyle name="20% - Accent5 13 3 3 2" xfId="15610"/>
    <cellStyle name="20% - Accent5 13 3 3 2 2" xfId="15611"/>
    <cellStyle name="20% - Accent5 13 3 3 3" xfId="15612"/>
    <cellStyle name="20% - Accent5 13 3 4" xfId="15613"/>
    <cellStyle name="20% - Accent5 13 3 4 2" xfId="15614"/>
    <cellStyle name="20% - Accent5 13 3 5" xfId="15615"/>
    <cellStyle name="20% - Accent5 13 4" xfId="15616"/>
    <cellStyle name="20% - Accent5 13 4 2" xfId="15617"/>
    <cellStyle name="20% - Accent5 13 4 2 2" xfId="15618"/>
    <cellStyle name="20% - Accent5 13 4 2 2 2" xfId="15619"/>
    <cellStyle name="20% - Accent5 13 4 2 2 2 2" xfId="15620"/>
    <cellStyle name="20% - Accent5 13 4 2 2 3" xfId="15621"/>
    <cellStyle name="20% - Accent5 13 4 2 3" xfId="15622"/>
    <cellStyle name="20% - Accent5 13 4 2 3 2" xfId="15623"/>
    <cellStyle name="20% - Accent5 13 4 2 4" xfId="15624"/>
    <cellStyle name="20% - Accent5 13 4 3" xfId="15625"/>
    <cellStyle name="20% - Accent5 13 4 3 2" xfId="15626"/>
    <cellStyle name="20% - Accent5 13 4 3 2 2" xfId="15627"/>
    <cellStyle name="20% - Accent5 13 4 3 3" xfId="15628"/>
    <cellStyle name="20% - Accent5 13 4 4" xfId="15629"/>
    <cellStyle name="20% - Accent5 13 4 4 2" xfId="15630"/>
    <cellStyle name="20% - Accent5 13 4 5" xfId="15631"/>
    <cellStyle name="20% - Accent5 13 5" xfId="15632"/>
    <cellStyle name="20% - Accent5 13 5 2" xfId="15633"/>
    <cellStyle name="20% - Accent5 13 5 2 2" xfId="15634"/>
    <cellStyle name="20% - Accent5 13 5 2 2 2" xfId="15635"/>
    <cellStyle name="20% - Accent5 13 5 2 2 2 2" xfId="15636"/>
    <cellStyle name="20% - Accent5 13 5 2 2 3" xfId="15637"/>
    <cellStyle name="20% - Accent5 13 5 2 3" xfId="15638"/>
    <cellStyle name="20% - Accent5 13 5 2 3 2" xfId="15639"/>
    <cellStyle name="20% - Accent5 13 5 2 4" xfId="15640"/>
    <cellStyle name="20% - Accent5 13 5 3" xfId="15641"/>
    <cellStyle name="20% - Accent5 13 5 3 2" xfId="15642"/>
    <cellStyle name="20% - Accent5 13 5 3 2 2" xfId="15643"/>
    <cellStyle name="20% - Accent5 13 5 3 3" xfId="15644"/>
    <cellStyle name="20% - Accent5 13 5 4" xfId="15645"/>
    <cellStyle name="20% - Accent5 13 5 4 2" xfId="15646"/>
    <cellStyle name="20% - Accent5 13 5 5" xfId="15647"/>
    <cellStyle name="20% - Accent5 13 6" xfId="15648"/>
    <cellStyle name="20% - Accent5 13 6 2" xfId="15649"/>
    <cellStyle name="20% - Accent5 13 6 2 2" xfId="15650"/>
    <cellStyle name="20% - Accent5 13 6 2 2 2" xfId="15651"/>
    <cellStyle name="20% - Accent5 13 6 2 2 2 2" xfId="15652"/>
    <cellStyle name="20% - Accent5 13 6 2 2 3" xfId="15653"/>
    <cellStyle name="20% - Accent5 13 6 2 3" xfId="15654"/>
    <cellStyle name="20% - Accent5 13 6 2 3 2" xfId="15655"/>
    <cellStyle name="20% - Accent5 13 6 2 4" xfId="15656"/>
    <cellStyle name="20% - Accent5 13 6 3" xfId="15657"/>
    <cellStyle name="20% - Accent5 13 6 3 2" xfId="15658"/>
    <cellStyle name="20% - Accent5 13 6 3 2 2" xfId="15659"/>
    <cellStyle name="20% - Accent5 13 6 3 3" xfId="15660"/>
    <cellStyle name="20% - Accent5 13 6 4" xfId="15661"/>
    <cellStyle name="20% - Accent5 13 6 4 2" xfId="15662"/>
    <cellStyle name="20% - Accent5 13 6 5" xfId="15663"/>
    <cellStyle name="20% - Accent5 13 7" xfId="15664"/>
    <cellStyle name="20% - Accent5 13 7 2" xfId="15665"/>
    <cellStyle name="20% - Accent5 13 7 2 2" xfId="15666"/>
    <cellStyle name="20% - Accent5 13 7 2 2 2" xfId="15667"/>
    <cellStyle name="20% - Accent5 13 7 2 3" xfId="15668"/>
    <cellStyle name="20% - Accent5 13 7 3" xfId="15669"/>
    <cellStyle name="20% - Accent5 13 7 3 2" xfId="15670"/>
    <cellStyle name="20% - Accent5 13 7 4" xfId="15671"/>
    <cellStyle name="20% - Accent5 13 8" xfId="15672"/>
    <cellStyle name="20% - Accent5 13 8 2" xfId="15673"/>
    <cellStyle name="20% - Accent5 13 8 2 2" xfId="15674"/>
    <cellStyle name="20% - Accent5 13 8 3" xfId="15675"/>
    <cellStyle name="20% - Accent5 13 9" xfId="15676"/>
    <cellStyle name="20% - Accent5 13 9 2" xfId="15677"/>
    <cellStyle name="20% - Accent5 14" xfId="15678"/>
    <cellStyle name="20% - Accent5 14 2" xfId="15679"/>
    <cellStyle name="20% - Accent5 14 2 2" xfId="15680"/>
    <cellStyle name="20% - Accent5 14 2 2 2" xfId="15681"/>
    <cellStyle name="20% - Accent5 14 2 2 2 2" xfId="15682"/>
    <cellStyle name="20% - Accent5 14 2 2 3" xfId="15683"/>
    <cellStyle name="20% - Accent5 14 2 3" xfId="15684"/>
    <cellStyle name="20% - Accent5 14 2 3 2" xfId="15685"/>
    <cellStyle name="20% - Accent5 14 2 4" xfId="15686"/>
    <cellStyle name="20% - Accent5 14 3" xfId="15687"/>
    <cellStyle name="20% - Accent5 14 3 2" xfId="15688"/>
    <cellStyle name="20% - Accent5 14 3 2 2" xfId="15689"/>
    <cellStyle name="20% - Accent5 14 3 3" xfId="15690"/>
    <cellStyle name="20% - Accent5 14 4" xfId="15691"/>
    <cellStyle name="20% - Accent5 14 4 2" xfId="15692"/>
    <cellStyle name="20% - Accent5 14 5" xfId="15693"/>
    <cellStyle name="20% - Accent5 15" xfId="15694"/>
    <cellStyle name="20% - Accent5 15 2" xfId="15695"/>
    <cellStyle name="20% - Accent5 15 2 2" xfId="15696"/>
    <cellStyle name="20% - Accent5 15 2 2 2" xfId="15697"/>
    <cellStyle name="20% - Accent5 15 2 2 2 2" xfId="15698"/>
    <cellStyle name="20% - Accent5 15 2 2 3" xfId="15699"/>
    <cellStyle name="20% - Accent5 15 2 3" xfId="15700"/>
    <cellStyle name="20% - Accent5 15 2 3 2" xfId="15701"/>
    <cellStyle name="20% - Accent5 15 2 4" xfId="15702"/>
    <cellStyle name="20% - Accent5 15 3" xfId="15703"/>
    <cellStyle name="20% - Accent5 15 3 2" xfId="15704"/>
    <cellStyle name="20% - Accent5 15 3 2 2" xfId="15705"/>
    <cellStyle name="20% - Accent5 15 3 3" xfId="15706"/>
    <cellStyle name="20% - Accent5 15 4" xfId="15707"/>
    <cellStyle name="20% - Accent5 15 4 2" xfId="15708"/>
    <cellStyle name="20% - Accent5 15 5" xfId="15709"/>
    <cellStyle name="20% - Accent5 16" xfId="15710"/>
    <cellStyle name="20% - Accent5 16 2" xfId="15711"/>
    <cellStyle name="20% - Accent5 16 2 2" xfId="15712"/>
    <cellStyle name="20% - Accent5 16 2 2 2" xfId="15713"/>
    <cellStyle name="20% - Accent5 16 2 2 2 2" xfId="15714"/>
    <cellStyle name="20% - Accent5 16 2 2 3" xfId="15715"/>
    <cellStyle name="20% - Accent5 16 2 3" xfId="15716"/>
    <cellStyle name="20% - Accent5 16 2 3 2" xfId="15717"/>
    <cellStyle name="20% - Accent5 16 2 4" xfId="15718"/>
    <cellStyle name="20% - Accent5 16 3" xfId="15719"/>
    <cellStyle name="20% - Accent5 16 3 2" xfId="15720"/>
    <cellStyle name="20% - Accent5 16 3 2 2" xfId="15721"/>
    <cellStyle name="20% - Accent5 16 3 3" xfId="15722"/>
    <cellStyle name="20% - Accent5 16 4" xfId="15723"/>
    <cellStyle name="20% - Accent5 16 4 2" xfId="15724"/>
    <cellStyle name="20% - Accent5 16 5" xfId="15725"/>
    <cellStyle name="20% - Accent5 17" xfId="15726"/>
    <cellStyle name="20% - Accent5 17 2" xfId="15727"/>
    <cellStyle name="20% - Accent5 17 2 2" xfId="15728"/>
    <cellStyle name="20% - Accent5 17 2 2 2" xfId="15729"/>
    <cellStyle name="20% - Accent5 17 2 2 2 2" xfId="15730"/>
    <cellStyle name="20% - Accent5 17 2 2 3" xfId="15731"/>
    <cellStyle name="20% - Accent5 17 2 3" xfId="15732"/>
    <cellStyle name="20% - Accent5 17 2 3 2" xfId="15733"/>
    <cellStyle name="20% - Accent5 17 2 4" xfId="15734"/>
    <cellStyle name="20% - Accent5 17 3" xfId="15735"/>
    <cellStyle name="20% - Accent5 17 3 2" xfId="15736"/>
    <cellStyle name="20% - Accent5 17 3 2 2" xfId="15737"/>
    <cellStyle name="20% - Accent5 17 3 3" xfId="15738"/>
    <cellStyle name="20% - Accent5 17 4" xfId="15739"/>
    <cellStyle name="20% - Accent5 17 4 2" xfId="15740"/>
    <cellStyle name="20% - Accent5 17 5" xfId="15741"/>
    <cellStyle name="20% - Accent5 18" xfId="15742"/>
    <cellStyle name="20% - Accent5 18 2" xfId="15743"/>
    <cellStyle name="20% - Accent5 18 2 2" xfId="15744"/>
    <cellStyle name="20% - Accent5 18 2 2 2" xfId="15745"/>
    <cellStyle name="20% - Accent5 18 2 2 2 2" xfId="15746"/>
    <cellStyle name="20% - Accent5 18 2 2 3" xfId="15747"/>
    <cellStyle name="20% - Accent5 18 2 3" xfId="15748"/>
    <cellStyle name="20% - Accent5 18 2 3 2" xfId="15749"/>
    <cellStyle name="20% - Accent5 18 2 4" xfId="15750"/>
    <cellStyle name="20% - Accent5 18 3" xfId="15751"/>
    <cellStyle name="20% - Accent5 18 3 2" xfId="15752"/>
    <cellStyle name="20% - Accent5 18 3 2 2" xfId="15753"/>
    <cellStyle name="20% - Accent5 18 3 3" xfId="15754"/>
    <cellStyle name="20% - Accent5 18 4" xfId="15755"/>
    <cellStyle name="20% - Accent5 18 4 2" xfId="15756"/>
    <cellStyle name="20% - Accent5 18 5" xfId="15757"/>
    <cellStyle name="20% - Accent5 19" xfId="15758"/>
    <cellStyle name="20% - Accent5 19 2" xfId="15759"/>
    <cellStyle name="20% - Accent5 19 2 2" xfId="15760"/>
    <cellStyle name="20% - Accent5 19 2 2 2" xfId="15761"/>
    <cellStyle name="20% - Accent5 19 2 2 2 2" xfId="15762"/>
    <cellStyle name="20% - Accent5 19 2 2 3" xfId="15763"/>
    <cellStyle name="20% - Accent5 19 2 3" xfId="15764"/>
    <cellStyle name="20% - Accent5 19 2 3 2" xfId="15765"/>
    <cellStyle name="20% - Accent5 19 2 4" xfId="15766"/>
    <cellStyle name="20% - Accent5 19 3" xfId="15767"/>
    <cellStyle name="20% - Accent5 19 3 2" xfId="15768"/>
    <cellStyle name="20% - Accent5 19 3 2 2" xfId="15769"/>
    <cellStyle name="20% - Accent5 19 3 3" xfId="15770"/>
    <cellStyle name="20% - Accent5 19 4" xfId="15771"/>
    <cellStyle name="20% - Accent5 19 4 2" xfId="15772"/>
    <cellStyle name="20% - Accent5 19 5" xfId="15773"/>
    <cellStyle name="20% - Accent5 2" xfId="15774"/>
    <cellStyle name="20% - Accent5 2 10" xfId="15775"/>
    <cellStyle name="20% - Accent5 2 10 10" xfId="15776"/>
    <cellStyle name="20% - Accent5 2 10 2" xfId="15777"/>
    <cellStyle name="20% - Accent5 2 10 2 2" xfId="15778"/>
    <cellStyle name="20% - Accent5 2 10 2 2 2" xfId="15779"/>
    <cellStyle name="20% - Accent5 2 10 2 2 2 2" xfId="15780"/>
    <cellStyle name="20% - Accent5 2 10 2 2 2 2 2" xfId="15781"/>
    <cellStyle name="20% - Accent5 2 10 2 2 2 3" xfId="15782"/>
    <cellStyle name="20% - Accent5 2 10 2 2 3" xfId="15783"/>
    <cellStyle name="20% - Accent5 2 10 2 2 3 2" xfId="15784"/>
    <cellStyle name="20% - Accent5 2 10 2 2 4" xfId="15785"/>
    <cellStyle name="20% - Accent5 2 10 2 3" xfId="15786"/>
    <cellStyle name="20% - Accent5 2 10 2 3 2" xfId="15787"/>
    <cellStyle name="20% - Accent5 2 10 2 3 2 2" xfId="15788"/>
    <cellStyle name="20% - Accent5 2 10 2 3 3" xfId="15789"/>
    <cellStyle name="20% - Accent5 2 10 2 4" xfId="15790"/>
    <cellStyle name="20% - Accent5 2 10 2 4 2" xfId="15791"/>
    <cellStyle name="20% - Accent5 2 10 2 5" xfId="15792"/>
    <cellStyle name="20% - Accent5 2 10 3" xfId="15793"/>
    <cellStyle name="20% - Accent5 2 10 3 2" xfId="15794"/>
    <cellStyle name="20% - Accent5 2 10 3 2 2" xfId="15795"/>
    <cellStyle name="20% - Accent5 2 10 3 2 2 2" xfId="15796"/>
    <cellStyle name="20% - Accent5 2 10 3 2 2 2 2" xfId="15797"/>
    <cellStyle name="20% - Accent5 2 10 3 2 2 3" xfId="15798"/>
    <cellStyle name="20% - Accent5 2 10 3 2 3" xfId="15799"/>
    <cellStyle name="20% - Accent5 2 10 3 2 3 2" xfId="15800"/>
    <cellStyle name="20% - Accent5 2 10 3 2 4" xfId="15801"/>
    <cellStyle name="20% - Accent5 2 10 3 3" xfId="15802"/>
    <cellStyle name="20% - Accent5 2 10 3 3 2" xfId="15803"/>
    <cellStyle name="20% - Accent5 2 10 3 3 2 2" xfId="15804"/>
    <cellStyle name="20% - Accent5 2 10 3 3 3" xfId="15805"/>
    <cellStyle name="20% - Accent5 2 10 3 4" xfId="15806"/>
    <cellStyle name="20% - Accent5 2 10 3 4 2" xfId="15807"/>
    <cellStyle name="20% - Accent5 2 10 3 5" xfId="15808"/>
    <cellStyle name="20% - Accent5 2 10 4" xfId="15809"/>
    <cellStyle name="20% - Accent5 2 10 4 2" xfId="15810"/>
    <cellStyle name="20% - Accent5 2 10 4 2 2" xfId="15811"/>
    <cellStyle name="20% - Accent5 2 10 4 2 2 2" xfId="15812"/>
    <cellStyle name="20% - Accent5 2 10 4 2 2 2 2" xfId="15813"/>
    <cellStyle name="20% - Accent5 2 10 4 2 2 3" xfId="15814"/>
    <cellStyle name="20% - Accent5 2 10 4 2 3" xfId="15815"/>
    <cellStyle name="20% - Accent5 2 10 4 2 3 2" xfId="15816"/>
    <cellStyle name="20% - Accent5 2 10 4 2 4" xfId="15817"/>
    <cellStyle name="20% - Accent5 2 10 4 3" xfId="15818"/>
    <cellStyle name="20% - Accent5 2 10 4 3 2" xfId="15819"/>
    <cellStyle name="20% - Accent5 2 10 4 3 2 2" xfId="15820"/>
    <cellStyle name="20% - Accent5 2 10 4 3 3" xfId="15821"/>
    <cellStyle name="20% - Accent5 2 10 4 4" xfId="15822"/>
    <cellStyle name="20% - Accent5 2 10 4 4 2" xfId="15823"/>
    <cellStyle name="20% - Accent5 2 10 4 5" xfId="15824"/>
    <cellStyle name="20% - Accent5 2 10 5" xfId="15825"/>
    <cellStyle name="20% - Accent5 2 10 5 2" xfId="15826"/>
    <cellStyle name="20% - Accent5 2 10 5 2 2" xfId="15827"/>
    <cellStyle name="20% - Accent5 2 10 5 2 2 2" xfId="15828"/>
    <cellStyle name="20% - Accent5 2 10 5 2 2 2 2" xfId="15829"/>
    <cellStyle name="20% - Accent5 2 10 5 2 2 3" xfId="15830"/>
    <cellStyle name="20% - Accent5 2 10 5 2 3" xfId="15831"/>
    <cellStyle name="20% - Accent5 2 10 5 2 3 2" xfId="15832"/>
    <cellStyle name="20% - Accent5 2 10 5 2 4" xfId="15833"/>
    <cellStyle name="20% - Accent5 2 10 5 3" xfId="15834"/>
    <cellStyle name="20% - Accent5 2 10 5 3 2" xfId="15835"/>
    <cellStyle name="20% - Accent5 2 10 5 3 2 2" xfId="15836"/>
    <cellStyle name="20% - Accent5 2 10 5 3 3" xfId="15837"/>
    <cellStyle name="20% - Accent5 2 10 5 4" xfId="15838"/>
    <cellStyle name="20% - Accent5 2 10 5 4 2" xfId="15839"/>
    <cellStyle name="20% - Accent5 2 10 5 5" xfId="15840"/>
    <cellStyle name="20% - Accent5 2 10 6" xfId="15841"/>
    <cellStyle name="20% - Accent5 2 10 6 2" xfId="15842"/>
    <cellStyle name="20% - Accent5 2 10 6 2 2" xfId="15843"/>
    <cellStyle name="20% - Accent5 2 10 6 2 2 2" xfId="15844"/>
    <cellStyle name="20% - Accent5 2 10 6 2 2 2 2" xfId="15845"/>
    <cellStyle name="20% - Accent5 2 10 6 2 2 3" xfId="15846"/>
    <cellStyle name="20% - Accent5 2 10 6 2 3" xfId="15847"/>
    <cellStyle name="20% - Accent5 2 10 6 2 3 2" xfId="15848"/>
    <cellStyle name="20% - Accent5 2 10 6 2 4" xfId="15849"/>
    <cellStyle name="20% - Accent5 2 10 6 3" xfId="15850"/>
    <cellStyle name="20% - Accent5 2 10 6 3 2" xfId="15851"/>
    <cellStyle name="20% - Accent5 2 10 6 3 2 2" xfId="15852"/>
    <cellStyle name="20% - Accent5 2 10 6 3 3" xfId="15853"/>
    <cellStyle name="20% - Accent5 2 10 6 4" xfId="15854"/>
    <cellStyle name="20% - Accent5 2 10 6 4 2" xfId="15855"/>
    <cellStyle name="20% - Accent5 2 10 6 5" xfId="15856"/>
    <cellStyle name="20% - Accent5 2 10 7" xfId="15857"/>
    <cellStyle name="20% - Accent5 2 10 7 2" xfId="15858"/>
    <cellStyle name="20% - Accent5 2 10 7 2 2" xfId="15859"/>
    <cellStyle name="20% - Accent5 2 10 7 2 2 2" xfId="15860"/>
    <cellStyle name="20% - Accent5 2 10 7 2 3" xfId="15861"/>
    <cellStyle name="20% - Accent5 2 10 7 3" xfId="15862"/>
    <cellStyle name="20% - Accent5 2 10 7 3 2" xfId="15863"/>
    <cellStyle name="20% - Accent5 2 10 7 4" xfId="15864"/>
    <cellStyle name="20% - Accent5 2 10 8" xfId="15865"/>
    <cellStyle name="20% - Accent5 2 10 8 2" xfId="15866"/>
    <cellStyle name="20% - Accent5 2 10 8 2 2" xfId="15867"/>
    <cellStyle name="20% - Accent5 2 10 8 3" xfId="15868"/>
    <cellStyle name="20% - Accent5 2 10 9" xfId="15869"/>
    <cellStyle name="20% - Accent5 2 10 9 2" xfId="15870"/>
    <cellStyle name="20% - Accent5 2 11" xfId="15871"/>
    <cellStyle name="20% - Accent5 2 11 2" xfId="15872"/>
    <cellStyle name="20% - Accent5 2 11 2 2" xfId="15873"/>
    <cellStyle name="20% - Accent5 2 11 2 2 2" xfId="15874"/>
    <cellStyle name="20% - Accent5 2 11 2 2 2 2" xfId="15875"/>
    <cellStyle name="20% - Accent5 2 11 2 2 3" xfId="15876"/>
    <cellStyle name="20% - Accent5 2 11 2 3" xfId="15877"/>
    <cellStyle name="20% - Accent5 2 11 2 3 2" xfId="15878"/>
    <cellStyle name="20% - Accent5 2 11 2 4" xfId="15879"/>
    <cellStyle name="20% - Accent5 2 11 3" xfId="15880"/>
    <cellStyle name="20% - Accent5 2 11 3 2" xfId="15881"/>
    <cellStyle name="20% - Accent5 2 11 3 2 2" xfId="15882"/>
    <cellStyle name="20% - Accent5 2 11 3 3" xfId="15883"/>
    <cellStyle name="20% - Accent5 2 11 4" xfId="15884"/>
    <cellStyle name="20% - Accent5 2 11 4 2" xfId="15885"/>
    <cellStyle name="20% - Accent5 2 11 5" xfId="15886"/>
    <cellStyle name="20% - Accent5 2 12" xfId="15887"/>
    <cellStyle name="20% - Accent5 2 12 2" xfId="15888"/>
    <cellStyle name="20% - Accent5 2 12 2 2" xfId="15889"/>
    <cellStyle name="20% - Accent5 2 12 2 2 2" xfId="15890"/>
    <cellStyle name="20% - Accent5 2 12 2 2 2 2" xfId="15891"/>
    <cellStyle name="20% - Accent5 2 12 2 2 3" xfId="15892"/>
    <cellStyle name="20% - Accent5 2 12 2 3" xfId="15893"/>
    <cellStyle name="20% - Accent5 2 12 2 3 2" xfId="15894"/>
    <cellStyle name="20% - Accent5 2 12 2 4" xfId="15895"/>
    <cellStyle name="20% - Accent5 2 12 3" xfId="15896"/>
    <cellStyle name="20% - Accent5 2 12 3 2" xfId="15897"/>
    <cellStyle name="20% - Accent5 2 12 3 2 2" xfId="15898"/>
    <cellStyle name="20% - Accent5 2 12 3 3" xfId="15899"/>
    <cellStyle name="20% - Accent5 2 12 4" xfId="15900"/>
    <cellStyle name="20% - Accent5 2 12 4 2" xfId="15901"/>
    <cellStyle name="20% - Accent5 2 12 5" xfId="15902"/>
    <cellStyle name="20% - Accent5 2 13" xfId="15903"/>
    <cellStyle name="20% - Accent5 2 13 2" xfId="15904"/>
    <cellStyle name="20% - Accent5 2 13 2 2" xfId="15905"/>
    <cellStyle name="20% - Accent5 2 13 2 2 2" xfId="15906"/>
    <cellStyle name="20% - Accent5 2 13 2 2 2 2" xfId="15907"/>
    <cellStyle name="20% - Accent5 2 13 2 2 3" xfId="15908"/>
    <cellStyle name="20% - Accent5 2 13 2 3" xfId="15909"/>
    <cellStyle name="20% - Accent5 2 13 2 3 2" xfId="15910"/>
    <cellStyle name="20% - Accent5 2 13 2 4" xfId="15911"/>
    <cellStyle name="20% - Accent5 2 13 3" xfId="15912"/>
    <cellStyle name="20% - Accent5 2 13 3 2" xfId="15913"/>
    <cellStyle name="20% - Accent5 2 13 3 2 2" xfId="15914"/>
    <cellStyle name="20% - Accent5 2 13 3 3" xfId="15915"/>
    <cellStyle name="20% - Accent5 2 13 4" xfId="15916"/>
    <cellStyle name="20% - Accent5 2 13 4 2" xfId="15917"/>
    <cellStyle name="20% - Accent5 2 13 5" xfId="15918"/>
    <cellStyle name="20% - Accent5 2 14" xfId="15919"/>
    <cellStyle name="20% - Accent5 2 14 2" xfId="15920"/>
    <cellStyle name="20% - Accent5 2 14 2 2" xfId="15921"/>
    <cellStyle name="20% - Accent5 2 14 2 2 2" xfId="15922"/>
    <cellStyle name="20% - Accent5 2 14 2 2 2 2" xfId="15923"/>
    <cellStyle name="20% - Accent5 2 14 2 2 3" xfId="15924"/>
    <cellStyle name="20% - Accent5 2 14 2 3" xfId="15925"/>
    <cellStyle name="20% - Accent5 2 14 2 3 2" xfId="15926"/>
    <cellStyle name="20% - Accent5 2 14 2 4" xfId="15927"/>
    <cellStyle name="20% - Accent5 2 14 3" xfId="15928"/>
    <cellStyle name="20% - Accent5 2 14 3 2" xfId="15929"/>
    <cellStyle name="20% - Accent5 2 14 3 2 2" xfId="15930"/>
    <cellStyle name="20% - Accent5 2 14 3 3" xfId="15931"/>
    <cellStyle name="20% - Accent5 2 14 4" xfId="15932"/>
    <cellStyle name="20% - Accent5 2 14 4 2" xfId="15933"/>
    <cellStyle name="20% - Accent5 2 14 5" xfId="15934"/>
    <cellStyle name="20% - Accent5 2 15" xfId="15935"/>
    <cellStyle name="20% - Accent5 2 15 2" xfId="15936"/>
    <cellStyle name="20% - Accent5 2 15 2 2" xfId="15937"/>
    <cellStyle name="20% - Accent5 2 15 2 2 2" xfId="15938"/>
    <cellStyle name="20% - Accent5 2 15 2 2 2 2" xfId="15939"/>
    <cellStyle name="20% - Accent5 2 15 2 2 3" xfId="15940"/>
    <cellStyle name="20% - Accent5 2 15 2 3" xfId="15941"/>
    <cellStyle name="20% - Accent5 2 15 2 3 2" xfId="15942"/>
    <cellStyle name="20% - Accent5 2 15 2 4" xfId="15943"/>
    <cellStyle name="20% - Accent5 2 15 3" xfId="15944"/>
    <cellStyle name="20% - Accent5 2 15 3 2" xfId="15945"/>
    <cellStyle name="20% - Accent5 2 15 3 2 2" xfId="15946"/>
    <cellStyle name="20% - Accent5 2 15 3 3" xfId="15947"/>
    <cellStyle name="20% - Accent5 2 15 4" xfId="15948"/>
    <cellStyle name="20% - Accent5 2 15 4 2" xfId="15949"/>
    <cellStyle name="20% - Accent5 2 15 5" xfId="15950"/>
    <cellStyle name="20% - Accent5 2 16" xfId="15951"/>
    <cellStyle name="20% - Accent5 2 16 2" xfId="15952"/>
    <cellStyle name="20% - Accent5 2 16 2 2" xfId="15953"/>
    <cellStyle name="20% - Accent5 2 16 2 2 2" xfId="15954"/>
    <cellStyle name="20% - Accent5 2 16 2 3" xfId="15955"/>
    <cellStyle name="20% - Accent5 2 16 3" xfId="15956"/>
    <cellStyle name="20% - Accent5 2 16 3 2" xfId="15957"/>
    <cellStyle name="20% - Accent5 2 16 4" xfId="15958"/>
    <cellStyle name="20% - Accent5 2 17" xfId="15959"/>
    <cellStyle name="20% - Accent5 2 17 2" xfId="15960"/>
    <cellStyle name="20% - Accent5 2 17 2 2" xfId="15961"/>
    <cellStyle name="20% - Accent5 2 17 3" xfId="15962"/>
    <cellStyle name="20% - Accent5 2 18" xfId="15963"/>
    <cellStyle name="20% - Accent5 2 18 2" xfId="15964"/>
    <cellStyle name="20% - Accent5 2 19" xfId="15965"/>
    <cellStyle name="20% - Accent5 2 2" xfId="15966"/>
    <cellStyle name="20% - Accent5 2 2 10" xfId="15967"/>
    <cellStyle name="20% - Accent5 2 2 10 2" xfId="15968"/>
    <cellStyle name="20% - Accent5 2 2 11" xfId="15969"/>
    <cellStyle name="20% - Accent5 2 2 2" xfId="15970"/>
    <cellStyle name="20% - Accent5 2 2 2 10" xfId="15971"/>
    <cellStyle name="20% - Accent5 2 2 2 2" xfId="15972"/>
    <cellStyle name="20% - Accent5 2 2 2 2 2" xfId="15973"/>
    <cellStyle name="20% - Accent5 2 2 2 2 2 2" xfId="15974"/>
    <cellStyle name="20% - Accent5 2 2 2 2 2 2 2" xfId="15975"/>
    <cellStyle name="20% - Accent5 2 2 2 2 2 2 2 2" xfId="15976"/>
    <cellStyle name="20% - Accent5 2 2 2 2 2 2 3" xfId="15977"/>
    <cellStyle name="20% - Accent5 2 2 2 2 2 3" xfId="15978"/>
    <cellStyle name="20% - Accent5 2 2 2 2 2 3 2" xfId="15979"/>
    <cellStyle name="20% - Accent5 2 2 2 2 2 4" xfId="15980"/>
    <cellStyle name="20% - Accent5 2 2 2 2 3" xfId="15981"/>
    <cellStyle name="20% - Accent5 2 2 2 2 3 2" xfId="15982"/>
    <cellStyle name="20% - Accent5 2 2 2 2 3 2 2" xfId="15983"/>
    <cellStyle name="20% - Accent5 2 2 2 2 3 3" xfId="15984"/>
    <cellStyle name="20% - Accent5 2 2 2 2 4" xfId="15985"/>
    <cellStyle name="20% - Accent5 2 2 2 2 4 2" xfId="15986"/>
    <cellStyle name="20% - Accent5 2 2 2 2 5" xfId="15987"/>
    <cellStyle name="20% - Accent5 2 2 2 3" xfId="15988"/>
    <cellStyle name="20% - Accent5 2 2 2 3 2" xfId="15989"/>
    <cellStyle name="20% - Accent5 2 2 2 3 2 2" xfId="15990"/>
    <cellStyle name="20% - Accent5 2 2 2 3 2 2 2" xfId="15991"/>
    <cellStyle name="20% - Accent5 2 2 2 3 2 2 2 2" xfId="15992"/>
    <cellStyle name="20% - Accent5 2 2 2 3 2 2 3" xfId="15993"/>
    <cellStyle name="20% - Accent5 2 2 2 3 2 3" xfId="15994"/>
    <cellStyle name="20% - Accent5 2 2 2 3 2 3 2" xfId="15995"/>
    <cellStyle name="20% - Accent5 2 2 2 3 2 4" xfId="15996"/>
    <cellStyle name="20% - Accent5 2 2 2 3 3" xfId="15997"/>
    <cellStyle name="20% - Accent5 2 2 2 3 3 2" xfId="15998"/>
    <cellStyle name="20% - Accent5 2 2 2 3 3 2 2" xfId="15999"/>
    <cellStyle name="20% - Accent5 2 2 2 3 3 3" xfId="16000"/>
    <cellStyle name="20% - Accent5 2 2 2 3 4" xfId="16001"/>
    <cellStyle name="20% - Accent5 2 2 2 3 4 2" xfId="16002"/>
    <cellStyle name="20% - Accent5 2 2 2 3 5" xfId="16003"/>
    <cellStyle name="20% - Accent5 2 2 2 4" xfId="16004"/>
    <cellStyle name="20% - Accent5 2 2 2 4 2" xfId="16005"/>
    <cellStyle name="20% - Accent5 2 2 2 4 2 2" xfId="16006"/>
    <cellStyle name="20% - Accent5 2 2 2 4 2 2 2" xfId="16007"/>
    <cellStyle name="20% - Accent5 2 2 2 4 2 2 2 2" xfId="16008"/>
    <cellStyle name="20% - Accent5 2 2 2 4 2 2 3" xfId="16009"/>
    <cellStyle name="20% - Accent5 2 2 2 4 2 3" xfId="16010"/>
    <cellStyle name="20% - Accent5 2 2 2 4 2 3 2" xfId="16011"/>
    <cellStyle name="20% - Accent5 2 2 2 4 2 4" xfId="16012"/>
    <cellStyle name="20% - Accent5 2 2 2 4 3" xfId="16013"/>
    <cellStyle name="20% - Accent5 2 2 2 4 3 2" xfId="16014"/>
    <cellStyle name="20% - Accent5 2 2 2 4 3 2 2" xfId="16015"/>
    <cellStyle name="20% - Accent5 2 2 2 4 3 3" xfId="16016"/>
    <cellStyle name="20% - Accent5 2 2 2 4 4" xfId="16017"/>
    <cellStyle name="20% - Accent5 2 2 2 4 4 2" xfId="16018"/>
    <cellStyle name="20% - Accent5 2 2 2 4 5" xfId="16019"/>
    <cellStyle name="20% - Accent5 2 2 2 5" xfId="16020"/>
    <cellStyle name="20% - Accent5 2 2 2 5 2" xfId="16021"/>
    <cellStyle name="20% - Accent5 2 2 2 5 2 2" xfId="16022"/>
    <cellStyle name="20% - Accent5 2 2 2 5 2 2 2" xfId="16023"/>
    <cellStyle name="20% - Accent5 2 2 2 5 2 2 2 2" xfId="16024"/>
    <cellStyle name="20% - Accent5 2 2 2 5 2 2 3" xfId="16025"/>
    <cellStyle name="20% - Accent5 2 2 2 5 2 3" xfId="16026"/>
    <cellStyle name="20% - Accent5 2 2 2 5 2 3 2" xfId="16027"/>
    <cellStyle name="20% - Accent5 2 2 2 5 2 4" xfId="16028"/>
    <cellStyle name="20% - Accent5 2 2 2 5 3" xfId="16029"/>
    <cellStyle name="20% - Accent5 2 2 2 5 3 2" xfId="16030"/>
    <cellStyle name="20% - Accent5 2 2 2 5 3 2 2" xfId="16031"/>
    <cellStyle name="20% - Accent5 2 2 2 5 3 3" xfId="16032"/>
    <cellStyle name="20% - Accent5 2 2 2 5 4" xfId="16033"/>
    <cellStyle name="20% - Accent5 2 2 2 5 4 2" xfId="16034"/>
    <cellStyle name="20% - Accent5 2 2 2 5 5" xfId="16035"/>
    <cellStyle name="20% - Accent5 2 2 2 6" xfId="16036"/>
    <cellStyle name="20% - Accent5 2 2 2 6 2" xfId="16037"/>
    <cellStyle name="20% - Accent5 2 2 2 6 2 2" xfId="16038"/>
    <cellStyle name="20% - Accent5 2 2 2 6 2 2 2" xfId="16039"/>
    <cellStyle name="20% - Accent5 2 2 2 6 2 2 2 2" xfId="16040"/>
    <cellStyle name="20% - Accent5 2 2 2 6 2 2 3" xfId="16041"/>
    <cellStyle name="20% - Accent5 2 2 2 6 2 3" xfId="16042"/>
    <cellStyle name="20% - Accent5 2 2 2 6 2 3 2" xfId="16043"/>
    <cellStyle name="20% - Accent5 2 2 2 6 2 4" xfId="16044"/>
    <cellStyle name="20% - Accent5 2 2 2 6 3" xfId="16045"/>
    <cellStyle name="20% - Accent5 2 2 2 6 3 2" xfId="16046"/>
    <cellStyle name="20% - Accent5 2 2 2 6 3 2 2" xfId="16047"/>
    <cellStyle name="20% - Accent5 2 2 2 6 3 3" xfId="16048"/>
    <cellStyle name="20% - Accent5 2 2 2 6 4" xfId="16049"/>
    <cellStyle name="20% - Accent5 2 2 2 6 4 2" xfId="16050"/>
    <cellStyle name="20% - Accent5 2 2 2 6 5" xfId="16051"/>
    <cellStyle name="20% - Accent5 2 2 2 7" xfId="16052"/>
    <cellStyle name="20% - Accent5 2 2 2 7 2" xfId="16053"/>
    <cellStyle name="20% - Accent5 2 2 2 7 2 2" xfId="16054"/>
    <cellStyle name="20% - Accent5 2 2 2 7 2 2 2" xfId="16055"/>
    <cellStyle name="20% - Accent5 2 2 2 7 2 3" xfId="16056"/>
    <cellStyle name="20% - Accent5 2 2 2 7 3" xfId="16057"/>
    <cellStyle name="20% - Accent5 2 2 2 7 3 2" xfId="16058"/>
    <cellStyle name="20% - Accent5 2 2 2 7 4" xfId="16059"/>
    <cellStyle name="20% - Accent5 2 2 2 8" xfId="16060"/>
    <cellStyle name="20% - Accent5 2 2 2 8 2" xfId="16061"/>
    <cellStyle name="20% - Accent5 2 2 2 8 2 2" xfId="16062"/>
    <cellStyle name="20% - Accent5 2 2 2 8 3" xfId="16063"/>
    <cellStyle name="20% - Accent5 2 2 2 9" xfId="16064"/>
    <cellStyle name="20% - Accent5 2 2 2 9 2" xfId="16065"/>
    <cellStyle name="20% - Accent5 2 2 3" xfId="16066"/>
    <cellStyle name="20% - Accent5 2 2 3 2" xfId="16067"/>
    <cellStyle name="20% - Accent5 2 2 3 2 2" xfId="16068"/>
    <cellStyle name="20% - Accent5 2 2 3 2 2 2" xfId="16069"/>
    <cellStyle name="20% - Accent5 2 2 3 2 2 2 2" xfId="16070"/>
    <cellStyle name="20% - Accent5 2 2 3 2 2 3" xfId="16071"/>
    <cellStyle name="20% - Accent5 2 2 3 2 3" xfId="16072"/>
    <cellStyle name="20% - Accent5 2 2 3 2 3 2" xfId="16073"/>
    <cellStyle name="20% - Accent5 2 2 3 2 4" xfId="16074"/>
    <cellStyle name="20% - Accent5 2 2 3 3" xfId="16075"/>
    <cellStyle name="20% - Accent5 2 2 3 3 2" xfId="16076"/>
    <cellStyle name="20% - Accent5 2 2 3 3 2 2" xfId="16077"/>
    <cellStyle name="20% - Accent5 2 2 3 3 3" xfId="16078"/>
    <cellStyle name="20% - Accent5 2 2 3 4" xfId="16079"/>
    <cellStyle name="20% - Accent5 2 2 3 4 2" xfId="16080"/>
    <cellStyle name="20% - Accent5 2 2 3 5" xfId="16081"/>
    <cellStyle name="20% - Accent5 2 2 4" xfId="16082"/>
    <cellStyle name="20% - Accent5 2 2 4 2" xfId="16083"/>
    <cellStyle name="20% - Accent5 2 2 4 2 2" xfId="16084"/>
    <cellStyle name="20% - Accent5 2 2 4 2 2 2" xfId="16085"/>
    <cellStyle name="20% - Accent5 2 2 4 2 2 2 2" xfId="16086"/>
    <cellStyle name="20% - Accent5 2 2 4 2 2 3" xfId="16087"/>
    <cellStyle name="20% - Accent5 2 2 4 2 3" xfId="16088"/>
    <cellStyle name="20% - Accent5 2 2 4 2 3 2" xfId="16089"/>
    <cellStyle name="20% - Accent5 2 2 4 2 4" xfId="16090"/>
    <cellStyle name="20% - Accent5 2 2 4 3" xfId="16091"/>
    <cellStyle name="20% - Accent5 2 2 4 3 2" xfId="16092"/>
    <cellStyle name="20% - Accent5 2 2 4 3 2 2" xfId="16093"/>
    <cellStyle name="20% - Accent5 2 2 4 3 3" xfId="16094"/>
    <cellStyle name="20% - Accent5 2 2 4 4" xfId="16095"/>
    <cellStyle name="20% - Accent5 2 2 4 4 2" xfId="16096"/>
    <cellStyle name="20% - Accent5 2 2 4 5" xfId="16097"/>
    <cellStyle name="20% - Accent5 2 2 5" xfId="16098"/>
    <cellStyle name="20% - Accent5 2 2 5 2" xfId="16099"/>
    <cellStyle name="20% - Accent5 2 2 5 2 2" xfId="16100"/>
    <cellStyle name="20% - Accent5 2 2 5 2 2 2" xfId="16101"/>
    <cellStyle name="20% - Accent5 2 2 5 2 2 2 2" xfId="16102"/>
    <cellStyle name="20% - Accent5 2 2 5 2 2 3" xfId="16103"/>
    <cellStyle name="20% - Accent5 2 2 5 2 3" xfId="16104"/>
    <cellStyle name="20% - Accent5 2 2 5 2 3 2" xfId="16105"/>
    <cellStyle name="20% - Accent5 2 2 5 2 4" xfId="16106"/>
    <cellStyle name="20% - Accent5 2 2 5 3" xfId="16107"/>
    <cellStyle name="20% - Accent5 2 2 5 3 2" xfId="16108"/>
    <cellStyle name="20% - Accent5 2 2 5 3 2 2" xfId="16109"/>
    <cellStyle name="20% - Accent5 2 2 5 3 3" xfId="16110"/>
    <cellStyle name="20% - Accent5 2 2 5 4" xfId="16111"/>
    <cellStyle name="20% - Accent5 2 2 5 4 2" xfId="16112"/>
    <cellStyle name="20% - Accent5 2 2 5 5" xfId="16113"/>
    <cellStyle name="20% - Accent5 2 2 6" xfId="16114"/>
    <cellStyle name="20% - Accent5 2 2 6 2" xfId="16115"/>
    <cellStyle name="20% - Accent5 2 2 6 2 2" xfId="16116"/>
    <cellStyle name="20% - Accent5 2 2 6 2 2 2" xfId="16117"/>
    <cellStyle name="20% - Accent5 2 2 6 2 2 2 2" xfId="16118"/>
    <cellStyle name="20% - Accent5 2 2 6 2 2 3" xfId="16119"/>
    <cellStyle name="20% - Accent5 2 2 6 2 3" xfId="16120"/>
    <cellStyle name="20% - Accent5 2 2 6 2 3 2" xfId="16121"/>
    <cellStyle name="20% - Accent5 2 2 6 2 4" xfId="16122"/>
    <cellStyle name="20% - Accent5 2 2 6 3" xfId="16123"/>
    <cellStyle name="20% - Accent5 2 2 6 3 2" xfId="16124"/>
    <cellStyle name="20% - Accent5 2 2 6 3 2 2" xfId="16125"/>
    <cellStyle name="20% - Accent5 2 2 6 3 3" xfId="16126"/>
    <cellStyle name="20% - Accent5 2 2 6 4" xfId="16127"/>
    <cellStyle name="20% - Accent5 2 2 6 4 2" xfId="16128"/>
    <cellStyle name="20% - Accent5 2 2 6 5" xfId="16129"/>
    <cellStyle name="20% - Accent5 2 2 7" xfId="16130"/>
    <cellStyle name="20% - Accent5 2 2 7 2" xfId="16131"/>
    <cellStyle name="20% - Accent5 2 2 7 2 2" xfId="16132"/>
    <cellStyle name="20% - Accent5 2 2 7 2 2 2" xfId="16133"/>
    <cellStyle name="20% - Accent5 2 2 7 2 2 2 2" xfId="16134"/>
    <cellStyle name="20% - Accent5 2 2 7 2 2 3" xfId="16135"/>
    <cellStyle name="20% - Accent5 2 2 7 2 3" xfId="16136"/>
    <cellStyle name="20% - Accent5 2 2 7 2 3 2" xfId="16137"/>
    <cellStyle name="20% - Accent5 2 2 7 2 4" xfId="16138"/>
    <cellStyle name="20% - Accent5 2 2 7 3" xfId="16139"/>
    <cellStyle name="20% - Accent5 2 2 7 3 2" xfId="16140"/>
    <cellStyle name="20% - Accent5 2 2 7 3 2 2" xfId="16141"/>
    <cellStyle name="20% - Accent5 2 2 7 3 3" xfId="16142"/>
    <cellStyle name="20% - Accent5 2 2 7 4" xfId="16143"/>
    <cellStyle name="20% - Accent5 2 2 7 4 2" xfId="16144"/>
    <cellStyle name="20% - Accent5 2 2 7 5" xfId="16145"/>
    <cellStyle name="20% - Accent5 2 2 8" xfId="16146"/>
    <cellStyle name="20% - Accent5 2 2 8 2" xfId="16147"/>
    <cellStyle name="20% - Accent5 2 2 8 2 2" xfId="16148"/>
    <cellStyle name="20% - Accent5 2 2 8 2 2 2" xfId="16149"/>
    <cellStyle name="20% - Accent5 2 2 8 2 3" xfId="16150"/>
    <cellStyle name="20% - Accent5 2 2 8 3" xfId="16151"/>
    <cellStyle name="20% - Accent5 2 2 8 3 2" xfId="16152"/>
    <cellStyle name="20% - Accent5 2 2 8 4" xfId="16153"/>
    <cellStyle name="20% - Accent5 2 2 9" xfId="16154"/>
    <cellStyle name="20% - Accent5 2 2 9 2" xfId="16155"/>
    <cellStyle name="20% - Accent5 2 2 9 2 2" xfId="16156"/>
    <cellStyle name="20% - Accent5 2 2 9 3" xfId="16157"/>
    <cellStyle name="20% - Accent5 2 3" xfId="16158"/>
    <cellStyle name="20% - Accent5 2 3 10" xfId="16159"/>
    <cellStyle name="20% - Accent5 2 3 10 2" xfId="16160"/>
    <cellStyle name="20% - Accent5 2 3 11" xfId="16161"/>
    <cellStyle name="20% - Accent5 2 3 2" xfId="16162"/>
    <cellStyle name="20% - Accent5 2 3 2 10" xfId="16163"/>
    <cellStyle name="20% - Accent5 2 3 2 2" xfId="16164"/>
    <cellStyle name="20% - Accent5 2 3 2 2 2" xfId="16165"/>
    <cellStyle name="20% - Accent5 2 3 2 2 2 2" xfId="16166"/>
    <cellStyle name="20% - Accent5 2 3 2 2 2 2 2" xfId="16167"/>
    <cellStyle name="20% - Accent5 2 3 2 2 2 2 2 2" xfId="16168"/>
    <cellStyle name="20% - Accent5 2 3 2 2 2 2 3" xfId="16169"/>
    <cellStyle name="20% - Accent5 2 3 2 2 2 3" xfId="16170"/>
    <cellStyle name="20% - Accent5 2 3 2 2 2 3 2" xfId="16171"/>
    <cellStyle name="20% - Accent5 2 3 2 2 2 4" xfId="16172"/>
    <cellStyle name="20% - Accent5 2 3 2 2 3" xfId="16173"/>
    <cellStyle name="20% - Accent5 2 3 2 2 3 2" xfId="16174"/>
    <cellStyle name="20% - Accent5 2 3 2 2 3 2 2" xfId="16175"/>
    <cellStyle name="20% - Accent5 2 3 2 2 3 3" xfId="16176"/>
    <cellStyle name="20% - Accent5 2 3 2 2 4" xfId="16177"/>
    <cellStyle name="20% - Accent5 2 3 2 2 4 2" xfId="16178"/>
    <cellStyle name="20% - Accent5 2 3 2 2 5" xfId="16179"/>
    <cellStyle name="20% - Accent5 2 3 2 3" xfId="16180"/>
    <cellStyle name="20% - Accent5 2 3 2 3 2" xfId="16181"/>
    <cellStyle name="20% - Accent5 2 3 2 3 2 2" xfId="16182"/>
    <cellStyle name="20% - Accent5 2 3 2 3 2 2 2" xfId="16183"/>
    <cellStyle name="20% - Accent5 2 3 2 3 2 2 2 2" xfId="16184"/>
    <cellStyle name="20% - Accent5 2 3 2 3 2 2 3" xfId="16185"/>
    <cellStyle name="20% - Accent5 2 3 2 3 2 3" xfId="16186"/>
    <cellStyle name="20% - Accent5 2 3 2 3 2 3 2" xfId="16187"/>
    <cellStyle name="20% - Accent5 2 3 2 3 2 4" xfId="16188"/>
    <cellStyle name="20% - Accent5 2 3 2 3 3" xfId="16189"/>
    <cellStyle name="20% - Accent5 2 3 2 3 3 2" xfId="16190"/>
    <cellStyle name="20% - Accent5 2 3 2 3 3 2 2" xfId="16191"/>
    <cellStyle name="20% - Accent5 2 3 2 3 3 3" xfId="16192"/>
    <cellStyle name="20% - Accent5 2 3 2 3 4" xfId="16193"/>
    <cellStyle name="20% - Accent5 2 3 2 3 4 2" xfId="16194"/>
    <cellStyle name="20% - Accent5 2 3 2 3 5" xfId="16195"/>
    <cellStyle name="20% - Accent5 2 3 2 4" xfId="16196"/>
    <cellStyle name="20% - Accent5 2 3 2 4 2" xfId="16197"/>
    <cellStyle name="20% - Accent5 2 3 2 4 2 2" xfId="16198"/>
    <cellStyle name="20% - Accent5 2 3 2 4 2 2 2" xfId="16199"/>
    <cellStyle name="20% - Accent5 2 3 2 4 2 2 2 2" xfId="16200"/>
    <cellStyle name="20% - Accent5 2 3 2 4 2 2 3" xfId="16201"/>
    <cellStyle name="20% - Accent5 2 3 2 4 2 3" xfId="16202"/>
    <cellStyle name="20% - Accent5 2 3 2 4 2 3 2" xfId="16203"/>
    <cellStyle name="20% - Accent5 2 3 2 4 2 4" xfId="16204"/>
    <cellStyle name="20% - Accent5 2 3 2 4 3" xfId="16205"/>
    <cellStyle name="20% - Accent5 2 3 2 4 3 2" xfId="16206"/>
    <cellStyle name="20% - Accent5 2 3 2 4 3 2 2" xfId="16207"/>
    <cellStyle name="20% - Accent5 2 3 2 4 3 3" xfId="16208"/>
    <cellStyle name="20% - Accent5 2 3 2 4 4" xfId="16209"/>
    <cellStyle name="20% - Accent5 2 3 2 4 4 2" xfId="16210"/>
    <cellStyle name="20% - Accent5 2 3 2 4 5" xfId="16211"/>
    <cellStyle name="20% - Accent5 2 3 2 5" xfId="16212"/>
    <cellStyle name="20% - Accent5 2 3 2 5 2" xfId="16213"/>
    <cellStyle name="20% - Accent5 2 3 2 5 2 2" xfId="16214"/>
    <cellStyle name="20% - Accent5 2 3 2 5 2 2 2" xfId="16215"/>
    <cellStyle name="20% - Accent5 2 3 2 5 2 2 2 2" xfId="16216"/>
    <cellStyle name="20% - Accent5 2 3 2 5 2 2 3" xfId="16217"/>
    <cellStyle name="20% - Accent5 2 3 2 5 2 3" xfId="16218"/>
    <cellStyle name="20% - Accent5 2 3 2 5 2 3 2" xfId="16219"/>
    <cellStyle name="20% - Accent5 2 3 2 5 2 4" xfId="16220"/>
    <cellStyle name="20% - Accent5 2 3 2 5 3" xfId="16221"/>
    <cellStyle name="20% - Accent5 2 3 2 5 3 2" xfId="16222"/>
    <cellStyle name="20% - Accent5 2 3 2 5 3 2 2" xfId="16223"/>
    <cellStyle name="20% - Accent5 2 3 2 5 3 3" xfId="16224"/>
    <cellStyle name="20% - Accent5 2 3 2 5 4" xfId="16225"/>
    <cellStyle name="20% - Accent5 2 3 2 5 4 2" xfId="16226"/>
    <cellStyle name="20% - Accent5 2 3 2 5 5" xfId="16227"/>
    <cellStyle name="20% - Accent5 2 3 2 6" xfId="16228"/>
    <cellStyle name="20% - Accent5 2 3 2 6 2" xfId="16229"/>
    <cellStyle name="20% - Accent5 2 3 2 6 2 2" xfId="16230"/>
    <cellStyle name="20% - Accent5 2 3 2 6 2 2 2" xfId="16231"/>
    <cellStyle name="20% - Accent5 2 3 2 6 2 2 2 2" xfId="16232"/>
    <cellStyle name="20% - Accent5 2 3 2 6 2 2 3" xfId="16233"/>
    <cellStyle name="20% - Accent5 2 3 2 6 2 3" xfId="16234"/>
    <cellStyle name="20% - Accent5 2 3 2 6 2 3 2" xfId="16235"/>
    <cellStyle name="20% - Accent5 2 3 2 6 2 4" xfId="16236"/>
    <cellStyle name="20% - Accent5 2 3 2 6 3" xfId="16237"/>
    <cellStyle name="20% - Accent5 2 3 2 6 3 2" xfId="16238"/>
    <cellStyle name="20% - Accent5 2 3 2 6 3 2 2" xfId="16239"/>
    <cellStyle name="20% - Accent5 2 3 2 6 3 3" xfId="16240"/>
    <cellStyle name="20% - Accent5 2 3 2 6 4" xfId="16241"/>
    <cellStyle name="20% - Accent5 2 3 2 6 4 2" xfId="16242"/>
    <cellStyle name="20% - Accent5 2 3 2 6 5" xfId="16243"/>
    <cellStyle name="20% - Accent5 2 3 2 7" xfId="16244"/>
    <cellStyle name="20% - Accent5 2 3 2 7 2" xfId="16245"/>
    <cellStyle name="20% - Accent5 2 3 2 7 2 2" xfId="16246"/>
    <cellStyle name="20% - Accent5 2 3 2 7 2 2 2" xfId="16247"/>
    <cellStyle name="20% - Accent5 2 3 2 7 2 3" xfId="16248"/>
    <cellStyle name="20% - Accent5 2 3 2 7 3" xfId="16249"/>
    <cellStyle name="20% - Accent5 2 3 2 7 3 2" xfId="16250"/>
    <cellStyle name="20% - Accent5 2 3 2 7 4" xfId="16251"/>
    <cellStyle name="20% - Accent5 2 3 2 8" xfId="16252"/>
    <cellStyle name="20% - Accent5 2 3 2 8 2" xfId="16253"/>
    <cellStyle name="20% - Accent5 2 3 2 8 2 2" xfId="16254"/>
    <cellStyle name="20% - Accent5 2 3 2 8 3" xfId="16255"/>
    <cellStyle name="20% - Accent5 2 3 2 9" xfId="16256"/>
    <cellStyle name="20% - Accent5 2 3 2 9 2" xfId="16257"/>
    <cellStyle name="20% - Accent5 2 3 3" xfId="16258"/>
    <cellStyle name="20% - Accent5 2 3 3 2" xfId="16259"/>
    <cellStyle name="20% - Accent5 2 3 3 2 2" xfId="16260"/>
    <cellStyle name="20% - Accent5 2 3 3 2 2 2" xfId="16261"/>
    <cellStyle name="20% - Accent5 2 3 3 2 2 2 2" xfId="16262"/>
    <cellStyle name="20% - Accent5 2 3 3 2 2 3" xfId="16263"/>
    <cellStyle name="20% - Accent5 2 3 3 2 3" xfId="16264"/>
    <cellStyle name="20% - Accent5 2 3 3 2 3 2" xfId="16265"/>
    <cellStyle name="20% - Accent5 2 3 3 2 4" xfId="16266"/>
    <cellStyle name="20% - Accent5 2 3 3 3" xfId="16267"/>
    <cellStyle name="20% - Accent5 2 3 3 3 2" xfId="16268"/>
    <cellStyle name="20% - Accent5 2 3 3 3 2 2" xfId="16269"/>
    <cellStyle name="20% - Accent5 2 3 3 3 3" xfId="16270"/>
    <cellStyle name="20% - Accent5 2 3 3 4" xfId="16271"/>
    <cellStyle name="20% - Accent5 2 3 3 4 2" xfId="16272"/>
    <cellStyle name="20% - Accent5 2 3 3 5" xfId="16273"/>
    <cellStyle name="20% - Accent5 2 3 4" xfId="16274"/>
    <cellStyle name="20% - Accent5 2 3 4 2" xfId="16275"/>
    <cellStyle name="20% - Accent5 2 3 4 2 2" xfId="16276"/>
    <cellStyle name="20% - Accent5 2 3 4 2 2 2" xfId="16277"/>
    <cellStyle name="20% - Accent5 2 3 4 2 2 2 2" xfId="16278"/>
    <cellStyle name="20% - Accent5 2 3 4 2 2 3" xfId="16279"/>
    <cellStyle name="20% - Accent5 2 3 4 2 3" xfId="16280"/>
    <cellStyle name="20% - Accent5 2 3 4 2 3 2" xfId="16281"/>
    <cellStyle name="20% - Accent5 2 3 4 2 4" xfId="16282"/>
    <cellStyle name="20% - Accent5 2 3 4 3" xfId="16283"/>
    <cellStyle name="20% - Accent5 2 3 4 3 2" xfId="16284"/>
    <cellStyle name="20% - Accent5 2 3 4 3 2 2" xfId="16285"/>
    <cellStyle name="20% - Accent5 2 3 4 3 3" xfId="16286"/>
    <cellStyle name="20% - Accent5 2 3 4 4" xfId="16287"/>
    <cellStyle name="20% - Accent5 2 3 4 4 2" xfId="16288"/>
    <cellStyle name="20% - Accent5 2 3 4 5" xfId="16289"/>
    <cellStyle name="20% - Accent5 2 3 5" xfId="16290"/>
    <cellStyle name="20% - Accent5 2 3 5 2" xfId="16291"/>
    <cellStyle name="20% - Accent5 2 3 5 2 2" xfId="16292"/>
    <cellStyle name="20% - Accent5 2 3 5 2 2 2" xfId="16293"/>
    <cellStyle name="20% - Accent5 2 3 5 2 2 2 2" xfId="16294"/>
    <cellStyle name="20% - Accent5 2 3 5 2 2 3" xfId="16295"/>
    <cellStyle name="20% - Accent5 2 3 5 2 3" xfId="16296"/>
    <cellStyle name="20% - Accent5 2 3 5 2 3 2" xfId="16297"/>
    <cellStyle name="20% - Accent5 2 3 5 2 4" xfId="16298"/>
    <cellStyle name="20% - Accent5 2 3 5 3" xfId="16299"/>
    <cellStyle name="20% - Accent5 2 3 5 3 2" xfId="16300"/>
    <cellStyle name="20% - Accent5 2 3 5 3 2 2" xfId="16301"/>
    <cellStyle name="20% - Accent5 2 3 5 3 3" xfId="16302"/>
    <cellStyle name="20% - Accent5 2 3 5 4" xfId="16303"/>
    <cellStyle name="20% - Accent5 2 3 5 4 2" xfId="16304"/>
    <cellStyle name="20% - Accent5 2 3 5 5" xfId="16305"/>
    <cellStyle name="20% - Accent5 2 3 6" xfId="16306"/>
    <cellStyle name="20% - Accent5 2 3 6 2" xfId="16307"/>
    <cellStyle name="20% - Accent5 2 3 6 2 2" xfId="16308"/>
    <cellStyle name="20% - Accent5 2 3 6 2 2 2" xfId="16309"/>
    <cellStyle name="20% - Accent5 2 3 6 2 2 2 2" xfId="16310"/>
    <cellStyle name="20% - Accent5 2 3 6 2 2 3" xfId="16311"/>
    <cellStyle name="20% - Accent5 2 3 6 2 3" xfId="16312"/>
    <cellStyle name="20% - Accent5 2 3 6 2 3 2" xfId="16313"/>
    <cellStyle name="20% - Accent5 2 3 6 2 4" xfId="16314"/>
    <cellStyle name="20% - Accent5 2 3 6 3" xfId="16315"/>
    <cellStyle name="20% - Accent5 2 3 6 3 2" xfId="16316"/>
    <cellStyle name="20% - Accent5 2 3 6 3 2 2" xfId="16317"/>
    <cellStyle name="20% - Accent5 2 3 6 3 3" xfId="16318"/>
    <cellStyle name="20% - Accent5 2 3 6 4" xfId="16319"/>
    <cellStyle name="20% - Accent5 2 3 6 4 2" xfId="16320"/>
    <cellStyle name="20% - Accent5 2 3 6 5" xfId="16321"/>
    <cellStyle name="20% - Accent5 2 3 7" xfId="16322"/>
    <cellStyle name="20% - Accent5 2 3 7 2" xfId="16323"/>
    <cellStyle name="20% - Accent5 2 3 7 2 2" xfId="16324"/>
    <cellStyle name="20% - Accent5 2 3 7 2 2 2" xfId="16325"/>
    <cellStyle name="20% - Accent5 2 3 7 2 2 2 2" xfId="16326"/>
    <cellStyle name="20% - Accent5 2 3 7 2 2 3" xfId="16327"/>
    <cellStyle name="20% - Accent5 2 3 7 2 3" xfId="16328"/>
    <cellStyle name="20% - Accent5 2 3 7 2 3 2" xfId="16329"/>
    <cellStyle name="20% - Accent5 2 3 7 2 4" xfId="16330"/>
    <cellStyle name="20% - Accent5 2 3 7 3" xfId="16331"/>
    <cellStyle name="20% - Accent5 2 3 7 3 2" xfId="16332"/>
    <cellStyle name="20% - Accent5 2 3 7 3 2 2" xfId="16333"/>
    <cellStyle name="20% - Accent5 2 3 7 3 3" xfId="16334"/>
    <cellStyle name="20% - Accent5 2 3 7 4" xfId="16335"/>
    <cellStyle name="20% - Accent5 2 3 7 4 2" xfId="16336"/>
    <cellStyle name="20% - Accent5 2 3 7 5" xfId="16337"/>
    <cellStyle name="20% - Accent5 2 3 8" xfId="16338"/>
    <cellStyle name="20% - Accent5 2 3 8 2" xfId="16339"/>
    <cellStyle name="20% - Accent5 2 3 8 2 2" xfId="16340"/>
    <cellStyle name="20% - Accent5 2 3 8 2 2 2" xfId="16341"/>
    <cellStyle name="20% - Accent5 2 3 8 2 3" xfId="16342"/>
    <cellStyle name="20% - Accent5 2 3 8 3" xfId="16343"/>
    <cellStyle name="20% - Accent5 2 3 8 3 2" xfId="16344"/>
    <cellStyle name="20% - Accent5 2 3 8 4" xfId="16345"/>
    <cellStyle name="20% - Accent5 2 3 9" xfId="16346"/>
    <cellStyle name="20% - Accent5 2 3 9 2" xfId="16347"/>
    <cellStyle name="20% - Accent5 2 3 9 2 2" xfId="16348"/>
    <cellStyle name="20% - Accent5 2 3 9 3" xfId="16349"/>
    <cellStyle name="20% - Accent5 2 4" xfId="16350"/>
    <cellStyle name="20% - Accent5 2 4 10" xfId="16351"/>
    <cellStyle name="20% - Accent5 2 4 10 2" xfId="16352"/>
    <cellStyle name="20% - Accent5 2 4 11" xfId="16353"/>
    <cellStyle name="20% - Accent5 2 4 2" xfId="16354"/>
    <cellStyle name="20% - Accent5 2 4 2 10" xfId="16355"/>
    <cellStyle name="20% - Accent5 2 4 2 2" xfId="16356"/>
    <cellStyle name="20% - Accent5 2 4 2 2 2" xfId="16357"/>
    <cellStyle name="20% - Accent5 2 4 2 2 2 2" xfId="16358"/>
    <cellStyle name="20% - Accent5 2 4 2 2 2 2 2" xfId="16359"/>
    <cellStyle name="20% - Accent5 2 4 2 2 2 2 2 2" xfId="16360"/>
    <cellStyle name="20% - Accent5 2 4 2 2 2 2 3" xfId="16361"/>
    <cellStyle name="20% - Accent5 2 4 2 2 2 3" xfId="16362"/>
    <cellStyle name="20% - Accent5 2 4 2 2 2 3 2" xfId="16363"/>
    <cellStyle name="20% - Accent5 2 4 2 2 2 4" xfId="16364"/>
    <cellStyle name="20% - Accent5 2 4 2 2 3" xfId="16365"/>
    <cellStyle name="20% - Accent5 2 4 2 2 3 2" xfId="16366"/>
    <cellStyle name="20% - Accent5 2 4 2 2 3 2 2" xfId="16367"/>
    <cellStyle name="20% - Accent5 2 4 2 2 3 3" xfId="16368"/>
    <cellStyle name="20% - Accent5 2 4 2 2 4" xfId="16369"/>
    <cellStyle name="20% - Accent5 2 4 2 2 4 2" xfId="16370"/>
    <cellStyle name="20% - Accent5 2 4 2 2 5" xfId="16371"/>
    <cellStyle name="20% - Accent5 2 4 2 3" xfId="16372"/>
    <cellStyle name="20% - Accent5 2 4 2 3 2" xfId="16373"/>
    <cellStyle name="20% - Accent5 2 4 2 3 2 2" xfId="16374"/>
    <cellStyle name="20% - Accent5 2 4 2 3 2 2 2" xfId="16375"/>
    <cellStyle name="20% - Accent5 2 4 2 3 2 2 2 2" xfId="16376"/>
    <cellStyle name="20% - Accent5 2 4 2 3 2 2 3" xfId="16377"/>
    <cellStyle name="20% - Accent5 2 4 2 3 2 3" xfId="16378"/>
    <cellStyle name="20% - Accent5 2 4 2 3 2 3 2" xfId="16379"/>
    <cellStyle name="20% - Accent5 2 4 2 3 2 4" xfId="16380"/>
    <cellStyle name="20% - Accent5 2 4 2 3 3" xfId="16381"/>
    <cellStyle name="20% - Accent5 2 4 2 3 3 2" xfId="16382"/>
    <cellStyle name="20% - Accent5 2 4 2 3 3 2 2" xfId="16383"/>
    <cellStyle name="20% - Accent5 2 4 2 3 3 3" xfId="16384"/>
    <cellStyle name="20% - Accent5 2 4 2 3 4" xfId="16385"/>
    <cellStyle name="20% - Accent5 2 4 2 3 4 2" xfId="16386"/>
    <cellStyle name="20% - Accent5 2 4 2 3 5" xfId="16387"/>
    <cellStyle name="20% - Accent5 2 4 2 4" xfId="16388"/>
    <cellStyle name="20% - Accent5 2 4 2 4 2" xfId="16389"/>
    <cellStyle name="20% - Accent5 2 4 2 4 2 2" xfId="16390"/>
    <cellStyle name="20% - Accent5 2 4 2 4 2 2 2" xfId="16391"/>
    <cellStyle name="20% - Accent5 2 4 2 4 2 2 2 2" xfId="16392"/>
    <cellStyle name="20% - Accent5 2 4 2 4 2 2 3" xfId="16393"/>
    <cellStyle name="20% - Accent5 2 4 2 4 2 3" xfId="16394"/>
    <cellStyle name="20% - Accent5 2 4 2 4 2 3 2" xfId="16395"/>
    <cellStyle name="20% - Accent5 2 4 2 4 2 4" xfId="16396"/>
    <cellStyle name="20% - Accent5 2 4 2 4 3" xfId="16397"/>
    <cellStyle name="20% - Accent5 2 4 2 4 3 2" xfId="16398"/>
    <cellStyle name="20% - Accent5 2 4 2 4 3 2 2" xfId="16399"/>
    <cellStyle name="20% - Accent5 2 4 2 4 3 3" xfId="16400"/>
    <cellStyle name="20% - Accent5 2 4 2 4 4" xfId="16401"/>
    <cellStyle name="20% - Accent5 2 4 2 4 4 2" xfId="16402"/>
    <cellStyle name="20% - Accent5 2 4 2 4 5" xfId="16403"/>
    <cellStyle name="20% - Accent5 2 4 2 5" xfId="16404"/>
    <cellStyle name="20% - Accent5 2 4 2 5 2" xfId="16405"/>
    <cellStyle name="20% - Accent5 2 4 2 5 2 2" xfId="16406"/>
    <cellStyle name="20% - Accent5 2 4 2 5 2 2 2" xfId="16407"/>
    <cellStyle name="20% - Accent5 2 4 2 5 2 2 2 2" xfId="16408"/>
    <cellStyle name="20% - Accent5 2 4 2 5 2 2 3" xfId="16409"/>
    <cellStyle name="20% - Accent5 2 4 2 5 2 3" xfId="16410"/>
    <cellStyle name="20% - Accent5 2 4 2 5 2 3 2" xfId="16411"/>
    <cellStyle name="20% - Accent5 2 4 2 5 2 4" xfId="16412"/>
    <cellStyle name="20% - Accent5 2 4 2 5 3" xfId="16413"/>
    <cellStyle name="20% - Accent5 2 4 2 5 3 2" xfId="16414"/>
    <cellStyle name="20% - Accent5 2 4 2 5 3 2 2" xfId="16415"/>
    <cellStyle name="20% - Accent5 2 4 2 5 3 3" xfId="16416"/>
    <cellStyle name="20% - Accent5 2 4 2 5 4" xfId="16417"/>
    <cellStyle name="20% - Accent5 2 4 2 5 4 2" xfId="16418"/>
    <cellStyle name="20% - Accent5 2 4 2 5 5" xfId="16419"/>
    <cellStyle name="20% - Accent5 2 4 2 6" xfId="16420"/>
    <cellStyle name="20% - Accent5 2 4 2 6 2" xfId="16421"/>
    <cellStyle name="20% - Accent5 2 4 2 6 2 2" xfId="16422"/>
    <cellStyle name="20% - Accent5 2 4 2 6 2 2 2" xfId="16423"/>
    <cellStyle name="20% - Accent5 2 4 2 6 2 2 2 2" xfId="16424"/>
    <cellStyle name="20% - Accent5 2 4 2 6 2 2 3" xfId="16425"/>
    <cellStyle name="20% - Accent5 2 4 2 6 2 3" xfId="16426"/>
    <cellStyle name="20% - Accent5 2 4 2 6 2 3 2" xfId="16427"/>
    <cellStyle name="20% - Accent5 2 4 2 6 2 4" xfId="16428"/>
    <cellStyle name="20% - Accent5 2 4 2 6 3" xfId="16429"/>
    <cellStyle name="20% - Accent5 2 4 2 6 3 2" xfId="16430"/>
    <cellStyle name="20% - Accent5 2 4 2 6 3 2 2" xfId="16431"/>
    <cellStyle name="20% - Accent5 2 4 2 6 3 3" xfId="16432"/>
    <cellStyle name="20% - Accent5 2 4 2 6 4" xfId="16433"/>
    <cellStyle name="20% - Accent5 2 4 2 6 4 2" xfId="16434"/>
    <cellStyle name="20% - Accent5 2 4 2 6 5" xfId="16435"/>
    <cellStyle name="20% - Accent5 2 4 2 7" xfId="16436"/>
    <cellStyle name="20% - Accent5 2 4 2 7 2" xfId="16437"/>
    <cellStyle name="20% - Accent5 2 4 2 7 2 2" xfId="16438"/>
    <cellStyle name="20% - Accent5 2 4 2 7 2 2 2" xfId="16439"/>
    <cellStyle name="20% - Accent5 2 4 2 7 2 3" xfId="16440"/>
    <cellStyle name="20% - Accent5 2 4 2 7 3" xfId="16441"/>
    <cellStyle name="20% - Accent5 2 4 2 7 3 2" xfId="16442"/>
    <cellStyle name="20% - Accent5 2 4 2 7 4" xfId="16443"/>
    <cellStyle name="20% - Accent5 2 4 2 8" xfId="16444"/>
    <cellStyle name="20% - Accent5 2 4 2 8 2" xfId="16445"/>
    <cellStyle name="20% - Accent5 2 4 2 8 2 2" xfId="16446"/>
    <cellStyle name="20% - Accent5 2 4 2 8 3" xfId="16447"/>
    <cellStyle name="20% - Accent5 2 4 2 9" xfId="16448"/>
    <cellStyle name="20% - Accent5 2 4 2 9 2" xfId="16449"/>
    <cellStyle name="20% - Accent5 2 4 3" xfId="16450"/>
    <cellStyle name="20% - Accent5 2 4 3 2" xfId="16451"/>
    <cellStyle name="20% - Accent5 2 4 3 2 2" xfId="16452"/>
    <cellStyle name="20% - Accent5 2 4 3 2 2 2" xfId="16453"/>
    <cellStyle name="20% - Accent5 2 4 3 2 2 2 2" xfId="16454"/>
    <cellStyle name="20% - Accent5 2 4 3 2 2 3" xfId="16455"/>
    <cellStyle name="20% - Accent5 2 4 3 2 3" xfId="16456"/>
    <cellStyle name="20% - Accent5 2 4 3 2 3 2" xfId="16457"/>
    <cellStyle name="20% - Accent5 2 4 3 2 4" xfId="16458"/>
    <cellStyle name="20% - Accent5 2 4 3 3" xfId="16459"/>
    <cellStyle name="20% - Accent5 2 4 3 3 2" xfId="16460"/>
    <cellStyle name="20% - Accent5 2 4 3 3 2 2" xfId="16461"/>
    <cellStyle name="20% - Accent5 2 4 3 3 3" xfId="16462"/>
    <cellStyle name="20% - Accent5 2 4 3 4" xfId="16463"/>
    <cellStyle name="20% - Accent5 2 4 3 4 2" xfId="16464"/>
    <cellStyle name="20% - Accent5 2 4 3 5" xfId="16465"/>
    <cellStyle name="20% - Accent5 2 4 4" xfId="16466"/>
    <cellStyle name="20% - Accent5 2 4 4 2" xfId="16467"/>
    <cellStyle name="20% - Accent5 2 4 4 2 2" xfId="16468"/>
    <cellStyle name="20% - Accent5 2 4 4 2 2 2" xfId="16469"/>
    <cellStyle name="20% - Accent5 2 4 4 2 2 2 2" xfId="16470"/>
    <cellStyle name="20% - Accent5 2 4 4 2 2 3" xfId="16471"/>
    <cellStyle name="20% - Accent5 2 4 4 2 3" xfId="16472"/>
    <cellStyle name="20% - Accent5 2 4 4 2 3 2" xfId="16473"/>
    <cellStyle name="20% - Accent5 2 4 4 2 4" xfId="16474"/>
    <cellStyle name="20% - Accent5 2 4 4 3" xfId="16475"/>
    <cellStyle name="20% - Accent5 2 4 4 3 2" xfId="16476"/>
    <cellStyle name="20% - Accent5 2 4 4 3 2 2" xfId="16477"/>
    <cellStyle name="20% - Accent5 2 4 4 3 3" xfId="16478"/>
    <cellStyle name="20% - Accent5 2 4 4 4" xfId="16479"/>
    <cellStyle name="20% - Accent5 2 4 4 4 2" xfId="16480"/>
    <cellStyle name="20% - Accent5 2 4 4 5" xfId="16481"/>
    <cellStyle name="20% - Accent5 2 4 5" xfId="16482"/>
    <cellStyle name="20% - Accent5 2 4 5 2" xfId="16483"/>
    <cellStyle name="20% - Accent5 2 4 5 2 2" xfId="16484"/>
    <cellStyle name="20% - Accent5 2 4 5 2 2 2" xfId="16485"/>
    <cellStyle name="20% - Accent5 2 4 5 2 2 2 2" xfId="16486"/>
    <cellStyle name="20% - Accent5 2 4 5 2 2 3" xfId="16487"/>
    <cellStyle name="20% - Accent5 2 4 5 2 3" xfId="16488"/>
    <cellStyle name="20% - Accent5 2 4 5 2 3 2" xfId="16489"/>
    <cellStyle name="20% - Accent5 2 4 5 2 4" xfId="16490"/>
    <cellStyle name="20% - Accent5 2 4 5 3" xfId="16491"/>
    <cellStyle name="20% - Accent5 2 4 5 3 2" xfId="16492"/>
    <cellStyle name="20% - Accent5 2 4 5 3 2 2" xfId="16493"/>
    <cellStyle name="20% - Accent5 2 4 5 3 3" xfId="16494"/>
    <cellStyle name="20% - Accent5 2 4 5 4" xfId="16495"/>
    <cellStyle name="20% - Accent5 2 4 5 4 2" xfId="16496"/>
    <cellStyle name="20% - Accent5 2 4 5 5" xfId="16497"/>
    <cellStyle name="20% - Accent5 2 4 6" xfId="16498"/>
    <cellStyle name="20% - Accent5 2 4 6 2" xfId="16499"/>
    <cellStyle name="20% - Accent5 2 4 6 2 2" xfId="16500"/>
    <cellStyle name="20% - Accent5 2 4 6 2 2 2" xfId="16501"/>
    <cellStyle name="20% - Accent5 2 4 6 2 2 2 2" xfId="16502"/>
    <cellStyle name="20% - Accent5 2 4 6 2 2 3" xfId="16503"/>
    <cellStyle name="20% - Accent5 2 4 6 2 3" xfId="16504"/>
    <cellStyle name="20% - Accent5 2 4 6 2 3 2" xfId="16505"/>
    <cellStyle name="20% - Accent5 2 4 6 2 4" xfId="16506"/>
    <cellStyle name="20% - Accent5 2 4 6 3" xfId="16507"/>
    <cellStyle name="20% - Accent5 2 4 6 3 2" xfId="16508"/>
    <cellStyle name="20% - Accent5 2 4 6 3 2 2" xfId="16509"/>
    <cellStyle name="20% - Accent5 2 4 6 3 3" xfId="16510"/>
    <cellStyle name="20% - Accent5 2 4 6 4" xfId="16511"/>
    <cellStyle name="20% - Accent5 2 4 6 4 2" xfId="16512"/>
    <cellStyle name="20% - Accent5 2 4 6 5" xfId="16513"/>
    <cellStyle name="20% - Accent5 2 4 7" xfId="16514"/>
    <cellStyle name="20% - Accent5 2 4 7 2" xfId="16515"/>
    <cellStyle name="20% - Accent5 2 4 7 2 2" xfId="16516"/>
    <cellStyle name="20% - Accent5 2 4 7 2 2 2" xfId="16517"/>
    <cellStyle name="20% - Accent5 2 4 7 2 2 2 2" xfId="16518"/>
    <cellStyle name="20% - Accent5 2 4 7 2 2 3" xfId="16519"/>
    <cellStyle name="20% - Accent5 2 4 7 2 3" xfId="16520"/>
    <cellStyle name="20% - Accent5 2 4 7 2 3 2" xfId="16521"/>
    <cellStyle name="20% - Accent5 2 4 7 2 4" xfId="16522"/>
    <cellStyle name="20% - Accent5 2 4 7 3" xfId="16523"/>
    <cellStyle name="20% - Accent5 2 4 7 3 2" xfId="16524"/>
    <cellStyle name="20% - Accent5 2 4 7 3 2 2" xfId="16525"/>
    <cellStyle name="20% - Accent5 2 4 7 3 3" xfId="16526"/>
    <cellStyle name="20% - Accent5 2 4 7 4" xfId="16527"/>
    <cellStyle name="20% - Accent5 2 4 7 4 2" xfId="16528"/>
    <cellStyle name="20% - Accent5 2 4 7 5" xfId="16529"/>
    <cellStyle name="20% - Accent5 2 4 8" xfId="16530"/>
    <cellStyle name="20% - Accent5 2 4 8 2" xfId="16531"/>
    <cellStyle name="20% - Accent5 2 4 8 2 2" xfId="16532"/>
    <cellStyle name="20% - Accent5 2 4 8 2 2 2" xfId="16533"/>
    <cellStyle name="20% - Accent5 2 4 8 2 3" xfId="16534"/>
    <cellStyle name="20% - Accent5 2 4 8 3" xfId="16535"/>
    <cellStyle name="20% - Accent5 2 4 8 3 2" xfId="16536"/>
    <cellStyle name="20% - Accent5 2 4 8 4" xfId="16537"/>
    <cellStyle name="20% - Accent5 2 4 9" xfId="16538"/>
    <cellStyle name="20% - Accent5 2 4 9 2" xfId="16539"/>
    <cellStyle name="20% - Accent5 2 4 9 2 2" xfId="16540"/>
    <cellStyle name="20% - Accent5 2 4 9 3" xfId="16541"/>
    <cellStyle name="20% - Accent5 2 5" xfId="16542"/>
    <cellStyle name="20% - Accent5 2 5 10" xfId="16543"/>
    <cellStyle name="20% - Accent5 2 5 10 2" xfId="16544"/>
    <cellStyle name="20% - Accent5 2 5 11" xfId="16545"/>
    <cellStyle name="20% - Accent5 2 5 2" xfId="16546"/>
    <cellStyle name="20% - Accent5 2 5 2 10" xfId="16547"/>
    <cellStyle name="20% - Accent5 2 5 2 2" xfId="16548"/>
    <cellStyle name="20% - Accent5 2 5 2 2 2" xfId="16549"/>
    <cellStyle name="20% - Accent5 2 5 2 2 2 2" xfId="16550"/>
    <cellStyle name="20% - Accent5 2 5 2 2 2 2 2" xfId="16551"/>
    <cellStyle name="20% - Accent5 2 5 2 2 2 2 2 2" xfId="16552"/>
    <cellStyle name="20% - Accent5 2 5 2 2 2 2 3" xfId="16553"/>
    <cellStyle name="20% - Accent5 2 5 2 2 2 3" xfId="16554"/>
    <cellStyle name="20% - Accent5 2 5 2 2 2 3 2" xfId="16555"/>
    <cellStyle name="20% - Accent5 2 5 2 2 2 4" xfId="16556"/>
    <cellStyle name="20% - Accent5 2 5 2 2 3" xfId="16557"/>
    <cellStyle name="20% - Accent5 2 5 2 2 3 2" xfId="16558"/>
    <cellStyle name="20% - Accent5 2 5 2 2 3 2 2" xfId="16559"/>
    <cellStyle name="20% - Accent5 2 5 2 2 3 3" xfId="16560"/>
    <cellStyle name="20% - Accent5 2 5 2 2 4" xfId="16561"/>
    <cellStyle name="20% - Accent5 2 5 2 2 4 2" xfId="16562"/>
    <cellStyle name="20% - Accent5 2 5 2 2 5" xfId="16563"/>
    <cellStyle name="20% - Accent5 2 5 2 3" xfId="16564"/>
    <cellStyle name="20% - Accent5 2 5 2 3 2" xfId="16565"/>
    <cellStyle name="20% - Accent5 2 5 2 3 2 2" xfId="16566"/>
    <cellStyle name="20% - Accent5 2 5 2 3 2 2 2" xfId="16567"/>
    <cellStyle name="20% - Accent5 2 5 2 3 2 2 2 2" xfId="16568"/>
    <cellStyle name="20% - Accent5 2 5 2 3 2 2 3" xfId="16569"/>
    <cellStyle name="20% - Accent5 2 5 2 3 2 3" xfId="16570"/>
    <cellStyle name="20% - Accent5 2 5 2 3 2 3 2" xfId="16571"/>
    <cellStyle name="20% - Accent5 2 5 2 3 2 4" xfId="16572"/>
    <cellStyle name="20% - Accent5 2 5 2 3 3" xfId="16573"/>
    <cellStyle name="20% - Accent5 2 5 2 3 3 2" xfId="16574"/>
    <cellStyle name="20% - Accent5 2 5 2 3 3 2 2" xfId="16575"/>
    <cellStyle name="20% - Accent5 2 5 2 3 3 3" xfId="16576"/>
    <cellStyle name="20% - Accent5 2 5 2 3 4" xfId="16577"/>
    <cellStyle name="20% - Accent5 2 5 2 3 4 2" xfId="16578"/>
    <cellStyle name="20% - Accent5 2 5 2 3 5" xfId="16579"/>
    <cellStyle name="20% - Accent5 2 5 2 4" xfId="16580"/>
    <cellStyle name="20% - Accent5 2 5 2 4 2" xfId="16581"/>
    <cellStyle name="20% - Accent5 2 5 2 4 2 2" xfId="16582"/>
    <cellStyle name="20% - Accent5 2 5 2 4 2 2 2" xfId="16583"/>
    <cellStyle name="20% - Accent5 2 5 2 4 2 2 2 2" xfId="16584"/>
    <cellStyle name="20% - Accent5 2 5 2 4 2 2 3" xfId="16585"/>
    <cellStyle name="20% - Accent5 2 5 2 4 2 3" xfId="16586"/>
    <cellStyle name="20% - Accent5 2 5 2 4 2 3 2" xfId="16587"/>
    <cellStyle name="20% - Accent5 2 5 2 4 2 4" xfId="16588"/>
    <cellStyle name="20% - Accent5 2 5 2 4 3" xfId="16589"/>
    <cellStyle name="20% - Accent5 2 5 2 4 3 2" xfId="16590"/>
    <cellStyle name="20% - Accent5 2 5 2 4 3 2 2" xfId="16591"/>
    <cellStyle name="20% - Accent5 2 5 2 4 3 3" xfId="16592"/>
    <cellStyle name="20% - Accent5 2 5 2 4 4" xfId="16593"/>
    <cellStyle name="20% - Accent5 2 5 2 4 4 2" xfId="16594"/>
    <cellStyle name="20% - Accent5 2 5 2 4 5" xfId="16595"/>
    <cellStyle name="20% - Accent5 2 5 2 5" xfId="16596"/>
    <cellStyle name="20% - Accent5 2 5 2 5 2" xfId="16597"/>
    <cellStyle name="20% - Accent5 2 5 2 5 2 2" xfId="16598"/>
    <cellStyle name="20% - Accent5 2 5 2 5 2 2 2" xfId="16599"/>
    <cellStyle name="20% - Accent5 2 5 2 5 2 2 2 2" xfId="16600"/>
    <cellStyle name="20% - Accent5 2 5 2 5 2 2 3" xfId="16601"/>
    <cellStyle name="20% - Accent5 2 5 2 5 2 3" xfId="16602"/>
    <cellStyle name="20% - Accent5 2 5 2 5 2 3 2" xfId="16603"/>
    <cellStyle name="20% - Accent5 2 5 2 5 2 4" xfId="16604"/>
    <cellStyle name="20% - Accent5 2 5 2 5 3" xfId="16605"/>
    <cellStyle name="20% - Accent5 2 5 2 5 3 2" xfId="16606"/>
    <cellStyle name="20% - Accent5 2 5 2 5 3 2 2" xfId="16607"/>
    <cellStyle name="20% - Accent5 2 5 2 5 3 3" xfId="16608"/>
    <cellStyle name="20% - Accent5 2 5 2 5 4" xfId="16609"/>
    <cellStyle name="20% - Accent5 2 5 2 5 4 2" xfId="16610"/>
    <cellStyle name="20% - Accent5 2 5 2 5 5" xfId="16611"/>
    <cellStyle name="20% - Accent5 2 5 2 6" xfId="16612"/>
    <cellStyle name="20% - Accent5 2 5 2 6 2" xfId="16613"/>
    <cellStyle name="20% - Accent5 2 5 2 6 2 2" xfId="16614"/>
    <cellStyle name="20% - Accent5 2 5 2 6 2 2 2" xfId="16615"/>
    <cellStyle name="20% - Accent5 2 5 2 6 2 2 2 2" xfId="16616"/>
    <cellStyle name="20% - Accent5 2 5 2 6 2 2 3" xfId="16617"/>
    <cellStyle name="20% - Accent5 2 5 2 6 2 3" xfId="16618"/>
    <cellStyle name="20% - Accent5 2 5 2 6 2 3 2" xfId="16619"/>
    <cellStyle name="20% - Accent5 2 5 2 6 2 4" xfId="16620"/>
    <cellStyle name="20% - Accent5 2 5 2 6 3" xfId="16621"/>
    <cellStyle name="20% - Accent5 2 5 2 6 3 2" xfId="16622"/>
    <cellStyle name="20% - Accent5 2 5 2 6 3 2 2" xfId="16623"/>
    <cellStyle name="20% - Accent5 2 5 2 6 3 3" xfId="16624"/>
    <cellStyle name="20% - Accent5 2 5 2 6 4" xfId="16625"/>
    <cellStyle name="20% - Accent5 2 5 2 6 4 2" xfId="16626"/>
    <cellStyle name="20% - Accent5 2 5 2 6 5" xfId="16627"/>
    <cellStyle name="20% - Accent5 2 5 2 7" xfId="16628"/>
    <cellStyle name="20% - Accent5 2 5 2 7 2" xfId="16629"/>
    <cellStyle name="20% - Accent5 2 5 2 7 2 2" xfId="16630"/>
    <cellStyle name="20% - Accent5 2 5 2 7 2 2 2" xfId="16631"/>
    <cellStyle name="20% - Accent5 2 5 2 7 2 3" xfId="16632"/>
    <cellStyle name="20% - Accent5 2 5 2 7 3" xfId="16633"/>
    <cellStyle name="20% - Accent5 2 5 2 7 3 2" xfId="16634"/>
    <cellStyle name="20% - Accent5 2 5 2 7 4" xfId="16635"/>
    <cellStyle name="20% - Accent5 2 5 2 8" xfId="16636"/>
    <cellStyle name="20% - Accent5 2 5 2 8 2" xfId="16637"/>
    <cellStyle name="20% - Accent5 2 5 2 8 2 2" xfId="16638"/>
    <cellStyle name="20% - Accent5 2 5 2 8 3" xfId="16639"/>
    <cellStyle name="20% - Accent5 2 5 2 9" xfId="16640"/>
    <cellStyle name="20% - Accent5 2 5 2 9 2" xfId="16641"/>
    <cellStyle name="20% - Accent5 2 5 3" xfId="16642"/>
    <cellStyle name="20% - Accent5 2 5 3 2" xfId="16643"/>
    <cellStyle name="20% - Accent5 2 5 3 2 2" xfId="16644"/>
    <cellStyle name="20% - Accent5 2 5 3 2 2 2" xfId="16645"/>
    <cellStyle name="20% - Accent5 2 5 3 2 2 2 2" xfId="16646"/>
    <cellStyle name="20% - Accent5 2 5 3 2 2 3" xfId="16647"/>
    <cellStyle name="20% - Accent5 2 5 3 2 3" xfId="16648"/>
    <cellStyle name="20% - Accent5 2 5 3 2 3 2" xfId="16649"/>
    <cellStyle name="20% - Accent5 2 5 3 2 4" xfId="16650"/>
    <cellStyle name="20% - Accent5 2 5 3 3" xfId="16651"/>
    <cellStyle name="20% - Accent5 2 5 3 3 2" xfId="16652"/>
    <cellStyle name="20% - Accent5 2 5 3 3 2 2" xfId="16653"/>
    <cellStyle name="20% - Accent5 2 5 3 3 3" xfId="16654"/>
    <cellStyle name="20% - Accent5 2 5 3 4" xfId="16655"/>
    <cellStyle name="20% - Accent5 2 5 3 4 2" xfId="16656"/>
    <cellStyle name="20% - Accent5 2 5 3 5" xfId="16657"/>
    <cellStyle name="20% - Accent5 2 5 4" xfId="16658"/>
    <cellStyle name="20% - Accent5 2 5 4 2" xfId="16659"/>
    <cellStyle name="20% - Accent5 2 5 4 2 2" xfId="16660"/>
    <cellStyle name="20% - Accent5 2 5 4 2 2 2" xfId="16661"/>
    <cellStyle name="20% - Accent5 2 5 4 2 2 2 2" xfId="16662"/>
    <cellStyle name="20% - Accent5 2 5 4 2 2 3" xfId="16663"/>
    <cellStyle name="20% - Accent5 2 5 4 2 3" xfId="16664"/>
    <cellStyle name="20% - Accent5 2 5 4 2 3 2" xfId="16665"/>
    <cellStyle name="20% - Accent5 2 5 4 2 4" xfId="16666"/>
    <cellStyle name="20% - Accent5 2 5 4 3" xfId="16667"/>
    <cellStyle name="20% - Accent5 2 5 4 3 2" xfId="16668"/>
    <cellStyle name="20% - Accent5 2 5 4 3 2 2" xfId="16669"/>
    <cellStyle name="20% - Accent5 2 5 4 3 3" xfId="16670"/>
    <cellStyle name="20% - Accent5 2 5 4 4" xfId="16671"/>
    <cellStyle name="20% - Accent5 2 5 4 4 2" xfId="16672"/>
    <cellStyle name="20% - Accent5 2 5 4 5" xfId="16673"/>
    <cellStyle name="20% - Accent5 2 5 5" xfId="16674"/>
    <cellStyle name="20% - Accent5 2 5 5 2" xfId="16675"/>
    <cellStyle name="20% - Accent5 2 5 5 2 2" xfId="16676"/>
    <cellStyle name="20% - Accent5 2 5 5 2 2 2" xfId="16677"/>
    <cellStyle name="20% - Accent5 2 5 5 2 2 2 2" xfId="16678"/>
    <cellStyle name="20% - Accent5 2 5 5 2 2 3" xfId="16679"/>
    <cellStyle name="20% - Accent5 2 5 5 2 3" xfId="16680"/>
    <cellStyle name="20% - Accent5 2 5 5 2 3 2" xfId="16681"/>
    <cellStyle name="20% - Accent5 2 5 5 2 4" xfId="16682"/>
    <cellStyle name="20% - Accent5 2 5 5 3" xfId="16683"/>
    <cellStyle name="20% - Accent5 2 5 5 3 2" xfId="16684"/>
    <cellStyle name="20% - Accent5 2 5 5 3 2 2" xfId="16685"/>
    <cellStyle name="20% - Accent5 2 5 5 3 3" xfId="16686"/>
    <cellStyle name="20% - Accent5 2 5 5 4" xfId="16687"/>
    <cellStyle name="20% - Accent5 2 5 5 4 2" xfId="16688"/>
    <cellStyle name="20% - Accent5 2 5 5 5" xfId="16689"/>
    <cellStyle name="20% - Accent5 2 5 6" xfId="16690"/>
    <cellStyle name="20% - Accent5 2 5 6 2" xfId="16691"/>
    <cellStyle name="20% - Accent5 2 5 6 2 2" xfId="16692"/>
    <cellStyle name="20% - Accent5 2 5 6 2 2 2" xfId="16693"/>
    <cellStyle name="20% - Accent5 2 5 6 2 2 2 2" xfId="16694"/>
    <cellStyle name="20% - Accent5 2 5 6 2 2 3" xfId="16695"/>
    <cellStyle name="20% - Accent5 2 5 6 2 3" xfId="16696"/>
    <cellStyle name="20% - Accent5 2 5 6 2 3 2" xfId="16697"/>
    <cellStyle name="20% - Accent5 2 5 6 2 4" xfId="16698"/>
    <cellStyle name="20% - Accent5 2 5 6 3" xfId="16699"/>
    <cellStyle name="20% - Accent5 2 5 6 3 2" xfId="16700"/>
    <cellStyle name="20% - Accent5 2 5 6 3 2 2" xfId="16701"/>
    <cellStyle name="20% - Accent5 2 5 6 3 3" xfId="16702"/>
    <cellStyle name="20% - Accent5 2 5 6 4" xfId="16703"/>
    <cellStyle name="20% - Accent5 2 5 6 4 2" xfId="16704"/>
    <cellStyle name="20% - Accent5 2 5 6 5" xfId="16705"/>
    <cellStyle name="20% - Accent5 2 5 7" xfId="16706"/>
    <cellStyle name="20% - Accent5 2 5 7 2" xfId="16707"/>
    <cellStyle name="20% - Accent5 2 5 7 2 2" xfId="16708"/>
    <cellStyle name="20% - Accent5 2 5 7 2 2 2" xfId="16709"/>
    <cellStyle name="20% - Accent5 2 5 7 2 2 2 2" xfId="16710"/>
    <cellStyle name="20% - Accent5 2 5 7 2 2 3" xfId="16711"/>
    <cellStyle name="20% - Accent5 2 5 7 2 3" xfId="16712"/>
    <cellStyle name="20% - Accent5 2 5 7 2 3 2" xfId="16713"/>
    <cellStyle name="20% - Accent5 2 5 7 2 4" xfId="16714"/>
    <cellStyle name="20% - Accent5 2 5 7 3" xfId="16715"/>
    <cellStyle name="20% - Accent5 2 5 7 3 2" xfId="16716"/>
    <cellStyle name="20% - Accent5 2 5 7 3 2 2" xfId="16717"/>
    <cellStyle name="20% - Accent5 2 5 7 3 3" xfId="16718"/>
    <cellStyle name="20% - Accent5 2 5 7 4" xfId="16719"/>
    <cellStyle name="20% - Accent5 2 5 7 4 2" xfId="16720"/>
    <cellStyle name="20% - Accent5 2 5 7 5" xfId="16721"/>
    <cellStyle name="20% - Accent5 2 5 8" xfId="16722"/>
    <cellStyle name="20% - Accent5 2 5 8 2" xfId="16723"/>
    <cellStyle name="20% - Accent5 2 5 8 2 2" xfId="16724"/>
    <cellStyle name="20% - Accent5 2 5 8 2 2 2" xfId="16725"/>
    <cellStyle name="20% - Accent5 2 5 8 2 3" xfId="16726"/>
    <cellStyle name="20% - Accent5 2 5 8 3" xfId="16727"/>
    <cellStyle name="20% - Accent5 2 5 8 3 2" xfId="16728"/>
    <cellStyle name="20% - Accent5 2 5 8 4" xfId="16729"/>
    <cellStyle name="20% - Accent5 2 5 9" xfId="16730"/>
    <cellStyle name="20% - Accent5 2 5 9 2" xfId="16731"/>
    <cellStyle name="20% - Accent5 2 5 9 2 2" xfId="16732"/>
    <cellStyle name="20% - Accent5 2 5 9 3" xfId="16733"/>
    <cellStyle name="20% - Accent5 2 6" xfId="16734"/>
    <cellStyle name="20% - Accent5 2 6 10" xfId="16735"/>
    <cellStyle name="20% - Accent5 2 6 10 2" xfId="16736"/>
    <cellStyle name="20% - Accent5 2 6 11" xfId="16737"/>
    <cellStyle name="20% - Accent5 2 6 2" xfId="16738"/>
    <cellStyle name="20% - Accent5 2 6 2 10" xfId="16739"/>
    <cellStyle name="20% - Accent5 2 6 2 2" xfId="16740"/>
    <cellStyle name="20% - Accent5 2 6 2 2 2" xfId="16741"/>
    <cellStyle name="20% - Accent5 2 6 2 2 2 2" xfId="16742"/>
    <cellStyle name="20% - Accent5 2 6 2 2 2 2 2" xfId="16743"/>
    <cellStyle name="20% - Accent5 2 6 2 2 2 2 2 2" xfId="16744"/>
    <cellStyle name="20% - Accent5 2 6 2 2 2 2 3" xfId="16745"/>
    <cellStyle name="20% - Accent5 2 6 2 2 2 3" xfId="16746"/>
    <cellStyle name="20% - Accent5 2 6 2 2 2 3 2" xfId="16747"/>
    <cellStyle name="20% - Accent5 2 6 2 2 2 4" xfId="16748"/>
    <cellStyle name="20% - Accent5 2 6 2 2 3" xfId="16749"/>
    <cellStyle name="20% - Accent5 2 6 2 2 3 2" xfId="16750"/>
    <cellStyle name="20% - Accent5 2 6 2 2 3 2 2" xfId="16751"/>
    <cellStyle name="20% - Accent5 2 6 2 2 3 3" xfId="16752"/>
    <cellStyle name="20% - Accent5 2 6 2 2 4" xfId="16753"/>
    <cellStyle name="20% - Accent5 2 6 2 2 4 2" xfId="16754"/>
    <cellStyle name="20% - Accent5 2 6 2 2 5" xfId="16755"/>
    <cellStyle name="20% - Accent5 2 6 2 3" xfId="16756"/>
    <cellStyle name="20% - Accent5 2 6 2 3 2" xfId="16757"/>
    <cellStyle name="20% - Accent5 2 6 2 3 2 2" xfId="16758"/>
    <cellStyle name="20% - Accent5 2 6 2 3 2 2 2" xfId="16759"/>
    <cellStyle name="20% - Accent5 2 6 2 3 2 2 2 2" xfId="16760"/>
    <cellStyle name="20% - Accent5 2 6 2 3 2 2 3" xfId="16761"/>
    <cellStyle name="20% - Accent5 2 6 2 3 2 3" xfId="16762"/>
    <cellStyle name="20% - Accent5 2 6 2 3 2 3 2" xfId="16763"/>
    <cellStyle name="20% - Accent5 2 6 2 3 2 4" xfId="16764"/>
    <cellStyle name="20% - Accent5 2 6 2 3 3" xfId="16765"/>
    <cellStyle name="20% - Accent5 2 6 2 3 3 2" xfId="16766"/>
    <cellStyle name="20% - Accent5 2 6 2 3 3 2 2" xfId="16767"/>
    <cellStyle name="20% - Accent5 2 6 2 3 3 3" xfId="16768"/>
    <cellStyle name="20% - Accent5 2 6 2 3 4" xfId="16769"/>
    <cellStyle name="20% - Accent5 2 6 2 3 4 2" xfId="16770"/>
    <cellStyle name="20% - Accent5 2 6 2 3 5" xfId="16771"/>
    <cellStyle name="20% - Accent5 2 6 2 4" xfId="16772"/>
    <cellStyle name="20% - Accent5 2 6 2 4 2" xfId="16773"/>
    <cellStyle name="20% - Accent5 2 6 2 4 2 2" xfId="16774"/>
    <cellStyle name="20% - Accent5 2 6 2 4 2 2 2" xfId="16775"/>
    <cellStyle name="20% - Accent5 2 6 2 4 2 2 2 2" xfId="16776"/>
    <cellStyle name="20% - Accent5 2 6 2 4 2 2 3" xfId="16777"/>
    <cellStyle name="20% - Accent5 2 6 2 4 2 3" xfId="16778"/>
    <cellStyle name="20% - Accent5 2 6 2 4 2 3 2" xfId="16779"/>
    <cellStyle name="20% - Accent5 2 6 2 4 2 4" xfId="16780"/>
    <cellStyle name="20% - Accent5 2 6 2 4 3" xfId="16781"/>
    <cellStyle name="20% - Accent5 2 6 2 4 3 2" xfId="16782"/>
    <cellStyle name="20% - Accent5 2 6 2 4 3 2 2" xfId="16783"/>
    <cellStyle name="20% - Accent5 2 6 2 4 3 3" xfId="16784"/>
    <cellStyle name="20% - Accent5 2 6 2 4 4" xfId="16785"/>
    <cellStyle name="20% - Accent5 2 6 2 4 4 2" xfId="16786"/>
    <cellStyle name="20% - Accent5 2 6 2 4 5" xfId="16787"/>
    <cellStyle name="20% - Accent5 2 6 2 5" xfId="16788"/>
    <cellStyle name="20% - Accent5 2 6 2 5 2" xfId="16789"/>
    <cellStyle name="20% - Accent5 2 6 2 5 2 2" xfId="16790"/>
    <cellStyle name="20% - Accent5 2 6 2 5 2 2 2" xfId="16791"/>
    <cellStyle name="20% - Accent5 2 6 2 5 2 2 2 2" xfId="16792"/>
    <cellStyle name="20% - Accent5 2 6 2 5 2 2 3" xfId="16793"/>
    <cellStyle name="20% - Accent5 2 6 2 5 2 3" xfId="16794"/>
    <cellStyle name="20% - Accent5 2 6 2 5 2 3 2" xfId="16795"/>
    <cellStyle name="20% - Accent5 2 6 2 5 2 4" xfId="16796"/>
    <cellStyle name="20% - Accent5 2 6 2 5 3" xfId="16797"/>
    <cellStyle name="20% - Accent5 2 6 2 5 3 2" xfId="16798"/>
    <cellStyle name="20% - Accent5 2 6 2 5 3 2 2" xfId="16799"/>
    <cellStyle name="20% - Accent5 2 6 2 5 3 3" xfId="16800"/>
    <cellStyle name="20% - Accent5 2 6 2 5 4" xfId="16801"/>
    <cellStyle name="20% - Accent5 2 6 2 5 4 2" xfId="16802"/>
    <cellStyle name="20% - Accent5 2 6 2 5 5" xfId="16803"/>
    <cellStyle name="20% - Accent5 2 6 2 6" xfId="16804"/>
    <cellStyle name="20% - Accent5 2 6 2 6 2" xfId="16805"/>
    <cellStyle name="20% - Accent5 2 6 2 6 2 2" xfId="16806"/>
    <cellStyle name="20% - Accent5 2 6 2 6 2 2 2" xfId="16807"/>
    <cellStyle name="20% - Accent5 2 6 2 6 2 2 2 2" xfId="16808"/>
    <cellStyle name="20% - Accent5 2 6 2 6 2 2 3" xfId="16809"/>
    <cellStyle name="20% - Accent5 2 6 2 6 2 3" xfId="16810"/>
    <cellStyle name="20% - Accent5 2 6 2 6 2 3 2" xfId="16811"/>
    <cellStyle name="20% - Accent5 2 6 2 6 2 4" xfId="16812"/>
    <cellStyle name="20% - Accent5 2 6 2 6 3" xfId="16813"/>
    <cellStyle name="20% - Accent5 2 6 2 6 3 2" xfId="16814"/>
    <cellStyle name="20% - Accent5 2 6 2 6 3 2 2" xfId="16815"/>
    <cellStyle name="20% - Accent5 2 6 2 6 3 3" xfId="16816"/>
    <cellStyle name="20% - Accent5 2 6 2 6 4" xfId="16817"/>
    <cellStyle name="20% - Accent5 2 6 2 6 4 2" xfId="16818"/>
    <cellStyle name="20% - Accent5 2 6 2 6 5" xfId="16819"/>
    <cellStyle name="20% - Accent5 2 6 2 7" xfId="16820"/>
    <cellStyle name="20% - Accent5 2 6 2 7 2" xfId="16821"/>
    <cellStyle name="20% - Accent5 2 6 2 7 2 2" xfId="16822"/>
    <cellStyle name="20% - Accent5 2 6 2 7 2 2 2" xfId="16823"/>
    <cellStyle name="20% - Accent5 2 6 2 7 2 3" xfId="16824"/>
    <cellStyle name="20% - Accent5 2 6 2 7 3" xfId="16825"/>
    <cellStyle name="20% - Accent5 2 6 2 7 3 2" xfId="16826"/>
    <cellStyle name="20% - Accent5 2 6 2 7 4" xfId="16827"/>
    <cellStyle name="20% - Accent5 2 6 2 8" xfId="16828"/>
    <cellStyle name="20% - Accent5 2 6 2 8 2" xfId="16829"/>
    <cellStyle name="20% - Accent5 2 6 2 8 2 2" xfId="16830"/>
    <cellStyle name="20% - Accent5 2 6 2 8 3" xfId="16831"/>
    <cellStyle name="20% - Accent5 2 6 2 9" xfId="16832"/>
    <cellStyle name="20% - Accent5 2 6 2 9 2" xfId="16833"/>
    <cellStyle name="20% - Accent5 2 6 3" xfId="16834"/>
    <cellStyle name="20% - Accent5 2 6 3 2" xfId="16835"/>
    <cellStyle name="20% - Accent5 2 6 3 2 2" xfId="16836"/>
    <cellStyle name="20% - Accent5 2 6 3 2 2 2" xfId="16837"/>
    <cellStyle name="20% - Accent5 2 6 3 2 2 2 2" xfId="16838"/>
    <cellStyle name="20% - Accent5 2 6 3 2 2 3" xfId="16839"/>
    <cellStyle name="20% - Accent5 2 6 3 2 3" xfId="16840"/>
    <cellStyle name="20% - Accent5 2 6 3 2 3 2" xfId="16841"/>
    <cellStyle name="20% - Accent5 2 6 3 2 4" xfId="16842"/>
    <cellStyle name="20% - Accent5 2 6 3 3" xfId="16843"/>
    <cellStyle name="20% - Accent5 2 6 3 3 2" xfId="16844"/>
    <cellStyle name="20% - Accent5 2 6 3 3 2 2" xfId="16845"/>
    <cellStyle name="20% - Accent5 2 6 3 3 3" xfId="16846"/>
    <cellStyle name="20% - Accent5 2 6 3 4" xfId="16847"/>
    <cellStyle name="20% - Accent5 2 6 3 4 2" xfId="16848"/>
    <cellStyle name="20% - Accent5 2 6 3 5" xfId="16849"/>
    <cellStyle name="20% - Accent5 2 6 4" xfId="16850"/>
    <cellStyle name="20% - Accent5 2 6 4 2" xfId="16851"/>
    <cellStyle name="20% - Accent5 2 6 4 2 2" xfId="16852"/>
    <cellStyle name="20% - Accent5 2 6 4 2 2 2" xfId="16853"/>
    <cellStyle name="20% - Accent5 2 6 4 2 2 2 2" xfId="16854"/>
    <cellStyle name="20% - Accent5 2 6 4 2 2 3" xfId="16855"/>
    <cellStyle name="20% - Accent5 2 6 4 2 3" xfId="16856"/>
    <cellStyle name="20% - Accent5 2 6 4 2 3 2" xfId="16857"/>
    <cellStyle name="20% - Accent5 2 6 4 2 4" xfId="16858"/>
    <cellStyle name="20% - Accent5 2 6 4 3" xfId="16859"/>
    <cellStyle name="20% - Accent5 2 6 4 3 2" xfId="16860"/>
    <cellStyle name="20% - Accent5 2 6 4 3 2 2" xfId="16861"/>
    <cellStyle name="20% - Accent5 2 6 4 3 3" xfId="16862"/>
    <cellStyle name="20% - Accent5 2 6 4 4" xfId="16863"/>
    <cellStyle name="20% - Accent5 2 6 4 4 2" xfId="16864"/>
    <cellStyle name="20% - Accent5 2 6 4 5" xfId="16865"/>
    <cellStyle name="20% - Accent5 2 6 5" xfId="16866"/>
    <cellStyle name="20% - Accent5 2 6 5 2" xfId="16867"/>
    <cellStyle name="20% - Accent5 2 6 5 2 2" xfId="16868"/>
    <cellStyle name="20% - Accent5 2 6 5 2 2 2" xfId="16869"/>
    <cellStyle name="20% - Accent5 2 6 5 2 2 2 2" xfId="16870"/>
    <cellStyle name="20% - Accent5 2 6 5 2 2 3" xfId="16871"/>
    <cellStyle name="20% - Accent5 2 6 5 2 3" xfId="16872"/>
    <cellStyle name="20% - Accent5 2 6 5 2 3 2" xfId="16873"/>
    <cellStyle name="20% - Accent5 2 6 5 2 4" xfId="16874"/>
    <cellStyle name="20% - Accent5 2 6 5 3" xfId="16875"/>
    <cellStyle name="20% - Accent5 2 6 5 3 2" xfId="16876"/>
    <cellStyle name="20% - Accent5 2 6 5 3 2 2" xfId="16877"/>
    <cellStyle name="20% - Accent5 2 6 5 3 3" xfId="16878"/>
    <cellStyle name="20% - Accent5 2 6 5 4" xfId="16879"/>
    <cellStyle name="20% - Accent5 2 6 5 4 2" xfId="16880"/>
    <cellStyle name="20% - Accent5 2 6 5 5" xfId="16881"/>
    <cellStyle name="20% - Accent5 2 6 6" xfId="16882"/>
    <cellStyle name="20% - Accent5 2 6 6 2" xfId="16883"/>
    <cellStyle name="20% - Accent5 2 6 6 2 2" xfId="16884"/>
    <cellStyle name="20% - Accent5 2 6 6 2 2 2" xfId="16885"/>
    <cellStyle name="20% - Accent5 2 6 6 2 2 2 2" xfId="16886"/>
    <cellStyle name="20% - Accent5 2 6 6 2 2 3" xfId="16887"/>
    <cellStyle name="20% - Accent5 2 6 6 2 3" xfId="16888"/>
    <cellStyle name="20% - Accent5 2 6 6 2 3 2" xfId="16889"/>
    <cellStyle name="20% - Accent5 2 6 6 2 4" xfId="16890"/>
    <cellStyle name="20% - Accent5 2 6 6 3" xfId="16891"/>
    <cellStyle name="20% - Accent5 2 6 6 3 2" xfId="16892"/>
    <cellStyle name="20% - Accent5 2 6 6 3 2 2" xfId="16893"/>
    <cellStyle name="20% - Accent5 2 6 6 3 3" xfId="16894"/>
    <cellStyle name="20% - Accent5 2 6 6 4" xfId="16895"/>
    <cellStyle name="20% - Accent5 2 6 6 4 2" xfId="16896"/>
    <cellStyle name="20% - Accent5 2 6 6 5" xfId="16897"/>
    <cellStyle name="20% - Accent5 2 6 7" xfId="16898"/>
    <cellStyle name="20% - Accent5 2 6 7 2" xfId="16899"/>
    <cellStyle name="20% - Accent5 2 6 7 2 2" xfId="16900"/>
    <cellStyle name="20% - Accent5 2 6 7 2 2 2" xfId="16901"/>
    <cellStyle name="20% - Accent5 2 6 7 2 2 2 2" xfId="16902"/>
    <cellStyle name="20% - Accent5 2 6 7 2 2 3" xfId="16903"/>
    <cellStyle name="20% - Accent5 2 6 7 2 3" xfId="16904"/>
    <cellStyle name="20% - Accent5 2 6 7 2 3 2" xfId="16905"/>
    <cellStyle name="20% - Accent5 2 6 7 2 4" xfId="16906"/>
    <cellStyle name="20% - Accent5 2 6 7 3" xfId="16907"/>
    <cellStyle name="20% - Accent5 2 6 7 3 2" xfId="16908"/>
    <cellStyle name="20% - Accent5 2 6 7 3 2 2" xfId="16909"/>
    <cellStyle name="20% - Accent5 2 6 7 3 3" xfId="16910"/>
    <cellStyle name="20% - Accent5 2 6 7 4" xfId="16911"/>
    <cellStyle name="20% - Accent5 2 6 7 4 2" xfId="16912"/>
    <cellStyle name="20% - Accent5 2 6 7 5" xfId="16913"/>
    <cellStyle name="20% - Accent5 2 6 8" xfId="16914"/>
    <cellStyle name="20% - Accent5 2 6 8 2" xfId="16915"/>
    <cellStyle name="20% - Accent5 2 6 8 2 2" xfId="16916"/>
    <cellStyle name="20% - Accent5 2 6 8 2 2 2" xfId="16917"/>
    <cellStyle name="20% - Accent5 2 6 8 2 3" xfId="16918"/>
    <cellStyle name="20% - Accent5 2 6 8 3" xfId="16919"/>
    <cellStyle name="20% - Accent5 2 6 8 3 2" xfId="16920"/>
    <cellStyle name="20% - Accent5 2 6 8 4" xfId="16921"/>
    <cellStyle name="20% - Accent5 2 6 9" xfId="16922"/>
    <cellStyle name="20% - Accent5 2 6 9 2" xfId="16923"/>
    <cellStyle name="20% - Accent5 2 6 9 2 2" xfId="16924"/>
    <cellStyle name="20% - Accent5 2 6 9 3" xfId="16925"/>
    <cellStyle name="20% - Accent5 2 7" xfId="16926"/>
    <cellStyle name="20% - Accent5 2 7 10" xfId="16927"/>
    <cellStyle name="20% - Accent5 2 7 10 2" xfId="16928"/>
    <cellStyle name="20% - Accent5 2 7 11" xfId="16929"/>
    <cellStyle name="20% - Accent5 2 7 2" xfId="16930"/>
    <cellStyle name="20% - Accent5 2 7 2 10" xfId="16931"/>
    <cellStyle name="20% - Accent5 2 7 2 2" xfId="16932"/>
    <cellStyle name="20% - Accent5 2 7 2 2 2" xfId="16933"/>
    <cellStyle name="20% - Accent5 2 7 2 2 2 2" xfId="16934"/>
    <cellStyle name="20% - Accent5 2 7 2 2 2 2 2" xfId="16935"/>
    <cellStyle name="20% - Accent5 2 7 2 2 2 2 2 2" xfId="16936"/>
    <cellStyle name="20% - Accent5 2 7 2 2 2 2 3" xfId="16937"/>
    <cellStyle name="20% - Accent5 2 7 2 2 2 3" xfId="16938"/>
    <cellStyle name="20% - Accent5 2 7 2 2 2 3 2" xfId="16939"/>
    <cellStyle name="20% - Accent5 2 7 2 2 2 4" xfId="16940"/>
    <cellStyle name="20% - Accent5 2 7 2 2 3" xfId="16941"/>
    <cellStyle name="20% - Accent5 2 7 2 2 3 2" xfId="16942"/>
    <cellStyle name="20% - Accent5 2 7 2 2 3 2 2" xfId="16943"/>
    <cellStyle name="20% - Accent5 2 7 2 2 3 3" xfId="16944"/>
    <cellStyle name="20% - Accent5 2 7 2 2 4" xfId="16945"/>
    <cellStyle name="20% - Accent5 2 7 2 2 4 2" xfId="16946"/>
    <cellStyle name="20% - Accent5 2 7 2 2 5" xfId="16947"/>
    <cellStyle name="20% - Accent5 2 7 2 3" xfId="16948"/>
    <cellStyle name="20% - Accent5 2 7 2 3 2" xfId="16949"/>
    <cellStyle name="20% - Accent5 2 7 2 3 2 2" xfId="16950"/>
    <cellStyle name="20% - Accent5 2 7 2 3 2 2 2" xfId="16951"/>
    <cellStyle name="20% - Accent5 2 7 2 3 2 2 2 2" xfId="16952"/>
    <cellStyle name="20% - Accent5 2 7 2 3 2 2 3" xfId="16953"/>
    <cellStyle name="20% - Accent5 2 7 2 3 2 3" xfId="16954"/>
    <cellStyle name="20% - Accent5 2 7 2 3 2 3 2" xfId="16955"/>
    <cellStyle name="20% - Accent5 2 7 2 3 2 4" xfId="16956"/>
    <cellStyle name="20% - Accent5 2 7 2 3 3" xfId="16957"/>
    <cellStyle name="20% - Accent5 2 7 2 3 3 2" xfId="16958"/>
    <cellStyle name="20% - Accent5 2 7 2 3 3 2 2" xfId="16959"/>
    <cellStyle name="20% - Accent5 2 7 2 3 3 3" xfId="16960"/>
    <cellStyle name="20% - Accent5 2 7 2 3 4" xfId="16961"/>
    <cellStyle name="20% - Accent5 2 7 2 3 4 2" xfId="16962"/>
    <cellStyle name="20% - Accent5 2 7 2 3 5" xfId="16963"/>
    <cellStyle name="20% - Accent5 2 7 2 4" xfId="16964"/>
    <cellStyle name="20% - Accent5 2 7 2 4 2" xfId="16965"/>
    <cellStyle name="20% - Accent5 2 7 2 4 2 2" xfId="16966"/>
    <cellStyle name="20% - Accent5 2 7 2 4 2 2 2" xfId="16967"/>
    <cellStyle name="20% - Accent5 2 7 2 4 2 2 2 2" xfId="16968"/>
    <cellStyle name="20% - Accent5 2 7 2 4 2 2 3" xfId="16969"/>
    <cellStyle name="20% - Accent5 2 7 2 4 2 3" xfId="16970"/>
    <cellStyle name="20% - Accent5 2 7 2 4 2 3 2" xfId="16971"/>
    <cellStyle name="20% - Accent5 2 7 2 4 2 4" xfId="16972"/>
    <cellStyle name="20% - Accent5 2 7 2 4 3" xfId="16973"/>
    <cellStyle name="20% - Accent5 2 7 2 4 3 2" xfId="16974"/>
    <cellStyle name="20% - Accent5 2 7 2 4 3 2 2" xfId="16975"/>
    <cellStyle name="20% - Accent5 2 7 2 4 3 3" xfId="16976"/>
    <cellStyle name="20% - Accent5 2 7 2 4 4" xfId="16977"/>
    <cellStyle name="20% - Accent5 2 7 2 4 4 2" xfId="16978"/>
    <cellStyle name="20% - Accent5 2 7 2 4 5" xfId="16979"/>
    <cellStyle name="20% - Accent5 2 7 2 5" xfId="16980"/>
    <cellStyle name="20% - Accent5 2 7 2 5 2" xfId="16981"/>
    <cellStyle name="20% - Accent5 2 7 2 5 2 2" xfId="16982"/>
    <cellStyle name="20% - Accent5 2 7 2 5 2 2 2" xfId="16983"/>
    <cellStyle name="20% - Accent5 2 7 2 5 2 2 2 2" xfId="16984"/>
    <cellStyle name="20% - Accent5 2 7 2 5 2 2 3" xfId="16985"/>
    <cellStyle name="20% - Accent5 2 7 2 5 2 3" xfId="16986"/>
    <cellStyle name="20% - Accent5 2 7 2 5 2 3 2" xfId="16987"/>
    <cellStyle name="20% - Accent5 2 7 2 5 2 4" xfId="16988"/>
    <cellStyle name="20% - Accent5 2 7 2 5 3" xfId="16989"/>
    <cellStyle name="20% - Accent5 2 7 2 5 3 2" xfId="16990"/>
    <cellStyle name="20% - Accent5 2 7 2 5 3 2 2" xfId="16991"/>
    <cellStyle name="20% - Accent5 2 7 2 5 3 3" xfId="16992"/>
    <cellStyle name="20% - Accent5 2 7 2 5 4" xfId="16993"/>
    <cellStyle name="20% - Accent5 2 7 2 5 4 2" xfId="16994"/>
    <cellStyle name="20% - Accent5 2 7 2 5 5" xfId="16995"/>
    <cellStyle name="20% - Accent5 2 7 2 6" xfId="16996"/>
    <cellStyle name="20% - Accent5 2 7 2 6 2" xfId="16997"/>
    <cellStyle name="20% - Accent5 2 7 2 6 2 2" xfId="16998"/>
    <cellStyle name="20% - Accent5 2 7 2 6 2 2 2" xfId="16999"/>
    <cellStyle name="20% - Accent5 2 7 2 6 2 2 2 2" xfId="17000"/>
    <cellStyle name="20% - Accent5 2 7 2 6 2 2 3" xfId="17001"/>
    <cellStyle name="20% - Accent5 2 7 2 6 2 3" xfId="17002"/>
    <cellStyle name="20% - Accent5 2 7 2 6 2 3 2" xfId="17003"/>
    <cellStyle name="20% - Accent5 2 7 2 6 2 4" xfId="17004"/>
    <cellStyle name="20% - Accent5 2 7 2 6 3" xfId="17005"/>
    <cellStyle name="20% - Accent5 2 7 2 6 3 2" xfId="17006"/>
    <cellStyle name="20% - Accent5 2 7 2 6 3 2 2" xfId="17007"/>
    <cellStyle name="20% - Accent5 2 7 2 6 3 3" xfId="17008"/>
    <cellStyle name="20% - Accent5 2 7 2 6 4" xfId="17009"/>
    <cellStyle name="20% - Accent5 2 7 2 6 4 2" xfId="17010"/>
    <cellStyle name="20% - Accent5 2 7 2 6 5" xfId="17011"/>
    <cellStyle name="20% - Accent5 2 7 2 7" xfId="17012"/>
    <cellStyle name="20% - Accent5 2 7 2 7 2" xfId="17013"/>
    <cellStyle name="20% - Accent5 2 7 2 7 2 2" xfId="17014"/>
    <cellStyle name="20% - Accent5 2 7 2 7 2 2 2" xfId="17015"/>
    <cellStyle name="20% - Accent5 2 7 2 7 2 3" xfId="17016"/>
    <cellStyle name="20% - Accent5 2 7 2 7 3" xfId="17017"/>
    <cellStyle name="20% - Accent5 2 7 2 7 3 2" xfId="17018"/>
    <cellStyle name="20% - Accent5 2 7 2 7 4" xfId="17019"/>
    <cellStyle name="20% - Accent5 2 7 2 8" xfId="17020"/>
    <cellStyle name="20% - Accent5 2 7 2 8 2" xfId="17021"/>
    <cellStyle name="20% - Accent5 2 7 2 8 2 2" xfId="17022"/>
    <cellStyle name="20% - Accent5 2 7 2 8 3" xfId="17023"/>
    <cellStyle name="20% - Accent5 2 7 2 9" xfId="17024"/>
    <cellStyle name="20% - Accent5 2 7 2 9 2" xfId="17025"/>
    <cellStyle name="20% - Accent5 2 7 3" xfId="17026"/>
    <cellStyle name="20% - Accent5 2 7 3 2" xfId="17027"/>
    <cellStyle name="20% - Accent5 2 7 3 2 2" xfId="17028"/>
    <cellStyle name="20% - Accent5 2 7 3 2 2 2" xfId="17029"/>
    <cellStyle name="20% - Accent5 2 7 3 2 2 2 2" xfId="17030"/>
    <cellStyle name="20% - Accent5 2 7 3 2 2 3" xfId="17031"/>
    <cellStyle name="20% - Accent5 2 7 3 2 3" xfId="17032"/>
    <cellStyle name="20% - Accent5 2 7 3 2 3 2" xfId="17033"/>
    <cellStyle name="20% - Accent5 2 7 3 2 4" xfId="17034"/>
    <cellStyle name="20% - Accent5 2 7 3 3" xfId="17035"/>
    <cellStyle name="20% - Accent5 2 7 3 3 2" xfId="17036"/>
    <cellStyle name="20% - Accent5 2 7 3 3 2 2" xfId="17037"/>
    <cellStyle name="20% - Accent5 2 7 3 3 3" xfId="17038"/>
    <cellStyle name="20% - Accent5 2 7 3 4" xfId="17039"/>
    <cellStyle name="20% - Accent5 2 7 3 4 2" xfId="17040"/>
    <cellStyle name="20% - Accent5 2 7 3 5" xfId="17041"/>
    <cellStyle name="20% - Accent5 2 7 4" xfId="17042"/>
    <cellStyle name="20% - Accent5 2 7 4 2" xfId="17043"/>
    <cellStyle name="20% - Accent5 2 7 4 2 2" xfId="17044"/>
    <cellStyle name="20% - Accent5 2 7 4 2 2 2" xfId="17045"/>
    <cellStyle name="20% - Accent5 2 7 4 2 2 2 2" xfId="17046"/>
    <cellStyle name="20% - Accent5 2 7 4 2 2 3" xfId="17047"/>
    <cellStyle name="20% - Accent5 2 7 4 2 3" xfId="17048"/>
    <cellStyle name="20% - Accent5 2 7 4 2 3 2" xfId="17049"/>
    <cellStyle name="20% - Accent5 2 7 4 2 4" xfId="17050"/>
    <cellStyle name="20% - Accent5 2 7 4 3" xfId="17051"/>
    <cellStyle name="20% - Accent5 2 7 4 3 2" xfId="17052"/>
    <cellStyle name="20% - Accent5 2 7 4 3 2 2" xfId="17053"/>
    <cellStyle name="20% - Accent5 2 7 4 3 3" xfId="17054"/>
    <cellStyle name="20% - Accent5 2 7 4 4" xfId="17055"/>
    <cellStyle name="20% - Accent5 2 7 4 4 2" xfId="17056"/>
    <cellStyle name="20% - Accent5 2 7 4 5" xfId="17057"/>
    <cellStyle name="20% - Accent5 2 7 5" xfId="17058"/>
    <cellStyle name="20% - Accent5 2 7 5 2" xfId="17059"/>
    <cellStyle name="20% - Accent5 2 7 5 2 2" xfId="17060"/>
    <cellStyle name="20% - Accent5 2 7 5 2 2 2" xfId="17061"/>
    <cellStyle name="20% - Accent5 2 7 5 2 2 2 2" xfId="17062"/>
    <cellStyle name="20% - Accent5 2 7 5 2 2 3" xfId="17063"/>
    <cellStyle name="20% - Accent5 2 7 5 2 3" xfId="17064"/>
    <cellStyle name="20% - Accent5 2 7 5 2 3 2" xfId="17065"/>
    <cellStyle name="20% - Accent5 2 7 5 2 4" xfId="17066"/>
    <cellStyle name="20% - Accent5 2 7 5 3" xfId="17067"/>
    <cellStyle name="20% - Accent5 2 7 5 3 2" xfId="17068"/>
    <cellStyle name="20% - Accent5 2 7 5 3 2 2" xfId="17069"/>
    <cellStyle name="20% - Accent5 2 7 5 3 3" xfId="17070"/>
    <cellStyle name="20% - Accent5 2 7 5 4" xfId="17071"/>
    <cellStyle name="20% - Accent5 2 7 5 4 2" xfId="17072"/>
    <cellStyle name="20% - Accent5 2 7 5 5" xfId="17073"/>
    <cellStyle name="20% - Accent5 2 7 6" xfId="17074"/>
    <cellStyle name="20% - Accent5 2 7 6 2" xfId="17075"/>
    <cellStyle name="20% - Accent5 2 7 6 2 2" xfId="17076"/>
    <cellStyle name="20% - Accent5 2 7 6 2 2 2" xfId="17077"/>
    <cellStyle name="20% - Accent5 2 7 6 2 2 2 2" xfId="17078"/>
    <cellStyle name="20% - Accent5 2 7 6 2 2 3" xfId="17079"/>
    <cellStyle name="20% - Accent5 2 7 6 2 3" xfId="17080"/>
    <cellStyle name="20% - Accent5 2 7 6 2 3 2" xfId="17081"/>
    <cellStyle name="20% - Accent5 2 7 6 2 4" xfId="17082"/>
    <cellStyle name="20% - Accent5 2 7 6 3" xfId="17083"/>
    <cellStyle name="20% - Accent5 2 7 6 3 2" xfId="17084"/>
    <cellStyle name="20% - Accent5 2 7 6 3 2 2" xfId="17085"/>
    <cellStyle name="20% - Accent5 2 7 6 3 3" xfId="17086"/>
    <cellStyle name="20% - Accent5 2 7 6 4" xfId="17087"/>
    <cellStyle name="20% - Accent5 2 7 6 4 2" xfId="17088"/>
    <cellStyle name="20% - Accent5 2 7 6 5" xfId="17089"/>
    <cellStyle name="20% - Accent5 2 7 7" xfId="17090"/>
    <cellStyle name="20% - Accent5 2 7 7 2" xfId="17091"/>
    <cellStyle name="20% - Accent5 2 7 7 2 2" xfId="17092"/>
    <cellStyle name="20% - Accent5 2 7 7 2 2 2" xfId="17093"/>
    <cellStyle name="20% - Accent5 2 7 7 2 2 2 2" xfId="17094"/>
    <cellStyle name="20% - Accent5 2 7 7 2 2 3" xfId="17095"/>
    <cellStyle name="20% - Accent5 2 7 7 2 3" xfId="17096"/>
    <cellStyle name="20% - Accent5 2 7 7 2 3 2" xfId="17097"/>
    <cellStyle name="20% - Accent5 2 7 7 2 4" xfId="17098"/>
    <cellStyle name="20% - Accent5 2 7 7 3" xfId="17099"/>
    <cellStyle name="20% - Accent5 2 7 7 3 2" xfId="17100"/>
    <cellStyle name="20% - Accent5 2 7 7 3 2 2" xfId="17101"/>
    <cellStyle name="20% - Accent5 2 7 7 3 3" xfId="17102"/>
    <cellStyle name="20% - Accent5 2 7 7 4" xfId="17103"/>
    <cellStyle name="20% - Accent5 2 7 7 4 2" xfId="17104"/>
    <cellStyle name="20% - Accent5 2 7 7 5" xfId="17105"/>
    <cellStyle name="20% - Accent5 2 7 8" xfId="17106"/>
    <cellStyle name="20% - Accent5 2 7 8 2" xfId="17107"/>
    <cellStyle name="20% - Accent5 2 7 8 2 2" xfId="17108"/>
    <cellStyle name="20% - Accent5 2 7 8 2 2 2" xfId="17109"/>
    <cellStyle name="20% - Accent5 2 7 8 2 3" xfId="17110"/>
    <cellStyle name="20% - Accent5 2 7 8 3" xfId="17111"/>
    <cellStyle name="20% - Accent5 2 7 8 3 2" xfId="17112"/>
    <cellStyle name="20% - Accent5 2 7 8 4" xfId="17113"/>
    <cellStyle name="20% - Accent5 2 7 9" xfId="17114"/>
    <cellStyle name="20% - Accent5 2 7 9 2" xfId="17115"/>
    <cellStyle name="20% - Accent5 2 7 9 2 2" xfId="17116"/>
    <cellStyle name="20% - Accent5 2 7 9 3" xfId="17117"/>
    <cellStyle name="20% - Accent5 2 8" xfId="17118"/>
    <cellStyle name="20% - Accent5 2 8 10" xfId="17119"/>
    <cellStyle name="20% - Accent5 2 8 10 2" xfId="17120"/>
    <cellStyle name="20% - Accent5 2 8 11" xfId="17121"/>
    <cellStyle name="20% - Accent5 2 8 2" xfId="17122"/>
    <cellStyle name="20% - Accent5 2 8 2 10" xfId="17123"/>
    <cellStyle name="20% - Accent5 2 8 2 2" xfId="17124"/>
    <cellStyle name="20% - Accent5 2 8 2 2 2" xfId="17125"/>
    <cellStyle name="20% - Accent5 2 8 2 2 2 2" xfId="17126"/>
    <cellStyle name="20% - Accent5 2 8 2 2 2 2 2" xfId="17127"/>
    <cellStyle name="20% - Accent5 2 8 2 2 2 2 2 2" xfId="17128"/>
    <cellStyle name="20% - Accent5 2 8 2 2 2 2 3" xfId="17129"/>
    <cellStyle name="20% - Accent5 2 8 2 2 2 3" xfId="17130"/>
    <cellStyle name="20% - Accent5 2 8 2 2 2 3 2" xfId="17131"/>
    <cellStyle name="20% - Accent5 2 8 2 2 2 4" xfId="17132"/>
    <cellStyle name="20% - Accent5 2 8 2 2 3" xfId="17133"/>
    <cellStyle name="20% - Accent5 2 8 2 2 3 2" xfId="17134"/>
    <cellStyle name="20% - Accent5 2 8 2 2 3 2 2" xfId="17135"/>
    <cellStyle name="20% - Accent5 2 8 2 2 3 3" xfId="17136"/>
    <cellStyle name="20% - Accent5 2 8 2 2 4" xfId="17137"/>
    <cellStyle name="20% - Accent5 2 8 2 2 4 2" xfId="17138"/>
    <cellStyle name="20% - Accent5 2 8 2 2 5" xfId="17139"/>
    <cellStyle name="20% - Accent5 2 8 2 3" xfId="17140"/>
    <cellStyle name="20% - Accent5 2 8 2 3 2" xfId="17141"/>
    <cellStyle name="20% - Accent5 2 8 2 3 2 2" xfId="17142"/>
    <cellStyle name="20% - Accent5 2 8 2 3 2 2 2" xfId="17143"/>
    <cellStyle name="20% - Accent5 2 8 2 3 2 2 2 2" xfId="17144"/>
    <cellStyle name="20% - Accent5 2 8 2 3 2 2 3" xfId="17145"/>
    <cellStyle name="20% - Accent5 2 8 2 3 2 3" xfId="17146"/>
    <cellStyle name="20% - Accent5 2 8 2 3 2 3 2" xfId="17147"/>
    <cellStyle name="20% - Accent5 2 8 2 3 2 4" xfId="17148"/>
    <cellStyle name="20% - Accent5 2 8 2 3 3" xfId="17149"/>
    <cellStyle name="20% - Accent5 2 8 2 3 3 2" xfId="17150"/>
    <cellStyle name="20% - Accent5 2 8 2 3 3 2 2" xfId="17151"/>
    <cellStyle name="20% - Accent5 2 8 2 3 3 3" xfId="17152"/>
    <cellStyle name="20% - Accent5 2 8 2 3 4" xfId="17153"/>
    <cellStyle name="20% - Accent5 2 8 2 3 4 2" xfId="17154"/>
    <cellStyle name="20% - Accent5 2 8 2 3 5" xfId="17155"/>
    <cellStyle name="20% - Accent5 2 8 2 4" xfId="17156"/>
    <cellStyle name="20% - Accent5 2 8 2 4 2" xfId="17157"/>
    <cellStyle name="20% - Accent5 2 8 2 4 2 2" xfId="17158"/>
    <cellStyle name="20% - Accent5 2 8 2 4 2 2 2" xfId="17159"/>
    <cellStyle name="20% - Accent5 2 8 2 4 2 2 2 2" xfId="17160"/>
    <cellStyle name="20% - Accent5 2 8 2 4 2 2 3" xfId="17161"/>
    <cellStyle name="20% - Accent5 2 8 2 4 2 3" xfId="17162"/>
    <cellStyle name="20% - Accent5 2 8 2 4 2 3 2" xfId="17163"/>
    <cellStyle name="20% - Accent5 2 8 2 4 2 4" xfId="17164"/>
    <cellStyle name="20% - Accent5 2 8 2 4 3" xfId="17165"/>
    <cellStyle name="20% - Accent5 2 8 2 4 3 2" xfId="17166"/>
    <cellStyle name="20% - Accent5 2 8 2 4 3 2 2" xfId="17167"/>
    <cellStyle name="20% - Accent5 2 8 2 4 3 3" xfId="17168"/>
    <cellStyle name="20% - Accent5 2 8 2 4 4" xfId="17169"/>
    <cellStyle name="20% - Accent5 2 8 2 4 4 2" xfId="17170"/>
    <cellStyle name="20% - Accent5 2 8 2 4 5" xfId="17171"/>
    <cellStyle name="20% - Accent5 2 8 2 5" xfId="17172"/>
    <cellStyle name="20% - Accent5 2 8 2 5 2" xfId="17173"/>
    <cellStyle name="20% - Accent5 2 8 2 5 2 2" xfId="17174"/>
    <cellStyle name="20% - Accent5 2 8 2 5 2 2 2" xfId="17175"/>
    <cellStyle name="20% - Accent5 2 8 2 5 2 2 2 2" xfId="17176"/>
    <cellStyle name="20% - Accent5 2 8 2 5 2 2 3" xfId="17177"/>
    <cellStyle name="20% - Accent5 2 8 2 5 2 3" xfId="17178"/>
    <cellStyle name="20% - Accent5 2 8 2 5 2 3 2" xfId="17179"/>
    <cellStyle name="20% - Accent5 2 8 2 5 2 4" xfId="17180"/>
    <cellStyle name="20% - Accent5 2 8 2 5 3" xfId="17181"/>
    <cellStyle name="20% - Accent5 2 8 2 5 3 2" xfId="17182"/>
    <cellStyle name="20% - Accent5 2 8 2 5 3 2 2" xfId="17183"/>
    <cellStyle name="20% - Accent5 2 8 2 5 3 3" xfId="17184"/>
    <cellStyle name="20% - Accent5 2 8 2 5 4" xfId="17185"/>
    <cellStyle name="20% - Accent5 2 8 2 5 4 2" xfId="17186"/>
    <cellStyle name="20% - Accent5 2 8 2 5 5" xfId="17187"/>
    <cellStyle name="20% - Accent5 2 8 2 6" xfId="17188"/>
    <cellStyle name="20% - Accent5 2 8 2 6 2" xfId="17189"/>
    <cellStyle name="20% - Accent5 2 8 2 6 2 2" xfId="17190"/>
    <cellStyle name="20% - Accent5 2 8 2 6 2 2 2" xfId="17191"/>
    <cellStyle name="20% - Accent5 2 8 2 6 2 2 2 2" xfId="17192"/>
    <cellStyle name="20% - Accent5 2 8 2 6 2 2 3" xfId="17193"/>
    <cellStyle name="20% - Accent5 2 8 2 6 2 3" xfId="17194"/>
    <cellStyle name="20% - Accent5 2 8 2 6 2 3 2" xfId="17195"/>
    <cellStyle name="20% - Accent5 2 8 2 6 2 4" xfId="17196"/>
    <cellStyle name="20% - Accent5 2 8 2 6 3" xfId="17197"/>
    <cellStyle name="20% - Accent5 2 8 2 6 3 2" xfId="17198"/>
    <cellStyle name="20% - Accent5 2 8 2 6 3 2 2" xfId="17199"/>
    <cellStyle name="20% - Accent5 2 8 2 6 3 3" xfId="17200"/>
    <cellStyle name="20% - Accent5 2 8 2 6 4" xfId="17201"/>
    <cellStyle name="20% - Accent5 2 8 2 6 4 2" xfId="17202"/>
    <cellStyle name="20% - Accent5 2 8 2 6 5" xfId="17203"/>
    <cellStyle name="20% - Accent5 2 8 2 7" xfId="17204"/>
    <cellStyle name="20% - Accent5 2 8 2 7 2" xfId="17205"/>
    <cellStyle name="20% - Accent5 2 8 2 7 2 2" xfId="17206"/>
    <cellStyle name="20% - Accent5 2 8 2 7 2 2 2" xfId="17207"/>
    <cellStyle name="20% - Accent5 2 8 2 7 2 3" xfId="17208"/>
    <cellStyle name="20% - Accent5 2 8 2 7 3" xfId="17209"/>
    <cellStyle name="20% - Accent5 2 8 2 7 3 2" xfId="17210"/>
    <cellStyle name="20% - Accent5 2 8 2 7 4" xfId="17211"/>
    <cellStyle name="20% - Accent5 2 8 2 8" xfId="17212"/>
    <cellStyle name="20% - Accent5 2 8 2 8 2" xfId="17213"/>
    <cellStyle name="20% - Accent5 2 8 2 8 2 2" xfId="17214"/>
    <cellStyle name="20% - Accent5 2 8 2 8 3" xfId="17215"/>
    <cellStyle name="20% - Accent5 2 8 2 9" xfId="17216"/>
    <cellStyle name="20% - Accent5 2 8 2 9 2" xfId="17217"/>
    <cellStyle name="20% - Accent5 2 8 3" xfId="17218"/>
    <cellStyle name="20% - Accent5 2 8 3 2" xfId="17219"/>
    <cellStyle name="20% - Accent5 2 8 3 2 2" xfId="17220"/>
    <cellStyle name="20% - Accent5 2 8 3 2 2 2" xfId="17221"/>
    <cellStyle name="20% - Accent5 2 8 3 2 2 2 2" xfId="17222"/>
    <cellStyle name="20% - Accent5 2 8 3 2 2 3" xfId="17223"/>
    <cellStyle name="20% - Accent5 2 8 3 2 3" xfId="17224"/>
    <cellStyle name="20% - Accent5 2 8 3 2 3 2" xfId="17225"/>
    <cellStyle name="20% - Accent5 2 8 3 2 4" xfId="17226"/>
    <cellStyle name="20% - Accent5 2 8 3 3" xfId="17227"/>
    <cellStyle name="20% - Accent5 2 8 3 3 2" xfId="17228"/>
    <cellStyle name="20% - Accent5 2 8 3 3 2 2" xfId="17229"/>
    <cellStyle name="20% - Accent5 2 8 3 3 3" xfId="17230"/>
    <cellStyle name="20% - Accent5 2 8 3 4" xfId="17231"/>
    <cellStyle name="20% - Accent5 2 8 3 4 2" xfId="17232"/>
    <cellStyle name="20% - Accent5 2 8 3 5" xfId="17233"/>
    <cellStyle name="20% - Accent5 2 8 4" xfId="17234"/>
    <cellStyle name="20% - Accent5 2 8 4 2" xfId="17235"/>
    <cellStyle name="20% - Accent5 2 8 4 2 2" xfId="17236"/>
    <cellStyle name="20% - Accent5 2 8 4 2 2 2" xfId="17237"/>
    <cellStyle name="20% - Accent5 2 8 4 2 2 2 2" xfId="17238"/>
    <cellStyle name="20% - Accent5 2 8 4 2 2 3" xfId="17239"/>
    <cellStyle name="20% - Accent5 2 8 4 2 3" xfId="17240"/>
    <cellStyle name="20% - Accent5 2 8 4 2 3 2" xfId="17241"/>
    <cellStyle name="20% - Accent5 2 8 4 2 4" xfId="17242"/>
    <cellStyle name="20% - Accent5 2 8 4 3" xfId="17243"/>
    <cellStyle name="20% - Accent5 2 8 4 3 2" xfId="17244"/>
    <cellStyle name="20% - Accent5 2 8 4 3 2 2" xfId="17245"/>
    <cellStyle name="20% - Accent5 2 8 4 3 3" xfId="17246"/>
    <cellStyle name="20% - Accent5 2 8 4 4" xfId="17247"/>
    <cellStyle name="20% - Accent5 2 8 4 4 2" xfId="17248"/>
    <cellStyle name="20% - Accent5 2 8 4 5" xfId="17249"/>
    <cellStyle name="20% - Accent5 2 8 5" xfId="17250"/>
    <cellStyle name="20% - Accent5 2 8 5 2" xfId="17251"/>
    <cellStyle name="20% - Accent5 2 8 5 2 2" xfId="17252"/>
    <cellStyle name="20% - Accent5 2 8 5 2 2 2" xfId="17253"/>
    <cellStyle name="20% - Accent5 2 8 5 2 2 2 2" xfId="17254"/>
    <cellStyle name="20% - Accent5 2 8 5 2 2 3" xfId="17255"/>
    <cellStyle name="20% - Accent5 2 8 5 2 3" xfId="17256"/>
    <cellStyle name="20% - Accent5 2 8 5 2 3 2" xfId="17257"/>
    <cellStyle name="20% - Accent5 2 8 5 2 4" xfId="17258"/>
    <cellStyle name="20% - Accent5 2 8 5 3" xfId="17259"/>
    <cellStyle name="20% - Accent5 2 8 5 3 2" xfId="17260"/>
    <cellStyle name="20% - Accent5 2 8 5 3 2 2" xfId="17261"/>
    <cellStyle name="20% - Accent5 2 8 5 3 3" xfId="17262"/>
    <cellStyle name="20% - Accent5 2 8 5 4" xfId="17263"/>
    <cellStyle name="20% - Accent5 2 8 5 4 2" xfId="17264"/>
    <cellStyle name="20% - Accent5 2 8 5 5" xfId="17265"/>
    <cellStyle name="20% - Accent5 2 8 6" xfId="17266"/>
    <cellStyle name="20% - Accent5 2 8 6 2" xfId="17267"/>
    <cellStyle name="20% - Accent5 2 8 6 2 2" xfId="17268"/>
    <cellStyle name="20% - Accent5 2 8 6 2 2 2" xfId="17269"/>
    <cellStyle name="20% - Accent5 2 8 6 2 2 2 2" xfId="17270"/>
    <cellStyle name="20% - Accent5 2 8 6 2 2 3" xfId="17271"/>
    <cellStyle name="20% - Accent5 2 8 6 2 3" xfId="17272"/>
    <cellStyle name="20% - Accent5 2 8 6 2 3 2" xfId="17273"/>
    <cellStyle name="20% - Accent5 2 8 6 2 4" xfId="17274"/>
    <cellStyle name="20% - Accent5 2 8 6 3" xfId="17275"/>
    <cellStyle name="20% - Accent5 2 8 6 3 2" xfId="17276"/>
    <cellStyle name="20% - Accent5 2 8 6 3 2 2" xfId="17277"/>
    <cellStyle name="20% - Accent5 2 8 6 3 3" xfId="17278"/>
    <cellStyle name="20% - Accent5 2 8 6 4" xfId="17279"/>
    <cellStyle name="20% - Accent5 2 8 6 4 2" xfId="17280"/>
    <cellStyle name="20% - Accent5 2 8 6 5" xfId="17281"/>
    <cellStyle name="20% - Accent5 2 8 7" xfId="17282"/>
    <cellStyle name="20% - Accent5 2 8 7 2" xfId="17283"/>
    <cellStyle name="20% - Accent5 2 8 7 2 2" xfId="17284"/>
    <cellStyle name="20% - Accent5 2 8 7 2 2 2" xfId="17285"/>
    <cellStyle name="20% - Accent5 2 8 7 2 2 2 2" xfId="17286"/>
    <cellStyle name="20% - Accent5 2 8 7 2 2 3" xfId="17287"/>
    <cellStyle name="20% - Accent5 2 8 7 2 3" xfId="17288"/>
    <cellStyle name="20% - Accent5 2 8 7 2 3 2" xfId="17289"/>
    <cellStyle name="20% - Accent5 2 8 7 2 4" xfId="17290"/>
    <cellStyle name="20% - Accent5 2 8 7 3" xfId="17291"/>
    <cellStyle name="20% - Accent5 2 8 7 3 2" xfId="17292"/>
    <cellStyle name="20% - Accent5 2 8 7 3 2 2" xfId="17293"/>
    <cellStyle name="20% - Accent5 2 8 7 3 3" xfId="17294"/>
    <cellStyle name="20% - Accent5 2 8 7 4" xfId="17295"/>
    <cellStyle name="20% - Accent5 2 8 7 4 2" xfId="17296"/>
    <cellStyle name="20% - Accent5 2 8 7 5" xfId="17297"/>
    <cellStyle name="20% - Accent5 2 8 8" xfId="17298"/>
    <cellStyle name="20% - Accent5 2 8 8 2" xfId="17299"/>
    <cellStyle name="20% - Accent5 2 8 8 2 2" xfId="17300"/>
    <cellStyle name="20% - Accent5 2 8 8 2 2 2" xfId="17301"/>
    <cellStyle name="20% - Accent5 2 8 8 2 3" xfId="17302"/>
    <cellStyle name="20% - Accent5 2 8 8 3" xfId="17303"/>
    <cellStyle name="20% - Accent5 2 8 8 3 2" xfId="17304"/>
    <cellStyle name="20% - Accent5 2 8 8 4" xfId="17305"/>
    <cellStyle name="20% - Accent5 2 8 9" xfId="17306"/>
    <cellStyle name="20% - Accent5 2 8 9 2" xfId="17307"/>
    <cellStyle name="20% - Accent5 2 8 9 2 2" xfId="17308"/>
    <cellStyle name="20% - Accent5 2 8 9 3" xfId="17309"/>
    <cellStyle name="20% - Accent5 2 9" xfId="17310"/>
    <cellStyle name="20% - Accent5 2 9 10" xfId="17311"/>
    <cellStyle name="20% - Accent5 2 9 10 2" xfId="17312"/>
    <cellStyle name="20% - Accent5 2 9 11" xfId="17313"/>
    <cellStyle name="20% - Accent5 2 9 2" xfId="17314"/>
    <cellStyle name="20% - Accent5 2 9 2 10" xfId="17315"/>
    <cellStyle name="20% - Accent5 2 9 2 2" xfId="17316"/>
    <cellStyle name="20% - Accent5 2 9 2 2 2" xfId="17317"/>
    <cellStyle name="20% - Accent5 2 9 2 2 2 2" xfId="17318"/>
    <cellStyle name="20% - Accent5 2 9 2 2 2 2 2" xfId="17319"/>
    <cellStyle name="20% - Accent5 2 9 2 2 2 2 2 2" xfId="17320"/>
    <cellStyle name="20% - Accent5 2 9 2 2 2 2 3" xfId="17321"/>
    <cellStyle name="20% - Accent5 2 9 2 2 2 3" xfId="17322"/>
    <cellStyle name="20% - Accent5 2 9 2 2 2 3 2" xfId="17323"/>
    <cellStyle name="20% - Accent5 2 9 2 2 2 4" xfId="17324"/>
    <cellStyle name="20% - Accent5 2 9 2 2 3" xfId="17325"/>
    <cellStyle name="20% - Accent5 2 9 2 2 3 2" xfId="17326"/>
    <cellStyle name="20% - Accent5 2 9 2 2 3 2 2" xfId="17327"/>
    <cellStyle name="20% - Accent5 2 9 2 2 3 3" xfId="17328"/>
    <cellStyle name="20% - Accent5 2 9 2 2 4" xfId="17329"/>
    <cellStyle name="20% - Accent5 2 9 2 2 4 2" xfId="17330"/>
    <cellStyle name="20% - Accent5 2 9 2 2 5" xfId="17331"/>
    <cellStyle name="20% - Accent5 2 9 2 3" xfId="17332"/>
    <cellStyle name="20% - Accent5 2 9 2 3 2" xfId="17333"/>
    <cellStyle name="20% - Accent5 2 9 2 3 2 2" xfId="17334"/>
    <cellStyle name="20% - Accent5 2 9 2 3 2 2 2" xfId="17335"/>
    <cellStyle name="20% - Accent5 2 9 2 3 2 2 2 2" xfId="17336"/>
    <cellStyle name="20% - Accent5 2 9 2 3 2 2 3" xfId="17337"/>
    <cellStyle name="20% - Accent5 2 9 2 3 2 3" xfId="17338"/>
    <cellStyle name="20% - Accent5 2 9 2 3 2 3 2" xfId="17339"/>
    <cellStyle name="20% - Accent5 2 9 2 3 2 4" xfId="17340"/>
    <cellStyle name="20% - Accent5 2 9 2 3 3" xfId="17341"/>
    <cellStyle name="20% - Accent5 2 9 2 3 3 2" xfId="17342"/>
    <cellStyle name="20% - Accent5 2 9 2 3 3 2 2" xfId="17343"/>
    <cellStyle name="20% - Accent5 2 9 2 3 3 3" xfId="17344"/>
    <cellStyle name="20% - Accent5 2 9 2 3 4" xfId="17345"/>
    <cellStyle name="20% - Accent5 2 9 2 3 4 2" xfId="17346"/>
    <cellStyle name="20% - Accent5 2 9 2 3 5" xfId="17347"/>
    <cellStyle name="20% - Accent5 2 9 2 4" xfId="17348"/>
    <cellStyle name="20% - Accent5 2 9 2 4 2" xfId="17349"/>
    <cellStyle name="20% - Accent5 2 9 2 4 2 2" xfId="17350"/>
    <cellStyle name="20% - Accent5 2 9 2 4 2 2 2" xfId="17351"/>
    <cellStyle name="20% - Accent5 2 9 2 4 2 2 2 2" xfId="17352"/>
    <cellStyle name="20% - Accent5 2 9 2 4 2 2 3" xfId="17353"/>
    <cellStyle name="20% - Accent5 2 9 2 4 2 3" xfId="17354"/>
    <cellStyle name="20% - Accent5 2 9 2 4 2 3 2" xfId="17355"/>
    <cellStyle name="20% - Accent5 2 9 2 4 2 4" xfId="17356"/>
    <cellStyle name="20% - Accent5 2 9 2 4 3" xfId="17357"/>
    <cellStyle name="20% - Accent5 2 9 2 4 3 2" xfId="17358"/>
    <cellStyle name="20% - Accent5 2 9 2 4 3 2 2" xfId="17359"/>
    <cellStyle name="20% - Accent5 2 9 2 4 3 3" xfId="17360"/>
    <cellStyle name="20% - Accent5 2 9 2 4 4" xfId="17361"/>
    <cellStyle name="20% - Accent5 2 9 2 4 4 2" xfId="17362"/>
    <cellStyle name="20% - Accent5 2 9 2 4 5" xfId="17363"/>
    <cellStyle name="20% - Accent5 2 9 2 5" xfId="17364"/>
    <cellStyle name="20% - Accent5 2 9 2 5 2" xfId="17365"/>
    <cellStyle name="20% - Accent5 2 9 2 5 2 2" xfId="17366"/>
    <cellStyle name="20% - Accent5 2 9 2 5 2 2 2" xfId="17367"/>
    <cellStyle name="20% - Accent5 2 9 2 5 2 2 2 2" xfId="17368"/>
    <cellStyle name="20% - Accent5 2 9 2 5 2 2 3" xfId="17369"/>
    <cellStyle name="20% - Accent5 2 9 2 5 2 3" xfId="17370"/>
    <cellStyle name="20% - Accent5 2 9 2 5 2 3 2" xfId="17371"/>
    <cellStyle name="20% - Accent5 2 9 2 5 2 4" xfId="17372"/>
    <cellStyle name="20% - Accent5 2 9 2 5 3" xfId="17373"/>
    <cellStyle name="20% - Accent5 2 9 2 5 3 2" xfId="17374"/>
    <cellStyle name="20% - Accent5 2 9 2 5 3 2 2" xfId="17375"/>
    <cellStyle name="20% - Accent5 2 9 2 5 3 3" xfId="17376"/>
    <cellStyle name="20% - Accent5 2 9 2 5 4" xfId="17377"/>
    <cellStyle name="20% - Accent5 2 9 2 5 4 2" xfId="17378"/>
    <cellStyle name="20% - Accent5 2 9 2 5 5" xfId="17379"/>
    <cellStyle name="20% - Accent5 2 9 2 6" xfId="17380"/>
    <cellStyle name="20% - Accent5 2 9 2 6 2" xfId="17381"/>
    <cellStyle name="20% - Accent5 2 9 2 6 2 2" xfId="17382"/>
    <cellStyle name="20% - Accent5 2 9 2 6 2 2 2" xfId="17383"/>
    <cellStyle name="20% - Accent5 2 9 2 6 2 2 2 2" xfId="17384"/>
    <cellStyle name="20% - Accent5 2 9 2 6 2 2 3" xfId="17385"/>
    <cellStyle name="20% - Accent5 2 9 2 6 2 3" xfId="17386"/>
    <cellStyle name="20% - Accent5 2 9 2 6 2 3 2" xfId="17387"/>
    <cellStyle name="20% - Accent5 2 9 2 6 2 4" xfId="17388"/>
    <cellStyle name="20% - Accent5 2 9 2 6 3" xfId="17389"/>
    <cellStyle name="20% - Accent5 2 9 2 6 3 2" xfId="17390"/>
    <cellStyle name="20% - Accent5 2 9 2 6 3 2 2" xfId="17391"/>
    <cellStyle name="20% - Accent5 2 9 2 6 3 3" xfId="17392"/>
    <cellStyle name="20% - Accent5 2 9 2 6 4" xfId="17393"/>
    <cellStyle name="20% - Accent5 2 9 2 6 4 2" xfId="17394"/>
    <cellStyle name="20% - Accent5 2 9 2 6 5" xfId="17395"/>
    <cellStyle name="20% - Accent5 2 9 2 7" xfId="17396"/>
    <cellStyle name="20% - Accent5 2 9 2 7 2" xfId="17397"/>
    <cellStyle name="20% - Accent5 2 9 2 7 2 2" xfId="17398"/>
    <cellStyle name="20% - Accent5 2 9 2 7 2 2 2" xfId="17399"/>
    <cellStyle name="20% - Accent5 2 9 2 7 2 3" xfId="17400"/>
    <cellStyle name="20% - Accent5 2 9 2 7 3" xfId="17401"/>
    <cellStyle name="20% - Accent5 2 9 2 7 3 2" xfId="17402"/>
    <cellStyle name="20% - Accent5 2 9 2 7 4" xfId="17403"/>
    <cellStyle name="20% - Accent5 2 9 2 8" xfId="17404"/>
    <cellStyle name="20% - Accent5 2 9 2 8 2" xfId="17405"/>
    <cellStyle name="20% - Accent5 2 9 2 8 2 2" xfId="17406"/>
    <cellStyle name="20% - Accent5 2 9 2 8 3" xfId="17407"/>
    <cellStyle name="20% - Accent5 2 9 2 9" xfId="17408"/>
    <cellStyle name="20% - Accent5 2 9 2 9 2" xfId="17409"/>
    <cellStyle name="20% - Accent5 2 9 3" xfId="17410"/>
    <cellStyle name="20% - Accent5 2 9 3 2" xfId="17411"/>
    <cellStyle name="20% - Accent5 2 9 3 2 2" xfId="17412"/>
    <cellStyle name="20% - Accent5 2 9 3 2 2 2" xfId="17413"/>
    <cellStyle name="20% - Accent5 2 9 3 2 2 2 2" xfId="17414"/>
    <cellStyle name="20% - Accent5 2 9 3 2 2 3" xfId="17415"/>
    <cellStyle name="20% - Accent5 2 9 3 2 3" xfId="17416"/>
    <cellStyle name="20% - Accent5 2 9 3 2 3 2" xfId="17417"/>
    <cellStyle name="20% - Accent5 2 9 3 2 4" xfId="17418"/>
    <cellStyle name="20% - Accent5 2 9 3 3" xfId="17419"/>
    <cellStyle name="20% - Accent5 2 9 3 3 2" xfId="17420"/>
    <cellStyle name="20% - Accent5 2 9 3 3 2 2" xfId="17421"/>
    <cellStyle name="20% - Accent5 2 9 3 3 3" xfId="17422"/>
    <cellStyle name="20% - Accent5 2 9 3 4" xfId="17423"/>
    <cellStyle name="20% - Accent5 2 9 3 4 2" xfId="17424"/>
    <cellStyle name="20% - Accent5 2 9 3 5" xfId="17425"/>
    <cellStyle name="20% - Accent5 2 9 4" xfId="17426"/>
    <cellStyle name="20% - Accent5 2 9 4 2" xfId="17427"/>
    <cellStyle name="20% - Accent5 2 9 4 2 2" xfId="17428"/>
    <cellStyle name="20% - Accent5 2 9 4 2 2 2" xfId="17429"/>
    <cellStyle name="20% - Accent5 2 9 4 2 2 2 2" xfId="17430"/>
    <cellStyle name="20% - Accent5 2 9 4 2 2 3" xfId="17431"/>
    <cellStyle name="20% - Accent5 2 9 4 2 3" xfId="17432"/>
    <cellStyle name="20% - Accent5 2 9 4 2 3 2" xfId="17433"/>
    <cellStyle name="20% - Accent5 2 9 4 2 4" xfId="17434"/>
    <cellStyle name="20% - Accent5 2 9 4 3" xfId="17435"/>
    <cellStyle name="20% - Accent5 2 9 4 3 2" xfId="17436"/>
    <cellStyle name="20% - Accent5 2 9 4 3 2 2" xfId="17437"/>
    <cellStyle name="20% - Accent5 2 9 4 3 3" xfId="17438"/>
    <cellStyle name="20% - Accent5 2 9 4 4" xfId="17439"/>
    <cellStyle name="20% - Accent5 2 9 4 4 2" xfId="17440"/>
    <cellStyle name="20% - Accent5 2 9 4 5" xfId="17441"/>
    <cellStyle name="20% - Accent5 2 9 5" xfId="17442"/>
    <cellStyle name="20% - Accent5 2 9 5 2" xfId="17443"/>
    <cellStyle name="20% - Accent5 2 9 5 2 2" xfId="17444"/>
    <cellStyle name="20% - Accent5 2 9 5 2 2 2" xfId="17445"/>
    <cellStyle name="20% - Accent5 2 9 5 2 2 2 2" xfId="17446"/>
    <cellStyle name="20% - Accent5 2 9 5 2 2 3" xfId="17447"/>
    <cellStyle name="20% - Accent5 2 9 5 2 3" xfId="17448"/>
    <cellStyle name="20% - Accent5 2 9 5 2 3 2" xfId="17449"/>
    <cellStyle name="20% - Accent5 2 9 5 2 4" xfId="17450"/>
    <cellStyle name="20% - Accent5 2 9 5 3" xfId="17451"/>
    <cellStyle name="20% - Accent5 2 9 5 3 2" xfId="17452"/>
    <cellStyle name="20% - Accent5 2 9 5 3 2 2" xfId="17453"/>
    <cellStyle name="20% - Accent5 2 9 5 3 3" xfId="17454"/>
    <cellStyle name="20% - Accent5 2 9 5 4" xfId="17455"/>
    <cellStyle name="20% - Accent5 2 9 5 4 2" xfId="17456"/>
    <cellStyle name="20% - Accent5 2 9 5 5" xfId="17457"/>
    <cellStyle name="20% - Accent5 2 9 6" xfId="17458"/>
    <cellStyle name="20% - Accent5 2 9 6 2" xfId="17459"/>
    <cellStyle name="20% - Accent5 2 9 6 2 2" xfId="17460"/>
    <cellStyle name="20% - Accent5 2 9 6 2 2 2" xfId="17461"/>
    <cellStyle name="20% - Accent5 2 9 6 2 2 2 2" xfId="17462"/>
    <cellStyle name="20% - Accent5 2 9 6 2 2 3" xfId="17463"/>
    <cellStyle name="20% - Accent5 2 9 6 2 3" xfId="17464"/>
    <cellStyle name="20% - Accent5 2 9 6 2 3 2" xfId="17465"/>
    <cellStyle name="20% - Accent5 2 9 6 2 4" xfId="17466"/>
    <cellStyle name="20% - Accent5 2 9 6 3" xfId="17467"/>
    <cellStyle name="20% - Accent5 2 9 6 3 2" xfId="17468"/>
    <cellStyle name="20% - Accent5 2 9 6 3 2 2" xfId="17469"/>
    <cellStyle name="20% - Accent5 2 9 6 3 3" xfId="17470"/>
    <cellStyle name="20% - Accent5 2 9 6 4" xfId="17471"/>
    <cellStyle name="20% - Accent5 2 9 6 4 2" xfId="17472"/>
    <cellStyle name="20% - Accent5 2 9 6 5" xfId="17473"/>
    <cellStyle name="20% - Accent5 2 9 7" xfId="17474"/>
    <cellStyle name="20% - Accent5 2 9 7 2" xfId="17475"/>
    <cellStyle name="20% - Accent5 2 9 7 2 2" xfId="17476"/>
    <cellStyle name="20% - Accent5 2 9 7 2 2 2" xfId="17477"/>
    <cellStyle name="20% - Accent5 2 9 7 2 2 2 2" xfId="17478"/>
    <cellStyle name="20% - Accent5 2 9 7 2 2 3" xfId="17479"/>
    <cellStyle name="20% - Accent5 2 9 7 2 3" xfId="17480"/>
    <cellStyle name="20% - Accent5 2 9 7 2 3 2" xfId="17481"/>
    <cellStyle name="20% - Accent5 2 9 7 2 4" xfId="17482"/>
    <cellStyle name="20% - Accent5 2 9 7 3" xfId="17483"/>
    <cellStyle name="20% - Accent5 2 9 7 3 2" xfId="17484"/>
    <cellStyle name="20% - Accent5 2 9 7 3 2 2" xfId="17485"/>
    <cellStyle name="20% - Accent5 2 9 7 3 3" xfId="17486"/>
    <cellStyle name="20% - Accent5 2 9 7 4" xfId="17487"/>
    <cellStyle name="20% - Accent5 2 9 7 4 2" xfId="17488"/>
    <cellStyle name="20% - Accent5 2 9 7 5" xfId="17489"/>
    <cellStyle name="20% - Accent5 2 9 8" xfId="17490"/>
    <cellStyle name="20% - Accent5 2 9 8 2" xfId="17491"/>
    <cellStyle name="20% - Accent5 2 9 8 2 2" xfId="17492"/>
    <cellStyle name="20% - Accent5 2 9 8 2 2 2" xfId="17493"/>
    <cellStyle name="20% - Accent5 2 9 8 2 3" xfId="17494"/>
    <cellStyle name="20% - Accent5 2 9 8 3" xfId="17495"/>
    <cellStyle name="20% - Accent5 2 9 8 3 2" xfId="17496"/>
    <cellStyle name="20% - Accent5 2 9 8 4" xfId="17497"/>
    <cellStyle name="20% - Accent5 2 9 9" xfId="17498"/>
    <cellStyle name="20% - Accent5 2 9 9 2" xfId="17499"/>
    <cellStyle name="20% - Accent5 2 9 9 2 2" xfId="17500"/>
    <cellStyle name="20% - Accent5 2 9 9 3" xfId="17501"/>
    <cellStyle name="20% - Accent5 20" xfId="17502"/>
    <cellStyle name="20% - Accent5 20 2" xfId="17503"/>
    <cellStyle name="20% - Accent5 20 2 2" xfId="17504"/>
    <cellStyle name="20% - Accent5 20 2 2 2" xfId="17505"/>
    <cellStyle name="20% - Accent5 20 2 2 2 2" xfId="17506"/>
    <cellStyle name="20% - Accent5 20 2 2 3" xfId="17507"/>
    <cellStyle name="20% - Accent5 20 2 3" xfId="17508"/>
    <cellStyle name="20% - Accent5 20 2 3 2" xfId="17509"/>
    <cellStyle name="20% - Accent5 20 2 4" xfId="17510"/>
    <cellStyle name="20% - Accent5 20 3" xfId="17511"/>
    <cellStyle name="20% - Accent5 20 3 2" xfId="17512"/>
    <cellStyle name="20% - Accent5 20 3 2 2" xfId="17513"/>
    <cellStyle name="20% - Accent5 20 3 3" xfId="17514"/>
    <cellStyle name="20% - Accent5 20 4" xfId="17515"/>
    <cellStyle name="20% - Accent5 20 4 2" xfId="17516"/>
    <cellStyle name="20% - Accent5 20 5" xfId="17517"/>
    <cellStyle name="20% - Accent5 21" xfId="17518"/>
    <cellStyle name="20% - Accent5 21 2" xfId="17519"/>
    <cellStyle name="20% - Accent5 21 2 2" xfId="17520"/>
    <cellStyle name="20% - Accent5 21 2 2 2" xfId="17521"/>
    <cellStyle name="20% - Accent5 21 2 3" xfId="17522"/>
    <cellStyle name="20% - Accent5 21 3" xfId="17523"/>
    <cellStyle name="20% - Accent5 21 3 2" xfId="17524"/>
    <cellStyle name="20% - Accent5 21 4" xfId="17525"/>
    <cellStyle name="20% - Accent5 22" xfId="17526"/>
    <cellStyle name="20% - Accent5 22 2" xfId="17527"/>
    <cellStyle name="20% - Accent5 22 2 2" xfId="17528"/>
    <cellStyle name="20% - Accent5 22 3" xfId="17529"/>
    <cellStyle name="20% - Accent5 23" xfId="17530"/>
    <cellStyle name="20% - Accent5 23 2" xfId="17531"/>
    <cellStyle name="20% - Accent5 24" xfId="17532"/>
    <cellStyle name="20% - Accent5 3" xfId="17533"/>
    <cellStyle name="20% - Accent5 3 10" xfId="17534"/>
    <cellStyle name="20% - Accent5 3 10 2" xfId="17535"/>
    <cellStyle name="20% - Accent5 3 11" xfId="17536"/>
    <cellStyle name="20% - Accent5 3 2" xfId="17537"/>
    <cellStyle name="20% - Accent5 3 2 10" xfId="17538"/>
    <cellStyle name="20% - Accent5 3 2 2" xfId="17539"/>
    <cellStyle name="20% - Accent5 3 2 2 2" xfId="17540"/>
    <cellStyle name="20% - Accent5 3 2 2 2 2" xfId="17541"/>
    <cellStyle name="20% - Accent5 3 2 2 2 2 2" xfId="17542"/>
    <cellStyle name="20% - Accent5 3 2 2 2 2 2 2" xfId="17543"/>
    <cellStyle name="20% - Accent5 3 2 2 2 2 3" xfId="17544"/>
    <cellStyle name="20% - Accent5 3 2 2 2 3" xfId="17545"/>
    <cellStyle name="20% - Accent5 3 2 2 2 3 2" xfId="17546"/>
    <cellStyle name="20% - Accent5 3 2 2 2 4" xfId="17547"/>
    <cellStyle name="20% - Accent5 3 2 2 3" xfId="17548"/>
    <cellStyle name="20% - Accent5 3 2 2 3 2" xfId="17549"/>
    <cellStyle name="20% - Accent5 3 2 2 3 2 2" xfId="17550"/>
    <cellStyle name="20% - Accent5 3 2 2 3 3" xfId="17551"/>
    <cellStyle name="20% - Accent5 3 2 2 4" xfId="17552"/>
    <cellStyle name="20% - Accent5 3 2 2 4 2" xfId="17553"/>
    <cellStyle name="20% - Accent5 3 2 2 5" xfId="17554"/>
    <cellStyle name="20% - Accent5 3 2 3" xfId="17555"/>
    <cellStyle name="20% - Accent5 3 2 3 2" xfId="17556"/>
    <cellStyle name="20% - Accent5 3 2 3 2 2" xfId="17557"/>
    <cellStyle name="20% - Accent5 3 2 3 2 2 2" xfId="17558"/>
    <cellStyle name="20% - Accent5 3 2 3 2 2 2 2" xfId="17559"/>
    <cellStyle name="20% - Accent5 3 2 3 2 2 3" xfId="17560"/>
    <cellStyle name="20% - Accent5 3 2 3 2 3" xfId="17561"/>
    <cellStyle name="20% - Accent5 3 2 3 2 3 2" xfId="17562"/>
    <cellStyle name="20% - Accent5 3 2 3 2 4" xfId="17563"/>
    <cellStyle name="20% - Accent5 3 2 3 3" xfId="17564"/>
    <cellStyle name="20% - Accent5 3 2 3 3 2" xfId="17565"/>
    <cellStyle name="20% - Accent5 3 2 3 3 2 2" xfId="17566"/>
    <cellStyle name="20% - Accent5 3 2 3 3 3" xfId="17567"/>
    <cellStyle name="20% - Accent5 3 2 3 4" xfId="17568"/>
    <cellStyle name="20% - Accent5 3 2 3 4 2" xfId="17569"/>
    <cellStyle name="20% - Accent5 3 2 3 5" xfId="17570"/>
    <cellStyle name="20% - Accent5 3 2 4" xfId="17571"/>
    <cellStyle name="20% - Accent5 3 2 4 2" xfId="17572"/>
    <cellStyle name="20% - Accent5 3 2 4 2 2" xfId="17573"/>
    <cellStyle name="20% - Accent5 3 2 4 2 2 2" xfId="17574"/>
    <cellStyle name="20% - Accent5 3 2 4 2 2 2 2" xfId="17575"/>
    <cellStyle name="20% - Accent5 3 2 4 2 2 3" xfId="17576"/>
    <cellStyle name="20% - Accent5 3 2 4 2 3" xfId="17577"/>
    <cellStyle name="20% - Accent5 3 2 4 2 3 2" xfId="17578"/>
    <cellStyle name="20% - Accent5 3 2 4 2 4" xfId="17579"/>
    <cellStyle name="20% - Accent5 3 2 4 3" xfId="17580"/>
    <cellStyle name="20% - Accent5 3 2 4 3 2" xfId="17581"/>
    <cellStyle name="20% - Accent5 3 2 4 3 2 2" xfId="17582"/>
    <cellStyle name="20% - Accent5 3 2 4 3 3" xfId="17583"/>
    <cellStyle name="20% - Accent5 3 2 4 4" xfId="17584"/>
    <cellStyle name="20% - Accent5 3 2 4 4 2" xfId="17585"/>
    <cellStyle name="20% - Accent5 3 2 4 5" xfId="17586"/>
    <cellStyle name="20% - Accent5 3 2 5" xfId="17587"/>
    <cellStyle name="20% - Accent5 3 2 5 2" xfId="17588"/>
    <cellStyle name="20% - Accent5 3 2 5 2 2" xfId="17589"/>
    <cellStyle name="20% - Accent5 3 2 5 2 2 2" xfId="17590"/>
    <cellStyle name="20% - Accent5 3 2 5 2 2 2 2" xfId="17591"/>
    <cellStyle name="20% - Accent5 3 2 5 2 2 3" xfId="17592"/>
    <cellStyle name="20% - Accent5 3 2 5 2 3" xfId="17593"/>
    <cellStyle name="20% - Accent5 3 2 5 2 3 2" xfId="17594"/>
    <cellStyle name="20% - Accent5 3 2 5 2 4" xfId="17595"/>
    <cellStyle name="20% - Accent5 3 2 5 3" xfId="17596"/>
    <cellStyle name="20% - Accent5 3 2 5 3 2" xfId="17597"/>
    <cellStyle name="20% - Accent5 3 2 5 3 2 2" xfId="17598"/>
    <cellStyle name="20% - Accent5 3 2 5 3 3" xfId="17599"/>
    <cellStyle name="20% - Accent5 3 2 5 4" xfId="17600"/>
    <cellStyle name="20% - Accent5 3 2 5 4 2" xfId="17601"/>
    <cellStyle name="20% - Accent5 3 2 5 5" xfId="17602"/>
    <cellStyle name="20% - Accent5 3 2 6" xfId="17603"/>
    <cellStyle name="20% - Accent5 3 2 6 2" xfId="17604"/>
    <cellStyle name="20% - Accent5 3 2 6 2 2" xfId="17605"/>
    <cellStyle name="20% - Accent5 3 2 6 2 2 2" xfId="17606"/>
    <cellStyle name="20% - Accent5 3 2 6 2 2 2 2" xfId="17607"/>
    <cellStyle name="20% - Accent5 3 2 6 2 2 3" xfId="17608"/>
    <cellStyle name="20% - Accent5 3 2 6 2 3" xfId="17609"/>
    <cellStyle name="20% - Accent5 3 2 6 2 3 2" xfId="17610"/>
    <cellStyle name="20% - Accent5 3 2 6 2 4" xfId="17611"/>
    <cellStyle name="20% - Accent5 3 2 6 3" xfId="17612"/>
    <cellStyle name="20% - Accent5 3 2 6 3 2" xfId="17613"/>
    <cellStyle name="20% - Accent5 3 2 6 3 2 2" xfId="17614"/>
    <cellStyle name="20% - Accent5 3 2 6 3 3" xfId="17615"/>
    <cellStyle name="20% - Accent5 3 2 6 4" xfId="17616"/>
    <cellStyle name="20% - Accent5 3 2 6 4 2" xfId="17617"/>
    <cellStyle name="20% - Accent5 3 2 6 5" xfId="17618"/>
    <cellStyle name="20% - Accent5 3 2 7" xfId="17619"/>
    <cellStyle name="20% - Accent5 3 2 7 2" xfId="17620"/>
    <cellStyle name="20% - Accent5 3 2 7 2 2" xfId="17621"/>
    <cellStyle name="20% - Accent5 3 2 7 2 2 2" xfId="17622"/>
    <cellStyle name="20% - Accent5 3 2 7 2 3" xfId="17623"/>
    <cellStyle name="20% - Accent5 3 2 7 3" xfId="17624"/>
    <cellStyle name="20% - Accent5 3 2 7 3 2" xfId="17625"/>
    <cellStyle name="20% - Accent5 3 2 7 4" xfId="17626"/>
    <cellStyle name="20% - Accent5 3 2 8" xfId="17627"/>
    <cellStyle name="20% - Accent5 3 2 8 2" xfId="17628"/>
    <cellStyle name="20% - Accent5 3 2 8 2 2" xfId="17629"/>
    <cellStyle name="20% - Accent5 3 2 8 3" xfId="17630"/>
    <cellStyle name="20% - Accent5 3 2 9" xfId="17631"/>
    <cellStyle name="20% - Accent5 3 2 9 2" xfId="17632"/>
    <cellStyle name="20% - Accent5 3 3" xfId="17633"/>
    <cellStyle name="20% - Accent5 3 3 2" xfId="17634"/>
    <cellStyle name="20% - Accent5 3 3 2 2" xfId="17635"/>
    <cellStyle name="20% - Accent5 3 3 2 2 2" xfId="17636"/>
    <cellStyle name="20% - Accent5 3 3 2 2 2 2" xfId="17637"/>
    <cellStyle name="20% - Accent5 3 3 2 2 3" xfId="17638"/>
    <cellStyle name="20% - Accent5 3 3 2 3" xfId="17639"/>
    <cellStyle name="20% - Accent5 3 3 2 3 2" xfId="17640"/>
    <cellStyle name="20% - Accent5 3 3 2 4" xfId="17641"/>
    <cellStyle name="20% - Accent5 3 3 3" xfId="17642"/>
    <cellStyle name="20% - Accent5 3 3 3 2" xfId="17643"/>
    <cellStyle name="20% - Accent5 3 3 3 2 2" xfId="17644"/>
    <cellStyle name="20% - Accent5 3 3 3 3" xfId="17645"/>
    <cellStyle name="20% - Accent5 3 3 4" xfId="17646"/>
    <cellStyle name="20% - Accent5 3 3 4 2" xfId="17647"/>
    <cellStyle name="20% - Accent5 3 3 5" xfId="17648"/>
    <cellStyle name="20% - Accent5 3 4" xfId="17649"/>
    <cellStyle name="20% - Accent5 3 4 2" xfId="17650"/>
    <cellStyle name="20% - Accent5 3 4 2 2" xfId="17651"/>
    <cellStyle name="20% - Accent5 3 4 2 2 2" xfId="17652"/>
    <cellStyle name="20% - Accent5 3 4 2 2 2 2" xfId="17653"/>
    <cellStyle name="20% - Accent5 3 4 2 2 3" xfId="17654"/>
    <cellStyle name="20% - Accent5 3 4 2 3" xfId="17655"/>
    <cellStyle name="20% - Accent5 3 4 2 3 2" xfId="17656"/>
    <cellStyle name="20% - Accent5 3 4 2 4" xfId="17657"/>
    <cellStyle name="20% - Accent5 3 4 3" xfId="17658"/>
    <cellStyle name="20% - Accent5 3 4 3 2" xfId="17659"/>
    <cellStyle name="20% - Accent5 3 4 3 2 2" xfId="17660"/>
    <cellStyle name="20% - Accent5 3 4 3 3" xfId="17661"/>
    <cellStyle name="20% - Accent5 3 4 4" xfId="17662"/>
    <cellStyle name="20% - Accent5 3 4 4 2" xfId="17663"/>
    <cellStyle name="20% - Accent5 3 4 5" xfId="17664"/>
    <cellStyle name="20% - Accent5 3 5" xfId="17665"/>
    <cellStyle name="20% - Accent5 3 5 2" xfId="17666"/>
    <cellStyle name="20% - Accent5 3 5 2 2" xfId="17667"/>
    <cellStyle name="20% - Accent5 3 5 2 2 2" xfId="17668"/>
    <cellStyle name="20% - Accent5 3 5 2 2 2 2" xfId="17669"/>
    <cellStyle name="20% - Accent5 3 5 2 2 3" xfId="17670"/>
    <cellStyle name="20% - Accent5 3 5 2 3" xfId="17671"/>
    <cellStyle name="20% - Accent5 3 5 2 3 2" xfId="17672"/>
    <cellStyle name="20% - Accent5 3 5 2 4" xfId="17673"/>
    <cellStyle name="20% - Accent5 3 5 3" xfId="17674"/>
    <cellStyle name="20% - Accent5 3 5 3 2" xfId="17675"/>
    <cellStyle name="20% - Accent5 3 5 3 2 2" xfId="17676"/>
    <cellStyle name="20% - Accent5 3 5 3 3" xfId="17677"/>
    <cellStyle name="20% - Accent5 3 5 4" xfId="17678"/>
    <cellStyle name="20% - Accent5 3 5 4 2" xfId="17679"/>
    <cellStyle name="20% - Accent5 3 5 5" xfId="17680"/>
    <cellStyle name="20% - Accent5 3 6" xfId="17681"/>
    <cellStyle name="20% - Accent5 3 6 2" xfId="17682"/>
    <cellStyle name="20% - Accent5 3 6 2 2" xfId="17683"/>
    <cellStyle name="20% - Accent5 3 6 2 2 2" xfId="17684"/>
    <cellStyle name="20% - Accent5 3 6 2 2 2 2" xfId="17685"/>
    <cellStyle name="20% - Accent5 3 6 2 2 3" xfId="17686"/>
    <cellStyle name="20% - Accent5 3 6 2 3" xfId="17687"/>
    <cellStyle name="20% - Accent5 3 6 2 3 2" xfId="17688"/>
    <cellStyle name="20% - Accent5 3 6 2 4" xfId="17689"/>
    <cellStyle name="20% - Accent5 3 6 3" xfId="17690"/>
    <cellStyle name="20% - Accent5 3 6 3 2" xfId="17691"/>
    <cellStyle name="20% - Accent5 3 6 3 2 2" xfId="17692"/>
    <cellStyle name="20% - Accent5 3 6 3 3" xfId="17693"/>
    <cellStyle name="20% - Accent5 3 6 4" xfId="17694"/>
    <cellStyle name="20% - Accent5 3 6 4 2" xfId="17695"/>
    <cellStyle name="20% - Accent5 3 6 5" xfId="17696"/>
    <cellStyle name="20% - Accent5 3 7" xfId="17697"/>
    <cellStyle name="20% - Accent5 3 7 2" xfId="17698"/>
    <cellStyle name="20% - Accent5 3 7 2 2" xfId="17699"/>
    <cellStyle name="20% - Accent5 3 7 2 2 2" xfId="17700"/>
    <cellStyle name="20% - Accent5 3 7 2 2 2 2" xfId="17701"/>
    <cellStyle name="20% - Accent5 3 7 2 2 3" xfId="17702"/>
    <cellStyle name="20% - Accent5 3 7 2 3" xfId="17703"/>
    <cellStyle name="20% - Accent5 3 7 2 3 2" xfId="17704"/>
    <cellStyle name="20% - Accent5 3 7 2 4" xfId="17705"/>
    <cellStyle name="20% - Accent5 3 7 3" xfId="17706"/>
    <cellStyle name="20% - Accent5 3 7 3 2" xfId="17707"/>
    <cellStyle name="20% - Accent5 3 7 3 2 2" xfId="17708"/>
    <cellStyle name="20% - Accent5 3 7 3 3" xfId="17709"/>
    <cellStyle name="20% - Accent5 3 7 4" xfId="17710"/>
    <cellStyle name="20% - Accent5 3 7 4 2" xfId="17711"/>
    <cellStyle name="20% - Accent5 3 7 5" xfId="17712"/>
    <cellStyle name="20% - Accent5 3 8" xfId="17713"/>
    <cellStyle name="20% - Accent5 3 8 2" xfId="17714"/>
    <cellStyle name="20% - Accent5 3 8 2 2" xfId="17715"/>
    <cellStyle name="20% - Accent5 3 8 2 2 2" xfId="17716"/>
    <cellStyle name="20% - Accent5 3 8 2 3" xfId="17717"/>
    <cellStyle name="20% - Accent5 3 8 3" xfId="17718"/>
    <cellStyle name="20% - Accent5 3 8 3 2" xfId="17719"/>
    <cellStyle name="20% - Accent5 3 8 4" xfId="17720"/>
    <cellStyle name="20% - Accent5 3 9" xfId="17721"/>
    <cellStyle name="20% - Accent5 3 9 2" xfId="17722"/>
    <cellStyle name="20% - Accent5 3 9 2 2" xfId="17723"/>
    <cellStyle name="20% - Accent5 3 9 3" xfId="17724"/>
    <cellStyle name="20% - Accent5 4" xfId="17725"/>
    <cellStyle name="20% - Accent5 4 10" xfId="17726"/>
    <cellStyle name="20% - Accent5 4 10 2" xfId="17727"/>
    <cellStyle name="20% - Accent5 4 11" xfId="17728"/>
    <cellStyle name="20% - Accent5 4 2" xfId="17729"/>
    <cellStyle name="20% - Accent5 4 2 10" xfId="17730"/>
    <cellStyle name="20% - Accent5 4 2 2" xfId="17731"/>
    <cellStyle name="20% - Accent5 4 2 2 2" xfId="17732"/>
    <cellStyle name="20% - Accent5 4 2 2 2 2" xfId="17733"/>
    <cellStyle name="20% - Accent5 4 2 2 2 2 2" xfId="17734"/>
    <cellStyle name="20% - Accent5 4 2 2 2 2 2 2" xfId="17735"/>
    <cellStyle name="20% - Accent5 4 2 2 2 2 3" xfId="17736"/>
    <cellStyle name="20% - Accent5 4 2 2 2 3" xfId="17737"/>
    <cellStyle name="20% - Accent5 4 2 2 2 3 2" xfId="17738"/>
    <cellStyle name="20% - Accent5 4 2 2 2 4" xfId="17739"/>
    <cellStyle name="20% - Accent5 4 2 2 3" xfId="17740"/>
    <cellStyle name="20% - Accent5 4 2 2 3 2" xfId="17741"/>
    <cellStyle name="20% - Accent5 4 2 2 3 2 2" xfId="17742"/>
    <cellStyle name="20% - Accent5 4 2 2 3 3" xfId="17743"/>
    <cellStyle name="20% - Accent5 4 2 2 4" xfId="17744"/>
    <cellStyle name="20% - Accent5 4 2 2 4 2" xfId="17745"/>
    <cellStyle name="20% - Accent5 4 2 2 5" xfId="17746"/>
    <cellStyle name="20% - Accent5 4 2 3" xfId="17747"/>
    <cellStyle name="20% - Accent5 4 2 3 2" xfId="17748"/>
    <cellStyle name="20% - Accent5 4 2 3 2 2" xfId="17749"/>
    <cellStyle name="20% - Accent5 4 2 3 2 2 2" xfId="17750"/>
    <cellStyle name="20% - Accent5 4 2 3 2 2 2 2" xfId="17751"/>
    <cellStyle name="20% - Accent5 4 2 3 2 2 3" xfId="17752"/>
    <cellStyle name="20% - Accent5 4 2 3 2 3" xfId="17753"/>
    <cellStyle name="20% - Accent5 4 2 3 2 3 2" xfId="17754"/>
    <cellStyle name="20% - Accent5 4 2 3 2 4" xfId="17755"/>
    <cellStyle name="20% - Accent5 4 2 3 3" xfId="17756"/>
    <cellStyle name="20% - Accent5 4 2 3 3 2" xfId="17757"/>
    <cellStyle name="20% - Accent5 4 2 3 3 2 2" xfId="17758"/>
    <cellStyle name="20% - Accent5 4 2 3 3 3" xfId="17759"/>
    <cellStyle name="20% - Accent5 4 2 3 4" xfId="17760"/>
    <cellStyle name="20% - Accent5 4 2 3 4 2" xfId="17761"/>
    <cellStyle name="20% - Accent5 4 2 3 5" xfId="17762"/>
    <cellStyle name="20% - Accent5 4 2 4" xfId="17763"/>
    <cellStyle name="20% - Accent5 4 2 4 2" xfId="17764"/>
    <cellStyle name="20% - Accent5 4 2 4 2 2" xfId="17765"/>
    <cellStyle name="20% - Accent5 4 2 4 2 2 2" xfId="17766"/>
    <cellStyle name="20% - Accent5 4 2 4 2 2 2 2" xfId="17767"/>
    <cellStyle name="20% - Accent5 4 2 4 2 2 3" xfId="17768"/>
    <cellStyle name="20% - Accent5 4 2 4 2 3" xfId="17769"/>
    <cellStyle name="20% - Accent5 4 2 4 2 3 2" xfId="17770"/>
    <cellStyle name="20% - Accent5 4 2 4 2 4" xfId="17771"/>
    <cellStyle name="20% - Accent5 4 2 4 3" xfId="17772"/>
    <cellStyle name="20% - Accent5 4 2 4 3 2" xfId="17773"/>
    <cellStyle name="20% - Accent5 4 2 4 3 2 2" xfId="17774"/>
    <cellStyle name="20% - Accent5 4 2 4 3 3" xfId="17775"/>
    <cellStyle name="20% - Accent5 4 2 4 4" xfId="17776"/>
    <cellStyle name="20% - Accent5 4 2 4 4 2" xfId="17777"/>
    <cellStyle name="20% - Accent5 4 2 4 5" xfId="17778"/>
    <cellStyle name="20% - Accent5 4 2 5" xfId="17779"/>
    <cellStyle name="20% - Accent5 4 2 5 2" xfId="17780"/>
    <cellStyle name="20% - Accent5 4 2 5 2 2" xfId="17781"/>
    <cellStyle name="20% - Accent5 4 2 5 2 2 2" xfId="17782"/>
    <cellStyle name="20% - Accent5 4 2 5 2 2 2 2" xfId="17783"/>
    <cellStyle name="20% - Accent5 4 2 5 2 2 3" xfId="17784"/>
    <cellStyle name="20% - Accent5 4 2 5 2 3" xfId="17785"/>
    <cellStyle name="20% - Accent5 4 2 5 2 3 2" xfId="17786"/>
    <cellStyle name="20% - Accent5 4 2 5 2 4" xfId="17787"/>
    <cellStyle name="20% - Accent5 4 2 5 3" xfId="17788"/>
    <cellStyle name="20% - Accent5 4 2 5 3 2" xfId="17789"/>
    <cellStyle name="20% - Accent5 4 2 5 3 2 2" xfId="17790"/>
    <cellStyle name="20% - Accent5 4 2 5 3 3" xfId="17791"/>
    <cellStyle name="20% - Accent5 4 2 5 4" xfId="17792"/>
    <cellStyle name="20% - Accent5 4 2 5 4 2" xfId="17793"/>
    <cellStyle name="20% - Accent5 4 2 5 5" xfId="17794"/>
    <cellStyle name="20% - Accent5 4 2 6" xfId="17795"/>
    <cellStyle name="20% - Accent5 4 2 6 2" xfId="17796"/>
    <cellStyle name="20% - Accent5 4 2 6 2 2" xfId="17797"/>
    <cellStyle name="20% - Accent5 4 2 6 2 2 2" xfId="17798"/>
    <cellStyle name="20% - Accent5 4 2 6 2 2 2 2" xfId="17799"/>
    <cellStyle name="20% - Accent5 4 2 6 2 2 3" xfId="17800"/>
    <cellStyle name="20% - Accent5 4 2 6 2 3" xfId="17801"/>
    <cellStyle name="20% - Accent5 4 2 6 2 3 2" xfId="17802"/>
    <cellStyle name="20% - Accent5 4 2 6 2 4" xfId="17803"/>
    <cellStyle name="20% - Accent5 4 2 6 3" xfId="17804"/>
    <cellStyle name="20% - Accent5 4 2 6 3 2" xfId="17805"/>
    <cellStyle name="20% - Accent5 4 2 6 3 2 2" xfId="17806"/>
    <cellStyle name="20% - Accent5 4 2 6 3 3" xfId="17807"/>
    <cellStyle name="20% - Accent5 4 2 6 4" xfId="17808"/>
    <cellStyle name="20% - Accent5 4 2 6 4 2" xfId="17809"/>
    <cellStyle name="20% - Accent5 4 2 6 5" xfId="17810"/>
    <cellStyle name="20% - Accent5 4 2 7" xfId="17811"/>
    <cellStyle name="20% - Accent5 4 2 7 2" xfId="17812"/>
    <cellStyle name="20% - Accent5 4 2 7 2 2" xfId="17813"/>
    <cellStyle name="20% - Accent5 4 2 7 2 2 2" xfId="17814"/>
    <cellStyle name="20% - Accent5 4 2 7 2 3" xfId="17815"/>
    <cellStyle name="20% - Accent5 4 2 7 3" xfId="17816"/>
    <cellStyle name="20% - Accent5 4 2 7 3 2" xfId="17817"/>
    <cellStyle name="20% - Accent5 4 2 7 4" xfId="17818"/>
    <cellStyle name="20% - Accent5 4 2 8" xfId="17819"/>
    <cellStyle name="20% - Accent5 4 2 8 2" xfId="17820"/>
    <cellStyle name="20% - Accent5 4 2 8 2 2" xfId="17821"/>
    <cellStyle name="20% - Accent5 4 2 8 3" xfId="17822"/>
    <cellStyle name="20% - Accent5 4 2 9" xfId="17823"/>
    <cellStyle name="20% - Accent5 4 2 9 2" xfId="17824"/>
    <cellStyle name="20% - Accent5 4 3" xfId="17825"/>
    <cellStyle name="20% - Accent5 4 3 2" xfId="17826"/>
    <cellStyle name="20% - Accent5 4 3 2 2" xfId="17827"/>
    <cellStyle name="20% - Accent5 4 3 2 2 2" xfId="17828"/>
    <cellStyle name="20% - Accent5 4 3 2 2 2 2" xfId="17829"/>
    <cellStyle name="20% - Accent5 4 3 2 2 3" xfId="17830"/>
    <cellStyle name="20% - Accent5 4 3 2 3" xfId="17831"/>
    <cellStyle name="20% - Accent5 4 3 2 3 2" xfId="17832"/>
    <cellStyle name="20% - Accent5 4 3 2 4" xfId="17833"/>
    <cellStyle name="20% - Accent5 4 3 3" xfId="17834"/>
    <cellStyle name="20% - Accent5 4 3 3 2" xfId="17835"/>
    <cellStyle name="20% - Accent5 4 3 3 2 2" xfId="17836"/>
    <cellStyle name="20% - Accent5 4 3 3 3" xfId="17837"/>
    <cellStyle name="20% - Accent5 4 3 4" xfId="17838"/>
    <cellStyle name="20% - Accent5 4 3 4 2" xfId="17839"/>
    <cellStyle name="20% - Accent5 4 3 5" xfId="17840"/>
    <cellStyle name="20% - Accent5 4 4" xfId="17841"/>
    <cellStyle name="20% - Accent5 4 4 2" xfId="17842"/>
    <cellStyle name="20% - Accent5 4 4 2 2" xfId="17843"/>
    <cellStyle name="20% - Accent5 4 4 2 2 2" xfId="17844"/>
    <cellStyle name="20% - Accent5 4 4 2 2 2 2" xfId="17845"/>
    <cellStyle name="20% - Accent5 4 4 2 2 3" xfId="17846"/>
    <cellStyle name="20% - Accent5 4 4 2 3" xfId="17847"/>
    <cellStyle name="20% - Accent5 4 4 2 3 2" xfId="17848"/>
    <cellStyle name="20% - Accent5 4 4 2 4" xfId="17849"/>
    <cellStyle name="20% - Accent5 4 4 3" xfId="17850"/>
    <cellStyle name="20% - Accent5 4 4 3 2" xfId="17851"/>
    <cellStyle name="20% - Accent5 4 4 3 2 2" xfId="17852"/>
    <cellStyle name="20% - Accent5 4 4 3 3" xfId="17853"/>
    <cellStyle name="20% - Accent5 4 4 4" xfId="17854"/>
    <cellStyle name="20% - Accent5 4 4 4 2" xfId="17855"/>
    <cellStyle name="20% - Accent5 4 4 5" xfId="17856"/>
    <cellStyle name="20% - Accent5 4 5" xfId="17857"/>
    <cellStyle name="20% - Accent5 4 5 2" xfId="17858"/>
    <cellStyle name="20% - Accent5 4 5 2 2" xfId="17859"/>
    <cellStyle name="20% - Accent5 4 5 2 2 2" xfId="17860"/>
    <cellStyle name="20% - Accent5 4 5 2 2 2 2" xfId="17861"/>
    <cellStyle name="20% - Accent5 4 5 2 2 3" xfId="17862"/>
    <cellStyle name="20% - Accent5 4 5 2 3" xfId="17863"/>
    <cellStyle name="20% - Accent5 4 5 2 3 2" xfId="17864"/>
    <cellStyle name="20% - Accent5 4 5 2 4" xfId="17865"/>
    <cellStyle name="20% - Accent5 4 5 3" xfId="17866"/>
    <cellStyle name="20% - Accent5 4 5 3 2" xfId="17867"/>
    <cellStyle name="20% - Accent5 4 5 3 2 2" xfId="17868"/>
    <cellStyle name="20% - Accent5 4 5 3 3" xfId="17869"/>
    <cellStyle name="20% - Accent5 4 5 4" xfId="17870"/>
    <cellStyle name="20% - Accent5 4 5 4 2" xfId="17871"/>
    <cellStyle name="20% - Accent5 4 5 5" xfId="17872"/>
    <cellStyle name="20% - Accent5 4 6" xfId="17873"/>
    <cellStyle name="20% - Accent5 4 6 2" xfId="17874"/>
    <cellStyle name="20% - Accent5 4 6 2 2" xfId="17875"/>
    <cellStyle name="20% - Accent5 4 6 2 2 2" xfId="17876"/>
    <cellStyle name="20% - Accent5 4 6 2 2 2 2" xfId="17877"/>
    <cellStyle name="20% - Accent5 4 6 2 2 3" xfId="17878"/>
    <cellStyle name="20% - Accent5 4 6 2 3" xfId="17879"/>
    <cellStyle name="20% - Accent5 4 6 2 3 2" xfId="17880"/>
    <cellStyle name="20% - Accent5 4 6 2 4" xfId="17881"/>
    <cellStyle name="20% - Accent5 4 6 3" xfId="17882"/>
    <cellStyle name="20% - Accent5 4 6 3 2" xfId="17883"/>
    <cellStyle name="20% - Accent5 4 6 3 2 2" xfId="17884"/>
    <cellStyle name="20% - Accent5 4 6 3 3" xfId="17885"/>
    <cellStyle name="20% - Accent5 4 6 4" xfId="17886"/>
    <cellStyle name="20% - Accent5 4 6 4 2" xfId="17887"/>
    <cellStyle name="20% - Accent5 4 6 5" xfId="17888"/>
    <cellStyle name="20% - Accent5 4 7" xfId="17889"/>
    <cellStyle name="20% - Accent5 4 7 2" xfId="17890"/>
    <cellStyle name="20% - Accent5 4 7 2 2" xfId="17891"/>
    <cellStyle name="20% - Accent5 4 7 2 2 2" xfId="17892"/>
    <cellStyle name="20% - Accent5 4 7 2 2 2 2" xfId="17893"/>
    <cellStyle name="20% - Accent5 4 7 2 2 3" xfId="17894"/>
    <cellStyle name="20% - Accent5 4 7 2 3" xfId="17895"/>
    <cellStyle name="20% - Accent5 4 7 2 3 2" xfId="17896"/>
    <cellStyle name="20% - Accent5 4 7 2 4" xfId="17897"/>
    <cellStyle name="20% - Accent5 4 7 3" xfId="17898"/>
    <cellStyle name="20% - Accent5 4 7 3 2" xfId="17899"/>
    <cellStyle name="20% - Accent5 4 7 3 2 2" xfId="17900"/>
    <cellStyle name="20% - Accent5 4 7 3 3" xfId="17901"/>
    <cellStyle name="20% - Accent5 4 7 4" xfId="17902"/>
    <cellStyle name="20% - Accent5 4 7 4 2" xfId="17903"/>
    <cellStyle name="20% - Accent5 4 7 5" xfId="17904"/>
    <cellStyle name="20% - Accent5 4 8" xfId="17905"/>
    <cellStyle name="20% - Accent5 4 8 2" xfId="17906"/>
    <cellStyle name="20% - Accent5 4 8 2 2" xfId="17907"/>
    <cellStyle name="20% - Accent5 4 8 2 2 2" xfId="17908"/>
    <cellStyle name="20% - Accent5 4 8 2 3" xfId="17909"/>
    <cellStyle name="20% - Accent5 4 8 3" xfId="17910"/>
    <cellStyle name="20% - Accent5 4 8 3 2" xfId="17911"/>
    <cellStyle name="20% - Accent5 4 8 4" xfId="17912"/>
    <cellStyle name="20% - Accent5 4 9" xfId="17913"/>
    <cellStyle name="20% - Accent5 4 9 2" xfId="17914"/>
    <cellStyle name="20% - Accent5 4 9 2 2" xfId="17915"/>
    <cellStyle name="20% - Accent5 4 9 3" xfId="17916"/>
    <cellStyle name="20% - Accent5 5" xfId="17917"/>
    <cellStyle name="20% - Accent5 5 10" xfId="17918"/>
    <cellStyle name="20% - Accent5 5 10 2" xfId="17919"/>
    <cellStyle name="20% - Accent5 5 11" xfId="17920"/>
    <cellStyle name="20% - Accent5 5 2" xfId="17921"/>
    <cellStyle name="20% - Accent5 5 2 10" xfId="17922"/>
    <cellStyle name="20% - Accent5 5 2 2" xfId="17923"/>
    <cellStyle name="20% - Accent5 5 2 2 2" xfId="17924"/>
    <cellStyle name="20% - Accent5 5 2 2 2 2" xfId="17925"/>
    <cellStyle name="20% - Accent5 5 2 2 2 2 2" xfId="17926"/>
    <cellStyle name="20% - Accent5 5 2 2 2 2 2 2" xfId="17927"/>
    <cellStyle name="20% - Accent5 5 2 2 2 2 3" xfId="17928"/>
    <cellStyle name="20% - Accent5 5 2 2 2 3" xfId="17929"/>
    <cellStyle name="20% - Accent5 5 2 2 2 3 2" xfId="17930"/>
    <cellStyle name="20% - Accent5 5 2 2 2 4" xfId="17931"/>
    <cellStyle name="20% - Accent5 5 2 2 3" xfId="17932"/>
    <cellStyle name="20% - Accent5 5 2 2 3 2" xfId="17933"/>
    <cellStyle name="20% - Accent5 5 2 2 3 2 2" xfId="17934"/>
    <cellStyle name="20% - Accent5 5 2 2 3 3" xfId="17935"/>
    <cellStyle name="20% - Accent5 5 2 2 4" xfId="17936"/>
    <cellStyle name="20% - Accent5 5 2 2 4 2" xfId="17937"/>
    <cellStyle name="20% - Accent5 5 2 2 5" xfId="17938"/>
    <cellStyle name="20% - Accent5 5 2 3" xfId="17939"/>
    <cellStyle name="20% - Accent5 5 2 3 2" xfId="17940"/>
    <cellStyle name="20% - Accent5 5 2 3 2 2" xfId="17941"/>
    <cellStyle name="20% - Accent5 5 2 3 2 2 2" xfId="17942"/>
    <cellStyle name="20% - Accent5 5 2 3 2 2 2 2" xfId="17943"/>
    <cellStyle name="20% - Accent5 5 2 3 2 2 3" xfId="17944"/>
    <cellStyle name="20% - Accent5 5 2 3 2 3" xfId="17945"/>
    <cellStyle name="20% - Accent5 5 2 3 2 3 2" xfId="17946"/>
    <cellStyle name="20% - Accent5 5 2 3 2 4" xfId="17947"/>
    <cellStyle name="20% - Accent5 5 2 3 3" xfId="17948"/>
    <cellStyle name="20% - Accent5 5 2 3 3 2" xfId="17949"/>
    <cellStyle name="20% - Accent5 5 2 3 3 2 2" xfId="17950"/>
    <cellStyle name="20% - Accent5 5 2 3 3 3" xfId="17951"/>
    <cellStyle name="20% - Accent5 5 2 3 4" xfId="17952"/>
    <cellStyle name="20% - Accent5 5 2 3 4 2" xfId="17953"/>
    <cellStyle name="20% - Accent5 5 2 3 5" xfId="17954"/>
    <cellStyle name="20% - Accent5 5 2 4" xfId="17955"/>
    <cellStyle name="20% - Accent5 5 2 4 2" xfId="17956"/>
    <cellStyle name="20% - Accent5 5 2 4 2 2" xfId="17957"/>
    <cellStyle name="20% - Accent5 5 2 4 2 2 2" xfId="17958"/>
    <cellStyle name="20% - Accent5 5 2 4 2 2 2 2" xfId="17959"/>
    <cellStyle name="20% - Accent5 5 2 4 2 2 3" xfId="17960"/>
    <cellStyle name="20% - Accent5 5 2 4 2 3" xfId="17961"/>
    <cellStyle name="20% - Accent5 5 2 4 2 3 2" xfId="17962"/>
    <cellStyle name="20% - Accent5 5 2 4 2 4" xfId="17963"/>
    <cellStyle name="20% - Accent5 5 2 4 3" xfId="17964"/>
    <cellStyle name="20% - Accent5 5 2 4 3 2" xfId="17965"/>
    <cellStyle name="20% - Accent5 5 2 4 3 2 2" xfId="17966"/>
    <cellStyle name="20% - Accent5 5 2 4 3 3" xfId="17967"/>
    <cellStyle name="20% - Accent5 5 2 4 4" xfId="17968"/>
    <cellStyle name="20% - Accent5 5 2 4 4 2" xfId="17969"/>
    <cellStyle name="20% - Accent5 5 2 4 5" xfId="17970"/>
    <cellStyle name="20% - Accent5 5 2 5" xfId="17971"/>
    <cellStyle name="20% - Accent5 5 2 5 2" xfId="17972"/>
    <cellStyle name="20% - Accent5 5 2 5 2 2" xfId="17973"/>
    <cellStyle name="20% - Accent5 5 2 5 2 2 2" xfId="17974"/>
    <cellStyle name="20% - Accent5 5 2 5 2 2 2 2" xfId="17975"/>
    <cellStyle name="20% - Accent5 5 2 5 2 2 3" xfId="17976"/>
    <cellStyle name="20% - Accent5 5 2 5 2 3" xfId="17977"/>
    <cellStyle name="20% - Accent5 5 2 5 2 3 2" xfId="17978"/>
    <cellStyle name="20% - Accent5 5 2 5 2 4" xfId="17979"/>
    <cellStyle name="20% - Accent5 5 2 5 3" xfId="17980"/>
    <cellStyle name="20% - Accent5 5 2 5 3 2" xfId="17981"/>
    <cellStyle name="20% - Accent5 5 2 5 3 2 2" xfId="17982"/>
    <cellStyle name="20% - Accent5 5 2 5 3 3" xfId="17983"/>
    <cellStyle name="20% - Accent5 5 2 5 4" xfId="17984"/>
    <cellStyle name="20% - Accent5 5 2 5 4 2" xfId="17985"/>
    <cellStyle name="20% - Accent5 5 2 5 5" xfId="17986"/>
    <cellStyle name="20% - Accent5 5 2 6" xfId="17987"/>
    <cellStyle name="20% - Accent5 5 2 6 2" xfId="17988"/>
    <cellStyle name="20% - Accent5 5 2 6 2 2" xfId="17989"/>
    <cellStyle name="20% - Accent5 5 2 6 2 2 2" xfId="17990"/>
    <cellStyle name="20% - Accent5 5 2 6 2 2 2 2" xfId="17991"/>
    <cellStyle name="20% - Accent5 5 2 6 2 2 3" xfId="17992"/>
    <cellStyle name="20% - Accent5 5 2 6 2 3" xfId="17993"/>
    <cellStyle name="20% - Accent5 5 2 6 2 3 2" xfId="17994"/>
    <cellStyle name="20% - Accent5 5 2 6 2 4" xfId="17995"/>
    <cellStyle name="20% - Accent5 5 2 6 3" xfId="17996"/>
    <cellStyle name="20% - Accent5 5 2 6 3 2" xfId="17997"/>
    <cellStyle name="20% - Accent5 5 2 6 3 2 2" xfId="17998"/>
    <cellStyle name="20% - Accent5 5 2 6 3 3" xfId="17999"/>
    <cellStyle name="20% - Accent5 5 2 6 4" xfId="18000"/>
    <cellStyle name="20% - Accent5 5 2 6 4 2" xfId="18001"/>
    <cellStyle name="20% - Accent5 5 2 6 5" xfId="18002"/>
    <cellStyle name="20% - Accent5 5 2 7" xfId="18003"/>
    <cellStyle name="20% - Accent5 5 2 7 2" xfId="18004"/>
    <cellStyle name="20% - Accent5 5 2 7 2 2" xfId="18005"/>
    <cellStyle name="20% - Accent5 5 2 7 2 2 2" xfId="18006"/>
    <cellStyle name="20% - Accent5 5 2 7 2 3" xfId="18007"/>
    <cellStyle name="20% - Accent5 5 2 7 3" xfId="18008"/>
    <cellStyle name="20% - Accent5 5 2 7 3 2" xfId="18009"/>
    <cellStyle name="20% - Accent5 5 2 7 4" xfId="18010"/>
    <cellStyle name="20% - Accent5 5 2 8" xfId="18011"/>
    <cellStyle name="20% - Accent5 5 2 8 2" xfId="18012"/>
    <cellStyle name="20% - Accent5 5 2 8 2 2" xfId="18013"/>
    <cellStyle name="20% - Accent5 5 2 8 3" xfId="18014"/>
    <cellStyle name="20% - Accent5 5 2 9" xfId="18015"/>
    <cellStyle name="20% - Accent5 5 2 9 2" xfId="18016"/>
    <cellStyle name="20% - Accent5 5 3" xfId="18017"/>
    <cellStyle name="20% - Accent5 5 3 2" xfId="18018"/>
    <cellStyle name="20% - Accent5 5 3 2 2" xfId="18019"/>
    <cellStyle name="20% - Accent5 5 3 2 2 2" xfId="18020"/>
    <cellStyle name="20% - Accent5 5 3 2 2 2 2" xfId="18021"/>
    <cellStyle name="20% - Accent5 5 3 2 2 3" xfId="18022"/>
    <cellStyle name="20% - Accent5 5 3 2 3" xfId="18023"/>
    <cellStyle name="20% - Accent5 5 3 2 3 2" xfId="18024"/>
    <cellStyle name="20% - Accent5 5 3 2 4" xfId="18025"/>
    <cellStyle name="20% - Accent5 5 3 3" xfId="18026"/>
    <cellStyle name="20% - Accent5 5 3 3 2" xfId="18027"/>
    <cellStyle name="20% - Accent5 5 3 3 2 2" xfId="18028"/>
    <cellStyle name="20% - Accent5 5 3 3 3" xfId="18029"/>
    <cellStyle name="20% - Accent5 5 3 4" xfId="18030"/>
    <cellStyle name="20% - Accent5 5 3 4 2" xfId="18031"/>
    <cellStyle name="20% - Accent5 5 3 5" xfId="18032"/>
    <cellStyle name="20% - Accent5 5 4" xfId="18033"/>
    <cellStyle name="20% - Accent5 5 4 2" xfId="18034"/>
    <cellStyle name="20% - Accent5 5 4 2 2" xfId="18035"/>
    <cellStyle name="20% - Accent5 5 4 2 2 2" xfId="18036"/>
    <cellStyle name="20% - Accent5 5 4 2 2 2 2" xfId="18037"/>
    <cellStyle name="20% - Accent5 5 4 2 2 3" xfId="18038"/>
    <cellStyle name="20% - Accent5 5 4 2 3" xfId="18039"/>
    <cellStyle name="20% - Accent5 5 4 2 3 2" xfId="18040"/>
    <cellStyle name="20% - Accent5 5 4 2 4" xfId="18041"/>
    <cellStyle name="20% - Accent5 5 4 3" xfId="18042"/>
    <cellStyle name="20% - Accent5 5 4 3 2" xfId="18043"/>
    <cellStyle name="20% - Accent5 5 4 3 2 2" xfId="18044"/>
    <cellStyle name="20% - Accent5 5 4 3 3" xfId="18045"/>
    <cellStyle name="20% - Accent5 5 4 4" xfId="18046"/>
    <cellStyle name="20% - Accent5 5 4 4 2" xfId="18047"/>
    <cellStyle name="20% - Accent5 5 4 5" xfId="18048"/>
    <cellStyle name="20% - Accent5 5 5" xfId="18049"/>
    <cellStyle name="20% - Accent5 5 5 2" xfId="18050"/>
    <cellStyle name="20% - Accent5 5 5 2 2" xfId="18051"/>
    <cellStyle name="20% - Accent5 5 5 2 2 2" xfId="18052"/>
    <cellStyle name="20% - Accent5 5 5 2 2 2 2" xfId="18053"/>
    <cellStyle name="20% - Accent5 5 5 2 2 3" xfId="18054"/>
    <cellStyle name="20% - Accent5 5 5 2 3" xfId="18055"/>
    <cellStyle name="20% - Accent5 5 5 2 3 2" xfId="18056"/>
    <cellStyle name="20% - Accent5 5 5 2 4" xfId="18057"/>
    <cellStyle name="20% - Accent5 5 5 3" xfId="18058"/>
    <cellStyle name="20% - Accent5 5 5 3 2" xfId="18059"/>
    <cellStyle name="20% - Accent5 5 5 3 2 2" xfId="18060"/>
    <cellStyle name="20% - Accent5 5 5 3 3" xfId="18061"/>
    <cellStyle name="20% - Accent5 5 5 4" xfId="18062"/>
    <cellStyle name="20% - Accent5 5 5 4 2" xfId="18063"/>
    <cellStyle name="20% - Accent5 5 5 5" xfId="18064"/>
    <cellStyle name="20% - Accent5 5 6" xfId="18065"/>
    <cellStyle name="20% - Accent5 5 6 2" xfId="18066"/>
    <cellStyle name="20% - Accent5 5 6 2 2" xfId="18067"/>
    <cellStyle name="20% - Accent5 5 6 2 2 2" xfId="18068"/>
    <cellStyle name="20% - Accent5 5 6 2 2 2 2" xfId="18069"/>
    <cellStyle name="20% - Accent5 5 6 2 2 3" xfId="18070"/>
    <cellStyle name="20% - Accent5 5 6 2 3" xfId="18071"/>
    <cellStyle name="20% - Accent5 5 6 2 3 2" xfId="18072"/>
    <cellStyle name="20% - Accent5 5 6 2 4" xfId="18073"/>
    <cellStyle name="20% - Accent5 5 6 3" xfId="18074"/>
    <cellStyle name="20% - Accent5 5 6 3 2" xfId="18075"/>
    <cellStyle name="20% - Accent5 5 6 3 2 2" xfId="18076"/>
    <cellStyle name="20% - Accent5 5 6 3 3" xfId="18077"/>
    <cellStyle name="20% - Accent5 5 6 4" xfId="18078"/>
    <cellStyle name="20% - Accent5 5 6 4 2" xfId="18079"/>
    <cellStyle name="20% - Accent5 5 6 5" xfId="18080"/>
    <cellStyle name="20% - Accent5 5 7" xfId="18081"/>
    <cellStyle name="20% - Accent5 5 7 2" xfId="18082"/>
    <cellStyle name="20% - Accent5 5 7 2 2" xfId="18083"/>
    <cellStyle name="20% - Accent5 5 7 2 2 2" xfId="18084"/>
    <cellStyle name="20% - Accent5 5 7 2 2 2 2" xfId="18085"/>
    <cellStyle name="20% - Accent5 5 7 2 2 3" xfId="18086"/>
    <cellStyle name="20% - Accent5 5 7 2 3" xfId="18087"/>
    <cellStyle name="20% - Accent5 5 7 2 3 2" xfId="18088"/>
    <cellStyle name="20% - Accent5 5 7 2 4" xfId="18089"/>
    <cellStyle name="20% - Accent5 5 7 3" xfId="18090"/>
    <cellStyle name="20% - Accent5 5 7 3 2" xfId="18091"/>
    <cellStyle name="20% - Accent5 5 7 3 2 2" xfId="18092"/>
    <cellStyle name="20% - Accent5 5 7 3 3" xfId="18093"/>
    <cellStyle name="20% - Accent5 5 7 4" xfId="18094"/>
    <cellStyle name="20% - Accent5 5 7 4 2" xfId="18095"/>
    <cellStyle name="20% - Accent5 5 7 5" xfId="18096"/>
    <cellStyle name="20% - Accent5 5 8" xfId="18097"/>
    <cellStyle name="20% - Accent5 5 8 2" xfId="18098"/>
    <cellStyle name="20% - Accent5 5 8 2 2" xfId="18099"/>
    <cellStyle name="20% - Accent5 5 8 2 2 2" xfId="18100"/>
    <cellStyle name="20% - Accent5 5 8 2 3" xfId="18101"/>
    <cellStyle name="20% - Accent5 5 8 3" xfId="18102"/>
    <cellStyle name="20% - Accent5 5 8 3 2" xfId="18103"/>
    <cellStyle name="20% - Accent5 5 8 4" xfId="18104"/>
    <cellStyle name="20% - Accent5 5 9" xfId="18105"/>
    <cellStyle name="20% - Accent5 5 9 2" xfId="18106"/>
    <cellStyle name="20% - Accent5 5 9 2 2" xfId="18107"/>
    <cellStyle name="20% - Accent5 5 9 3" xfId="18108"/>
    <cellStyle name="20% - Accent5 6" xfId="18109"/>
    <cellStyle name="20% - Accent5 6 10" xfId="18110"/>
    <cellStyle name="20% - Accent5 6 10 2" xfId="18111"/>
    <cellStyle name="20% - Accent5 6 11" xfId="18112"/>
    <cellStyle name="20% - Accent5 6 2" xfId="18113"/>
    <cellStyle name="20% - Accent5 6 2 10" xfId="18114"/>
    <cellStyle name="20% - Accent5 6 2 2" xfId="18115"/>
    <cellStyle name="20% - Accent5 6 2 2 2" xfId="18116"/>
    <cellStyle name="20% - Accent5 6 2 2 2 2" xfId="18117"/>
    <cellStyle name="20% - Accent5 6 2 2 2 2 2" xfId="18118"/>
    <cellStyle name="20% - Accent5 6 2 2 2 2 2 2" xfId="18119"/>
    <cellStyle name="20% - Accent5 6 2 2 2 2 3" xfId="18120"/>
    <cellStyle name="20% - Accent5 6 2 2 2 3" xfId="18121"/>
    <cellStyle name="20% - Accent5 6 2 2 2 3 2" xfId="18122"/>
    <cellStyle name="20% - Accent5 6 2 2 2 4" xfId="18123"/>
    <cellStyle name="20% - Accent5 6 2 2 3" xfId="18124"/>
    <cellStyle name="20% - Accent5 6 2 2 3 2" xfId="18125"/>
    <cellStyle name="20% - Accent5 6 2 2 3 2 2" xfId="18126"/>
    <cellStyle name="20% - Accent5 6 2 2 3 3" xfId="18127"/>
    <cellStyle name="20% - Accent5 6 2 2 4" xfId="18128"/>
    <cellStyle name="20% - Accent5 6 2 2 4 2" xfId="18129"/>
    <cellStyle name="20% - Accent5 6 2 2 5" xfId="18130"/>
    <cellStyle name="20% - Accent5 6 2 3" xfId="18131"/>
    <cellStyle name="20% - Accent5 6 2 3 2" xfId="18132"/>
    <cellStyle name="20% - Accent5 6 2 3 2 2" xfId="18133"/>
    <cellStyle name="20% - Accent5 6 2 3 2 2 2" xfId="18134"/>
    <cellStyle name="20% - Accent5 6 2 3 2 2 2 2" xfId="18135"/>
    <cellStyle name="20% - Accent5 6 2 3 2 2 3" xfId="18136"/>
    <cellStyle name="20% - Accent5 6 2 3 2 3" xfId="18137"/>
    <cellStyle name="20% - Accent5 6 2 3 2 3 2" xfId="18138"/>
    <cellStyle name="20% - Accent5 6 2 3 2 4" xfId="18139"/>
    <cellStyle name="20% - Accent5 6 2 3 3" xfId="18140"/>
    <cellStyle name="20% - Accent5 6 2 3 3 2" xfId="18141"/>
    <cellStyle name="20% - Accent5 6 2 3 3 2 2" xfId="18142"/>
    <cellStyle name="20% - Accent5 6 2 3 3 3" xfId="18143"/>
    <cellStyle name="20% - Accent5 6 2 3 4" xfId="18144"/>
    <cellStyle name="20% - Accent5 6 2 3 4 2" xfId="18145"/>
    <cellStyle name="20% - Accent5 6 2 3 5" xfId="18146"/>
    <cellStyle name="20% - Accent5 6 2 4" xfId="18147"/>
    <cellStyle name="20% - Accent5 6 2 4 2" xfId="18148"/>
    <cellStyle name="20% - Accent5 6 2 4 2 2" xfId="18149"/>
    <cellStyle name="20% - Accent5 6 2 4 2 2 2" xfId="18150"/>
    <cellStyle name="20% - Accent5 6 2 4 2 2 2 2" xfId="18151"/>
    <cellStyle name="20% - Accent5 6 2 4 2 2 3" xfId="18152"/>
    <cellStyle name="20% - Accent5 6 2 4 2 3" xfId="18153"/>
    <cellStyle name="20% - Accent5 6 2 4 2 3 2" xfId="18154"/>
    <cellStyle name="20% - Accent5 6 2 4 2 4" xfId="18155"/>
    <cellStyle name="20% - Accent5 6 2 4 3" xfId="18156"/>
    <cellStyle name="20% - Accent5 6 2 4 3 2" xfId="18157"/>
    <cellStyle name="20% - Accent5 6 2 4 3 2 2" xfId="18158"/>
    <cellStyle name="20% - Accent5 6 2 4 3 3" xfId="18159"/>
    <cellStyle name="20% - Accent5 6 2 4 4" xfId="18160"/>
    <cellStyle name="20% - Accent5 6 2 4 4 2" xfId="18161"/>
    <cellStyle name="20% - Accent5 6 2 4 5" xfId="18162"/>
    <cellStyle name="20% - Accent5 6 2 5" xfId="18163"/>
    <cellStyle name="20% - Accent5 6 2 5 2" xfId="18164"/>
    <cellStyle name="20% - Accent5 6 2 5 2 2" xfId="18165"/>
    <cellStyle name="20% - Accent5 6 2 5 2 2 2" xfId="18166"/>
    <cellStyle name="20% - Accent5 6 2 5 2 2 2 2" xfId="18167"/>
    <cellStyle name="20% - Accent5 6 2 5 2 2 3" xfId="18168"/>
    <cellStyle name="20% - Accent5 6 2 5 2 3" xfId="18169"/>
    <cellStyle name="20% - Accent5 6 2 5 2 3 2" xfId="18170"/>
    <cellStyle name="20% - Accent5 6 2 5 2 4" xfId="18171"/>
    <cellStyle name="20% - Accent5 6 2 5 3" xfId="18172"/>
    <cellStyle name="20% - Accent5 6 2 5 3 2" xfId="18173"/>
    <cellStyle name="20% - Accent5 6 2 5 3 2 2" xfId="18174"/>
    <cellStyle name="20% - Accent5 6 2 5 3 3" xfId="18175"/>
    <cellStyle name="20% - Accent5 6 2 5 4" xfId="18176"/>
    <cellStyle name="20% - Accent5 6 2 5 4 2" xfId="18177"/>
    <cellStyle name="20% - Accent5 6 2 5 5" xfId="18178"/>
    <cellStyle name="20% - Accent5 6 2 6" xfId="18179"/>
    <cellStyle name="20% - Accent5 6 2 6 2" xfId="18180"/>
    <cellStyle name="20% - Accent5 6 2 6 2 2" xfId="18181"/>
    <cellStyle name="20% - Accent5 6 2 6 2 2 2" xfId="18182"/>
    <cellStyle name="20% - Accent5 6 2 6 2 2 2 2" xfId="18183"/>
    <cellStyle name="20% - Accent5 6 2 6 2 2 3" xfId="18184"/>
    <cellStyle name="20% - Accent5 6 2 6 2 3" xfId="18185"/>
    <cellStyle name="20% - Accent5 6 2 6 2 3 2" xfId="18186"/>
    <cellStyle name="20% - Accent5 6 2 6 2 4" xfId="18187"/>
    <cellStyle name="20% - Accent5 6 2 6 3" xfId="18188"/>
    <cellStyle name="20% - Accent5 6 2 6 3 2" xfId="18189"/>
    <cellStyle name="20% - Accent5 6 2 6 3 2 2" xfId="18190"/>
    <cellStyle name="20% - Accent5 6 2 6 3 3" xfId="18191"/>
    <cellStyle name="20% - Accent5 6 2 6 4" xfId="18192"/>
    <cellStyle name="20% - Accent5 6 2 6 4 2" xfId="18193"/>
    <cellStyle name="20% - Accent5 6 2 6 5" xfId="18194"/>
    <cellStyle name="20% - Accent5 6 2 7" xfId="18195"/>
    <cellStyle name="20% - Accent5 6 2 7 2" xfId="18196"/>
    <cellStyle name="20% - Accent5 6 2 7 2 2" xfId="18197"/>
    <cellStyle name="20% - Accent5 6 2 7 2 2 2" xfId="18198"/>
    <cellStyle name="20% - Accent5 6 2 7 2 3" xfId="18199"/>
    <cellStyle name="20% - Accent5 6 2 7 3" xfId="18200"/>
    <cellStyle name="20% - Accent5 6 2 7 3 2" xfId="18201"/>
    <cellStyle name="20% - Accent5 6 2 7 4" xfId="18202"/>
    <cellStyle name="20% - Accent5 6 2 8" xfId="18203"/>
    <cellStyle name="20% - Accent5 6 2 8 2" xfId="18204"/>
    <cellStyle name="20% - Accent5 6 2 8 2 2" xfId="18205"/>
    <cellStyle name="20% - Accent5 6 2 8 3" xfId="18206"/>
    <cellStyle name="20% - Accent5 6 2 9" xfId="18207"/>
    <cellStyle name="20% - Accent5 6 2 9 2" xfId="18208"/>
    <cellStyle name="20% - Accent5 6 3" xfId="18209"/>
    <cellStyle name="20% - Accent5 6 3 2" xfId="18210"/>
    <cellStyle name="20% - Accent5 6 3 2 2" xfId="18211"/>
    <cellStyle name="20% - Accent5 6 3 2 2 2" xfId="18212"/>
    <cellStyle name="20% - Accent5 6 3 2 2 2 2" xfId="18213"/>
    <cellStyle name="20% - Accent5 6 3 2 2 3" xfId="18214"/>
    <cellStyle name="20% - Accent5 6 3 2 3" xfId="18215"/>
    <cellStyle name="20% - Accent5 6 3 2 3 2" xfId="18216"/>
    <cellStyle name="20% - Accent5 6 3 2 4" xfId="18217"/>
    <cellStyle name="20% - Accent5 6 3 3" xfId="18218"/>
    <cellStyle name="20% - Accent5 6 3 3 2" xfId="18219"/>
    <cellStyle name="20% - Accent5 6 3 3 2 2" xfId="18220"/>
    <cellStyle name="20% - Accent5 6 3 3 3" xfId="18221"/>
    <cellStyle name="20% - Accent5 6 3 4" xfId="18222"/>
    <cellStyle name="20% - Accent5 6 3 4 2" xfId="18223"/>
    <cellStyle name="20% - Accent5 6 3 5" xfId="18224"/>
    <cellStyle name="20% - Accent5 6 4" xfId="18225"/>
    <cellStyle name="20% - Accent5 6 4 2" xfId="18226"/>
    <cellStyle name="20% - Accent5 6 4 2 2" xfId="18227"/>
    <cellStyle name="20% - Accent5 6 4 2 2 2" xfId="18228"/>
    <cellStyle name="20% - Accent5 6 4 2 2 2 2" xfId="18229"/>
    <cellStyle name="20% - Accent5 6 4 2 2 3" xfId="18230"/>
    <cellStyle name="20% - Accent5 6 4 2 3" xfId="18231"/>
    <cellStyle name="20% - Accent5 6 4 2 3 2" xfId="18232"/>
    <cellStyle name="20% - Accent5 6 4 2 4" xfId="18233"/>
    <cellStyle name="20% - Accent5 6 4 3" xfId="18234"/>
    <cellStyle name="20% - Accent5 6 4 3 2" xfId="18235"/>
    <cellStyle name="20% - Accent5 6 4 3 2 2" xfId="18236"/>
    <cellStyle name="20% - Accent5 6 4 3 3" xfId="18237"/>
    <cellStyle name="20% - Accent5 6 4 4" xfId="18238"/>
    <cellStyle name="20% - Accent5 6 4 4 2" xfId="18239"/>
    <cellStyle name="20% - Accent5 6 4 5" xfId="18240"/>
    <cellStyle name="20% - Accent5 6 5" xfId="18241"/>
    <cellStyle name="20% - Accent5 6 5 2" xfId="18242"/>
    <cellStyle name="20% - Accent5 6 5 2 2" xfId="18243"/>
    <cellStyle name="20% - Accent5 6 5 2 2 2" xfId="18244"/>
    <cellStyle name="20% - Accent5 6 5 2 2 2 2" xfId="18245"/>
    <cellStyle name="20% - Accent5 6 5 2 2 3" xfId="18246"/>
    <cellStyle name="20% - Accent5 6 5 2 3" xfId="18247"/>
    <cellStyle name="20% - Accent5 6 5 2 3 2" xfId="18248"/>
    <cellStyle name="20% - Accent5 6 5 2 4" xfId="18249"/>
    <cellStyle name="20% - Accent5 6 5 3" xfId="18250"/>
    <cellStyle name="20% - Accent5 6 5 3 2" xfId="18251"/>
    <cellStyle name="20% - Accent5 6 5 3 2 2" xfId="18252"/>
    <cellStyle name="20% - Accent5 6 5 3 3" xfId="18253"/>
    <cellStyle name="20% - Accent5 6 5 4" xfId="18254"/>
    <cellStyle name="20% - Accent5 6 5 4 2" xfId="18255"/>
    <cellStyle name="20% - Accent5 6 5 5" xfId="18256"/>
    <cellStyle name="20% - Accent5 6 6" xfId="18257"/>
    <cellStyle name="20% - Accent5 6 6 2" xfId="18258"/>
    <cellStyle name="20% - Accent5 6 6 2 2" xfId="18259"/>
    <cellStyle name="20% - Accent5 6 6 2 2 2" xfId="18260"/>
    <cellStyle name="20% - Accent5 6 6 2 2 2 2" xfId="18261"/>
    <cellStyle name="20% - Accent5 6 6 2 2 3" xfId="18262"/>
    <cellStyle name="20% - Accent5 6 6 2 3" xfId="18263"/>
    <cellStyle name="20% - Accent5 6 6 2 3 2" xfId="18264"/>
    <cellStyle name="20% - Accent5 6 6 2 4" xfId="18265"/>
    <cellStyle name="20% - Accent5 6 6 3" xfId="18266"/>
    <cellStyle name="20% - Accent5 6 6 3 2" xfId="18267"/>
    <cellStyle name="20% - Accent5 6 6 3 2 2" xfId="18268"/>
    <cellStyle name="20% - Accent5 6 6 3 3" xfId="18269"/>
    <cellStyle name="20% - Accent5 6 6 4" xfId="18270"/>
    <cellStyle name="20% - Accent5 6 6 4 2" xfId="18271"/>
    <cellStyle name="20% - Accent5 6 6 5" xfId="18272"/>
    <cellStyle name="20% - Accent5 6 7" xfId="18273"/>
    <cellStyle name="20% - Accent5 6 7 2" xfId="18274"/>
    <cellStyle name="20% - Accent5 6 7 2 2" xfId="18275"/>
    <cellStyle name="20% - Accent5 6 7 2 2 2" xfId="18276"/>
    <cellStyle name="20% - Accent5 6 7 2 2 2 2" xfId="18277"/>
    <cellStyle name="20% - Accent5 6 7 2 2 3" xfId="18278"/>
    <cellStyle name="20% - Accent5 6 7 2 3" xfId="18279"/>
    <cellStyle name="20% - Accent5 6 7 2 3 2" xfId="18280"/>
    <cellStyle name="20% - Accent5 6 7 2 4" xfId="18281"/>
    <cellStyle name="20% - Accent5 6 7 3" xfId="18282"/>
    <cellStyle name="20% - Accent5 6 7 3 2" xfId="18283"/>
    <cellStyle name="20% - Accent5 6 7 3 2 2" xfId="18284"/>
    <cellStyle name="20% - Accent5 6 7 3 3" xfId="18285"/>
    <cellStyle name="20% - Accent5 6 7 4" xfId="18286"/>
    <cellStyle name="20% - Accent5 6 7 4 2" xfId="18287"/>
    <cellStyle name="20% - Accent5 6 7 5" xfId="18288"/>
    <cellStyle name="20% - Accent5 6 8" xfId="18289"/>
    <cellStyle name="20% - Accent5 6 8 2" xfId="18290"/>
    <cellStyle name="20% - Accent5 6 8 2 2" xfId="18291"/>
    <cellStyle name="20% - Accent5 6 8 2 2 2" xfId="18292"/>
    <cellStyle name="20% - Accent5 6 8 2 3" xfId="18293"/>
    <cellStyle name="20% - Accent5 6 8 3" xfId="18294"/>
    <cellStyle name="20% - Accent5 6 8 3 2" xfId="18295"/>
    <cellStyle name="20% - Accent5 6 8 4" xfId="18296"/>
    <cellStyle name="20% - Accent5 6 9" xfId="18297"/>
    <cellStyle name="20% - Accent5 6 9 2" xfId="18298"/>
    <cellStyle name="20% - Accent5 6 9 2 2" xfId="18299"/>
    <cellStyle name="20% - Accent5 6 9 3" xfId="18300"/>
    <cellStyle name="20% - Accent5 7" xfId="18301"/>
    <cellStyle name="20% - Accent5 7 10" xfId="18302"/>
    <cellStyle name="20% - Accent5 7 10 2" xfId="18303"/>
    <cellStyle name="20% - Accent5 7 11" xfId="18304"/>
    <cellStyle name="20% - Accent5 7 2" xfId="18305"/>
    <cellStyle name="20% - Accent5 7 2 10" xfId="18306"/>
    <cellStyle name="20% - Accent5 7 2 2" xfId="18307"/>
    <cellStyle name="20% - Accent5 7 2 2 2" xfId="18308"/>
    <cellStyle name="20% - Accent5 7 2 2 2 2" xfId="18309"/>
    <cellStyle name="20% - Accent5 7 2 2 2 2 2" xfId="18310"/>
    <cellStyle name="20% - Accent5 7 2 2 2 2 2 2" xfId="18311"/>
    <cellStyle name="20% - Accent5 7 2 2 2 2 3" xfId="18312"/>
    <cellStyle name="20% - Accent5 7 2 2 2 3" xfId="18313"/>
    <cellStyle name="20% - Accent5 7 2 2 2 3 2" xfId="18314"/>
    <cellStyle name="20% - Accent5 7 2 2 2 4" xfId="18315"/>
    <cellStyle name="20% - Accent5 7 2 2 3" xfId="18316"/>
    <cellStyle name="20% - Accent5 7 2 2 3 2" xfId="18317"/>
    <cellStyle name="20% - Accent5 7 2 2 3 2 2" xfId="18318"/>
    <cellStyle name="20% - Accent5 7 2 2 3 3" xfId="18319"/>
    <cellStyle name="20% - Accent5 7 2 2 4" xfId="18320"/>
    <cellStyle name="20% - Accent5 7 2 2 4 2" xfId="18321"/>
    <cellStyle name="20% - Accent5 7 2 2 5" xfId="18322"/>
    <cellStyle name="20% - Accent5 7 2 3" xfId="18323"/>
    <cellStyle name="20% - Accent5 7 2 3 2" xfId="18324"/>
    <cellStyle name="20% - Accent5 7 2 3 2 2" xfId="18325"/>
    <cellStyle name="20% - Accent5 7 2 3 2 2 2" xfId="18326"/>
    <cellStyle name="20% - Accent5 7 2 3 2 2 2 2" xfId="18327"/>
    <cellStyle name="20% - Accent5 7 2 3 2 2 3" xfId="18328"/>
    <cellStyle name="20% - Accent5 7 2 3 2 3" xfId="18329"/>
    <cellStyle name="20% - Accent5 7 2 3 2 3 2" xfId="18330"/>
    <cellStyle name="20% - Accent5 7 2 3 2 4" xfId="18331"/>
    <cellStyle name="20% - Accent5 7 2 3 3" xfId="18332"/>
    <cellStyle name="20% - Accent5 7 2 3 3 2" xfId="18333"/>
    <cellStyle name="20% - Accent5 7 2 3 3 2 2" xfId="18334"/>
    <cellStyle name="20% - Accent5 7 2 3 3 3" xfId="18335"/>
    <cellStyle name="20% - Accent5 7 2 3 4" xfId="18336"/>
    <cellStyle name="20% - Accent5 7 2 3 4 2" xfId="18337"/>
    <cellStyle name="20% - Accent5 7 2 3 5" xfId="18338"/>
    <cellStyle name="20% - Accent5 7 2 4" xfId="18339"/>
    <cellStyle name="20% - Accent5 7 2 4 2" xfId="18340"/>
    <cellStyle name="20% - Accent5 7 2 4 2 2" xfId="18341"/>
    <cellStyle name="20% - Accent5 7 2 4 2 2 2" xfId="18342"/>
    <cellStyle name="20% - Accent5 7 2 4 2 2 2 2" xfId="18343"/>
    <cellStyle name="20% - Accent5 7 2 4 2 2 3" xfId="18344"/>
    <cellStyle name="20% - Accent5 7 2 4 2 3" xfId="18345"/>
    <cellStyle name="20% - Accent5 7 2 4 2 3 2" xfId="18346"/>
    <cellStyle name="20% - Accent5 7 2 4 2 4" xfId="18347"/>
    <cellStyle name="20% - Accent5 7 2 4 3" xfId="18348"/>
    <cellStyle name="20% - Accent5 7 2 4 3 2" xfId="18349"/>
    <cellStyle name="20% - Accent5 7 2 4 3 2 2" xfId="18350"/>
    <cellStyle name="20% - Accent5 7 2 4 3 3" xfId="18351"/>
    <cellStyle name="20% - Accent5 7 2 4 4" xfId="18352"/>
    <cellStyle name="20% - Accent5 7 2 4 4 2" xfId="18353"/>
    <cellStyle name="20% - Accent5 7 2 4 5" xfId="18354"/>
    <cellStyle name="20% - Accent5 7 2 5" xfId="18355"/>
    <cellStyle name="20% - Accent5 7 2 5 2" xfId="18356"/>
    <cellStyle name="20% - Accent5 7 2 5 2 2" xfId="18357"/>
    <cellStyle name="20% - Accent5 7 2 5 2 2 2" xfId="18358"/>
    <cellStyle name="20% - Accent5 7 2 5 2 2 2 2" xfId="18359"/>
    <cellStyle name="20% - Accent5 7 2 5 2 2 3" xfId="18360"/>
    <cellStyle name="20% - Accent5 7 2 5 2 3" xfId="18361"/>
    <cellStyle name="20% - Accent5 7 2 5 2 3 2" xfId="18362"/>
    <cellStyle name="20% - Accent5 7 2 5 2 4" xfId="18363"/>
    <cellStyle name="20% - Accent5 7 2 5 3" xfId="18364"/>
    <cellStyle name="20% - Accent5 7 2 5 3 2" xfId="18365"/>
    <cellStyle name="20% - Accent5 7 2 5 3 2 2" xfId="18366"/>
    <cellStyle name="20% - Accent5 7 2 5 3 3" xfId="18367"/>
    <cellStyle name="20% - Accent5 7 2 5 4" xfId="18368"/>
    <cellStyle name="20% - Accent5 7 2 5 4 2" xfId="18369"/>
    <cellStyle name="20% - Accent5 7 2 5 5" xfId="18370"/>
    <cellStyle name="20% - Accent5 7 2 6" xfId="18371"/>
    <cellStyle name="20% - Accent5 7 2 6 2" xfId="18372"/>
    <cellStyle name="20% - Accent5 7 2 6 2 2" xfId="18373"/>
    <cellStyle name="20% - Accent5 7 2 6 2 2 2" xfId="18374"/>
    <cellStyle name="20% - Accent5 7 2 6 2 2 2 2" xfId="18375"/>
    <cellStyle name="20% - Accent5 7 2 6 2 2 3" xfId="18376"/>
    <cellStyle name="20% - Accent5 7 2 6 2 3" xfId="18377"/>
    <cellStyle name="20% - Accent5 7 2 6 2 3 2" xfId="18378"/>
    <cellStyle name="20% - Accent5 7 2 6 2 4" xfId="18379"/>
    <cellStyle name="20% - Accent5 7 2 6 3" xfId="18380"/>
    <cellStyle name="20% - Accent5 7 2 6 3 2" xfId="18381"/>
    <cellStyle name="20% - Accent5 7 2 6 3 2 2" xfId="18382"/>
    <cellStyle name="20% - Accent5 7 2 6 3 3" xfId="18383"/>
    <cellStyle name="20% - Accent5 7 2 6 4" xfId="18384"/>
    <cellStyle name="20% - Accent5 7 2 6 4 2" xfId="18385"/>
    <cellStyle name="20% - Accent5 7 2 6 5" xfId="18386"/>
    <cellStyle name="20% - Accent5 7 2 7" xfId="18387"/>
    <cellStyle name="20% - Accent5 7 2 7 2" xfId="18388"/>
    <cellStyle name="20% - Accent5 7 2 7 2 2" xfId="18389"/>
    <cellStyle name="20% - Accent5 7 2 7 2 2 2" xfId="18390"/>
    <cellStyle name="20% - Accent5 7 2 7 2 3" xfId="18391"/>
    <cellStyle name="20% - Accent5 7 2 7 3" xfId="18392"/>
    <cellStyle name="20% - Accent5 7 2 7 3 2" xfId="18393"/>
    <cellStyle name="20% - Accent5 7 2 7 4" xfId="18394"/>
    <cellStyle name="20% - Accent5 7 2 8" xfId="18395"/>
    <cellStyle name="20% - Accent5 7 2 8 2" xfId="18396"/>
    <cellStyle name="20% - Accent5 7 2 8 2 2" xfId="18397"/>
    <cellStyle name="20% - Accent5 7 2 8 3" xfId="18398"/>
    <cellStyle name="20% - Accent5 7 2 9" xfId="18399"/>
    <cellStyle name="20% - Accent5 7 2 9 2" xfId="18400"/>
    <cellStyle name="20% - Accent5 7 3" xfId="18401"/>
    <cellStyle name="20% - Accent5 7 3 2" xfId="18402"/>
    <cellStyle name="20% - Accent5 7 3 2 2" xfId="18403"/>
    <cellStyle name="20% - Accent5 7 3 2 2 2" xfId="18404"/>
    <cellStyle name="20% - Accent5 7 3 2 2 2 2" xfId="18405"/>
    <cellStyle name="20% - Accent5 7 3 2 2 3" xfId="18406"/>
    <cellStyle name="20% - Accent5 7 3 2 3" xfId="18407"/>
    <cellStyle name="20% - Accent5 7 3 2 3 2" xfId="18408"/>
    <cellStyle name="20% - Accent5 7 3 2 4" xfId="18409"/>
    <cellStyle name="20% - Accent5 7 3 3" xfId="18410"/>
    <cellStyle name="20% - Accent5 7 3 3 2" xfId="18411"/>
    <cellStyle name="20% - Accent5 7 3 3 2 2" xfId="18412"/>
    <cellStyle name="20% - Accent5 7 3 3 3" xfId="18413"/>
    <cellStyle name="20% - Accent5 7 3 4" xfId="18414"/>
    <cellStyle name="20% - Accent5 7 3 4 2" xfId="18415"/>
    <cellStyle name="20% - Accent5 7 3 5" xfId="18416"/>
    <cellStyle name="20% - Accent5 7 4" xfId="18417"/>
    <cellStyle name="20% - Accent5 7 4 2" xfId="18418"/>
    <cellStyle name="20% - Accent5 7 4 2 2" xfId="18419"/>
    <cellStyle name="20% - Accent5 7 4 2 2 2" xfId="18420"/>
    <cellStyle name="20% - Accent5 7 4 2 2 2 2" xfId="18421"/>
    <cellStyle name="20% - Accent5 7 4 2 2 3" xfId="18422"/>
    <cellStyle name="20% - Accent5 7 4 2 3" xfId="18423"/>
    <cellStyle name="20% - Accent5 7 4 2 3 2" xfId="18424"/>
    <cellStyle name="20% - Accent5 7 4 2 4" xfId="18425"/>
    <cellStyle name="20% - Accent5 7 4 3" xfId="18426"/>
    <cellStyle name="20% - Accent5 7 4 3 2" xfId="18427"/>
    <cellStyle name="20% - Accent5 7 4 3 2 2" xfId="18428"/>
    <cellStyle name="20% - Accent5 7 4 3 3" xfId="18429"/>
    <cellStyle name="20% - Accent5 7 4 4" xfId="18430"/>
    <cellStyle name="20% - Accent5 7 4 4 2" xfId="18431"/>
    <cellStyle name="20% - Accent5 7 4 5" xfId="18432"/>
    <cellStyle name="20% - Accent5 7 5" xfId="18433"/>
    <cellStyle name="20% - Accent5 7 5 2" xfId="18434"/>
    <cellStyle name="20% - Accent5 7 5 2 2" xfId="18435"/>
    <cellStyle name="20% - Accent5 7 5 2 2 2" xfId="18436"/>
    <cellStyle name="20% - Accent5 7 5 2 2 2 2" xfId="18437"/>
    <cellStyle name="20% - Accent5 7 5 2 2 3" xfId="18438"/>
    <cellStyle name="20% - Accent5 7 5 2 3" xfId="18439"/>
    <cellStyle name="20% - Accent5 7 5 2 3 2" xfId="18440"/>
    <cellStyle name="20% - Accent5 7 5 2 4" xfId="18441"/>
    <cellStyle name="20% - Accent5 7 5 3" xfId="18442"/>
    <cellStyle name="20% - Accent5 7 5 3 2" xfId="18443"/>
    <cellStyle name="20% - Accent5 7 5 3 2 2" xfId="18444"/>
    <cellStyle name="20% - Accent5 7 5 3 3" xfId="18445"/>
    <cellStyle name="20% - Accent5 7 5 4" xfId="18446"/>
    <cellStyle name="20% - Accent5 7 5 4 2" xfId="18447"/>
    <cellStyle name="20% - Accent5 7 5 5" xfId="18448"/>
    <cellStyle name="20% - Accent5 7 6" xfId="18449"/>
    <cellStyle name="20% - Accent5 7 6 2" xfId="18450"/>
    <cellStyle name="20% - Accent5 7 6 2 2" xfId="18451"/>
    <cellStyle name="20% - Accent5 7 6 2 2 2" xfId="18452"/>
    <cellStyle name="20% - Accent5 7 6 2 2 2 2" xfId="18453"/>
    <cellStyle name="20% - Accent5 7 6 2 2 3" xfId="18454"/>
    <cellStyle name="20% - Accent5 7 6 2 3" xfId="18455"/>
    <cellStyle name="20% - Accent5 7 6 2 3 2" xfId="18456"/>
    <cellStyle name="20% - Accent5 7 6 2 4" xfId="18457"/>
    <cellStyle name="20% - Accent5 7 6 3" xfId="18458"/>
    <cellStyle name="20% - Accent5 7 6 3 2" xfId="18459"/>
    <cellStyle name="20% - Accent5 7 6 3 2 2" xfId="18460"/>
    <cellStyle name="20% - Accent5 7 6 3 3" xfId="18461"/>
    <cellStyle name="20% - Accent5 7 6 4" xfId="18462"/>
    <cellStyle name="20% - Accent5 7 6 4 2" xfId="18463"/>
    <cellStyle name="20% - Accent5 7 6 5" xfId="18464"/>
    <cellStyle name="20% - Accent5 7 7" xfId="18465"/>
    <cellStyle name="20% - Accent5 7 7 2" xfId="18466"/>
    <cellStyle name="20% - Accent5 7 7 2 2" xfId="18467"/>
    <cellStyle name="20% - Accent5 7 7 2 2 2" xfId="18468"/>
    <cellStyle name="20% - Accent5 7 7 2 2 2 2" xfId="18469"/>
    <cellStyle name="20% - Accent5 7 7 2 2 3" xfId="18470"/>
    <cellStyle name="20% - Accent5 7 7 2 3" xfId="18471"/>
    <cellStyle name="20% - Accent5 7 7 2 3 2" xfId="18472"/>
    <cellStyle name="20% - Accent5 7 7 2 4" xfId="18473"/>
    <cellStyle name="20% - Accent5 7 7 3" xfId="18474"/>
    <cellStyle name="20% - Accent5 7 7 3 2" xfId="18475"/>
    <cellStyle name="20% - Accent5 7 7 3 2 2" xfId="18476"/>
    <cellStyle name="20% - Accent5 7 7 3 3" xfId="18477"/>
    <cellStyle name="20% - Accent5 7 7 4" xfId="18478"/>
    <cellStyle name="20% - Accent5 7 7 4 2" xfId="18479"/>
    <cellStyle name="20% - Accent5 7 7 5" xfId="18480"/>
    <cellStyle name="20% - Accent5 7 8" xfId="18481"/>
    <cellStyle name="20% - Accent5 7 8 2" xfId="18482"/>
    <cellStyle name="20% - Accent5 7 8 2 2" xfId="18483"/>
    <cellStyle name="20% - Accent5 7 8 2 2 2" xfId="18484"/>
    <cellStyle name="20% - Accent5 7 8 2 3" xfId="18485"/>
    <cellStyle name="20% - Accent5 7 8 3" xfId="18486"/>
    <cellStyle name="20% - Accent5 7 8 3 2" xfId="18487"/>
    <cellStyle name="20% - Accent5 7 8 4" xfId="18488"/>
    <cellStyle name="20% - Accent5 7 9" xfId="18489"/>
    <cellStyle name="20% - Accent5 7 9 2" xfId="18490"/>
    <cellStyle name="20% - Accent5 7 9 2 2" xfId="18491"/>
    <cellStyle name="20% - Accent5 7 9 3" xfId="18492"/>
    <cellStyle name="20% - Accent5 8" xfId="18493"/>
    <cellStyle name="20% - Accent5 8 10" xfId="18494"/>
    <cellStyle name="20% - Accent5 8 10 2" xfId="18495"/>
    <cellStyle name="20% - Accent5 8 11" xfId="18496"/>
    <cellStyle name="20% - Accent5 8 2" xfId="18497"/>
    <cellStyle name="20% - Accent5 8 2 10" xfId="18498"/>
    <cellStyle name="20% - Accent5 8 2 2" xfId="18499"/>
    <cellStyle name="20% - Accent5 8 2 2 2" xfId="18500"/>
    <cellStyle name="20% - Accent5 8 2 2 2 2" xfId="18501"/>
    <cellStyle name="20% - Accent5 8 2 2 2 2 2" xfId="18502"/>
    <cellStyle name="20% - Accent5 8 2 2 2 2 2 2" xfId="18503"/>
    <cellStyle name="20% - Accent5 8 2 2 2 2 3" xfId="18504"/>
    <cellStyle name="20% - Accent5 8 2 2 2 3" xfId="18505"/>
    <cellStyle name="20% - Accent5 8 2 2 2 3 2" xfId="18506"/>
    <cellStyle name="20% - Accent5 8 2 2 2 4" xfId="18507"/>
    <cellStyle name="20% - Accent5 8 2 2 3" xfId="18508"/>
    <cellStyle name="20% - Accent5 8 2 2 3 2" xfId="18509"/>
    <cellStyle name="20% - Accent5 8 2 2 3 2 2" xfId="18510"/>
    <cellStyle name="20% - Accent5 8 2 2 3 3" xfId="18511"/>
    <cellStyle name="20% - Accent5 8 2 2 4" xfId="18512"/>
    <cellStyle name="20% - Accent5 8 2 2 4 2" xfId="18513"/>
    <cellStyle name="20% - Accent5 8 2 2 5" xfId="18514"/>
    <cellStyle name="20% - Accent5 8 2 3" xfId="18515"/>
    <cellStyle name="20% - Accent5 8 2 3 2" xfId="18516"/>
    <cellStyle name="20% - Accent5 8 2 3 2 2" xfId="18517"/>
    <cellStyle name="20% - Accent5 8 2 3 2 2 2" xfId="18518"/>
    <cellStyle name="20% - Accent5 8 2 3 2 2 2 2" xfId="18519"/>
    <cellStyle name="20% - Accent5 8 2 3 2 2 3" xfId="18520"/>
    <cellStyle name="20% - Accent5 8 2 3 2 3" xfId="18521"/>
    <cellStyle name="20% - Accent5 8 2 3 2 3 2" xfId="18522"/>
    <cellStyle name="20% - Accent5 8 2 3 2 4" xfId="18523"/>
    <cellStyle name="20% - Accent5 8 2 3 3" xfId="18524"/>
    <cellStyle name="20% - Accent5 8 2 3 3 2" xfId="18525"/>
    <cellStyle name="20% - Accent5 8 2 3 3 2 2" xfId="18526"/>
    <cellStyle name="20% - Accent5 8 2 3 3 3" xfId="18527"/>
    <cellStyle name="20% - Accent5 8 2 3 4" xfId="18528"/>
    <cellStyle name="20% - Accent5 8 2 3 4 2" xfId="18529"/>
    <cellStyle name="20% - Accent5 8 2 3 5" xfId="18530"/>
    <cellStyle name="20% - Accent5 8 2 4" xfId="18531"/>
    <cellStyle name="20% - Accent5 8 2 4 2" xfId="18532"/>
    <cellStyle name="20% - Accent5 8 2 4 2 2" xfId="18533"/>
    <cellStyle name="20% - Accent5 8 2 4 2 2 2" xfId="18534"/>
    <cellStyle name="20% - Accent5 8 2 4 2 2 2 2" xfId="18535"/>
    <cellStyle name="20% - Accent5 8 2 4 2 2 3" xfId="18536"/>
    <cellStyle name="20% - Accent5 8 2 4 2 3" xfId="18537"/>
    <cellStyle name="20% - Accent5 8 2 4 2 3 2" xfId="18538"/>
    <cellStyle name="20% - Accent5 8 2 4 2 4" xfId="18539"/>
    <cellStyle name="20% - Accent5 8 2 4 3" xfId="18540"/>
    <cellStyle name="20% - Accent5 8 2 4 3 2" xfId="18541"/>
    <cellStyle name="20% - Accent5 8 2 4 3 2 2" xfId="18542"/>
    <cellStyle name="20% - Accent5 8 2 4 3 3" xfId="18543"/>
    <cellStyle name="20% - Accent5 8 2 4 4" xfId="18544"/>
    <cellStyle name="20% - Accent5 8 2 4 4 2" xfId="18545"/>
    <cellStyle name="20% - Accent5 8 2 4 5" xfId="18546"/>
    <cellStyle name="20% - Accent5 8 2 5" xfId="18547"/>
    <cellStyle name="20% - Accent5 8 2 5 2" xfId="18548"/>
    <cellStyle name="20% - Accent5 8 2 5 2 2" xfId="18549"/>
    <cellStyle name="20% - Accent5 8 2 5 2 2 2" xfId="18550"/>
    <cellStyle name="20% - Accent5 8 2 5 2 2 2 2" xfId="18551"/>
    <cellStyle name="20% - Accent5 8 2 5 2 2 3" xfId="18552"/>
    <cellStyle name="20% - Accent5 8 2 5 2 3" xfId="18553"/>
    <cellStyle name="20% - Accent5 8 2 5 2 3 2" xfId="18554"/>
    <cellStyle name="20% - Accent5 8 2 5 2 4" xfId="18555"/>
    <cellStyle name="20% - Accent5 8 2 5 3" xfId="18556"/>
    <cellStyle name="20% - Accent5 8 2 5 3 2" xfId="18557"/>
    <cellStyle name="20% - Accent5 8 2 5 3 2 2" xfId="18558"/>
    <cellStyle name="20% - Accent5 8 2 5 3 3" xfId="18559"/>
    <cellStyle name="20% - Accent5 8 2 5 4" xfId="18560"/>
    <cellStyle name="20% - Accent5 8 2 5 4 2" xfId="18561"/>
    <cellStyle name="20% - Accent5 8 2 5 5" xfId="18562"/>
    <cellStyle name="20% - Accent5 8 2 6" xfId="18563"/>
    <cellStyle name="20% - Accent5 8 2 6 2" xfId="18564"/>
    <cellStyle name="20% - Accent5 8 2 6 2 2" xfId="18565"/>
    <cellStyle name="20% - Accent5 8 2 6 2 2 2" xfId="18566"/>
    <cellStyle name="20% - Accent5 8 2 6 2 2 2 2" xfId="18567"/>
    <cellStyle name="20% - Accent5 8 2 6 2 2 3" xfId="18568"/>
    <cellStyle name="20% - Accent5 8 2 6 2 3" xfId="18569"/>
    <cellStyle name="20% - Accent5 8 2 6 2 3 2" xfId="18570"/>
    <cellStyle name="20% - Accent5 8 2 6 2 4" xfId="18571"/>
    <cellStyle name="20% - Accent5 8 2 6 3" xfId="18572"/>
    <cellStyle name="20% - Accent5 8 2 6 3 2" xfId="18573"/>
    <cellStyle name="20% - Accent5 8 2 6 3 2 2" xfId="18574"/>
    <cellStyle name="20% - Accent5 8 2 6 3 3" xfId="18575"/>
    <cellStyle name="20% - Accent5 8 2 6 4" xfId="18576"/>
    <cellStyle name="20% - Accent5 8 2 6 4 2" xfId="18577"/>
    <cellStyle name="20% - Accent5 8 2 6 5" xfId="18578"/>
    <cellStyle name="20% - Accent5 8 2 7" xfId="18579"/>
    <cellStyle name="20% - Accent5 8 2 7 2" xfId="18580"/>
    <cellStyle name="20% - Accent5 8 2 7 2 2" xfId="18581"/>
    <cellStyle name="20% - Accent5 8 2 7 2 2 2" xfId="18582"/>
    <cellStyle name="20% - Accent5 8 2 7 2 3" xfId="18583"/>
    <cellStyle name="20% - Accent5 8 2 7 3" xfId="18584"/>
    <cellStyle name="20% - Accent5 8 2 7 3 2" xfId="18585"/>
    <cellStyle name="20% - Accent5 8 2 7 4" xfId="18586"/>
    <cellStyle name="20% - Accent5 8 2 8" xfId="18587"/>
    <cellStyle name="20% - Accent5 8 2 8 2" xfId="18588"/>
    <cellStyle name="20% - Accent5 8 2 8 2 2" xfId="18589"/>
    <cellStyle name="20% - Accent5 8 2 8 3" xfId="18590"/>
    <cellStyle name="20% - Accent5 8 2 9" xfId="18591"/>
    <cellStyle name="20% - Accent5 8 2 9 2" xfId="18592"/>
    <cellStyle name="20% - Accent5 8 3" xfId="18593"/>
    <cellStyle name="20% - Accent5 8 3 2" xfId="18594"/>
    <cellStyle name="20% - Accent5 8 3 2 2" xfId="18595"/>
    <cellStyle name="20% - Accent5 8 3 2 2 2" xfId="18596"/>
    <cellStyle name="20% - Accent5 8 3 2 2 2 2" xfId="18597"/>
    <cellStyle name="20% - Accent5 8 3 2 2 3" xfId="18598"/>
    <cellStyle name="20% - Accent5 8 3 2 3" xfId="18599"/>
    <cellStyle name="20% - Accent5 8 3 2 3 2" xfId="18600"/>
    <cellStyle name="20% - Accent5 8 3 2 4" xfId="18601"/>
    <cellStyle name="20% - Accent5 8 3 3" xfId="18602"/>
    <cellStyle name="20% - Accent5 8 3 3 2" xfId="18603"/>
    <cellStyle name="20% - Accent5 8 3 3 2 2" xfId="18604"/>
    <cellStyle name="20% - Accent5 8 3 3 3" xfId="18605"/>
    <cellStyle name="20% - Accent5 8 3 4" xfId="18606"/>
    <cellStyle name="20% - Accent5 8 3 4 2" xfId="18607"/>
    <cellStyle name="20% - Accent5 8 3 5" xfId="18608"/>
    <cellStyle name="20% - Accent5 8 4" xfId="18609"/>
    <cellStyle name="20% - Accent5 8 4 2" xfId="18610"/>
    <cellStyle name="20% - Accent5 8 4 2 2" xfId="18611"/>
    <cellStyle name="20% - Accent5 8 4 2 2 2" xfId="18612"/>
    <cellStyle name="20% - Accent5 8 4 2 2 2 2" xfId="18613"/>
    <cellStyle name="20% - Accent5 8 4 2 2 3" xfId="18614"/>
    <cellStyle name="20% - Accent5 8 4 2 3" xfId="18615"/>
    <cellStyle name="20% - Accent5 8 4 2 3 2" xfId="18616"/>
    <cellStyle name="20% - Accent5 8 4 2 4" xfId="18617"/>
    <cellStyle name="20% - Accent5 8 4 3" xfId="18618"/>
    <cellStyle name="20% - Accent5 8 4 3 2" xfId="18619"/>
    <cellStyle name="20% - Accent5 8 4 3 2 2" xfId="18620"/>
    <cellStyle name="20% - Accent5 8 4 3 3" xfId="18621"/>
    <cellStyle name="20% - Accent5 8 4 4" xfId="18622"/>
    <cellStyle name="20% - Accent5 8 4 4 2" xfId="18623"/>
    <cellStyle name="20% - Accent5 8 4 5" xfId="18624"/>
    <cellStyle name="20% - Accent5 8 5" xfId="18625"/>
    <cellStyle name="20% - Accent5 8 5 2" xfId="18626"/>
    <cellStyle name="20% - Accent5 8 5 2 2" xfId="18627"/>
    <cellStyle name="20% - Accent5 8 5 2 2 2" xfId="18628"/>
    <cellStyle name="20% - Accent5 8 5 2 2 2 2" xfId="18629"/>
    <cellStyle name="20% - Accent5 8 5 2 2 3" xfId="18630"/>
    <cellStyle name="20% - Accent5 8 5 2 3" xfId="18631"/>
    <cellStyle name="20% - Accent5 8 5 2 3 2" xfId="18632"/>
    <cellStyle name="20% - Accent5 8 5 2 4" xfId="18633"/>
    <cellStyle name="20% - Accent5 8 5 3" xfId="18634"/>
    <cellStyle name="20% - Accent5 8 5 3 2" xfId="18635"/>
    <cellStyle name="20% - Accent5 8 5 3 2 2" xfId="18636"/>
    <cellStyle name="20% - Accent5 8 5 3 3" xfId="18637"/>
    <cellStyle name="20% - Accent5 8 5 4" xfId="18638"/>
    <cellStyle name="20% - Accent5 8 5 4 2" xfId="18639"/>
    <cellStyle name="20% - Accent5 8 5 5" xfId="18640"/>
    <cellStyle name="20% - Accent5 8 6" xfId="18641"/>
    <cellStyle name="20% - Accent5 8 6 2" xfId="18642"/>
    <cellStyle name="20% - Accent5 8 6 2 2" xfId="18643"/>
    <cellStyle name="20% - Accent5 8 6 2 2 2" xfId="18644"/>
    <cellStyle name="20% - Accent5 8 6 2 2 2 2" xfId="18645"/>
    <cellStyle name="20% - Accent5 8 6 2 2 3" xfId="18646"/>
    <cellStyle name="20% - Accent5 8 6 2 3" xfId="18647"/>
    <cellStyle name="20% - Accent5 8 6 2 3 2" xfId="18648"/>
    <cellStyle name="20% - Accent5 8 6 2 4" xfId="18649"/>
    <cellStyle name="20% - Accent5 8 6 3" xfId="18650"/>
    <cellStyle name="20% - Accent5 8 6 3 2" xfId="18651"/>
    <cellStyle name="20% - Accent5 8 6 3 2 2" xfId="18652"/>
    <cellStyle name="20% - Accent5 8 6 3 3" xfId="18653"/>
    <cellStyle name="20% - Accent5 8 6 4" xfId="18654"/>
    <cellStyle name="20% - Accent5 8 6 4 2" xfId="18655"/>
    <cellStyle name="20% - Accent5 8 6 5" xfId="18656"/>
    <cellStyle name="20% - Accent5 8 7" xfId="18657"/>
    <cellStyle name="20% - Accent5 8 7 2" xfId="18658"/>
    <cellStyle name="20% - Accent5 8 7 2 2" xfId="18659"/>
    <cellStyle name="20% - Accent5 8 7 2 2 2" xfId="18660"/>
    <cellStyle name="20% - Accent5 8 7 2 2 2 2" xfId="18661"/>
    <cellStyle name="20% - Accent5 8 7 2 2 3" xfId="18662"/>
    <cellStyle name="20% - Accent5 8 7 2 3" xfId="18663"/>
    <cellStyle name="20% - Accent5 8 7 2 3 2" xfId="18664"/>
    <cellStyle name="20% - Accent5 8 7 2 4" xfId="18665"/>
    <cellStyle name="20% - Accent5 8 7 3" xfId="18666"/>
    <cellStyle name="20% - Accent5 8 7 3 2" xfId="18667"/>
    <cellStyle name="20% - Accent5 8 7 3 2 2" xfId="18668"/>
    <cellStyle name="20% - Accent5 8 7 3 3" xfId="18669"/>
    <cellStyle name="20% - Accent5 8 7 4" xfId="18670"/>
    <cellStyle name="20% - Accent5 8 7 4 2" xfId="18671"/>
    <cellStyle name="20% - Accent5 8 7 5" xfId="18672"/>
    <cellStyle name="20% - Accent5 8 8" xfId="18673"/>
    <cellStyle name="20% - Accent5 8 8 2" xfId="18674"/>
    <cellStyle name="20% - Accent5 8 8 2 2" xfId="18675"/>
    <cellStyle name="20% - Accent5 8 8 2 2 2" xfId="18676"/>
    <cellStyle name="20% - Accent5 8 8 2 3" xfId="18677"/>
    <cellStyle name="20% - Accent5 8 8 3" xfId="18678"/>
    <cellStyle name="20% - Accent5 8 8 3 2" xfId="18679"/>
    <cellStyle name="20% - Accent5 8 8 4" xfId="18680"/>
    <cellStyle name="20% - Accent5 8 9" xfId="18681"/>
    <cellStyle name="20% - Accent5 8 9 2" xfId="18682"/>
    <cellStyle name="20% - Accent5 8 9 2 2" xfId="18683"/>
    <cellStyle name="20% - Accent5 8 9 3" xfId="18684"/>
    <cellStyle name="20% - Accent5 9" xfId="18685"/>
    <cellStyle name="20% - Accent5 9 10" xfId="18686"/>
    <cellStyle name="20% - Accent5 9 10 2" xfId="18687"/>
    <cellStyle name="20% - Accent5 9 11" xfId="18688"/>
    <cellStyle name="20% - Accent5 9 2" xfId="18689"/>
    <cellStyle name="20% - Accent5 9 2 10" xfId="18690"/>
    <cellStyle name="20% - Accent5 9 2 2" xfId="18691"/>
    <cellStyle name="20% - Accent5 9 2 2 2" xfId="18692"/>
    <cellStyle name="20% - Accent5 9 2 2 2 2" xfId="18693"/>
    <cellStyle name="20% - Accent5 9 2 2 2 2 2" xfId="18694"/>
    <cellStyle name="20% - Accent5 9 2 2 2 2 2 2" xfId="18695"/>
    <cellStyle name="20% - Accent5 9 2 2 2 2 3" xfId="18696"/>
    <cellStyle name="20% - Accent5 9 2 2 2 3" xfId="18697"/>
    <cellStyle name="20% - Accent5 9 2 2 2 3 2" xfId="18698"/>
    <cellStyle name="20% - Accent5 9 2 2 2 4" xfId="18699"/>
    <cellStyle name="20% - Accent5 9 2 2 3" xfId="18700"/>
    <cellStyle name="20% - Accent5 9 2 2 3 2" xfId="18701"/>
    <cellStyle name="20% - Accent5 9 2 2 3 2 2" xfId="18702"/>
    <cellStyle name="20% - Accent5 9 2 2 3 3" xfId="18703"/>
    <cellStyle name="20% - Accent5 9 2 2 4" xfId="18704"/>
    <cellStyle name="20% - Accent5 9 2 2 4 2" xfId="18705"/>
    <cellStyle name="20% - Accent5 9 2 2 5" xfId="18706"/>
    <cellStyle name="20% - Accent5 9 2 3" xfId="18707"/>
    <cellStyle name="20% - Accent5 9 2 3 2" xfId="18708"/>
    <cellStyle name="20% - Accent5 9 2 3 2 2" xfId="18709"/>
    <cellStyle name="20% - Accent5 9 2 3 2 2 2" xfId="18710"/>
    <cellStyle name="20% - Accent5 9 2 3 2 2 2 2" xfId="18711"/>
    <cellStyle name="20% - Accent5 9 2 3 2 2 3" xfId="18712"/>
    <cellStyle name="20% - Accent5 9 2 3 2 3" xfId="18713"/>
    <cellStyle name="20% - Accent5 9 2 3 2 3 2" xfId="18714"/>
    <cellStyle name="20% - Accent5 9 2 3 2 4" xfId="18715"/>
    <cellStyle name="20% - Accent5 9 2 3 3" xfId="18716"/>
    <cellStyle name="20% - Accent5 9 2 3 3 2" xfId="18717"/>
    <cellStyle name="20% - Accent5 9 2 3 3 2 2" xfId="18718"/>
    <cellStyle name="20% - Accent5 9 2 3 3 3" xfId="18719"/>
    <cellStyle name="20% - Accent5 9 2 3 4" xfId="18720"/>
    <cellStyle name="20% - Accent5 9 2 3 4 2" xfId="18721"/>
    <cellStyle name="20% - Accent5 9 2 3 5" xfId="18722"/>
    <cellStyle name="20% - Accent5 9 2 4" xfId="18723"/>
    <cellStyle name="20% - Accent5 9 2 4 2" xfId="18724"/>
    <cellStyle name="20% - Accent5 9 2 4 2 2" xfId="18725"/>
    <cellStyle name="20% - Accent5 9 2 4 2 2 2" xfId="18726"/>
    <cellStyle name="20% - Accent5 9 2 4 2 2 2 2" xfId="18727"/>
    <cellStyle name="20% - Accent5 9 2 4 2 2 3" xfId="18728"/>
    <cellStyle name="20% - Accent5 9 2 4 2 3" xfId="18729"/>
    <cellStyle name="20% - Accent5 9 2 4 2 3 2" xfId="18730"/>
    <cellStyle name="20% - Accent5 9 2 4 2 4" xfId="18731"/>
    <cellStyle name="20% - Accent5 9 2 4 3" xfId="18732"/>
    <cellStyle name="20% - Accent5 9 2 4 3 2" xfId="18733"/>
    <cellStyle name="20% - Accent5 9 2 4 3 2 2" xfId="18734"/>
    <cellStyle name="20% - Accent5 9 2 4 3 3" xfId="18735"/>
    <cellStyle name="20% - Accent5 9 2 4 4" xfId="18736"/>
    <cellStyle name="20% - Accent5 9 2 4 4 2" xfId="18737"/>
    <cellStyle name="20% - Accent5 9 2 4 5" xfId="18738"/>
    <cellStyle name="20% - Accent5 9 2 5" xfId="18739"/>
    <cellStyle name="20% - Accent5 9 2 5 2" xfId="18740"/>
    <cellStyle name="20% - Accent5 9 2 5 2 2" xfId="18741"/>
    <cellStyle name="20% - Accent5 9 2 5 2 2 2" xfId="18742"/>
    <cellStyle name="20% - Accent5 9 2 5 2 2 2 2" xfId="18743"/>
    <cellStyle name="20% - Accent5 9 2 5 2 2 3" xfId="18744"/>
    <cellStyle name="20% - Accent5 9 2 5 2 3" xfId="18745"/>
    <cellStyle name="20% - Accent5 9 2 5 2 3 2" xfId="18746"/>
    <cellStyle name="20% - Accent5 9 2 5 2 4" xfId="18747"/>
    <cellStyle name="20% - Accent5 9 2 5 3" xfId="18748"/>
    <cellStyle name="20% - Accent5 9 2 5 3 2" xfId="18749"/>
    <cellStyle name="20% - Accent5 9 2 5 3 2 2" xfId="18750"/>
    <cellStyle name="20% - Accent5 9 2 5 3 3" xfId="18751"/>
    <cellStyle name="20% - Accent5 9 2 5 4" xfId="18752"/>
    <cellStyle name="20% - Accent5 9 2 5 4 2" xfId="18753"/>
    <cellStyle name="20% - Accent5 9 2 5 5" xfId="18754"/>
    <cellStyle name="20% - Accent5 9 2 6" xfId="18755"/>
    <cellStyle name="20% - Accent5 9 2 6 2" xfId="18756"/>
    <cellStyle name="20% - Accent5 9 2 6 2 2" xfId="18757"/>
    <cellStyle name="20% - Accent5 9 2 6 2 2 2" xfId="18758"/>
    <cellStyle name="20% - Accent5 9 2 6 2 2 2 2" xfId="18759"/>
    <cellStyle name="20% - Accent5 9 2 6 2 2 3" xfId="18760"/>
    <cellStyle name="20% - Accent5 9 2 6 2 3" xfId="18761"/>
    <cellStyle name="20% - Accent5 9 2 6 2 3 2" xfId="18762"/>
    <cellStyle name="20% - Accent5 9 2 6 2 4" xfId="18763"/>
    <cellStyle name="20% - Accent5 9 2 6 3" xfId="18764"/>
    <cellStyle name="20% - Accent5 9 2 6 3 2" xfId="18765"/>
    <cellStyle name="20% - Accent5 9 2 6 3 2 2" xfId="18766"/>
    <cellStyle name="20% - Accent5 9 2 6 3 3" xfId="18767"/>
    <cellStyle name="20% - Accent5 9 2 6 4" xfId="18768"/>
    <cellStyle name="20% - Accent5 9 2 6 4 2" xfId="18769"/>
    <cellStyle name="20% - Accent5 9 2 6 5" xfId="18770"/>
    <cellStyle name="20% - Accent5 9 2 7" xfId="18771"/>
    <cellStyle name="20% - Accent5 9 2 7 2" xfId="18772"/>
    <cellStyle name="20% - Accent5 9 2 7 2 2" xfId="18773"/>
    <cellStyle name="20% - Accent5 9 2 7 2 2 2" xfId="18774"/>
    <cellStyle name="20% - Accent5 9 2 7 2 3" xfId="18775"/>
    <cellStyle name="20% - Accent5 9 2 7 3" xfId="18776"/>
    <cellStyle name="20% - Accent5 9 2 7 3 2" xfId="18777"/>
    <cellStyle name="20% - Accent5 9 2 7 4" xfId="18778"/>
    <cellStyle name="20% - Accent5 9 2 8" xfId="18779"/>
    <cellStyle name="20% - Accent5 9 2 8 2" xfId="18780"/>
    <cellStyle name="20% - Accent5 9 2 8 2 2" xfId="18781"/>
    <cellStyle name="20% - Accent5 9 2 8 3" xfId="18782"/>
    <cellStyle name="20% - Accent5 9 2 9" xfId="18783"/>
    <cellStyle name="20% - Accent5 9 2 9 2" xfId="18784"/>
    <cellStyle name="20% - Accent5 9 3" xfId="18785"/>
    <cellStyle name="20% - Accent5 9 3 2" xfId="18786"/>
    <cellStyle name="20% - Accent5 9 3 2 2" xfId="18787"/>
    <cellStyle name="20% - Accent5 9 3 2 2 2" xfId="18788"/>
    <cellStyle name="20% - Accent5 9 3 2 2 2 2" xfId="18789"/>
    <cellStyle name="20% - Accent5 9 3 2 2 3" xfId="18790"/>
    <cellStyle name="20% - Accent5 9 3 2 3" xfId="18791"/>
    <cellStyle name="20% - Accent5 9 3 2 3 2" xfId="18792"/>
    <cellStyle name="20% - Accent5 9 3 2 4" xfId="18793"/>
    <cellStyle name="20% - Accent5 9 3 3" xfId="18794"/>
    <cellStyle name="20% - Accent5 9 3 3 2" xfId="18795"/>
    <cellStyle name="20% - Accent5 9 3 3 2 2" xfId="18796"/>
    <cellStyle name="20% - Accent5 9 3 3 3" xfId="18797"/>
    <cellStyle name="20% - Accent5 9 3 4" xfId="18798"/>
    <cellStyle name="20% - Accent5 9 3 4 2" xfId="18799"/>
    <cellStyle name="20% - Accent5 9 3 5" xfId="18800"/>
    <cellStyle name="20% - Accent5 9 4" xfId="18801"/>
    <cellStyle name="20% - Accent5 9 4 2" xfId="18802"/>
    <cellStyle name="20% - Accent5 9 4 2 2" xfId="18803"/>
    <cellStyle name="20% - Accent5 9 4 2 2 2" xfId="18804"/>
    <cellStyle name="20% - Accent5 9 4 2 2 2 2" xfId="18805"/>
    <cellStyle name="20% - Accent5 9 4 2 2 3" xfId="18806"/>
    <cellStyle name="20% - Accent5 9 4 2 3" xfId="18807"/>
    <cellStyle name="20% - Accent5 9 4 2 3 2" xfId="18808"/>
    <cellStyle name="20% - Accent5 9 4 2 4" xfId="18809"/>
    <cellStyle name="20% - Accent5 9 4 3" xfId="18810"/>
    <cellStyle name="20% - Accent5 9 4 3 2" xfId="18811"/>
    <cellStyle name="20% - Accent5 9 4 3 2 2" xfId="18812"/>
    <cellStyle name="20% - Accent5 9 4 3 3" xfId="18813"/>
    <cellStyle name="20% - Accent5 9 4 4" xfId="18814"/>
    <cellStyle name="20% - Accent5 9 4 4 2" xfId="18815"/>
    <cellStyle name="20% - Accent5 9 4 5" xfId="18816"/>
    <cellStyle name="20% - Accent5 9 5" xfId="18817"/>
    <cellStyle name="20% - Accent5 9 5 2" xfId="18818"/>
    <cellStyle name="20% - Accent5 9 5 2 2" xfId="18819"/>
    <cellStyle name="20% - Accent5 9 5 2 2 2" xfId="18820"/>
    <cellStyle name="20% - Accent5 9 5 2 2 2 2" xfId="18821"/>
    <cellStyle name="20% - Accent5 9 5 2 2 3" xfId="18822"/>
    <cellStyle name="20% - Accent5 9 5 2 3" xfId="18823"/>
    <cellStyle name="20% - Accent5 9 5 2 3 2" xfId="18824"/>
    <cellStyle name="20% - Accent5 9 5 2 4" xfId="18825"/>
    <cellStyle name="20% - Accent5 9 5 3" xfId="18826"/>
    <cellStyle name="20% - Accent5 9 5 3 2" xfId="18827"/>
    <cellStyle name="20% - Accent5 9 5 3 2 2" xfId="18828"/>
    <cellStyle name="20% - Accent5 9 5 3 3" xfId="18829"/>
    <cellStyle name="20% - Accent5 9 5 4" xfId="18830"/>
    <cellStyle name="20% - Accent5 9 5 4 2" xfId="18831"/>
    <cellStyle name="20% - Accent5 9 5 5" xfId="18832"/>
    <cellStyle name="20% - Accent5 9 6" xfId="18833"/>
    <cellStyle name="20% - Accent5 9 6 2" xfId="18834"/>
    <cellStyle name="20% - Accent5 9 6 2 2" xfId="18835"/>
    <cellStyle name="20% - Accent5 9 6 2 2 2" xfId="18836"/>
    <cellStyle name="20% - Accent5 9 6 2 2 2 2" xfId="18837"/>
    <cellStyle name="20% - Accent5 9 6 2 2 3" xfId="18838"/>
    <cellStyle name="20% - Accent5 9 6 2 3" xfId="18839"/>
    <cellStyle name="20% - Accent5 9 6 2 3 2" xfId="18840"/>
    <cellStyle name="20% - Accent5 9 6 2 4" xfId="18841"/>
    <cellStyle name="20% - Accent5 9 6 3" xfId="18842"/>
    <cellStyle name="20% - Accent5 9 6 3 2" xfId="18843"/>
    <cellStyle name="20% - Accent5 9 6 3 2 2" xfId="18844"/>
    <cellStyle name="20% - Accent5 9 6 3 3" xfId="18845"/>
    <cellStyle name="20% - Accent5 9 6 4" xfId="18846"/>
    <cellStyle name="20% - Accent5 9 6 4 2" xfId="18847"/>
    <cellStyle name="20% - Accent5 9 6 5" xfId="18848"/>
    <cellStyle name="20% - Accent5 9 7" xfId="18849"/>
    <cellStyle name="20% - Accent5 9 7 2" xfId="18850"/>
    <cellStyle name="20% - Accent5 9 7 2 2" xfId="18851"/>
    <cellStyle name="20% - Accent5 9 7 2 2 2" xfId="18852"/>
    <cellStyle name="20% - Accent5 9 7 2 2 2 2" xfId="18853"/>
    <cellStyle name="20% - Accent5 9 7 2 2 3" xfId="18854"/>
    <cellStyle name="20% - Accent5 9 7 2 3" xfId="18855"/>
    <cellStyle name="20% - Accent5 9 7 2 3 2" xfId="18856"/>
    <cellStyle name="20% - Accent5 9 7 2 4" xfId="18857"/>
    <cellStyle name="20% - Accent5 9 7 3" xfId="18858"/>
    <cellStyle name="20% - Accent5 9 7 3 2" xfId="18859"/>
    <cellStyle name="20% - Accent5 9 7 3 2 2" xfId="18860"/>
    <cellStyle name="20% - Accent5 9 7 3 3" xfId="18861"/>
    <cellStyle name="20% - Accent5 9 7 4" xfId="18862"/>
    <cellStyle name="20% - Accent5 9 7 4 2" xfId="18863"/>
    <cellStyle name="20% - Accent5 9 7 5" xfId="18864"/>
    <cellStyle name="20% - Accent5 9 8" xfId="18865"/>
    <cellStyle name="20% - Accent5 9 8 2" xfId="18866"/>
    <cellStyle name="20% - Accent5 9 8 2 2" xfId="18867"/>
    <cellStyle name="20% - Accent5 9 8 2 2 2" xfId="18868"/>
    <cellStyle name="20% - Accent5 9 8 2 3" xfId="18869"/>
    <cellStyle name="20% - Accent5 9 8 3" xfId="18870"/>
    <cellStyle name="20% - Accent5 9 8 3 2" xfId="18871"/>
    <cellStyle name="20% - Accent5 9 8 4" xfId="18872"/>
    <cellStyle name="20% - Accent5 9 9" xfId="18873"/>
    <cellStyle name="20% - Accent5 9 9 2" xfId="18874"/>
    <cellStyle name="20% - Accent5 9 9 2 2" xfId="18875"/>
    <cellStyle name="20% - Accent5 9 9 3" xfId="18876"/>
    <cellStyle name="20% - Accent6" xfId="52869" builtinId="50" customBuiltin="1"/>
    <cellStyle name="20% - Accent6 10" xfId="18877"/>
    <cellStyle name="20% - Accent6 10 10" xfId="18878"/>
    <cellStyle name="20% - Accent6 10 10 2" xfId="18879"/>
    <cellStyle name="20% - Accent6 10 11" xfId="18880"/>
    <cellStyle name="20% - Accent6 10 2" xfId="18881"/>
    <cellStyle name="20% - Accent6 10 2 10" xfId="18882"/>
    <cellStyle name="20% - Accent6 10 2 2" xfId="18883"/>
    <cellStyle name="20% - Accent6 10 2 2 2" xfId="18884"/>
    <cellStyle name="20% - Accent6 10 2 2 2 2" xfId="18885"/>
    <cellStyle name="20% - Accent6 10 2 2 2 2 2" xfId="18886"/>
    <cellStyle name="20% - Accent6 10 2 2 2 2 2 2" xfId="18887"/>
    <cellStyle name="20% - Accent6 10 2 2 2 2 3" xfId="18888"/>
    <cellStyle name="20% - Accent6 10 2 2 2 3" xfId="18889"/>
    <cellStyle name="20% - Accent6 10 2 2 2 3 2" xfId="18890"/>
    <cellStyle name="20% - Accent6 10 2 2 2 4" xfId="18891"/>
    <cellStyle name="20% - Accent6 10 2 2 3" xfId="18892"/>
    <cellStyle name="20% - Accent6 10 2 2 3 2" xfId="18893"/>
    <cellStyle name="20% - Accent6 10 2 2 3 2 2" xfId="18894"/>
    <cellStyle name="20% - Accent6 10 2 2 3 3" xfId="18895"/>
    <cellStyle name="20% - Accent6 10 2 2 4" xfId="18896"/>
    <cellStyle name="20% - Accent6 10 2 2 4 2" xfId="18897"/>
    <cellStyle name="20% - Accent6 10 2 2 5" xfId="18898"/>
    <cellStyle name="20% - Accent6 10 2 3" xfId="18899"/>
    <cellStyle name="20% - Accent6 10 2 3 2" xfId="18900"/>
    <cellStyle name="20% - Accent6 10 2 3 2 2" xfId="18901"/>
    <cellStyle name="20% - Accent6 10 2 3 2 2 2" xfId="18902"/>
    <cellStyle name="20% - Accent6 10 2 3 2 2 2 2" xfId="18903"/>
    <cellStyle name="20% - Accent6 10 2 3 2 2 3" xfId="18904"/>
    <cellStyle name="20% - Accent6 10 2 3 2 3" xfId="18905"/>
    <cellStyle name="20% - Accent6 10 2 3 2 3 2" xfId="18906"/>
    <cellStyle name="20% - Accent6 10 2 3 2 4" xfId="18907"/>
    <cellStyle name="20% - Accent6 10 2 3 3" xfId="18908"/>
    <cellStyle name="20% - Accent6 10 2 3 3 2" xfId="18909"/>
    <cellStyle name="20% - Accent6 10 2 3 3 2 2" xfId="18910"/>
    <cellStyle name="20% - Accent6 10 2 3 3 3" xfId="18911"/>
    <cellStyle name="20% - Accent6 10 2 3 4" xfId="18912"/>
    <cellStyle name="20% - Accent6 10 2 3 4 2" xfId="18913"/>
    <cellStyle name="20% - Accent6 10 2 3 5" xfId="18914"/>
    <cellStyle name="20% - Accent6 10 2 4" xfId="18915"/>
    <cellStyle name="20% - Accent6 10 2 4 2" xfId="18916"/>
    <cellStyle name="20% - Accent6 10 2 4 2 2" xfId="18917"/>
    <cellStyle name="20% - Accent6 10 2 4 2 2 2" xfId="18918"/>
    <cellStyle name="20% - Accent6 10 2 4 2 2 2 2" xfId="18919"/>
    <cellStyle name="20% - Accent6 10 2 4 2 2 3" xfId="18920"/>
    <cellStyle name="20% - Accent6 10 2 4 2 3" xfId="18921"/>
    <cellStyle name="20% - Accent6 10 2 4 2 3 2" xfId="18922"/>
    <cellStyle name="20% - Accent6 10 2 4 2 4" xfId="18923"/>
    <cellStyle name="20% - Accent6 10 2 4 3" xfId="18924"/>
    <cellStyle name="20% - Accent6 10 2 4 3 2" xfId="18925"/>
    <cellStyle name="20% - Accent6 10 2 4 3 2 2" xfId="18926"/>
    <cellStyle name="20% - Accent6 10 2 4 3 3" xfId="18927"/>
    <cellStyle name="20% - Accent6 10 2 4 4" xfId="18928"/>
    <cellStyle name="20% - Accent6 10 2 4 4 2" xfId="18929"/>
    <cellStyle name="20% - Accent6 10 2 4 5" xfId="18930"/>
    <cellStyle name="20% - Accent6 10 2 5" xfId="18931"/>
    <cellStyle name="20% - Accent6 10 2 5 2" xfId="18932"/>
    <cellStyle name="20% - Accent6 10 2 5 2 2" xfId="18933"/>
    <cellStyle name="20% - Accent6 10 2 5 2 2 2" xfId="18934"/>
    <cellStyle name="20% - Accent6 10 2 5 2 2 2 2" xfId="18935"/>
    <cellStyle name="20% - Accent6 10 2 5 2 2 3" xfId="18936"/>
    <cellStyle name="20% - Accent6 10 2 5 2 3" xfId="18937"/>
    <cellStyle name="20% - Accent6 10 2 5 2 3 2" xfId="18938"/>
    <cellStyle name="20% - Accent6 10 2 5 2 4" xfId="18939"/>
    <cellStyle name="20% - Accent6 10 2 5 3" xfId="18940"/>
    <cellStyle name="20% - Accent6 10 2 5 3 2" xfId="18941"/>
    <cellStyle name="20% - Accent6 10 2 5 3 2 2" xfId="18942"/>
    <cellStyle name="20% - Accent6 10 2 5 3 3" xfId="18943"/>
    <cellStyle name="20% - Accent6 10 2 5 4" xfId="18944"/>
    <cellStyle name="20% - Accent6 10 2 5 4 2" xfId="18945"/>
    <cellStyle name="20% - Accent6 10 2 5 5" xfId="18946"/>
    <cellStyle name="20% - Accent6 10 2 6" xfId="18947"/>
    <cellStyle name="20% - Accent6 10 2 6 2" xfId="18948"/>
    <cellStyle name="20% - Accent6 10 2 6 2 2" xfId="18949"/>
    <cellStyle name="20% - Accent6 10 2 6 2 2 2" xfId="18950"/>
    <cellStyle name="20% - Accent6 10 2 6 2 2 2 2" xfId="18951"/>
    <cellStyle name="20% - Accent6 10 2 6 2 2 3" xfId="18952"/>
    <cellStyle name="20% - Accent6 10 2 6 2 3" xfId="18953"/>
    <cellStyle name="20% - Accent6 10 2 6 2 3 2" xfId="18954"/>
    <cellStyle name="20% - Accent6 10 2 6 2 4" xfId="18955"/>
    <cellStyle name="20% - Accent6 10 2 6 3" xfId="18956"/>
    <cellStyle name="20% - Accent6 10 2 6 3 2" xfId="18957"/>
    <cellStyle name="20% - Accent6 10 2 6 3 2 2" xfId="18958"/>
    <cellStyle name="20% - Accent6 10 2 6 3 3" xfId="18959"/>
    <cellStyle name="20% - Accent6 10 2 6 4" xfId="18960"/>
    <cellStyle name="20% - Accent6 10 2 6 4 2" xfId="18961"/>
    <cellStyle name="20% - Accent6 10 2 6 5" xfId="18962"/>
    <cellStyle name="20% - Accent6 10 2 7" xfId="18963"/>
    <cellStyle name="20% - Accent6 10 2 7 2" xfId="18964"/>
    <cellStyle name="20% - Accent6 10 2 7 2 2" xfId="18965"/>
    <cellStyle name="20% - Accent6 10 2 7 2 2 2" xfId="18966"/>
    <cellStyle name="20% - Accent6 10 2 7 2 3" xfId="18967"/>
    <cellStyle name="20% - Accent6 10 2 7 3" xfId="18968"/>
    <cellStyle name="20% - Accent6 10 2 7 3 2" xfId="18969"/>
    <cellStyle name="20% - Accent6 10 2 7 4" xfId="18970"/>
    <cellStyle name="20% - Accent6 10 2 8" xfId="18971"/>
    <cellStyle name="20% - Accent6 10 2 8 2" xfId="18972"/>
    <cellStyle name="20% - Accent6 10 2 8 2 2" xfId="18973"/>
    <cellStyle name="20% - Accent6 10 2 8 3" xfId="18974"/>
    <cellStyle name="20% - Accent6 10 2 9" xfId="18975"/>
    <cellStyle name="20% - Accent6 10 2 9 2" xfId="18976"/>
    <cellStyle name="20% - Accent6 10 3" xfId="18977"/>
    <cellStyle name="20% - Accent6 10 3 2" xfId="18978"/>
    <cellStyle name="20% - Accent6 10 3 2 2" xfId="18979"/>
    <cellStyle name="20% - Accent6 10 3 2 2 2" xfId="18980"/>
    <cellStyle name="20% - Accent6 10 3 2 2 2 2" xfId="18981"/>
    <cellStyle name="20% - Accent6 10 3 2 2 3" xfId="18982"/>
    <cellStyle name="20% - Accent6 10 3 2 3" xfId="18983"/>
    <cellStyle name="20% - Accent6 10 3 2 3 2" xfId="18984"/>
    <cellStyle name="20% - Accent6 10 3 2 4" xfId="18985"/>
    <cellStyle name="20% - Accent6 10 3 3" xfId="18986"/>
    <cellStyle name="20% - Accent6 10 3 3 2" xfId="18987"/>
    <cellStyle name="20% - Accent6 10 3 3 2 2" xfId="18988"/>
    <cellStyle name="20% - Accent6 10 3 3 3" xfId="18989"/>
    <cellStyle name="20% - Accent6 10 3 4" xfId="18990"/>
    <cellStyle name="20% - Accent6 10 3 4 2" xfId="18991"/>
    <cellStyle name="20% - Accent6 10 3 5" xfId="18992"/>
    <cellStyle name="20% - Accent6 10 4" xfId="18993"/>
    <cellStyle name="20% - Accent6 10 4 2" xfId="18994"/>
    <cellStyle name="20% - Accent6 10 4 2 2" xfId="18995"/>
    <cellStyle name="20% - Accent6 10 4 2 2 2" xfId="18996"/>
    <cellStyle name="20% - Accent6 10 4 2 2 2 2" xfId="18997"/>
    <cellStyle name="20% - Accent6 10 4 2 2 3" xfId="18998"/>
    <cellStyle name="20% - Accent6 10 4 2 3" xfId="18999"/>
    <cellStyle name="20% - Accent6 10 4 2 3 2" xfId="19000"/>
    <cellStyle name="20% - Accent6 10 4 2 4" xfId="19001"/>
    <cellStyle name="20% - Accent6 10 4 3" xfId="19002"/>
    <cellStyle name="20% - Accent6 10 4 3 2" xfId="19003"/>
    <cellStyle name="20% - Accent6 10 4 3 2 2" xfId="19004"/>
    <cellStyle name="20% - Accent6 10 4 3 3" xfId="19005"/>
    <cellStyle name="20% - Accent6 10 4 4" xfId="19006"/>
    <cellStyle name="20% - Accent6 10 4 4 2" xfId="19007"/>
    <cellStyle name="20% - Accent6 10 4 5" xfId="19008"/>
    <cellStyle name="20% - Accent6 10 5" xfId="19009"/>
    <cellStyle name="20% - Accent6 10 5 2" xfId="19010"/>
    <cellStyle name="20% - Accent6 10 5 2 2" xfId="19011"/>
    <cellStyle name="20% - Accent6 10 5 2 2 2" xfId="19012"/>
    <cellStyle name="20% - Accent6 10 5 2 2 2 2" xfId="19013"/>
    <cellStyle name="20% - Accent6 10 5 2 2 3" xfId="19014"/>
    <cellStyle name="20% - Accent6 10 5 2 3" xfId="19015"/>
    <cellStyle name="20% - Accent6 10 5 2 3 2" xfId="19016"/>
    <cellStyle name="20% - Accent6 10 5 2 4" xfId="19017"/>
    <cellStyle name="20% - Accent6 10 5 3" xfId="19018"/>
    <cellStyle name="20% - Accent6 10 5 3 2" xfId="19019"/>
    <cellStyle name="20% - Accent6 10 5 3 2 2" xfId="19020"/>
    <cellStyle name="20% - Accent6 10 5 3 3" xfId="19021"/>
    <cellStyle name="20% - Accent6 10 5 4" xfId="19022"/>
    <cellStyle name="20% - Accent6 10 5 4 2" xfId="19023"/>
    <cellStyle name="20% - Accent6 10 5 5" xfId="19024"/>
    <cellStyle name="20% - Accent6 10 6" xfId="19025"/>
    <cellStyle name="20% - Accent6 10 6 2" xfId="19026"/>
    <cellStyle name="20% - Accent6 10 6 2 2" xfId="19027"/>
    <cellStyle name="20% - Accent6 10 6 2 2 2" xfId="19028"/>
    <cellStyle name="20% - Accent6 10 6 2 2 2 2" xfId="19029"/>
    <cellStyle name="20% - Accent6 10 6 2 2 3" xfId="19030"/>
    <cellStyle name="20% - Accent6 10 6 2 3" xfId="19031"/>
    <cellStyle name="20% - Accent6 10 6 2 3 2" xfId="19032"/>
    <cellStyle name="20% - Accent6 10 6 2 4" xfId="19033"/>
    <cellStyle name="20% - Accent6 10 6 3" xfId="19034"/>
    <cellStyle name="20% - Accent6 10 6 3 2" xfId="19035"/>
    <cellStyle name="20% - Accent6 10 6 3 2 2" xfId="19036"/>
    <cellStyle name="20% - Accent6 10 6 3 3" xfId="19037"/>
    <cellStyle name="20% - Accent6 10 6 4" xfId="19038"/>
    <cellStyle name="20% - Accent6 10 6 4 2" xfId="19039"/>
    <cellStyle name="20% - Accent6 10 6 5" xfId="19040"/>
    <cellStyle name="20% - Accent6 10 7" xfId="19041"/>
    <cellStyle name="20% - Accent6 10 7 2" xfId="19042"/>
    <cellStyle name="20% - Accent6 10 7 2 2" xfId="19043"/>
    <cellStyle name="20% - Accent6 10 7 2 2 2" xfId="19044"/>
    <cellStyle name="20% - Accent6 10 7 2 2 2 2" xfId="19045"/>
    <cellStyle name="20% - Accent6 10 7 2 2 3" xfId="19046"/>
    <cellStyle name="20% - Accent6 10 7 2 3" xfId="19047"/>
    <cellStyle name="20% - Accent6 10 7 2 3 2" xfId="19048"/>
    <cellStyle name="20% - Accent6 10 7 2 4" xfId="19049"/>
    <cellStyle name="20% - Accent6 10 7 3" xfId="19050"/>
    <cellStyle name="20% - Accent6 10 7 3 2" xfId="19051"/>
    <cellStyle name="20% - Accent6 10 7 3 2 2" xfId="19052"/>
    <cellStyle name="20% - Accent6 10 7 3 3" xfId="19053"/>
    <cellStyle name="20% - Accent6 10 7 4" xfId="19054"/>
    <cellStyle name="20% - Accent6 10 7 4 2" xfId="19055"/>
    <cellStyle name="20% - Accent6 10 7 5" xfId="19056"/>
    <cellStyle name="20% - Accent6 10 8" xfId="19057"/>
    <cellStyle name="20% - Accent6 10 8 2" xfId="19058"/>
    <cellStyle name="20% - Accent6 10 8 2 2" xfId="19059"/>
    <cellStyle name="20% - Accent6 10 8 2 2 2" xfId="19060"/>
    <cellStyle name="20% - Accent6 10 8 2 3" xfId="19061"/>
    <cellStyle name="20% - Accent6 10 8 3" xfId="19062"/>
    <cellStyle name="20% - Accent6 10 8 3 2" xfId="19063"/>
    <cellStyle name="20% - Accent6 10 8 4" xfId="19064"/>
    <cellStyle name="20% - Accent6 10 9" xfId="19065"/>
    <cellStyle name="20% - Accent6 10 9 2" xfId="19066"/>
    <cellStyle name="20% - Accent6 10 9 2 2" xfId="19067"/>
    <cellStyle name="20% - Accent6 10 9 3" xfId="19068"/>
    <cellStyle name="20% - Accent6 11" xfId="19069"/>
    <cellStyle name="20% - Accent6 11 10" xfId="19070"/>
    <cellStyle name="20% - Accent6 11 10 2" xfId="19071"/>
    <cellStyle name="20% - Accent6 11 11" xfId="19072"/>
    <cellStyle name="20% - Accent6 11 2" xfId="19073"/>
    <cellStyle name="20% - Accent6 11 2 10" xfId="19074"/>
    <cellStyle name="20% - Accent6 11 2 2" xfId="19075"/>
    <cellStyle name="20% - Accent6 11 2 2 2" xfId="19076"/>
    <cellStyle name="20% - Accent6 11 2 2 2 2" xfId="19077"/>
    <cellStyle name="20% - Accent6 11 2 2 2 2 2" xfId="19078"/>
    <cellStyle name="20% - Accent6 11 2 2 2 2 2 2" xfId="19079"/>
    <cellStyle name="20% - Accent6 11 2 2 2 2 3" xfId="19080"/>
    <cellStyle name="20% - Accent6 11 2 2 2 3" xfId="19081"/>
    <cellStyle name="20% - Accent6 11 2 2 2 3 2" xfId="19082"/>
    <cellStyle name="20% - Accent6 11 2 2 2 4" xfId="19083"/>
    <cellStyle name="20% - Accent6 11 2 2 3" xfId="19084"/>
    <cellStyle name="20% - Accent6 11 2 2 3 2" xfId="19085"/>
    <cellStyle name="20% - Accent6 11 2 2 3 2 2" xfId="19086"/>
    <cellStyle name="20% - Accent6 11 2 2 3 3" xfId="19087"/>
    <cellStyle name="20% - Accent6 11 2 2 4" xfId="19088"/>
    <cellStyle name="20% - Accent6 11 2 2 4 2" xfId="19089"/>
    <cellStyle name="20% - Accent6 11 2 2 5" xfId="19090"/>
    <cellStyle name="20% - Accent6 11 2 3" xfId="19091"/>
    <cellStyle name="20% - Accent6 11 2 3 2" xfId="19092"/>
    <cellStyle name="20% - Accent6 11 2 3 2 2" xfId="19093"/>
    <cellStyle name="20% - Accent6 11 2 3 2 2 2" xfId="19094"/>
    <cellStyle name="20% - Accent6 11 2 3 2 2 2 2" xfId="19095"/>
    <cellStyle name="20% - Accent6 11 2 3 2 2 3" xfId="19096"/>
    <cellStyle name="20% - Accent6 11 2 3 2 3" xfId="19097"/>
    <cellStyle name="20% - Accent6 11 2 3 2 3 2" xfId="19098"/>
    <cellStyle name="20% - Accent6 11 2 3 2 4" xfId="19099"/>
    <cellStyle name="20% - Accent6 11 2 3 3" xfId="19100"/>
    <cellStyle name="20% - Accent6 11 2 3 3 2" xfId="19101"/>
    <cellStyle name="20% - Accent6 11 2 3 3 2 2" xfId="19102"/>
    <cellStyle name="20% - Accent6 11 2 3 3 3" xfId="19103"/>
    <cellStyle name="20% - Accent6 11 2 3 4" xfId="19104"/>
    <cellStyle name="20% - Accent6 11 2 3 4 2" xfId="19105"/>
    <cellStyle name="20% - Accent6 11 2 3 5" xfId="19106"/>
    <cellStyle name="20% - Accent6 11 2 4" xfId="19107"/>
    <cellStyle name="20% - Accent6 11 2 4 2" xfId="19108"/>
    <cellStyle name="20% - Accent6 11 2 4 2 2" xfId="19109"/>
    <cellStyle name="20% - Accent6 11 2 4 2 2 2" xfId="19110"/>
    <cellStyle name="20% - Accent6 11 2 4 2 2 2 2" xfId="19111"/>
    <cellStyle name="20% - Accent6 11 2 4 2 2 3" xfId="19112"/>
    <cellStyle name="20% - Accent6 11 2 4 2 3" xfId="19113"/>
    <cellStyle name="20% - Accent6 11 2 4 2 3 2" xfId="19114"/>
    <cellStyle name="20% - Accent6 11 2 4 2 4" xfId="19115"/>
    <cellStyle name="20% - Accent6 11 2 4 3" xfId="19116"/>
    <cellStyle name="20% - Accent6 11 2 4 3 2" xfId="19117"/>
    <cellStyle name="20% - Accent6 11 2 4 3 2 2" xfId="19118"/>
    <cellStyle name="20% - Accent6 11 2 4 3 3" xfId="19119"/>
    <cellStyle name="20% - Accent6 11 2 4 4" xfId="19120"/>
    <cellStyle name="20% - Accent6 11 2 4 4 2" xfId="19121"/>
    <cellStyle name="20% - Accent6 11 2 4 5" xfId="19122"/>
    <cellStyle name="20% - Accent6 11 2 5" xfId="19123"/>
    <cellStyle name="20% - Accent6 11 2 5 2" xfId="19124"/>
    <cellStyle name="20% - Accent6 11 2 5 2 2" xfId="19125"/>
    <cellStyle name="20% - Accent6 11 2 5 2 2 2" xfId="19126"/>
    <cellStyle name="20% - Accent6 11 2 5 2 2 2 2" xfId="19127"/>
    <cellStyle name="20% - Accent6 11 2 5 2 2 3" xfId="19128"/>
    <cellStyle name="20% - Accent6 11 2 5 2 3" xfId="19129"/>
    <cellStyle name="20% - Accent6 11 2 5 2 3 2" xfId="19130"/>
    <cellStyle name="20% - Accent6 11 2 5 2 4" xfId="19131"/>
    <cellStyle name="20% - Accent6 11 2 5 3" xfId="19132"/>
    <cellStyle name="20% - Accent6 11 2 5 3 2" xfId="19133"/>
    <cellStyle name="20% - Accent6 11 2 5 3 2 2" xfId="19134"/>
    <cellStyle name="20% - Accent6 11 2 5 3 3" xfId="19135"/>
    <cellStyle name="20% - Accent6 11 2 5 4" xfId="19136"/>
    <cellStyle name="20% - Accent6 11 2 5 4 2" xfId="19137"/>
    <cellStyle name="20% - Accent6 11 2 5 5" xfId="19138"/>
    <cellStyle name="20% - Accent6 11 2 6" xfId="19139"/>
    <cellStyle name="20% - Accent6 11 2 6 2" xfId="19140"/>
    <cellStyle name="20% - Accent6 11 2 6 2 2" xfId="19141"/>
    <cellStyle name="20% - Accent6 11 2 6 2 2 2" xfId="19142"/>
    <cellStyle name="20% - Accent6 11 2 6 2 2 2 2" xfId="19143"/>
    <cellStyle name="20% - Accent6 11 2 6 2 2 3" xfId="19144"/>
    <cellStyle name="20% - Accent6 11 2 6 2 3" xfId="19145"/>
    <cellStyle name="20% - Accent6 11 2 6 2 3 2" xfId="19146"/>
    <cellStyle name="20% - Accent6 11 2 6 2 4" xfId="19147"/>
    <cellStyle name="20% - Accent6 11 2 6 3" xfId="19148"/>
    <cellStyle name="20% - Accent6 11 2 6 3 2" xfId="19149"/>
    <cellStyle name="20% - Accent6 11 2 6 3 2 2" xfId="19150"/>
    <cellStyle name="20% - Accent6 11 2 6 3 3" xfId="19151"/>
    <cellStyle name="20% - Accent6 11 2 6 4" xfId="19152"/>
    <cellStyle name="20% - Accent6 11 2 6 4 2" xfId="19153"/>
    <cellStyle name="20% - Accent6 11 2 6 5" xfId="19154"/>
    <cellStyle name="20% - Accent6 11 2 7" xfId="19155"/>
    <cellStyle name="20% - Accent6 11 2 7 2" xfId="19156"/>
    <cellStyle name="20% - Accent6 11 2 7 2 2" xfId="19157"/>
    <cellStyle name="20% - Accent6 11 2 7 2 2 2" xfId="19158"/>
    <cellStyle name="20% - Accent6 11 2 7 2 3" xfId="19159"/>
    <cellStyle name="20% - Accent6 11 2 7 3" xfId="19160"/>
    <cellStyle name="20% - Accent6 11 2 7 3 2" xfId="19161"/>
    <cellStyle name="20% - Accent6 11 2 7 4" xfId="19162"/>
    <cellStyle name="20% - Accent6 11 2 8" xfId="19163"/>
    <cellStyle name="20% - Accent6 11 2 8 2" xfId="19164"/>
    <cellStyle name="20% - Accent6 11 2 8 2 2" xfId="19165"/>
    <cellStyle name="20% - Accent6 11 2 8 3" xfId="19166"/>
    <cellStyle name="20% - Accent6 11 2 9" xfId="19167"/>
    <cellStyle name="20% - Accent6 11 2 9 2" xfId="19168"/>
    <cellStyle name="20% - Accent6 11 3" xfId="19169"/>
    <cellStyle name="20% - Accent6 11 3 2" xfId="19170"/>
    <cellStyle name="20% - Accent6 11 3 2 2" xfId="19171"/>
    <cellStyle name="20% - Accent6 11 3 2 2 2" xfId="19172"/>
    <cellStyle name="20% - Accent6 11 3 2 2 2 2" xfId="19173"/>
    <cellStyle name="20% - Accent6 11 3 2 2 3" xfId="19174"/>
    <cellStyle name="20% - Accent6 11 3 2 3" xfId="19175"/>
    <cellStyle name="20% - Accent6 11 3 2 3 2" xfId="19176"/>
    <cellStyle name="20% - Accent6 11 3 2 4" xfId="19177"/>
    <cellStyle name="20% - Accent6 11 3 3" xfId="19178"/>
    <cellStyle name="20% - Accent6 11 3 3 2" xfId="19179"/>
    <cellStyle name="20% - Accent6 11 3 3 2 2" xfId="19180"/>
    <cellStyle name="20% - Accent6 11 3 3 3" xfId="19181"/>
    <cellStyle name="20% - Accent6 11 3 4" xfId="19182"/>
    <cellStyle name="20% - Accent6 11 3 4 2" xfId="19183"/>
    <cellStyle name="20% - Accent6 11 3 5" xfId="19184"/>
    <cellStyle name="20% - Accent6 11 4" xfId="19185"/>
    <cellStyle name="20% - Accent6 11 4 2" xfId="19186"/>
    <cellStyle name="20% - Accent6 11 4 2 2" xfId="19187"/>
    <cellStyle name="20% - Accent6 11 4 2 2 2" xfId="19188"/>
    <cellStyle name="20% - Accent6 11 4 2 2 2 2" xfId="19189"/>
    <cellStyle name="20% - Accent6 11 4 2 2 3" xfId="19190"/>
    <cellStyle name="20% - Accent6 11 4 2 3" xfId="19191"/>
    <cellStyle name="20% - Accent6 11 4 2 3 2" xfId="19192"/>
    <cellStyle name="20% - Accent6 11 4 2 4" xfId="19193"/>
    <cellStyle name="20% - Accent6 11 4 3" xfId="19194"/>
    <cellStyle name="20% - Accent6 11 4 3 2" xfId="19195"/>
    <cellStyle name="20% - Accent6 11 4 3 2 2" xfId="19196"/>
    <cellStyle name="20% - Accent6 11 4 3 3" xfId="19197"/>
    <cellStyle name="20% - Accent6 11 4 4" xfId="19198"/>
    <cellStyle name="20% - Accent6 11 4 4 2" xfId="19199"/>
    <cellStyle name="20% - Accent6 11 4 5" xfId="19200"/>
    <cellStyle name="20% - Accent6 11 5" xfId="19201"/>
    <cellStyle name="20% - Accent6 11 5 2" xfId="19202"/>
    <cellStyle name="20% - Accent6 11 5 2 2" xfId="19203"/>
    <cellStyle name="20% - Accent6 11 5 2 2 2" xfId="19204"/>
    <cellStyle name="20% - Accent6 11 5 2 2 2 2" xfId="19205"/>
    <cellStyle name="20% - Accent6 11 5 2 2 3" xfId="19206"/>
    <cellStyle name="20% - Accent6 11 5 2 3" xfId="19207"/>
    <cellStyle name="20% - Accent6 11 5 2 3 2" xfId="19208"/>
    <cellStyle name="20% - Accent6 11 5 2 4" xfId="19209"/>
    <cellStyle name="20% - Accent6 11 5 3" xfId="19210"/>
    <cellStyle name="20% - Accent6 11 5 3 2" xfId="19211"/>
    <cellStyle name="20% - Accent6 11 5 3 2 2" xfId="19212"/>
    <cellStyle name="20% - Accent6 11 5 3 3" xfId="19213"/>
    <cellStyle name="20% - Accent6 11 5 4" xfId="19214"/>
    <cellStyle name="20% - Accent6 11 5 4 2" xfId="19215"/>
    <cellStyle name="20% - Accent6 11 5 5" xfId="19216"/>
    <cellStyle name="20% - Accent6 11 6" xfId="19217"/>
    <cellStyle name="20% - Accent6 11 6 2" xfId="19218"/>
    <cellStyle name="20% - Accent6 11 6 2 2" xfId="19219"/>
    <cellStyle name="20% - Accent6 11 6 2 2 2" xfId="19220"/>
    <cellStyle name="20% - Accent6 11 6 2 2 2 2" xfId="19221"/>
    <cellStyle name="20% - Accent6 11 6 2 2 3" xfId="19222"/>
    <cellStyle name="20% - Accent6 11 6 2 3" xfId="19223"/>
    <cellStyle name="20% - Accent6 11 6 2 3 2" xfId="19224"/>
    <cellStyle name="20% - Accent6 11 6 2 4" xfId="19225"/>
    <cellStyle name="20% - Accent6 11 6 3" xfId="19226"/>
    <cellStyle name="20% - Accent6 11 6 3 2" xfId="19227"/>
    <cellStyle name="20% - Accent6 11 6 3 2 2" xfId="19228"/>
    <cellStyle name="20% - Accent6 11 6 3 3" xfId="19229"/>
    <cellStyle name="20% - Accent6 11 6 4" xfId="19230"/>
    <cellStyle name="20% - Accent6 11 6 4 2" xfId="19231"/>
    <cellStyle name="20% - Accent6 11 6 5" xfId="19232"/>
    <cellStyle name="20% - Accent6 11 7" xfId="19233"/>
    <cellStyle name="20% - Accent6 11 7 2" xfId="19234"/>
    <cellStyle name="20% - Accent6 11 7 2 2" xfId="19235"/>
    <cellStyle name="20% - Accent6 11 7 2 2 2" xfId="19236"/>
    <cellStyle name="20% - Accent6 11 7 2 2 2 2" xfId="19237"/>
    <cellStyle name="20% - Accent6 11 7 2 2 3" xfId="19238"/>
    <cellStyle name="20% - Accent6 11 7 2 3" xfId="19239"/>
    <cellStyle name="20% - Accent6 11 7 2 3 2" xfId="19240"/>
    <cellStyle name="20% - Accent6 11 7 2 4" xfId="19241"/>
    <cellStyle name="20% - Accent6 11 7 3" xfId="19242"/>
    <cellStyle name="20% - Accent6 11 7 3 2" xfId="19243"/>
    <cellStyle name="20% - Accent6 11 7 3 2 2" xfId="19244"/>
    <cellStyle name="20% - Accent6 11 7 3 3" xfId="19245"/>
    <cellStyle name="20% - Accent6 11 7 4" xfId="19246"/>
    <cellStyle name="20% - Accent6 11 7 4 2" xfId="19247"/>
    <cellStyle name="20% - Accent6 11 7 5" xfId="19248"/>
    <cellStyle name="20% - Accent6 11 8" xfId="19249"/>
    <cellStyle name="20% - Accent6 11 8 2" xfId="19250"/>
    <cellStyle name="20% - Accent6 11 8 2 2" xfId="19251"/>
    <cellStyle name="20% - Accent6 11 8 2 2 2" xfId="19252"/>
    <cellStyle name="20% - Accent6 11 8 2 3" xfId="19253"/>
    <cellStyle name="20% - Accent6 11 8 3" xfId="19254"/>
    <cellStyle name="20% - Accent6 11 8 3 2" xfId="19255"/>
    <cellStyle name="20% - Accent6 11 8 4" xfId="19256"/>
    <cellStyle name="20% - Accent6 11 9" xfId="19257"/>
    <cellStyle name="20% - Accent6 11 9 2" xfId="19258"/>
    <cellStyle name="20% - Accent6 11 9 2 2" xfId="19259"/>
    <cellStyle name="20% - Accent6 11 9 3" xfId="19260"/>
    <cellStyle name="20% - Accent6 12" xfId="19261"/>
    <cellStyle name="20% - Accent6 12 10" xfId="19262"/>
    <cellStyle name="20% - Accent6 12 2" xfId="19263"/>
    <cellStyle name="20% - Accent6 12 2 2" xfId="19264"/>
    <cellStyle name="20% - Accent6 12 2 2 2" xfId="19265"/>
    <cellStyle name="20% - Accent6 12 2 2 2 2" xfId="19266"/>
    <cellStyle name="20% - Accent6 12 2 2 2 2 2" xfId="19267"/>
    <cellStyle name="20% - Accent6 12 2 2 2 3" xfId="19268"/>
    <cellStyle name="20% - Accent6 12 2 2 3" xfId="19269"/>
    <cellStyle name="20% - Accent6 12 2 2 3 2" xfId="19270"/>
    <cellStyle name="20% - Accent6 12 2 2 4" xfId="19271"/>
    <cellStyle name="20% - Accent6 12 2 3" xfId="19272"/>
    <cellStyle name="20% - Accent6 12 2 3 2" xfId="19273"/>
    <cellStyle name="20% - Accent6 12 2 3 2 2" xfId="19274"/>
    <cellStyle name="20% - Accent6 12 2 3 3" xfId="19275"/>
    <cellStyle name="20% - Accent6 12 2 4" xfId="19276"/>
    <cellStyle name="20% - Accent6 12 2 4 2" xfId="19277"/>
    <cellStyle name="20% - Accent6 12 2 5" xfId="19278"/>
    <cellStyle name="20% - Accent6 12 3" xfId="19279"/>
    <cellStyle name="20% - Accent6 12 3 2" xfId="19280"/>
    <cellStyle name="20% - Accent6 12 3 2 2" xfId="19281"/>
    <cellStyle name="20% - Accent6 12 3 2 2 2" xfId="19282"/>
    <cellStyle name="20% - Accent6 12 3 2 2 2 2" xfId="19283"/>
    <cellStyle name="20% - Accent6 12 3 2 2 3" xfId="19284"/>
    <cellStyle name="20% - Accent6 12 3 2 3" xfId="19285"/>
    <cellStyle name="20% - Accent6 12 3 2 3 2" xfId="19286"/>
    <cellStyle name="20% - Accent6 12 3 2 4" xfId="19287"/>
    <cellStyle name="20% - Accent6 12 3 3" xfId="19288"/>
    <cellStyle name="20% - Accent6 12 3 3 2" xfId="19289"/>
    <cellStyle name="20% - Accent6 12 3 3 2 2" xfId="19290"/>
    <cellStyle name="20% - Accent6 12 3 3 3" xfId="19291"/>
    <cellStyle name="20% - Accent6 12 3 4" xfId="19292"/>
    <cellStyle name="20% - Accent6 12 3 4 2" xfId="19293"/>
    <cellStyle name="20% - Accent6 12 3 5" xfId="19294"/>
    <cellStyle name="20% - Accent6 12 4" xfId="19295"/>
    <cellStyle name="20% - Accent6 12 4 2" xfId="19296"/>
    <cellStyle name="20% - Accent6 12 4 2 2" xfId="19297"/>
    <cellStyle name="20% - Accent6 12 4 2 2 2" xfId="19298"/>
    <cellStyle name="20% - Accent6 12 4 2 2 2 2" xfId="19299"/>
    <cellStyle name="20% - Accent6 12 4 2 2 3" xfId="19300"/>
    <cellStyle name="20% - Accent6 12 4 2 3" xfId="19301"/>
    <cellStyle name="20% - Accent6 12 4 2 3 2" xfId="19302"/>
    <cellStyle name="20% - Accent6 12 4 2 4" xfId="19303"/>
    <cellStyle name="20% - Accent6 12 4 3" xfId="19304"/>
    <cellStyle name="20% - Accent6 12 4 3 2" xfId="19305"/>
    <cellStyle name="20% - Accent6 12 4 3 2 2" xfId="19306"/>
    <cellStyle name="20% - Accent6 12 4 3 3" xfId="19307"/>
    <cellStyle name="20% - Accent6 12 4 4" xfId="19308"/>
    <cellStyle name="20% - Accent6 12 4 4 2" xfId="19309"/>
    <cellStyle name="20% - Accent6 12 4 5" xfId="19310"/>
    <cellStyle name="20% - Accent6 12 5" xfId="19311"/>
    <cellStyle name="20% - Accent6 12 5 2" xfId="19312"/>
    <cellStyle name="20% - Accent6 12 5 2 2" xfId="19313"/>
    <cellStyle name="20% - Accent6 12 5 2 2 2" xfId="19314"/>
    <cellStyle name="20% - Accent6 12 5 2 2 2 2" xfId="19315"/>
    <cellStyle name="20% - Accent6 12 5 2 2 3" xfId="19316"/>
    <cellStyle name="20% - Accent6 12 5 2 3" xfId="19317"/>
    <cellStyle name="20% - Accent6 12 5 2 3 2" xfId="19318"/>
    <cellStyle name="20% - Accent6 12 5 2 4" xfId="19319"/>
    <cellStyle name="20% - Accent6 12 5 3" xfId="19320"/>
    <cellStyle name="20% - Accent6 12 5 3 2" xfId="19321"/>
    <cellStyle name="20% - Accent6 12 5 3 2 2" xfId="19322"/>
    <cellStyle name="20% - Accent6 12 5 3 3" xfId="19323"/>
    <cellStyle name="20% - Accent6 12 5 4" xfId="19324"/>
    <cellStyle name="20% - Accent6 12 5 4 2" xfId="19325"/>
    <cellStyle name="20% - Accent6 12 5 5" xfId="19326"/>
    <cellStyle name="20% - Accent6 12 6" xfId="19327"/>
    <cellStyle name="20% - Accent6 12 6 2" xfId="19328"/>
    <cellStyle name="20% - Accent6 12 6 2 2" xfId="19329"/>
    <cellStyle name="20% - Accent6 12 6 2 2 2" xfId="19330"/>
    <cellStyle name="20% - Accent6 12 6 2 2 2 2" xfId="19331"/>
    <cellStyle name="20% - Accent6 12 6 2 2 3" xfId="19332"/>
    <cellStyle name="20% - Accent6 12 6 2 3" xfId="19333"/>
    <cellStyle name="20% - Accent6 12 6 2 3 2" xfId="19334"/>
    <cellStyle name="20% - Accent6 12 6 2 4" xfId="19335"/>
    <cellStyle name="20% - Accent6 12 6 3" xfId="19336"/>
    <cellStyle name="20% - Accent6 12 6 3 2" xfId="19337"/>
    <cellStyle name="20% - Accent6 12 6 3 2 2" xfId="19338"/>
    <cellStyle name="20% - Accent6 12 6 3 3" xfId="19339"/>
    <cellStyle name="20% - Accent6 12 6 4" xfId="19340"/>
    <cellStyle name="20% - Accent6 12 6 4 2" xfId="19341"/>
    <cellStyle name="20% - Accent6 12 6 5" xfId="19342"/>
    <cellStyle name="20% - Accent6 12 7" xfId="19343"/>
    <cellStyle name="20% - Accent6 12 7 2" xfId="19344"/>
    <cellStyle name="20% - Accent6 12 7 2 2" xfId="19345"/>
    <cellStyle name="20% - Accent6 12 7 2 2 2" xfId="19346"/>
    <cellStyle name="20% - Accent6 12 7 2 3" xfId="19347"/>
    <cellStyle name="20% - Accent6 12 7 3" xfId="19348"/>
    <cellStyle name="20% - Accent6 12 7 3 2" xfId="19349"/>
    <cellStyle name="20% - Accent6 12 7 4" xfId="19350"/>
    <cellStyle name="20% - Accent6 12 8" xfId="19351"/>
    <cellStyle name="20% - Accent6 12 8 2" xfId="19352"/>
    <cellStyle name="20% - Accent6 12 8 2 2" xfId="19353"/>
    <cellStyle name="20% - Accent6 12 8 3" xfId="19354"/>
    <cellStyle name="20% - Accent6 12 9" xfId="19355"/>
    <cellStyle name="20% - Accent6 12 9 2" xfId="19356"/>
    <cellStyle name="20% - Accent6 13" xfId="19357"/>
    <cellStyle name="20% - Accent6 13 10" xfId="19358"/>
    <cellStyle name="20% - Accent6 13 2" xfId="19359"/>
    <cellStyle name="20% - Accent6 13 2 2" xfId="19360"/>
    <cellStyle name="20% - Accent6 13 2 2 2" xfId="19361"/>
    <cellStyle name="20% - Accent6 13 2 2 2 2" xfId="19362"/>
    <cellStyle name="20% - Accent6 13 2 2 2 2 2" xfId="19363"/>
    <cellStyle name="20% - Accent6 13 2 2 2 3" xfId="19364"/>
    <cellStyle name="20% - Accent6 13 2 2 3" xfId="19365"/>
    <cellStyle name="20% - Accent6 13 2 2 3 2" xfId="19366"/>
    <cellStyle name="20% - Accent6 13 2 2 4" xfId="19367"/>
    <cellStyle name="20% - Accent6 13 2 3" xfId="19368"/>
    <cellStyle name="20% - Accent6 13 2 3 2" xfId="19369"/>
    <cellStyle name="20% - Accent6 13 2 3 2 2" xfId="19370"/>
    <cellStyle name="20% - Accent6 13 2 3 3" xfId="19371"/>
    <cellStyle name="20% - Accent6 13 2 4" xfId="19372"/>
    <cellStyle name="20% - Accent6 13 2 4 2" xfId="19373"/>
    <cellStyle name="20% - Accent6 13 2 5" xfId="19374"/>
    <cellStyle name="20% - Accent6 13 3" xfId="19375"/>
    <cellStyle name="20% - Accent6 13 3 2" xfId="19376"/>
    <cellStyle name="20% - Accent6 13 3 2 2" xfId="19377"/>
    <cellStyle name="20% - Accent6 13 3 2 2 2" xfId="19378"/>
    <cellStyle name="20% - Accent6 13 3 2 2 2 2" xfId="19379"/>
    <cellStyle name="20% - Accent6 13 3 2 2 3" xfId="19380"/>
    <cellStyle name="20% - Accent6 13 3 2 3" xfId="19381"/>
    <cellStyle name="20% - Accent6 13 3 2 3 2" xfId="19382"/>
    <cellStyle name="20% - Accent6 13 3 2 4" xfId="19383"/>
    <cellStyle name="20% - Accent6 13 3 3" xfId="19384"/>
    <cellStyle name="20% - Accent6 13 3 3 2" xfId="19385"/>
    <cellStyle name="20% - Accent6 13 3 3 2 2" xfId="19386"/>
    <cellStyle name="20% - Accent6 13 3 3 3" xfId="19387"/>
    <cellStyle name="20% - Accent6 13 3 4" xfId="19388"/>
    <cellStyle name="20% - Accent6 13 3 4 2" xfId="19389"/>
    <cellStyle name="20% - Accent6 13 3 5" xfId="19390"/>
    <cellStyle name="20% - Accent6 13 4" xfId="19391"/>
    <cellStyle name="20% - Accent6 13 4 2" xfId="19392"/>
    <cellStyle name="20% - Accent6 13 4 2 2" xfId="19393"/>
    <cellStyle name="20% - Accent6 13 4 2 2 2" xfId="19394"/>
    <cellStyle name="20% - Accent6 13 4 2 2 2 2" xfId="19395"/>
    <cellStyle name="20% - Accent6 13 4 2 2 3" xfId="19396"/>
    <cellStyle name="20% - Accent6 13 4 2 3" xfId="19397"/>
    <cellStyle name="20% - Accent6 13 4 2 3 2" xfId="19398"/>
    <cellStyle name="20% - Accent6 13 4 2 4" xfId="19399"/>
    <cellStyle name="20% - Accent6 13 4 3" xfId="19400"/>
    <cellStyle name="20% - Accent6 13 4 3 2" xfId="19401"/>
    <cellStyle name="20% - Accent6 13 4 3 2 2" xfId="19402"/>
    <cellStyle name="20% - Accent6 13 4 3 3" xfId="19403"/>
    <cellStyle name="20% - Accent6 13 4 4" xfId="19404"/>
    <cellStyle name="20% - Accent6 13 4 4 2" xfId="19405"/>
    <cellStyle name="20% - Accent6 13 4 5" xfId="19406"/>
    <cellStyle name="20% - Accent6 13 5" xfId="19407"/>
    <cellStyle name="20% - Accent6 13 5 2" xfId="19408"/>
    <cellStyle name="20% - Accent6 13 5 2 2" xfId="19409"/>
    <cellStyle name="20% - Accent6 13 5 2 2 2" xfId="19410"/>
    <cellStyle name="20% - Accent6 13 5 2 2 2 2" xfId="19411"/>
    <cellStyle name="20% - Accent6 13 5 2 2 3" xfId="19412"/>
    <cellStyle name="20% - Accent6 13 5 2 3" xfId="19413"/>
    <cellStyle name="20% - Accent6 13 5 2 3 2" xfId="19414"/>
    <cellStyle name="20% - Accent6 13 5 2 4" xfId="19415"/>
    <cellStyle name="20% - Accent6 13 5 3" xfId="19416"/>
    <cellStyle name="20% - Accent6 13 5 3 2" xfId="19417"/>
    <cellStyle name="20% - Accent6 13 5 3 2 2" xfId="19418"/>
    <cellStyle name="20% - Accent6 13 5 3 3" xfId="19419"/>
    <cellStyle name="20% - Accent6 13 5 4" xfId="19420"/>
    <cellStyle name="20% - Accent6 13 5 4 2" xfId="19421"/>
    <cellStyle name="20% - Accent6 13 5 5" xfId="19422"/>
    <cellStyle name="20% - Accent6 13 6" xfId="19423"/>
    <cellStyle name="20% - Accent6 13 6 2" xfId="19424"/>
    <cellStyle name="20% - Accent6 13 6 2 2" xfId="19425"/>
    <cellStyle name="20% - Accent6 13 6 2 2 2" xfId="19426"/>
    <cellStyle name="20% - Accent6 13 6 2 2 2 2" xfId="19427"/>
    <cellStyle name="20% - Accent6 13 6 2 2 3" xfId="19428"/>
    <cellStyle name="20% - Accent6 13 6 2 3" xfId="19429"/>
    <cellStyle name="20% - Accent6 13 6 2 3 2" xfId="19430"/>
    <cellStyle name="20% - Accent6 13 6 2 4" xfId="19431"/>
    <cellStyle name="20% - Accent6 13 6 3" xfId="19432"/>
    <cellStyle name="20% - Accent6 13 6 3 2" xfId="19433"/>
    <cellStyle name="20% - Accent6 13 6 3 2 2" xfId="19434"/>
    <cellStyle name="20% - Accent6 13 6 3 3" xfId="19435"/>
    <cellStyle name="20% - Accent6 13 6 4" xfId="19436"/>
    <cellStyle name="20% - Accent6 13 6 4 2" xfId="19437"/>
    <cellStyle name="20% - Accent6 13 6 5" xfId="19438"/>
    <cellStyle name="20% - Accent6 13 7" xfId="19439"/>
    <cellStyle name="20% - Accent6 13 7 2" xfId="19440"/>
    <cellStyle name="20% - Accent6 13 7 2 2" xfId="19441"/>
    <cellStyle name="20% - Accent6 13 7 2 2 2" xfId="19442"/>
    <cellStyle name="20% - Accent6 13 7 2 3" xfId="19443"/>
    <cellStyle name="20% - Accent6 13 7 3" xfId="19444"/>
    <cellStyle name="20% - Accent6 13 7 3 2" xfId="19445"/>
    <cellStyle name="20% - Accent6 13 7 4" xfId="19446"/>
    <cellStyle name="20% - Accent6 13 8" xfId="19447"/>
    <cellStyle name="20% - Accent6 13 8 2" xfId="19448"/>
    <cellStyle name="20% - Accent6 13 8 2 2" xfId="19449"/>
    <cellStyle name="20% - Accent6 13 8 3" xfId="19450"/>
    <cellStyle name="20% - Accent6 13 9" xfId="19451"/>
    <cellStyle name="20% - Accent6 13 9 2" xfId="19452"/>
    <cellStyle name="20% - Accent6 14" xfId="19453"/>
    <cellStyle name="20% - Accent6 14 2" xfId="19454"/>
    <cellStyle name="20% - Accent6 14 2 2" xfId="19455"/>
    <cellStyle name="20% - Accent6 14 2 2 2" xfId="19456"/>
    <cellStyle name="20% - Accent6 14 2 2 2 2" xfId="19457"/>
    <cellStyle name="20% - Accent6 14 2 2 3" xfId="19458"/>
    <cellStyle name="20% - Accent6 14 2 3" xfId="19459"/>
    <cellStyle name="20% - Accent6 14 2 3 2" xfId="19460"/>
    <cellStyle name="20% - Accent6 14 2 4" xfId="19461"/>
    <cellStyle name="20% - Accent6 14 3" xfId="19462"/>
    <cellStyle name="20% - Accent6 14 3 2" xfId="19463"/>
    <cellStyle name="20% - Accent6 14 3 2 2" xfId="19464"/>
    <cellStyle name="20% - Accent6 14 3 3" xfId="19465"/>
    <cellStyle name="20% - Accent6 14 4" xfId="19466"/>
    <cellStyle name="20% - Accent6 14 4 2" xfId="19467"/>
    <cellStyle name="20% - Accent6 14 5" xfId="19468"/>
    <cellStyle name="20% - Accent6 15" xfId="19469"/>
    <cellStyle name="20% - Accent6 15 2" xfId="19470"/>
    <cellStyle name="20% - Accent6 15 2 2" xfId="19471"/>
    <cellStyle name="20% - Accent6 15 2 2 2" xfId="19472"/>
    <cellStyle name="20% - Accent6 15 2 2 2 2" xfId="19473"/>
    <cellStyle name="20% - Accent6 15 2 2 3" xfId="19474"/>
    <cellStyle name="20% - Accent6 15 2 3" xfId="19475"/>
    <cellStyle name="20% - Accent6 15 2 3 2" xfId="19476"/>
    <cellStyle name="20% - Accent6 15 2 4" xfId="19477"/>
    <cellStyle name="20% - Accent6 15 3" xfId="19478"/>
    <cellStyle name="20% - Accent6 15 3 2" xfId="19479"/>
    <cellStyle name="20% - Accent6 15 3 2 2" xfId="19480"/>
    <cellStyle name="20% - Accent6 15 3 3" xfId="19481"/>
    <cellStyle name="20% - Accent6 15 4" xfId="19482"/>
    <cellStyle name="20% - Accent6 15 4 2" xfId="19483"/>
    <cellStyle name="20% - Accent6 15 5" xfId="19484"/>
    <cellStyle name="20% - Accent6 16" xfId="19485"/>
    <cellStyle name="20% - Accent6 16 2" xfId="19486"/>
    <cellStyle name="20% - Accent6 16 2 2" xfId="19487"/>
    <cellStyle name="20% - Accent6 16 2 2 2" xfId="19488"/>
    <cellStyle name="20% - Accent6 16 2 2 2 2" xfId="19489"/>
    <cellStyle name="20% - Accent6 16 2 2 3" xfId="19490"/>
    <cellStyle name="20% - Accent6 16 2 3" xfId="19491"/>
    <cellStyle name="20% - Accent6 16 2 3 2" xfId="19492"/>
    <cellStyle name="20% - Accent6 16 2 4" xfId="19493"/>
    <cellStyle name="20% - Accent6 16 3" xfId="19494"/>
    <cellStyle name="20% - Accent6 16 3 2" xfId="19495"/>
    <cellStyle name="20% - Accent6 16 3 2 2" xfId="19496"/>
    <cellStyle name="20% - Accent6 16 3 3" xfId="19497"/>
    <cellStyle name="20% - Accent6 16 4" xfId="19498"/>
    <cellStyle name="20% - Accent6 16 4 2" xfId="19499"/>
    <cellStyle name="20% - Accent6 16 5" xfId="19500"/>
    <cellStyle name="20% - Accent6 17" xfId="19501"/>
    <cellStyle name="20% - Accent6 17 2" xfId="19502"/>
    <cellStyle name="20% - Accent6 17 2 2" xfId="19503"/>
    <cellStyle name="20% - Accent6 17 2 2 2" xfId="19504"/>
    <cellStyle name="20% - Accent6 17 2 2 2 2" xfId="19505"/>
    <cellStyle name="20% - Accent6 17 2 2 3" xfId="19506"/>
    <cellStyle name="20% - Accent6 17 2 3" xfId="19507"/>
    <cellStyle name="20% - Accent6 17 2 3 2" xfId="19508"/>
    <cellStyle name="20% - Accent6 17 2 4" xfId="19509"/>
    <cellStyle name="20% - Accent6 17 3" xfId="19510"/>
    <cellStyle name="20% - Accent6 17 3 2" xfId="19511"/>
    <cellStyle name="20% - Accent6 17 3 2 2" xfId="19512"/>
    <cellStyle name="20% - Accent6 17 3 3" xfId="19513"/>
    <cellStyle name="20% - Accent6 17 4" xfId="19514"/>
    <cellStyle name="20% - Accent6 17 4 2" xfId="19515"/>
    <cellStyle name="20% - Accent6 17 5" xfId="19516"/>
    <cellStyle name="20% - Accent6 18" xfId="19517"/>
    <cellStyle name="20% - Accent6 18 2" xfId="19518"/>
    <cellStyle name="20% - Accent6 18 2 2" xfId="19519"/>
    <cellStyle name="20% - Accent6 18 2 2 2" xfId="19520"/>
    <cellStyle name="20% - Accent6 18 2 2 2 2" xfId="19521"/>
    <cellStyle name="20% - Accent6 18 2 2 3" xfId="19522"/>
    <cellStyle name="20% - Accent6 18 2 3" xfId="19523"/>
    <cellStyle name="20% - Accent6 18 2 3 2" xfId="19524"/>
    <cellStyle name="20% - Accent6 18 2 4" xfId="19525"/>
    <cellStyle name="20% - Accent6 18 3" xfId="19526"/>
    <cellStyle name="20% - Accent6 18 3 2" xfId="19527"/>
    <cellStyle name="20% - Accent6 18 3 2 2" xfId="19528"/>
    <cellStyle name="20% - Accent6 18 3 3" xfId="19529"/>
    <cellStyle name="20% - Accent6 18 4" xfId="19530"/>
    <cellStyle name="20% - Accent6 18 4 2" xfId="19531"/>
    <cellStyle name="20% - Accent6 18 5" xfId="19532"/>
    <cellStyle name="20% - Accent6 19" xfId="19533"/>
    <cellStyle name="20% - Accent6 19 2" xfId="19534"/>
    <cellStyle name="20% - Accent6 19 2 2" xfId="19535"/>
    <cellStyle name="20% - Accent6 19 2 2 2" xfId="19536"/>
    <cellStyle name="20% - Accent6 19 2 2 2 2" xfId="19537"/>
    <cellStyle name="20% - Accent6 19 2 2 3" xfId="19538"/>
    <cellStyle name="20% - Accent6 19 2 3" xfId="19539"/>
    <cellStyle name="20% - Accent6 19 2 3 2" xfId="19540"/>
    <cellStyle name="20% - Accent6 19 2 4" xfId="19541"/>
    <cellStyle name="20% - Accent6 19 3" xfId="19542"/>
    <cellStyle name="20% - Accent6 19 3 2" xfId="19543"/>
    <cellStyle name="20% - Accent6 19 3 2 2" xfId="19544"/>
    <cellStyle name="20% - Accent6 19 3 3" xfId="19545"/>
    <cellStyle name="20% - Accent6 19 4" xfId="19546"/>
    <cellStyle name="20% - Accent6 19 4 2" xfId="19547"/>
    <cellStyle name="20% - Accent6 19 5" xfId="19548"/>
    <cellStyle name="20% - Accent6 2" xfId="19549"/>
    <cellStyle name="20% - Accent6 2 10" xfId="19550"/>
    <cellStyle name="20% - Accent6 2 10 10" xfId="19551"/>
    <cellStyle name="20% - Accent6 2 10 2" xfId="19552"/>
    <cellStyle name="20% - Accent6 2 10 2 2" xfId="19553"/>
    <cellStyle name="20% - Accent6 2 10 2 2 2" xfId="19554"/>
    <cellStyle name="20% - Accent6 2 10 2 2 2 2" xfId="19555"/>
    <cellStyle name="20% - Accent6 2 10 2 2 2 2 2" xfId="19556"/>
    <cellStyle name="20% - Accent6 2 10 2 2 2 3" xfId="19557"/>
    <cellStyle name="20% - Accent6 2 10 2 2 3" xfId="19558"/>
    <cellStyle name="20% - Accent6 2 10 2 2 3 2" xfId="19559"/>
    <cellStyle name="20% - Accent6 2 10 2 2 4" xfId="19560"/>
    <cellStyle name="20% - Accent6 2 10 2 3" xfId="19561"/>
    <cellStyle name="20% - Accent6 2 10 2 3 2" xfId="19562"/>
    <cellStyle name="20% - Accent6 2 10 2 3 2 2" xfId="19563"/>
    <cellStyle name="20% - Accent6 2 10 2 3 3" xfId="19564"/>
    <cellStyle name="20% - Accent6 2 10 2 4" xfId="19565"/>
    <cellStyle name="20% - Accent6 2 10 2 4 2" xfId="19566"/>
    <cellStyle name="20% - Accent6 2 10 2 5" xfId="19567"/>
    <cellStyle name="20% - Accent6 2 10 3" xfId="19568"/>
    <cellStyle name="20% - Accent6 2 10 3 2" xfId="19569"/>
    <cellStyle name="20% - Accent6 2 10 3 2 2" xfId="19570"/>
    <cellStyle name="20% - Accent6 2 10 3 2 2 2" xfId="19571"/>
    <cellStyle name="20% - Accent6 2 10 3 2 2 2 2" xfId="19572"/>
    <cellStyle name="20% - Accent6 2 10 3 2 2 3" xfId="19573"/>
    <cellStyle name="20% - Accent6 2 10 3 2 3" xfId="19574"/>
    <cellStyle name="20% - Accent6 2 10 3 2 3 2" xfId="19575"/>
    <cellStyle name="20% - Accent6 2 10 3 2 4" xfId="19576"/>
    <cellStyle name="20% - Accent6 2 10 3 3" xfId="19577"/>
    <cellStyle name="20% - Accent6 2 10 3 3 2" xfId="19578"/>
    <cellStyle name="20% - Accent6 2 10 3 3 2 2" xfId="19579"/>
    <cellStyle name="20% - Accent6 2 10 3 3 3" xfId="19580"/>
    <cellStyle name="20% - Accent6 2 10 3 4" xfId="19581"/>
    <cellStyle name="20% - Accent6 2 10 3 4 2" xfId="19582"/>
    <cellStyle name="20% - Accent6 2 10 3 5" xfId="19583"/>
    <cellStyle name="20% - Accent6 2 10 4" xfId="19584"/>
    <cellStyle name="20% - Accent6 2 10 4 2" xfId="19585"/>
    <cellStyle name="20% - Accent6 2 10 4 2 2" xfId="19586"/>
    <cellStyle name="20% - Accent6 2 10 4 2 2 2" xfId="19587"/>
    <cellStyle name="20% - Accent6 2 10 4 2 2 2 2" xfId="19588"/>
    <cellStyle name="20% - Accent6 2 10 4 2 2 3" xfId="19589"/>
    <cellStyle name="20% - Accent6 2 10 4 2 3" xfId="19590"/>
    <cellStyle name="20% - Accent6 2 10 4 2 3 2" xfId="19591"/>
    <cellStyle name="20% - Accent6 2 10 4 2 4" xfId="19592"/>
    <cellStyle name="20% - Accent6 2 10 4 3" xfId="19593"/>
    <cellStyle name="20% - Accent6 2 10 4 3 2" xfId="19594"/>
    <cellStyle name="20% - Accent6 2 10 4 3 2 2" xfId="19595"/>
    <cellStyle name="20% - Accent6 2 10 4 3 3" xfId="19596"/>
    <cellStyle name="20% - Accent6 2 10 4 4" xfId="19597"/>
    <cellStyle name="20% - Accent6 2 10 4 4 2" xfId="19598"/>
    <cellStyle name="20% - Accent6 2 10 4 5" xfId="19599"/>
    <cellStyle name="20% - Accent6 2 10 5" xfId="19600"/>
    <cellStyle name="20% - Accent6 2 10 5 2" xfId="19601"/>
    <cellStyle name="20% - Accent6 2 10 5 2 2" xfId="19602"/>
    <cellStyle name="20% - Accent6 2 10 5 2 2 2" xfId="19603"/>
    <cellStyle name="20% - Accent6 2 10 5 2 2 2 2" xfId="19604"/>
    <cellStyle name="20% - Accent6 2 10 5 2 2 3" xfId="19605"/>
    <cellStyle name="20% - Accent6 2 10 5 2 3" xfId="19606"/>
    <cellStyle name="20% - Accent6 2 10 5 2 3 2" xfId="19607"/>
    <cellStyle name="20% - Accent6 2 10 5 2 4" xfId="19608"/>
    <cellStyle name="20% - Accent6 2 10 5 3" xfId="19609"/>
    <cellStyle name="20% - Accent6 2 10 5 3 2" xfId="19610"/>
    <cellStyle name="20% - Accent6 2 10 5 3 2 2" xfId="19611"/>
    <cellStyle name="20% - Accent6 2 10 5 3 3" xfId="19612"/>
    <cellStyle name="20% - Accent6 2 10 5 4" xfId="19613"/>
    <cellStyle name="20% - Accent6 2 10 5 4 2" xfId="19614"/>
    <cellStyle name="20% - Accent6 2 10 5 5" xfId="19615"/>
    <cellStyle name="20% - Accent6 2 10 6" xfId="19616"/>
    <cellStyle name="20% - Accent6 2 10 6 2" xfId="19617"/>
    <cellStyle name="20% - Accent6 2 10 6 2 2" xfId="19618"/>
    <cellStyle name="20% - Accent6 2 10 6 2 2 2" xfId="19619"/>
    <cellStyle name="20% - Accent6 2 10 6 2 2 2 2" xfId="19620"/>
    <cellStyle name="20% - Accent6 2 10 6 2 2 3" xfId="19621"/>
    <cellStyle name="20% - Accent6 2 10 6 2 3" xfId="19622"/>
    <cellStyle name="20% - Accent6 2 10 6 2 3 2" xfId="19623"/>
    <cellStyle name="20% - Accent6 2 10 6 2 4" xfId="19624"/>
    <cellStyle name="20% - Accent6 2 10 6 3" xfId="19625"/>
    <cellStyle name="20% - Accent6 2 10 6 3 2" xfId="19626"/>
    <cellStyle name="20% - Accent6 2 10 6 3 2 2" xfId="19627"/>
    <cellStyle name="20% - Accent6 2 10 6 3 3" xfId="19628"/>
    <cellStyle name="20% - Accent6 2 10 6 4" xfId="19629"/>
    <cellStyle name="20% - Accent6 2 10 6 4 2" xfId="19630"/>
    <cellStyle name="20% - Accent6 2 10 6 5" xfId="19631"/>
    <cellStyle name="20% - Accent6 2 10 7" xfId="19632"/>
    <cellStyle name="20% - Accent6 2 10 7 2" xfId="19633"/>
    <cellStyle name="20% - Accent6 2 10 7 2 2" xfId="19634"/>
    <cellStyle name="20% - Accent6 2 10 7 2 2 2" xfId="19635"/>
    <cellStyle name="20% - Accent6 2 10 7 2 3" xfId="19636"/>
    <cellStyle name="20% - Accent6 2 10 7 3" xfId="19637"/>
    <cellStyle name="20% - Accent6 2 10 7 3 2" xfId="19638"/>
    <cellStyle name="20% - Accent6 2 10 7 4" xfId="19639"/>
    <cellStyle name="20% - Accent6 2 10 8" xfId="19640"/>
    <cellStyle name="20% - Accent6 2 10 8 2" xfId="19641"/>
    <cellStyle name="20% - Accent6 2 10 8 2 2" xfId="19642"/>
    <cellStyle name="20% - Accent6 2 10 8 3" xfId="19643"/>
    <cellStyle name="20% - Accent6 2 10 9" xfId="19644"/>
    <cellStyle name="20% - Accent6 2 10 9 2" xfId="19645"/>
    <cellStyle name="20% - Accent6 2 11" xfId="19646"/>
    <cellStyle name="20% - Accent6 2 11 2" xfId="19647"/>
    <cellStyle name="20% - Accent6 2 11 2 2" xfId="19648"/>
    <cellStyle name="20% - Accent6 2 11 2 2 2" xfId="19649"/>
    <cellStyle name="20% - Accent6 2 11 2 2 2 2" xfId="19650"/>
    <cellStyle name="20% - Accent6 2 11 2 2 3" xfId="19651"/>
    <cellStyle name="20% - Accent6 2 11 2 3" xfId="19652"/>
    <cellStyle name="20% - Accent6 2 11 2 3 2" xfId="19653"/>
    <cellStyle name="20% - Accent6 2 11 2 4" xfId="19654"/>
    <cellStyle name="20% - Accent6 2 11 3" xfId="19655"/>
    <cellStyle name="20% - Accent6 2 11 3 2" xfId="19656"/>
    <cellStyle name="20% - Accent6 2 11 3 2 2" xfId="19657"/>
    <cellStyle name="20% - Accent6 2 11 3 3" xfId="19658"/>
    <cellStyle name="20% - Accent6 2 11 4" xfId="19659"/>
    <cellStyle name="20% - Accent6 2 11 4 2" xfId="19660"/>
    <cellStyle name="20% - Accent6 2 11 5" xfId="19661"/>
    <cellStyle name="20% - Accent6 2 12" xfId="19662"/>
    <cellStyle name="20% - Accent6 2 12 2" xfId="19663"/>
    <cellStyle name="20% - Accent6 2 12 2 2" xfId="19664"/>
    <cellStyle name="20% - Accent6 2 12 2 2 2" xfId="19665"/>
    <cellStyle name="20% - Accent6 2 12 2 2 2 2" xfId="19666"/>
    <cellStyle name="20% - Accent6 2 12 2 2 3" xfId="19667"/>
    <cellStyle name="20% - Accent6 2 12 2 3" xfId="19668"/>
    <cellStyle name="20% - Accent6 2 12 2 3 2" xfId="19669"/>
    <cellStyle name="20% - Accent6 2 12 2 4" xfId="19670"/>
    <cellStyle name="20% - Accent6 2 12 3" xfId="19671"/>
    <cellStyle name="20% - Accent6 2 12 3 2" xfId="19672"/>
    <cellStyle name="20% - Accent6 2 12 3 2 2" xfId="19673"/>
    <cellStyle name="20% - Accent6 2 12 3 3" xfId="19674"/>
    <cellStyle name="20% - Accent6 2 12 4" xfId="19675"/>
    <cellStyle name="20% - Accent6 2 12 4 2" xfId="19676"/>
    <cellStyle name="20% - Accent6 2 12 5" xfId="19677"/>
    <cellStyle name="20% - Accent6 2 13" xfId="19678"/>
    <cellStyle name="20% - Accent6 2 13 2" xfId="19679"/>
    <cellStyle name="20% - Accent6 2 13 2 2" xfId="19680"/>
    <cellStyle name="20% - Accent6 2 13 2 2 2" xfId="19681"/>
    <cellStyle name="20% - Accent6 2 13 2 2 2 2" xfId="19682"/>
    <cellStyle name="20% - Accent6 2 13 2 2 3" xfId="19683"/>
    <cellStyle name="20% - Accent6 2 13 2 3" xfId="19684"/>
    <cellStyle name="20% - Accent6 2 13 2 3 2" xfId="19685"/>
    <cellStyle name="20% - Accent6 2 13 2 4" xfId="19686"/>
    <cellStyle name="20% - Accent6 2 13 3" xfId="19687"/>
    <cellStyle name="20% - Accent6 2 13 3 2" xfId="19688"/>
    <cellStyle name="20% - Accent6 2 13 3 2 2" xfId="19689"/>
    <cellStyle name="20% - Accent6 2 13 3 3" xfId="19690"/>
    <cellStyle name="20% - Accent6 2 13 4" xfId="19691"/>
    <cellStyle name="20% - Accent6 2 13 4 2" xfId="19692"/>
    <cellStyle name="20% - Accent6 2 13 5" xfId="19693"/>
    <cellStyle name="20% - Accent6 2 14" xfId="19694"/>
    <cellStyle name="20% - Accent6 2 14 2" xfId="19695"/>
    <cellStyle name="20% - Accent6 2 14 2 2" xfId="19696"/>
    <cellStyle name="20% - Accent6 2 14 2 2 2" xfId="19697"/>
    <cellStyle name="20% - Accent6 2 14 2 2 2 2" xfId="19698"/>
    <cellStyle name="20% - Accent6 2 14 2 2 3" xfId="19699"/>
    <cellStyle name="20% - Accent6 2 14 2 3" xfId="19700"/>
    <cellStyle name="20% - Accent6 2 14 2 3 2" xfId="19701"/>
    <cellStyle name="20% - Accent6 2 14 2 4" xfId="19702"/>
    <cellStyle name="20% - Accent6 2 14 3" xfId="19703"/>
    <cellStyle name="20% - Accent6 2 14 3 2" xfId="19704"/>
    <cellStyle name="20% - Accent6 2 14 3 2 2" xfId="19705"/>
    <cellStyle name="20% - Accent6 2 14 3 3" xfId="19706"/>
    <cellStyle name="20% - Accent6 2 14 4" xfId="19707"/>
    <cellStyle name="20% - Accent6 2 14 4 2" xfId="19708"/>
    <cellStyle name="20% - Accent6 2 14 5" xfId="19709"/>
    <cellStyle name="20% - Accent6 2 15" xfId="19710"/>
    <cellStyle name="20% - Accent6 2 15 2" xfId="19711"/>
    <cellStyle name="20% - Accent6 2 15 2 2" xfId="19712"/>
    <cellStyle name="20% - Accent6 2 15 2 2 2" xfId="19713"/>
    <cellStyle name="20% - Accent6 2 15 2 2 2 2" xfId="19714"/>
    <cellStyle name="20% - Accent6 2 15 2 2 3" xfId="19715"/>
    <cellStyle name="20% - Accent6 2 15 2 3" xfId="19716"/>
    <cellStyle name="20% - Accent6 2 15 2 3 2" xfId="19717"/>
    <cellStyle name="20% - Accent6 2 15 2 4" xfId="19718"/>
    <cellStyle name="20% - Accent6 2 15 3" xfId="19719"/>
    <cellStyle name="20% - Accent6 2 15 3 2" xfId="19720"/>
    <cellStyle name="20% - Accent6 2 15 3 2 2" xfId="19721"/>
    <cellStyle name="20% - Accent6 2 15 3 3" xfId="19722"/>
    <cellStyle name="20% - Accent6 2 15 4" xfId="19723"/>
    <cellStyle name="20% - Accent6 2 15 4 2" xfId="19724"/>
    <cellStyle name="20% - Accent6 2 15 5" xfId="19725"/>
    <cellStyle name="20% - Accent6 2 16" xfId="19726"/>
    <cellStyle name="20% - Accent6 2 16 2" xfId="19727"/>
    <cellStyle name="20% - Accent6 2 16 2 2" xfId="19728"/>
    <cellStyle name="20% - Accent6 2 16 2 2 2" xfId="19729"/>
    <cellStyle name="20% - Accent6 2 16 2 3" xfId="19730"/>
    <cellStyle name="20% - Accent6 2 16 3" xfId="19731"/>
    <cellStyle name="20% - Accent6 2 16 3 2" xfId="19732"/>
    <cellStyle name="20% - Accent6 2 16 4" xfId="19733"/>
    <cellStyle name="20% - Accent6 2 17" xfId="19734"/>
    <cellStyle name="20% - Accent6 2 17 2" xfId="19735"/>
    <cellStyle name="20% - Accent6 2 17 2 2" xfId="19736"/>
    <cellStyle name="20% - Accent6 2 17 3" xfId="19737"/>
    <cellStyle name="20% - Accent6 2 18" xfId="19738"/>
    <cellStyle name="20% - Accent6 2 18 2" xfId="19739"/>
    <cellStyle name="20% - Accent6 2 19" xfId="19740"/>
    <cellStyle name="20% - Accent6 2 2" xfId="19741"/>
    <cellStyle name="20% - Accent6 2 2 10" xfId="19742"/>
    <cellStyle name="20% - Accent6 2 2 10 2" xfId="19743"/>
    <cellStyle name="20% - Accent6 2 2 11" xfId="19744"/>
    <cellStyle name="20% - Accent6 2 2 2" xfId="19745"/>
    <cellStyle name="20% - Accent6 2 2 2 10" xfId="19746"/>
    <cellStyle name="20% - Accent6 2 2 2 2" xfId="19747"/>
    <cellStyle name="20% - Accent6 2 2 2 2 2" xfId="19748"/>
    <cellStyle name="20% - Accent6 2 2 2 2 2 2" xfId="19749"/>
    <cellStyle name="20% - Accent6 2 2 2 2 2 2 2" xfId="19750"/>
    <cellStyle name="20% - Accent6 2 2 2 2 2 2 2 2" xfId="19751"/>
    <cellStyle name="20% - Accent6 2 2 2 2 2 2 3" xfId="19752"/>
    <cellStyle name="20% - Accent6 2 2 2 2 2 3" xfId="19753"/>
    <cellStyle name="20% - Accent6 2 2 2 2 2 3 2" xfId="19754"/>
    <cellStyle name="20% - Accent6 2 2 2 2 2 4" xfId="19755"/>
    <cellStyle name="20% - Accent6 2 2 2 2 3" xfId="19756"/>
    <cellStyle name="20% - Accent6 2 2 2 2 3 2" xfId="19757"/>
    <cellStyle name="20% - Accent6 2 2 2 2 3 2 2" xfId="19758"/>
    <cellStyle name="20% - Accent6 2 2 2 2 3 3" xfId="19759"/>
    <cellStyle name="20% - Accent6 2 2 2 2 4" xfId="19760"/>
    <cellStyle name="20% - Accent6 2 2 2 2 4 2" xfId="19761"/>
    <cellStyle name="20% - Accent6 2 2 2 2 5" xfId="19762"/>
    <cellStyle name="20% - Accent6 2 2 2 3" xfId="19763"/>
    <cellStyle name="20% - Accent6 2 2 2 3 2" xfId="19764"/>
    <cellStyle name="20% - Accent6 2 2 2 3 2 2" xfId="19765"/>
    <cellStyle name="20% - Accent6 2 2 2 3 2 2 2" xfId="19766"/>
    <cellStyle name="20% - Accent6 2 2 2 3 2 2 2 2" xfId="19767"/>
    <cellStyle name="20% - Accent6 2 2 2 3 2 2 3" xfId="19768"/>
    <cellStyle name="20% - Accent6 2 2 2 3 2 3" xfId="19769"/>
    <cellStyle name="20% - Accent6 2 2 2 3 2 3 2" xfId="19770"/>
    <cellStyle name="20% - Accent6 2 2 2 3 2 4" xfId="19771"/>
    <cellStyle name="20% - Accent6 2 2 2 3 3" xfId="19772"/>
    <cellStyle name="20% - Accent6 2 2 2 3 3 2" xfId="19773"/>
    <cellStyle name="20% - Accent6 2 2 2 3 3 2 2" xfId="19774"/>
    <cellStyle name="20% - Accent6 2 2 2 3 3 3" xfId="19775"/>
    <cellStyle name="20% - Accent6 2 2 2 3 4" xfId="19776"/>
    <cellStyle name="20% - Accent6 2 2 2 3 4 2" xfId="19777"/>
    <cellStyle name="20% - Accent6 2 2 2 3 5" xfId="19778"/>
    <cellStyle name="20% - Accent6 2 2 2 4" xfId="19779"/>
    <cellStyle name="20% - Accent6 2 2 2 4 2" xfId="19780"/>
    <cellStyle name="20% - Accent6 2 2 2 4 2 2" xfId="19781"/>
    <cellStyle name="20% - Accent6 2 2 2 4 2 2 2" xfId="19782"/>
    <cellStyle name="20% - Accent6 2 2 2 4 2 2 2 2" xfId="19783"/>
    <cellStyle name="20% - Accent6 2 2 2 4 2 2 3" xfId="19784"/>
    <cellStyle name="20% - Accent6 2 2 2 4 2 3" xfId="19785"/>
    <cellStyle name="20% - Accent6 2 2 2 4 2 3 2" xfId="19786"/>
    <cellStyle name="20% - Accent6 2 2 2 4 2 4" xfId="19787"/>
    <cellStyle name="20% - Accent6 2 2 2 4 3" xfId="19788"/>
    <cellStyle name="20% - Accent6 2 2 2 4 3 2" xfId="19789"/>
    <cellStyle name="20% - Accent6 2 2 2 4 3 2 2" xfId="19790"/>
    <cellStyle name="20% - Accent6 2 2 2 4 3 3" xfId="19791"/>
    <cellStyle name="20% - Accent6 2 2 2 4 4" xfId="19792"/>
    <cellStyle name="20% - Accent6 2 2 2 4 4 2" xfId="19793"/>
    <cellStyle name="20% - Accent6 2 2 2 4 5" xfId="19794"/>
    <cellStyle name="20% - Accent6 2 2 2 5" xfId="19795"/>
    <cellStyle name="20% - Accent6 2 2 2 5 2" xfId="19796"/>
    <cellStyle name="20% - Accent6 2 2 2 5 2 2" xfId="19797"/>
    <cellStyle name="20% - Accent6 2 2 2 5 2 2 2" xfId="19798"/>
    <cellStyle name="20% - Accent6 2 2 2 5 2 2 2 2" xfId="19799"/>
    <cellStyle name="20% - Accent6 2 2 2 5 2 2 3" xfId="19800"/>
    <cellStyle name="20% - Accent6 2 2 2 5 2 3" xfId="19801"/>
    <cellStyle name="20% - Accent6 2 2 2 5 2 3 2" xfId="19802"/>
    <cellStyle name="20% - Accent6 2 2 2 5 2 4" xfId="19803"/>
    <cellStyle name="20% - Accent6 2 2 2 5 3" xfId="19804"/>
    <cellStyle name="20% - Accent6 2 2 2 5 3 2" xfId="19805"/>
    <cellStyle name="20% - Accent6 2 2 2 5 3 2 2" xfId="19806"/>
    <cellStyle name="20% - Accent6 2 2 2 5 3 3" xfId="19807"/>
    <cellStyle name="20% - Accent6 2 2 2 5 4" xfId="19808"/>
    <cellStyle name="20% - Accent6 2 2 2 5 4 2" xfId="19809"/>
    <cellStyle name="20% - Accent6 2 2 2 5 5" xfId="19810"/>
    <cellStyle name="20% - Accent6 2 2 2 6" xfId="19811"/>
    <cellStyle name="20% - Accent6 2 2 2 6 2" xfId="19812"/>
    <cellStyle name="20% - Accent6 2 2 2 6 2 2" xfId="19813"/>
    <cellStyle name="20% - Accent6 2 2 2 6 2 2 2" xfId="19814"/>
    <cellStyle name="20% - Accent6 2 2 2 6 2 2 2 2" xfId="19815"/>
    <cellStyle name="20% - Accent6 2 2 2 6 2 2 3" xfId="19816"/>
    <cellStyle name="20% - Accent6 2 2 2 6 2 3" xfId="19817"/>
    <cellStyle name="20% - Accent6 2 2 2 6 2 3 2" xfId="19818"/>
    <cellStyle name="20% - Accent6 2 2 2 6 2 4" xfId="19819"/>
    <cellStyle name="20% - Accent6 2 2 2 6 3" xfId="19820"/>
    <cellStyle name="20% - Accent6 2 2 2 6 3 2" xfId="19821"/>
    <cellStyle name="20% - Accent6 2 2 2 6 3 2 2" xfId="19822"/>
    <cellStyle name="20% - Accent6 2 2 2 6 3 3" xfId="19823"/>
    <cellStyle name="20% - Accent6 2 2 2 6 4" xfId="19824"/>
    <cellStyle name="20% - Accent6 2 2 2 6 4 2" xfId="19825"/>
    <cellStyle name="20% - Accent6 2 2 2 6 5" xfId="19826"/>
    <cellStyle name="20% - Accent6 2 2 2 7" xfId="19827"/>
    <cellStyle name="20% - Accent6 2 2 2 7 2" xfId="19828"/>
    <cellStyle name="20% - Accent6 2 2 2 7 2 2" xfId="19829"/>
    <cellStyle name="20% - Accent6 2 2 2 7 2 2 2" xfId="19830"/>
    <cellStyle name="20% - Accent6 2 2 2 7 2 3" xfId="19831"/>
    <cellStyle name="20% - Accent6 2 2 2 7 3" xfId="19832"/>
    <cellStyle name="20% - Accent6 2 2 2 7 3 2" xfId="19833"/>
    <cellStyle name="20% - Accent6 2 2 2 7 4" xfId="19834"/>
    <cellStyle name="20% - Accent6 2 2 2 8" xfId="19835"/>
    <cellStyle name="20% - Accent6 2 2 2 8 2" xfId="19836"/>
    <cellStyle name="20% - Accent6 2 2 2 8 2 2" xfId="19837"/>
    <cellStyle name="20% - Accent6 2 2 2 8 3" xfId="19838"/>
    <cellStyle name="20% - Accent6 2 2 2 9" xfId="19839"/>
    <cellStyle name="20% - Accent6 2 2 2 9 2" xfId="19840"/>
    <cellStyle name="20% - Accent6 2 2 3" xfId="19841"/>
    <cellStyle name="20% - Accent6 2 2 3 2" xfId="19842"/>
    <cellStyle name="20% - Accent6 2 2 3 2 2" xfId="19843"/>
    <cellStyle name="20% - Accent6 2 2 3 2 2 2" xfId="19844"/>
    <cellStyle name="20% - Accent6 2 2 3 2 2 2 2" xfId="19845"/>
    <cellStyle name="20% - Accent6 2 2 3 2 2 3" xfId="19846"/>
    <cellStyle name="20% - Accent6 2 2 3 2 3" xfId="19847"/>
    <cellStyle name="20% - Accent6 2 2 3 2 3 2" xfId="19848"/>
    <cellStyle name="20% - Accent6 2 2 3 2 4" xfId="19849"/>
    <cellStyle name="20% - Accent6 2 2 3 3" xfId="19850"/>
    <cellStyle name="20% - Accent6 2 2 3 3 2" xfId="19851"/>
    <cellStyle name="20% - Accent6 2 2 3 3 2 2" xfId="19852"/>
    <cellStyle name="20% - Accent6 2 2 3 3 3" xfId="19853"/>
    <cellStyle name="20% - Accent6 2 2 3 4" xfId="19854"/>
    <cellStyle name="20% - Accent6 2 2 3 4 2" xfId="19855"/>
    <cellStyle name="20% - Accent6 2 2 3 5" xfId="19856"/>
    <cellStyle name="20% - Accent6 2 2 4" xfId="19857"/>
    <cellStyle name="20% - Accent6 2 2 4 2" xfId="19858"/>
    <cellStyle name="20% - Accent6 2 2 4 2 2" xfId="19859"/>
    <cellStyle name="20% - Accent6 2 2 4 2 2 2" xfId="19860"/>
    <cellStyle name="20% - Accent6 2 2 4 2 2 2 2" xfId="19861"/>
    <cellStyle name="20% - Accent6 2 2 4 2 2 3" xfId="19862"/>
    <cellStyle name="20% - Accent6 2 2 4 2 3" xfId="19863"/>
    <cellStyle name="20% - Accent6 2 2 4 2 3 2" xfId="19864"/>
    <cellStyle name="20% - Accent6 2 2 4 2 4" xfId="19865"/>
    <cellStyle name="20% - Accent6 2 2 4 3" xfId="19866"/>
    <cellStyle name="20% - Accent6 2 2 4 3 2" xfId="19867"/>
    <cellStyle name="20% - Accent6 2 2 4 3 2 2" xfId="19868"/>
    <cellStyle name="20% - Accent6 2 2 4 3 3" xfId="19869"/>
    <cellStyle name="20% - Accent6 2 2 4 4" xfId="19870"/>
    <cellStyle name="20% - Accent6 2 2 4 4 2" xfId="19871"/>
    <cellStyle name="20% - Accent6 2 2 4 5" xfId="19872"/>
    <cellStyle name="20% - Accent6 2 2 5" xfId="19873"/>
    <cellStyle name="20% - Accent6 2 2 5 2" xfId="19874"/>
    <cellStyle name="20% - Accent6 2 2 5 2 2" xfId="19875"/>
    <cellStyle name="20% - Accent6 2 2 5 2 2 2" xfId="19876"/>
    <cellStyle name="20% - Accent6 2 2 5 2 2 2 2" xfId="19877"/>
    <cellStyle name="20% - Accent6 2 2 5 2 2 3" xfId="19878"/>
    <cellStyle name="20% - Accent6 2 2 5 2 3" xfId="19879"/>
    <cellStyle name="20% - Accent6 2 2 5 2 3 2" xfId="19880"/>
    <cellStyle name="20% - Accent6 2 2 5 2 4" xfId="19881"/>
    <cellStyle name="20% - Accent6 2 2 5 3" xfId="19882"/>
    <cellStyle name="20% - Accent6 2 2 5 3 2" xfId="19883"/>
    <cellStyle name="20% - Accent6 2 2 5 3 2 2" xfId="19884"/>
    <cellStyle name="20% - Accent6 2 2 5 3 3" xfId="19885"/>
    <cellStyle name="20% - Accent6 2 2 5 4" xfId="19886"/>
    <cellStyle name="20% - Accent6 2 2 5 4 2" xfId="19887"/>
    <cellStyle name="20% - Accent6 2 2 5 5" xfId="19888"/>
    <cellStyle name="20% - Accent6 2 2 6" xfId="19889"/>
    <cellStyle name="20% - Accent6 2 2 6 2" xfId="19890"/>
    <cellStyle name="20% - Accent6 2 2 6 2 2" xfId="19891"/>
    <cellStyle name="20% - Accent6 2 2 6 2 2 2" xfId="19892"/>
    <cellStyle name="20% - Accent6 2 2 6 2 2 2 2" xfId="19893"/>
    <cellStyle name="20% - Accent6 2 2 6 2 2 3" xfId="19894"/>
    <cellStyle name="20% - Accent6 2 2 6 2 3" xfId="19895"/>
    <cellStyle name="20% - Accent6 2 2 6 2 3 2" xfId="19896"/>
    <cellStyle name="20% - Accent6 2 2 6 2 4" xfId="19897"/>
    <cellStyle name="20% - Accent6 2 2 6 3" xfId="19898"/>
    <cellStyle name="20% - Accent6 2 2 6 3 2" xfId="19899"/>
    <cellStyle name="20% - Accent6 2 2 6 3 2 2" xfId="19900"/>
    <cellStyle name="20% - Accent6 2 2 6 3 3" xfId="19901"/>
    <cellStyle name="20% - Accent6 2 2 6 4" xfId="19902"/>
    <cellStyle name="20% - Accent6 2 2 6 4 2" xfId="19903"/>
    <cellStyle name="20% - Accent6 2 2 6 5" xfId="19904"/>
    <cellStyle name="20% - Accent6 2 2 7" xfId="19905"/>
    <cellStyle name="20% - Accent6 2 2 7 2" xfId="19906"/>
    <cellStyle name="20% - Accent6 2 2 7 2 2" xfId="19907"/>
    <cellStyle name="20% - Accent6 2 2 7 2 2 2" xfId="19908"/>
    <cellStyle name="20% - Accent6 2 2 7 2 2 2 2" xfId="19909"/>
    <cellStyle name="20% - Accent6 2 2 7 2 2 3" xfId="19910"/>
    <cellStyle name="20% - Accent6 2 2 7 2 3" xfId="19911"/>
    <cellStyle name="20% - Accent6 2 2 7 2 3 2" xfId="19912"/>
    <cellStyle name="20% - Accent6 2 2 7 2 4" xfId="19913"/>
    <cellStyle name="20% - Accent6 2 2 7 3" xfId="19914"/>
    <cellStyle name="20% - Accent6 2 2 7 3 2" xfId="19915"/>
    <cellStyle name="20% - Accent6 2 2 7 3 2 2" xfId="19916"/>
    <cellStyle name="20% - Accent6 2 2 7 3 3" xfId="19917"/>
    <cellStyle name="20% - Accent6 2 2 7 4" xfId="19918"/>
    <cellStyle name="20% - Accent6 2 2 7 4 2" xfId="19919"/>
    <cellStyle name="20% - Accent6 2 2 7 5" xfId="19920"/>
    <cellStyle name="20% - Accent6 2 2 8" xfId="19921"/>
    <cellStyle name="20% - Accent6 2 2 8 2" xfId="19922"/>
    <cellStyle name="20% - Accent6 2 2 8 2 2" xfId="19923"/>
    <cellStyle name="20% - Accent6 2 2 8 2 2 2" xfId="19924"/>
    <cellStyle name="20% - Accent6 2 2 8 2 3" xfId="19925"/>
    <cellStyle name="20% - Accent6 2 2 8 3" xfId="19926"/>
    <cellStyle name="20% - Accent6 2 2 8 3 2" xfId="19927"/>
    <cellStyle name="20% - Accent6 2 2 8 4" xfId="19928"/>
    <cellStyle name="20% - Accent6 2 2 9" xfId="19929"/>
    <cellStyle name="20% - Accent6 2 2 9 2" xfId="19930"/>
    <cellStyle name="20% - Accent6 2 2 9 2 2" xfId="19931"/>
    <cellStyle name="20% - Accent6 2 2 9 3" xfId="19932"/>
    <cellStyle name="20% - Accent6 2 3" xfId="19933"/>
    <cellStyle name="20% - Accent6 2 3 10" xfId="19934"/>
    <cellStyle name="20% - Accent6 2 3 10 2" xfId="19935"/>
    <cellStyle name="20% - Accent6 2 3 11" xfId="19936"/>
    <cellStyle name="20% - Accent6 2 3 2" xfId="19937"/>
    <cellStyle name="20% - Accent6 2 3 2 10" xfId="19938"/>
    <cellStyle name="20% - Accent6 2 3 2 2" xfId="19939"/>
    <cellStyle name="20% - Accent6 2 3 2 2 2" xfId="19940"/>
    <cellStyle name="20% - Accent6 2 3 2 2 2 2" xfId="19941"/>
    <cellStyle name="20% - Accent6 2 3 2 2 2 2 2" xfId="19942"/>
    <cellStyle name="20% - Accent6 2 3 2 2 2 2 2 2" xfId="19943"/>
    <cellStyle name="20% - Accent6 2 3 2 2 2 2 3" xfId="19944"/>
    <cellStyle name="20% - Accent6 2 3 2 2 2 3" xfId="19945"/>
    <cellStyle name="20% - Accent6 2 3 2 2 2 3 2" xfId="19946"/>
    <cellStyle name="20% - Accent6 2 3 2 2 2 4" xfId="19947"/>
    <cellStyle name="20% - Accent6 2 3 2 2 3" xfId="19948"/>
    <cellStyle name="20% - Accent6 2 3 2 2 3 2" xfId="19949"/>
    <cellStyle name="20% - Accent6 2 3 2 2 3 2 2" xfId="19950"/>
    <cellStyle name="20% - Accent6 2 3 2 2 3 3" xfId="19951"/>
    <cellStyle name="20% - Accent6 2 3 2 2 4" xfId="19952"/>
    <cellStyle name="20% - Accent6 2 3 2 2 4 2" xfId="19953"/>
    <cellStyle name="20% - Accent6 2 3 2 2 5" xfId="19954"/>
    <cellStyle name="20% - Accent6 2 3 2 3" xfId="19955"/>
    <cellStyle name="20% - Accent6 2 3 2 3 2" xfId="19956"/>
    <cellStyle name="20% - Accent6 2 3 2 3 2 2" xfId="19957"/>
    <cellStyle name="20% - Accent6 2 3 2 3 2 2 2" xfId="19958"/>
    <cellStyle name="20% - Accent6 2 3 2 3 2 2 2 2" xfId="19959"/>
    <cellStyle name="20% - Accent6 2 3 2 3 2 2 3" xfId="19960"/>
    <cellStyle name="20% - Accent6 2 3 2 3 2 3" xfId="19961"/>
    <cellStyle name="20% - Accent6 2 3 2 3 2 3 2" xfId="19962"/>
    <cellStyle name="20% - Accent6 2 3 2 3 2 4" xfId="19963"/>
    <cellStyle name="20% - Accent6 2 3 2 3 3" xfId="19964"/>
    <cellStyle name="20% - Accent6 2 3 2 3 3 2" xfId="19965"/>
    <cellStyle name="20% - Accent6 2 3 2 3 3 2 2" xfId="19966"/>
    <cellStyle name="20% - Accent6 2 3 2 3 3 3" xfId="19967"/>
    <cellStyle name="20% - Accent6 2 3 2 3 4" xfId="19968"/>
    <cellStyle name="20% - Accent6 2 3 2 3 4 2" xfId="19969"/>
    <cellStyle name="20% - Accent6 2 3 2 3 5" xfId="19970"/>
    <cellStyle name="20% - Accent6 2 3 2 4" xfId="19971"/>
    <cellStyle name="20% - Accent6 2 3 2 4 2" xfId="19972"/>
    <cellStyle name="20% - Accent6 2 3 2 4 2 2" xfId="19973"/>
    <cellStyle name="20% - Accent6 2 3 2 4 2 2 2" xfId="19974"/>
    <cellStyle name="20% - Accent6 2 3 2 4 2 2 2 2" xfId="19975"/>
    <cellStyle name="20% - Accent6 2 3 2 4 2 2 3" xfId="19976"/>
    <cellStyle name="20% - Accent6 2 3 2 4 2 3" xfId="19977"/>
    <cellStyle name="20% - Accent6 2 3 2 4 2 3 2" xfId="19978"/>
    <cellStyle name="20% - Accent6 2 3 2 4 2 4" xfId="19979"/>
    <cellStyle name="20% - Accent6 2 3 2 4 3" xfId="19980"/>
    <cellStyle name="20% - Accent6 2 3 2 4 3 2" xfId="19981"/>
    <cellStyle name="20% - Accent6 2 3 2 4 3 2 2" xfId="19982"/>
    <cellStyle name="20% - Accent6 2 3 2 4 3 3" xfId="19983"/>
    <cellStyle name="20% - Accent6 2 3 2 4 4" xfId="19984"/>
    <cellStyle name="20% - Accent6 2 3 2 4 4 2" xfId="19985"/>
    <cellStyle name="20% - Accent6 2 3 2 4 5" xfId="19986"/>
    <cellStyle name="20% - Accent6 2 3 2 5" xfId="19987"/>
    <cellStyle name="20% - Accent6 2 3 2 5 2" xfId="19988"/>
    <cellStyle name="20% - Accent6 2 3 2 5 2 2" xfId="19989"/>
    <cellStyle name="20% - Accent6 2 3 2 5 2 2 2" xfId="19990"/>
    <cellStyle name="20% - Accent6 2 3 2 5 2 2 2 2" xfId="19991"/>
    <cellStyle name="20% - Accent6 2 3 2 5 2 2 3" xfId="19992"/>
    <cellStyle name="20% - Accent6 2 3 2 5 2 3" xfId="19993"/>
    <cellStyle name="20% - Accent6 2 3 2 5 2 3 2" xfId="19994"/>
    <cellStyle name="20% - Accent6 2 3 2 5 2 4" xfId="19995"/>
    <cellStyle name="20% - Accent6 2 3 2 5 3" xfId="19996"/>
    <cellStyle name="20% - Accent6 2 3 2 5 3 2" xfId="19997"/>
    <cellStyle name="20% - Accent6 2 3 2 5 3 2 2" xfId="19998"/>
    <cellStyle name="20% - Accent6 2 3 2 5 3 3" xfId="19999"/>
    <cellStyle name="20% - Accent6 2 3 2 5 4" xfId="20000"/>
    <cellStyle name="20% - Accent6 2 3 2 5 4 2" xfId="20001"/>
    <cellStyle name="20% - Accent6 2 3 2 5 5" xfId="20002"/>
    <cellStyle name="20% - Accent6 2 3 2 6" xfId="20003"/>
    <cellStyle name="20% - Accent6 2 3 2 6 2" xfId="20004"/>
    <cellStyle name="20% - Accent6 2 3 2 6 2 2" xfId="20005"/>
    <cellStyle name="20% - Accent6 2 3 2 6 2 2 2" xfId="20006"/>
    <cellStyle name="20% - Accent6 2 3 2 6 2 2 2 2" xfId="20007"/>
    <cellStyle name="20% - Accent6 2 3 2 6 2 2 3" xfId="20008"/>
    <cellStyle name="20% - Accent6 2 3 2 6 2 3" xfId="20009"/>
    <cellStyle name="20% - Accent6 2 3 2 6 2 3 2" xfId="20010"/>
    <cellStyle name="20% - Accent6 2 3 2 6 2 4" xfId="20011"/>
    <cellStyle name="20% - Accent6 2 3 2 6 3" xfId="20012"/>
    <cellStyle name="20% - Accent6 2 3 2 6 3 2" xfId="20013"/>
    <cellStyle name="20% - Accent6 2 3 2 6 3 2 2" xfId="20014"/>
    <cellStyle name="20% - Accent6 2 3 2 6 3 3" xfId="20015"/>
    <cellStyle name="20% - Accent6 2 3 2 6 4" xfId="20016"/>
    <cellStyle name="20% - Accent6 2 3 2 6 4 2" xfId="20017"/>
    <cellStyle name="20% - Accent6 2 3 2 6 5" xfId="20018"/>
    <cellStyle name="20% - Accent6 2 3 2 7" xfId="20019"/>
    <cellStyle name="20% - Accent6 2 3 2 7 2" xfId="20020"/>
    <cellStyle name="20% - Accent6 2 3 2 7 2 2" xfId="20021"/>
    <cellStyle name="20% - Accent6 2 3 2 7 2 2 2" xfId="20022"/>
    <cellStyle name="20% - Accent6 2 3 2 7 2 3" xfId="20023"/>
    <cellStyle name="20% - Accent6 2 3 2 7 3" xfId="20024"/>
    <cellStyle name="20% - Accent6 2 3 2 7 3 2" xfId="20025"/>
    <cellStyle name="20% - Accent6 2 3 2 7 4" xfId="20026"/>
    <cellStyle name="20% - Accent6 2 3 2 8" xfId="20027"/>
    <cellStyle name="20% - Accent6 2 3 2 8 2" xfId="20028"/>
    <cellStyle name="20% - Accent6 2 3 2 8 2 2" xfId="20029"/>
    <cellStyle name="20% - Accent6 2 3 2 8 3" xfId="20030"/>
    <cellStyle name="20% - Accent6 2 3 2 9" xfId="20031"/>
    <cellStyle name="20% - Accent6 2 3 2 9 2" xfId="20032"/>
    <cellStyle name="20% - Accent6 2 3 3" xfId="20033"/>
    <cellStyle name="20% - Accent6 2 3 3 2" xfId="20034"/>
    <cellStyle name="20% - Accent6 2 3 3 2 2" xfId="20035"/>
    <cellStyle name="20% - Accent6 2 3 3 2 2 2" xfId="20036"/>
    <cellStyle name="20% - Accent6 2 3 3 2 2 2 2" xfId="20037"/>
    <cellStyle name="20% - Accent6 2 3 3 2 2 3" xfId="20038"/>
    <cellStyle name="20% - Accent6 2 3 3 2 3" xfId="20039"/>
    <cellStyle name="20% - Accent6 2 3 3 2 3 2" xfId="20040"/>
    <cellStyle name="20% - Accent6 2 3 3 2 4" xfId="20041"/>
    <cellStyle name="20% - Accent6 2 3 3 3" xfId="20042"/>
    <cellStyle name="20% - Accent6 2 3 3 3 2" xfId="20043"/>
    <cellStyle name="20% - Accent6 2 3 3 3 2 2" xfId="20044"/>
    <cellStyle name="20% - Accent6 2 3 3 3 3" xfId="20045"/>
    <cellStyle name="20% - Accent6 2 3 3 4" xfId="20046"/>
    <cellStyle name="20% - Accent6 2 3 3 4 2" xfId="20047"/>
    <cellStyle name="20% - Accent6 2 3 3 5" xfId="20048"/>
    <cellStyle name="20% - Accent6 2 3 4" xfId="20049"/>
    <cellStyle name="20% - Accent6 2 3 4 2" xfId="20050"/>
    <cellStyle name="20% - Accent6 2 3 4 2 2" xfId="20051"/>
    <cellStyle name="20% - Accent6 2 3 4 2 2 2" xfId="20052"/>
    <cellStyle name="20% - Accent6 2 3 4 2 2 2 2" xfId="20053"/>
    <cellStyle name="20% - Accent6 2 3 4 2 2 3" xfId="20054"/>
    <cellStyle name="20% - Accent6 2 3 4 2 3" xfId="20055"/>
    <cellStyle name="20% - Accent6 2 3 4 2 3 2" xfId="20056"/>
    <cellStyle name="20% - Accent6 2 3 4 2 4" xfId="20057"/>
    <cellStyle name="20% - Accent6 2 3 4 3" xfId="20058"/>
    <cellStyle name="20% - Accent6 2 3 4 3 2" xfId="20059"/>
    <cellStyle name="20% - Accent6 2 3 4 3 2 2" xfId="20060"/>
    <cellStyle name="20% - Accent6 2 3 4 3 3" xfId="20061"/>
    <cellStyle name="20% - Accent6 2 3 4 4" xfId="20062"/>
    <cellStyle name="20% - Accent6 2 3 4 4 2" xfId="20063"/>
    <cellStyle name="20% - Accent6 2 3 4 5" xfId="20064"/>
    <cellStyle name="20% - Accent6 2 3 5" xfId="20065"/>
    <cellStyle name="20% - Accent6 2 3 5 2" xfId="20066"/>
    <cellStyle name="20% - Accent6 2 3 5 2 2" xfId="20067"/>
    <cellStyle name="20% - Accent6 2 3 5 2 2 2" xfId="20068"/>
    <cellStyle name="20% - Accent6 2 3 5 2 2 2 2" xfId="20069"/>
    <cellStyle name="20% - Accent6 2 3 5 2 2 3" xfId="20070"/>
    <cellStyle name="20% - Accent6 2 3 5 2 3" xfId="20071"/>
    <cellStyle name="20% - Accent6 2 3 5 2 3 2" xfId="20072"/>
    <cellStyle name="20% - Accent6 2 3 5 2 4" xfId="20073"/>
    <cellStyle name="20% - Accent6 2 3 5 3" xfId="20074"/>
    <cellStyle name="20% - Accent6 2 3 5 3 2" xfId="20075"/>
    <cellStyle name="20% - Accent6 2 3 5 3 2 2" xfId="20076"/>
    <cellStyle name="20% - Accent6 2 3 5 3 3" xfId="20077"/>
    <cellStyle name="20% - Accent6 2 3 5 4" xfId="20078"/>
    <cellStyle name="20% - Accent6 2 3 5 4 2" xfId="20079"/>
    <cellStyle name="20% - Accent6 2 3 5 5" xfId="20080"/>
    <cellStyle name="20% - Accent6 2 3 6" xfId="20081"/>
    <cellStyle name="20% - Accent6 2 3 6 2" xfId="20082"/>
    <cellStyle name="20% - Accent6 2 3 6 2 2" xfId="20083"/>
    <cellStyle name="20% - Accent6 2 3 6 2 2 2" xfId="20084"/>
    <cellStyle name="20% - Accent6 2 3 6 2 2 2 2" xfId="20085"/>
    <cellStyle name="20% - Accent6 2 3 6 2 2 3" xfId="20086"/>
    <cellStyle name="20% - Accent6 2 3 6 2 3" xfId="20087"/>
    <cellStyle name="20% - Accent6 2 3 6 2 3 2" xfId="20088"/>
    <cellStyle name="20% - Accent6 2 3 6 2 4" xfId="20089"/>
    <cellStyle name="20% - Accent6 2 3 6 3" xfId="20090"/>
    <cellStyle name="20% - Accent6 2 3 6 3 2" xfId="20091"/>
    <cellStyle name="20% - Accent6 2 3 6 3 2 2" xfId="20092"/>
    <cellStyle name="20% - Accent6 2 3 6 3 3" xfId="20093"/>
    <cellStyle name="20% - Accent6 2 3 6 4" xfId="20094"/>
    <cellStyle name="20% - Accent6 2 3 6 4 2" xfId="20095"/>
    <cellStyle name="20% - Accent6 2 3 6 5" xfId="20096"/>
    <cellStyle name="20% - Accent6 2 3 7" xfId="20097"/>
    <cellStyle name="20% - Accent6 2 3 7 2" xfId="20098"/>
    <cellStyle name="20% - Accent6 2 3 7 2 2" xfId="20099"/>
    <cellStyle name="20% - Accent6 2 3 7 2 2 2" xfId="20100"/>
    <cellStyle name="20% - Accent6 2 3 7 2 2 2 2" xfId="20101"/>
    <cellStyle name="20% - Accent6 2 3 7 2 2 3" xfId="20102"/>
    <cellStyle name="20% - Accent6 2 3 7 2 3" xfId="20103"/>
    <cellStyle name="20% - Accent6 2 3 7 2 3 2" xfId="20104"/>
    <cellStyle name="20% - Accent6 2 3 7 2 4" xfId="20105"/>
    <cellStyle name="20% - Accent6 2 3 7 3" xfId="20106"/>
    <cellStyle name="20% - Accent6 2 3 7 3 2" xfId="20107"/>
    <cellStyle name="20% - Accent6 2 3 7 3 2 2" xfId="20108"/>
    <cellStyle name="20% - Accent6 2 3 7 3 3" xfId="20109"/>
    <cellStyle name="20% - Accent6 2 3 7 4" xfId="20110"/>
    <cellStyle name="20% - Accent6 2 3 7 4 2" xfId="20111"/>
    <cellStyle name="20% - Accent6 2 3 7 5" xfId="20112"/>
    <cellStyle name="20% - Accent6 2 3 8" xfId="20113"/>
    <cellStyle name="20% - Accent6 2 3 8 2" xfId="20114"/>
    <cellStyle name="20% - Accent6 2 3 8 2 2" xfId="20115"/>
    <cellStyle name="20% - Accent6 2 3 8 2 2 2" xfId="20116"/>
    <cellStyle name="20% - Accent6 2 3 8 2 3" xfId="20117"/>
    <cellStyle name="20% - Accent6 2 3 8 3" xfId="20118"/>
    <cellStyle name="20% - Accent6 2 3 8 3 2" xfId="20119"/>
    <cellStyle name="20% - Accent6 2 3 8 4" xfId="20120"/>
    <cellStyle name="20% - Accent6 2 3 9" xfId="20121"/>
    <cellStyle name="20% - Accent6 2 3 9 2" xfId="20122"/>
    <cellStyle name="20% - Accent6 2 3 9 2 2" xfId="20123"/>
    <cellStyle name="20% - Accent6 2 3 9 3" xfId="20124"/>
    <cellStyle name="20% - Accent6 2 4" xfId="20125"/>
    <cellStyle name="20% - Accent6 2 4 10" xfId="20126"/>
    <cellStyle name="20% - Accent6 2 4 10 2" xfId="20127"/>
    <cellStyle name="20% - Accent6 2 4 11" xfId="20128"/>
    <cellStyle name="20% - Accent6 2 4 2" xfId="20129"/>
    <cellStyle name="20% - Accent6 2 4 2 10" xfId="20130"/>
    <cellStyle name="20% - Accent6 2 4 2 2" xfId="20131"/>
    <cellStyle name="20% - Accent6 2 4 2 2 2" xfId="20132"/>
    <cellStyle name="20% - Accent6 2 4 2 2 2 2" xfId="20133"/>
    <cellStyle name="20% - Accent6 2 4 2 2 2 2 2" xfId="20134"/>
    <cellStyle name="20% - Accent6 2 4 2 2 2 2 2 2" xfId="20135"/>
    <cellStyle name="20% - Accent6 2 4 2 2 2 2 3" xfId="20136"/>
    <cellStyle name="20% - Accent6 2 4 2 2 2 3" xfId="20137"/>
    <cellStyle name="20% - Accent6 2 4 2 2 2 3 2" xfId="20138"/>
    <cellStyle name="20% - Accent6 2 4 2 2 2 4" xfId="20139"/>
    <cellStyle name="20% - Accent6 2 4 2 2 3" xfId="20140"/>
    <cellStyle name="20% - Accent6 2 4 2 2 3 2" xfId="20141"/>
    <cellStyle name="20% - Accent6 2 4 2 2 3 2 2" xfId="20142"/>
    <cellStyle name="20% - Accent6 2 4 2 2 3 3" xfId="20143"/>
    <cellStyle name="20% - Accent6 2 4 2 2 4" xfId="20144"/>
    <cellStyle name="20% - Accent6 2 4 2 2 4 2" xfId="20145"/>
    <cellStyle name="20% - Accent6 2 4 2 2 5" xfId="20146"/>
    <cellStyle name="20% - Accent6 2 4 2 3" xfId="20147"/>
    <cellStyle name="20% - Accent6 2 4 2 3 2" xfId="20148"/>
    <cellStyle name="20% - Accent6 2 4 2 3 2 2" xfId="20149"/>
    <cellStyle name="20% - Accent6 2 4 2 3 2 2 2" xfId="20150"/>
    <cellStyle name="20% - Accent6 2 4 2 3 2 2 2 2" xfId="20151"/>
    <cellStyle name="20% - Accent6 2 4 2 3 2 2 3" xfId="20152"/>
    <cellStyle name="20% - Accent6 2 4 2 3 2 3" xfId="20153"/>
    <cellStyle name="20% - Accent6 2 4 2 3 2 3 2" xfId="20154"/>
    <cellStyle name="20% - Accent6 2 4 2 3 2 4" xfId="20155"/>
    <cellStyle name="20% - Accent6 2 4 2 3 3" xfId="20156"/>
    <cellStyle name="20% - Accent6 2 4 2 3 3 2" xfId="20157"/>
    <cellStyle name="20% - Accent6 2 4 2 3 3 2 2" xfId="20158"/>
    <cellStyle name="20% - Accent6 2 4 2 3 3 3" xfId="20159"/>
    <cellStyle name="20% - Accent6 2 4 2 3 4" xfId="20160"/>
    <cellStyle name="20% - Accent6 2 4 2 3 4 2" xfId="20161"/>
    <cellStyle name="20% - Accent6 2 4 2 3 5" xfId="20162"/>
    <cellStyle name="20% - Accent6 2 4 2 4" xfId="20163"/>
    <cellStyle name="20% - Accent6 2 4 2 4 2" xfId="20164"/>
    <cellStyle name="20% - Accent6 2 4 2 4 2 2" xfId="20165"/>
    <cellStyle name="20% - Accent6 2 4 2 4 2 2 2" xfId="20166"/>
    <cellStyle name="20% - Accent6 2 4 2 4 2 2 2 2" xfId="20167"/>
    <cellStyle name="20% - Accent6 2 4 2 4 2 2 3" xfId="20168"/>
    <cellStyle name="20% - Accent6 2 4 2 4 2 3" xfId="20169"/>
    <cellStyle name="20% - Accent6 2 4 2 4 2 3 2" xfId="20170"/>
    <cellStyle name="20% - Accent6 2 4 2 4 2 4" xfId="20171"/>
    <cellStyle name="20% - Accent6 2 4 2 4 3" xfId="20172"/>
    <cellStyle name="20% - Accent6 2 4 2 4 3 2" xfId="20173"/>
    <cellStyle name="20% - Accent6 2 4 2 4 3 2 2" xfId="20174"/>
    <cellStyle name="20% - Accent6 2 4 2 4 3 3" xfId="20175"/>
    <cellStyle name="20% - Accent6 2 4 2 4 4" xfId="20176"/>
    <cellStyle name="20% - Accent6 2 4 2 4 4 2" xfId="20177"/>
    <cellStyle name="20% - Accent6 2 4 2 4 5" xfId="20178"/>
    <cellStyle name="20% - Accent6 2 4 2 5" xfId="20179"/>
    <cellStyle name="20% - Accent6 2 4 2 5 2" xfId="20180"/>
    <cellStyle name="20% - Accent6 2 4 2 5 2 2" xfId="20181"/>
    <cellStyle name="20% - Accent6 2 4 2 5 2 2 2" xfId="20182"/>
    <cellStyle name="20% - Accent6 2 4 2 5 2 2 2 2" xfId="20183"/>
    <cellStyle name="20% - Accent6 2 4 2 5 2 2 3" xfId="20184"/>
    <cellStyle name="20% - Accent6 2 4 2 5 2 3" xfId="20185"/>
    <cellStyle name="20% - Accent6 2 4 2 5 2 3 2" xfId="20186"/>
    <cellStyle name="20% - Accent6 2 4 2 5 2 4" xfId="20187"/>
    <cellStyle name="20% - Accent6 2 4 2 5 3" xfId="20188"/>
    <cellStyle name="20% - Accent6 2 4 2 5 3 2" xfId="20189"/>
    <cellStyle name="20% - Accent6 2 4 2 5 3 2 2" xfId="20190"/>
    <cellStyle name="20% - Accent6 2 4 2 5 3 3" xfId="20191"/>
    <cellStyle name="20% - Accent6 2 4 2 5 4" xfId="20192"/>
    <cellStyle name="20% - Accent6 2 4 2 5 4 2" xfId="20193"/>
    <cellStyle name="20% - Accent6 2 4 2 5 5" xfId="20194"/>
    <cellStyle name="20% - Accent6 2 4 2 6" xfId="20195"/>
    <cellStyle name="20% - Accent6 2 4 2 6 2" xfId="20196"/>
    <cellStyle name="20% - Accent6 2 4 2 6 2 2" xfId="20197"/>
    <cellStyle name="20% - Accent6 2 4 2 6 2 2 2" xfId="20198"/>
    <cellStyle name="20% - Accent6 2 4 2 6 2 2 2 2" xfId="20199"/>
    <cellStyle name="20% - Accent6 2 4 2 6 2 2 3" xfId="20200"/>
    <cellStyle name="20% - Accent6 2 4 2 6 2 3" xfId="20201"/>
    <cellStyle name="20% - Accent6 2 4 2 6 2 3 2" xfId="20202"/>
    <cellStyle name="20% - Accent6 2 4 2 6 2 4" xfId="20203"/>
    <cellStyle name="20% - Accent6 2 4 2 6 3" xfId="20204"/>
    <cellStyle name="20% - Accent6 2 4 2 6 3 2" xfId="20205"/>
    <cellStyle name="20% - Accent6 2 4 2 6 3 2 2" xfId="20206"/>
    <cellStyle name="20% - Accent6 2 4 2 6 3 3" xfId="20207"/>
    <cellStyle name="20% - Accent6 2 4 2 6 4" xfId="20208"/>
    <cellStyle name="20% - Accent6 2 4 2 6 4 2" xfId="20209"/>
    <cellStyle name="20% - Accent6 2 4 2 6 5" xfId="20210"/>
    <cellStyle name="20% - Accent6 2 4 2 7" xfId="20211"/>
    <cellStyle name="20% - Accent6 2 4 2 7 2" xfId="20212"/>
    <cellStyle name="20% - Accent6 2 4 2 7 2 2" xfId="20213"/>
    <cellStyle name="20% - Accent6 2 4 2 7 2 2 2" xfId="20214"/>
    <cellStyle name="20% - Accent6 2 4 2 7 2 3" xfId="20215"/>
    <cellStyle name="20% - Accent6 2 4 2 7 3" xfId="20216"/>
    <cellStyle name="20% - Accent6 2 4 2 7 3 2" xfId="20217"/>
    <cellStyle name="20% - Accent6 2 4 2 7 4" xfId="20218"/>
    <cellStyle name="20% - Accent6 2 4 2 8" xfId="20219"/>
    <cellStyle name="20% - Accent6 2 4 2 8 2" xfId="20220"/>
    <cellStyle name="20% - Accent6 2 4 2 8 2 2" xfId="20221"/>
    <cellStyle name="20% - Accent6 2 4 2 8 3" xfId="20222"/>
    <cellStyle name="20% - Accent6 2 4 2 9" xfId="20223"/>
    <cellStyle name="20% - Accent6 2 4 2 9 2" xfId="20224"/>
    <cellStyle name="20% - Accent6 2 4 3" xfId="20225"/>
    <cellStyle name="20% - Accent6 2 4 3 2" xfId="20226"/>
    <cellStyle name="20% - Accent6 2 4 3 2 2" xfId="20227"/>
    <cellStyle name="20% - Accent6 2 4 3 2 2 2" xfId="20228"/>
    <cellStyle name="20% - Accent6 2 4 3 2 2 2 2" xfId="20229"/>
    <cellStyle name="20% - Accent6 2 4 3 2 2 3" xfId="20230"/>
    <cellStyle name="20% - Accent6 2 4 3 2 3" xfId="20231"/>
    <cellStyle name="20% - Accent6 2 4 3 2 3 2" xfId="20232"/>
    <cellStyle name="20% - Accent6 2 4 3 2 4" xfId="20233"/>
    <cellStyle name="20% - Accent6 2 4 3 3" xfId="20234"/>
    <cellStyle name="20% - Accent6 2 4 3 3 2" xfId="20235"/>
    <cellStyle name="20% - Accent6 2 4 3 3 2 2" xfId="20236"/>
    <cellStyle name="20% - Accent6 2 4 3 3 3" xfId="20237"/>
    <cellStyle name="20% - Accent6 2 4 3 4" xfId="20238"/>
    <cellStyle name="20% - Accent6 2 4 3 4 2" xfId="20239"/>
    <cellStyle name="20% - Accent6 2 4 3 5" xfId="20240"/>
    <cellStyle name="20% - Accent6 2 4 4" xfId="20241"/>
    <cellStyle name="20% - Accent6 2 4 4 2" xfId="20242"/>
    <cellStyle name="20% - Accent6 2 4 4 2 2" xfId="20243"/>
    <cellStyle name="20% - Accent6 2 4 4 2 2 2" xfId="20244"/>
    <cellStyle name="20% - Accent6 2 4 4 2 2 2 2" xfId="20245"/>
    <cellStyle name="20% - Accent6 2 4 4 2 2 3" xfId="20246"/>
    <cellStyle name="20% - Accent6 2 4 4 2 3" xfId="20247"/>
    <cellStyle name="20% - Accent6 2 4 4 2 3 2" xfId="20248"/>
    <cellStyle name="20% - Accent6 2 4 4 2 4" xfId="20249"/>
    <cellStyle name="20% - Accent6 2 4 4 3" xfId="20250"/>
    <cellStyle name="20% - Accent6 2 4 4 3 2" xfId="20251"/>
    <cellStyle name="20% - Accent6 2 4 4 3 2 2" xfId="20252"/>
    <cellStyle name="20% - Accent6 2 4 4 3 3" xfId="20253"/>
    <cellStyle name="20% - Accent6 2 4 4 4" xfId="20254"/>
    <cellStyle name="20% - Accent6 2 4 4 4 2" xfId="20255"/>
    <cellStyle name="20% - Accent6 2 4 4 5" xfId="20256"/>
    <cellStyle name="20% - Accent6 2 4 5" xfId="20257"/>
    <cellStyle name="20% - Accent6 2 4 5 2" xfId="20258"/>
    <cellStyle name="20% - Accent6 2 4 5 2 2" xfId="20259"/>
    <cellStyle name="20% - Accent6 2 4 5 2 2 2" xfId="20260"/>
    <cellStyle name="20% - Accent6 2 4 5 2 2 2 2" xfId="20261"/>
    <cellStyle name="20% - Accent6 2 4 5 2 2 3" xfId="20262"/>
    <cellStyle name="20% - Accent6 2 4 5 2 3" xfId="20263"/>
    <cellStyle name="20% - Accent6 2 4 5 2 3 2" xfId="20264"/>
    <cellStyle name="20% - Accent6 2 4 5 2 4" xfId="20265"/>
    <cellStyle name="20% - Accent6 2 4 5 3" xfId="20266"/>
    <cellStyle name="20% - Accent6 2 4 5 3 2" xfId="20267"/>
    <cellStyle name="20% - Accent6 2 4 5 3 2 2" xfId="20268"/>
    <cellStyle name="20% - Accent6 2 4 5 3 3" xfId="20269"/>
    <cellStyle name="20% - Accent6 2 4 5 4" xfId="20270"/>
    <cellStyle name="20% - Accent6 2 4 5 4 2" xfId="20271"/>
    <cellStyle name="20% - Accent6 2 4 5 5" xfId="20272"/>
    <cellStyle name="20% - Accent6 2 4 6" xfId="20273"/>
    <cellStyle name="20% - Accent6 2 4 6 2" xfId="20274"/>
    <cellStyle name="20% - Accent6 2 4 6 2 2" xfId="20275"/>
    <cellStyle name="20% - Accent6 2 4 6 2 2 2" xfId="20276"/>
    <cellStyle name="20% - Accent6 2 4 6 2 2 2 2" xfId="20277"/>
    <cellStyle name="20% - Accent6 2 4 6 2 2 3" xfId="20278"/>
    <cellStyle name="20% - Accent6 2 4 6 2 3" xfId="20279"/>
    <cellStyle name="20% - Accent6 2 4 6 2 3 2" xfId="20280"/>
    <cellStyle name="20% - Accent6 2 4 6 2 4" xfId="20281"/>
    <cellStyle name="20% - Accent6 2 4 6 3" xfId="20282"/>
    <cellStyle name="20% - Accent6 2 4 6 3 2" xfId="20283"/>
    <cellStyle name="20% - Accent6 2 4 6 3 2 2" xfId="20284"/>
    <cellStyle name="20% - Accent6 2 4 6 3 3" xfId="20285"/>
    <cellStyle name="20% - Accent6 2 4 6 4" xfId="20286"/>
    <cellStyle name="20% - Accent6 2 4 6 4 2" xfId="20287"/>
    <cellStyle name="20% - Accent6 2 4 6 5" xfId="20288"/>
    <cellStyle name="20% - Accent6 2 4 7" xfId="20289"/>
    <cellStyle name="20% - Accent6 2 4 7 2" xfId="20290"/>
    <cellStyle name="20% - Accent6 2 4 7 2 2" xfId="20291"/>
    <cellStyle name="20% - Accent6 2 4 7 2 2 2" xfId="20292"/>
    <cellStyle name="20% - Accent6 2 4 7 2 2 2 2" xfId="20293"/>
    <cellStyle name="20% - Accent6 2 4 7 2 2 3" xfId="20294"/>
    <cellStyle name="20% - Accent6 2 4 7 2 3" xfId="20295"/>
    <cellStyle name="20% - Accent6 2 4 7 2 3 2" xfId="20296"/>
    <cellStyle name="20% - Accent6 2 4 7 2 4" xfId="20297"/>
    <cellStyle name="20% - Accent6 2 4 7 3" xfId="20298"/>
    <cellStyle name="20% - Accent6 2 4 7 3 2" xfId="20299"/>
    <cellStyle name="20% - Accent6 2 4 7 3 2 2" xfId="20300"/>
    <cellStyle name="20% - Accent6 2 4 7 3 3" xfId="20301"/>
    <cellStyle name="20% - Accent6 2 4 7 4" xfId="20302"/>
    <cellStyle name="20% - Accent6 2 4 7 4 2" xfId="20303"/>
    <cellStyle name="20% - Accent6 2 4 7 5" xfId="20304"/>
    <cellStyle name="20% - Accent6 2 4 8" xfId="20305"/>
    <cellStyle name="20% - Accent6 2 4 8 2" xfId="20306"/>
    <cellStyle name="20% - Accent6 2 4 8 2 2" xfId="20307"/>
    <cellStyle name="20% - Accent6 2 4 8 2 2 2" xfId="20308"/>
    <cellStyle name="20% - Accent6 2 4 8 2 3" xfId="20309"/>
    <cellStyle name="20% - Accent6 2 4 8 3" xfId="20310"/>
    <cellStyle name="20% - Accent6 2 4 8 3 2" xfId="20311"/>
    <cellStyle name="20% - Accent6 2 4 8 4" xfId="20312"/>
    <cellStyle name="20% - Accent6 2 4 9" xfId="20313"/>
    <cellStyle name="20% - Accent6 2 4 9 2" xfId="20314"/>
    <cellStyle name="20% - Accent6 2 4 9 2 2" xfId="20315"/>
    <cellStyle name="20% - Accent6 2 4 9 3" xfId="20316"/>
    <cellStyle name="20% - Accent6 2 5" xfId="20317"/>
    <cellStyle name="20% - Accent6 2 5 10" xfId="20318"/>
    <cellStyle name="20% - Accent6 2 5 10 2" xfId="20319"/>
    <cellStyle name="20% - Accent6 2 5 11" xfId="20320"/>
    <cellStyle name="20% - Accent6 2 5 2" xfId="20321"/>
    <cellStyle name="20% - Accent6 2 5 2 10" xfId="20322"/>
    <cellStyle name="20% - Accent6 2 5 2 2" xfId="20323"/>
    <cellStyle name="20% - Accent6 2 5 2 2 2" xfId="20324"/>
    <cellStyle name="20% - Accent6 2 5 2 2 2 2" xfId="20325"/>
    <cellStyle name="20% - Accent6 2 5 2 2 2 2 2" xfId="20326"/>
    <cellStyle name="20% - Accent6 2 5 2 2 2 2 2 2" xfId="20327"/>
    <cellStyle name="20% - Accent6 2 5 2 2 2 2 3" xfId="20328"/>
    <cellStyle name="20% - Accent6 2 5 2 2 2 3" xfId="20329"/>
    <cellStyle name="20% - Accent6 2 5 2 2 2 3 2" xfId="20330"/>
    <cellStyle name="20% - Accent6 2 5 2 2 2 4" xfId="20331"/>
    <cellStyle name="20% - Accent6 2 5 2 2 3" xfId="20332"/>
    <cellStyle name="20% - Accent6 2 5 2 2 3 2" xfId="20333"/>
    <cellStyle name="20% - Accent6 2 5 2 2 3 2 2" xfId="20334"/>
    <cellStyle name="20% - Accent6 2 5 2 2 3 3" xfId="20335"/>
    <cellStyle name="20% - Accent6 2 5 2 2 4" xfId="20336"/>
    <cellStyle name="20% - Accent6 2 5 2 2 4 2" xfId="20337"/>
    <cellStyle name="20% - Accent6 2 5 2 2 5" xfId="20338"/>
    <cellStyle name="20% - Accent6 2 5 2 3" xfId="20339"/>
    <cellStyle name="20% - Accent6 2 5 2 3 2" xfId="20340"/>
    <cellStyle name="20% - Accent6 2 5 2 3 2 2" xfId="20341"/>
    <cellStyle name="20% - Accent6 2 5 2 3 2 2 2" xfId="20342"/>
    <cellStyle name="20% - Accent6 2 5 2 3 2 2 2 2" xfId="20343"/>
    <cellStyle name="20% - Accent6 2 5 2 3 2 2 3" xfId="20344"/>
    <cellStyle name="20% - Accent6 2 5 2 3 2 3" xfId="20345"/>
    <cellStyle name="20% - Accent6 2 5 2 3 2 3 2" xfId="20346"/>
    <cellStyle name="20% - Accent6 2 5 2 3 2 4" xfId="20347"/>
    <cellStyle name="20% - Accent6 2 5 2 3 3" xfId="20348"/>
    <cellStyle name="20% - Accent6 2 5 2 3 3 2" xfId="20349"/>
    <cellStyle name="20% - Accent6 2 5 2 3 3 2 2" xfId="20350"/>
    <cellStyle name="20% - Accent6 2 5 2 3 3 3" xfId="20351"/>
    <cellStyle name="20% - Accent6 2 5 2 3 4" xfId="20352"/>
    <cellStyle name="20% - Accent6 2 5 2 3 4 2" xfId="20353"/>
    <cellStyle name="20% - Accent6 2 5 2 3 5" xfId="20354"/>
    <cellStyle name="20% - Accent6 2 5 2 4" xfId="20355"/>
    <cellStyle name="20% - Accent6 2 5 2 4 2" xfId="20356"/>
    <cellStyle name="20% - Accent6 2 5 2 4 2 2" xfId="20357"/>
    <cellStyle name="20% - Accent6 2 5 2 4 2 2 2" xfId="20358"/>
    <cellStyle name="20% - Accent6 2 5 2 4 2 2 2 2" xfId="20359"/>
    <cellStyle name="20% - Accent6 2 5 2 4 2 2 3" xfId="20360"/>
    <cellStyle name="20% - Accent6 2 5 2 4 2 3" xfId="20361"/>
    <cellStyle name="20% - Accent6 2 5 2 4 2 3 2" xfId="20362"/>
    <cellStyle name="20% - Accent6 2 5 2 4 2 4" xfId="20363"/>
    <cellStyle name="20% - Accent6 2 5 2 4 3" xfId="20364"/>
    <cellStyle name="20% - Accent6 2 5 2 4 3 2" xfId="20365"/>
    <cellStyle name="20% - Accent6 2 5 2 4 3 2 2" xfId="20366"/>
    <cellStyle name="20% - Accent6 2 5 2 4 3 3" xfId="20367"/>
    <cellStyle name="20% - Accent6 2 5 2 4 4" xfId="20368"/>
    <cellStyle name="20% - Accent6 2 5 2 4 4 2" xfId="20369"/>
    <cellStyle name="20% - Accent6 2 5 2 4 5" xfId="20370"/>
    <cellStyle name="20% - Accent6 2 5 2 5" xfId="20371"/>
    <cellStyle name="20% - Accent6 2 5 2 5 2" xfId="20372"/>
    <cellStyle name="20% - Accent6 2 5 2 5 2 2" xfId="20373"/>
    <cellStyle name="20% - Accent6 2 5 2 5 2 2 2" xfId="20374"/>
    <cellStyle name="20% - Accent6 2 5 2 5 2 2 2 2" xfId="20375"/>
    <cellStyle name="20% - Accent6 2 5 2 5 2 2 3" xfId="20376"/>
    <cellStyle name="20% - Accent6 2 5 2 5 2 3" xfId="20377"/>
    <cellStyle name="20% - Accent6 2 5 2 5 2 3 2" xfId="20378"/>
    <cellStyle name="20% - Accent6 2 5 2 5 2 4" xfId="20379"/>
    <cellStyle name="20% - Accent6 2 5 2 5 3" xfId="20380"/>
    <cellStyle name="20% - Accent6 2 5 2 5 3 2" xfId="20381"/>
    <cellStyle name="20% - Accent6 2 5 2 5 3 2 2" xfId="20382"/>
    <cellStyle name="20% - Accent6 2 5 2 5 3 3" xfId="20383"/>
    <cellStyle name="20% - Accent6 2 5 2 5 4" xfId="20384"/>
    <cellStyle name="20% - Accent6 2 5 2 5 4 2" xfId="20385"/>
    <cellStyle name="20% - Accent6 2 5 2 5 5" xfId="20386"/>
    <cellStyle name="20% - Accent6 2 5 2 6" xfId="20387"/>
    <cellStyle name="20% - Accent6 2 5 2 6 2" xfId="20388"/>
    <cellStyle name="20% - Accent6 2 5 2 6 2 2" xfId="20389"/>
    <cellStyle name="20% - Accent6 2 5 2 6 2 2 2" xfId="20390"/>
    <cellStyle name="20% - Accent6 2 5 2 6 2 2 2 2" xfId="20391"/>
    <cellStyle name="20% - Accent6 2 5 2 6 2 2 3" xfId="20392"/>
    <cellStyle name="20% - Accent6 2 5 2 6 2 3" xfId="20393"/>
    <cellStyle name="20% - Accent6 2 5 2 6 2 3 2" xfId="20394"/>
    <cellStyle name="20% - Accent6 2 5 2 6 2 4" xfId="20395"/>
    <cellStyle name="20% - Accent6 2 5 2 6 3" xfId="20396"/>
    <cellStyle name="20% - Accent6 2 5 2 6 3 2" xfId="20397"/>
    <cellStyle name="20% - Accent6 2 5 2 6 3 2 2" xfId="20398"/>
    <cellStyle name="20% - Accent6 2 5 2 6 3 3" xfId="20399"/>
    <cellStyle name="20% - Accent6 2 5 2 6 4" xfId="20400"/>
    <cellStyle name="20% - Accent6 2 5 2 6 4 2" xfId="20401"/>
    <cellStyle name="20% - Accent6 2 5 2 6 5" xfId="20402"/>
    <cellStyle name="20% - Accent6 2 5 2 7" xfId="20403"/>
    <cellStyle name="20% - Accent6 2 5 2 7 2" xfId="20404"/>
    <cellStyle name="20% - Accent6 2 5 2 7 2 2" xfId="20405"/>
    <cellStyle name="20% - Accent6 2 5 2 7 2 2 2" xfId="20406"/>
    <cellStyle name="20% - Accent6 2 5 2 7 2 3" xfId="20407"/>
    <cellStyle name="20% - Accent6 2 5 2 7 3" xfId="20408"/>
    <cellStyle name="20% - Accent6 2 5 2 7 3 2" xfId="20409"/>
    <cellStyle name="20% - Accent6 2 5 2 7 4" xfId="20410"/>
    <cellStyle name="20% - Accent6 2 5 2 8" xfId="20411"/>
    <cellStyle name="20% - Accent6 2 5 2 8 2" xfId="20412"/>
    <cellStyle name="20% - Accent6 2 5 2 8 2 2" xfId="20413"/>
    <cellStyle name="20% - Accent6 2 5 2 8 3" xfId="20414"/>
    <cellStyle name="20% - Accent6 2 5 2 9" xfId="20415"/>
    <cellStyle name="20% - Accent6 2 5 2 9 2" xfId="20416"/>
    <cellStyle name="20% - Accent6 2 5 3" xfId="20417"/>
    <cellStyle name="20% - Accent6 2 5 3 2" xfId="20418"/>
    <cellStyle name="20% - Accent6 2 5 3 2 2" xfId="20419"/>
    <cellStyle name="20% - Accent6 2 5 3 2 2 2" xfId="20420"/>
    <cellStyle name="20% - Accent6 2 5 3 2 2 2 2" xfId="20421"/>
    <cellStyle name="20% - Accent6 2 5 3 2 2 3" xfId="20422"/>
    <cellStyle name="20% - Accent6 2 5 3 2 3" xfId="20423"/>
    <cellStyle name="20% - Accent6 2 5 3 2 3 2" xfId="20424"/>
    <cellStyle name="20% - Accent6 2 5 3 2 4" xfId="20425"/>
    <cellStyle name="20% - Accent6 2 5 3 3" xfId="20426"/>
    <cellStyle name="20% - Accent6 2 5 3 3 2" xfId="20427"/>
    <cellStyle name="20% - Accent6 2 5 3 3 2 2" xfId="20428"/>
    <cellStyle name="20% - Accent6 2 5 3 3 3" xfId="20429"/>
    <cellStyle name="20% - Accent6 2 5 3 4" xfId="20430"/>
    <cellStyle name="20% - Accent6 2 5 3 4 2" xfId="20431"/>
    <cellStyle name="20% - Accent6 2 5 3 5" xfId="20432"/>
    <cellStyle name="20% - Accent6 2 5 4" xfId="20433"/>
    <cellStyle name="20% - Accent6 2 5 4 2" xfId="20434"/>
    <cellStyle name="20% - Accent6 2 5 4 2 2" xfId="20435"/>
    <cellStyle name="20% - Accent6 2 5 4 2 2 2" xfId="20436"/>
    <cellStyle name="20% - Accent6 2 5 4 2 2 2 2" xfId="20437"/>
    <cellStyle name="20% - Accent6 2 5 4 2 2 3" xfId="20438"/>
    <cellStyle name="20% - Accent6 2 5 4 2 3" xfId="20439"/>
    <cellStyle name="20% - Accent6 2 5 4 2 3 2" xfId="20440"/>
    <cellStyle name="20% - Accent6 2 5 4 2 4" xfId="20441"/>
    <cellStyle name="20% - Accent6 2 5 4 3" xfId="20442"/>
    <cellStyle name="20% - Accent6 2 5 4 3 2" xfId="20443"/>
    <cellStyle name="20% - Accent6 2 5 4 3 2 2" xfId="20444"/>
    <cellStyle name="20% - Accent6 2 5 4 3 3" xfId="20445"/>
    <cellStyle name="20% - Accent6 2 5 4 4" xfId="20446"/>
    <cellStyle name="20% - Accent6 2 5 4 4 2" xfId="20447"/>
    <cellStyle name="20% - Accent6 2 5 4 5" xfId="20448"/>
    <cellStyle name="20% - Accent6 2 5 5" xfId="20449"/>
    <cellStyle name="20% - Accent6 2 5 5 2" xfId="20450"/>
    <cellStyle name="20% - Accent6 2 5 5 2 2" xfId="20451"/>
    <cellStyle name="20% - Accent6 2 5 5 2 2 2" xfId="20452"/>
    <cellStyle name="20% - Accent6 2 5 5 2 2 2 2" xfId="20453"/>
    <cellStyle name="20% - Accent6 2 5 5 2 2 3" xfId="20454"/>
    <cellStyle name="20% - Accent6 2 5 5 2 3" xfId="20455"/>
    <cellStyle name="20% - Accent6 2 5 5 2 3 2" xfId="20456"/>
    <cellStyle name="20% - Accent6 2 5 5 2 4" xfId="20457"/>
    <cellStyle name="20% - Accent6 2 5 5 3" xfId="20458"/>
    <cellStyle name="20% - Accent6 2 5 5 3 2" xfId="20459"/>
    <cellStyle name="20% - Accent6 2 5 5 3 2 2" xfId="20460"/>
    <cellStyle name="20% - Accent6 2 5 5 3 3" xfId="20461"/>
    <cellStyle name="20% - Accent6 2 5 5 4" xfId="20462"/>
    <cellStyle name="20% - Accent6 2 5 5 4 2" xfId="20463"/>
    <cellStyle name="20% - Accent6 2 5 5 5" xfId="20464"/>
    <cellStyle name="20% - Accent6 2 5 6" xfId="20465"/>
    <cellStyle name="20% - Accent6 2 5 6 2" xfId="20466"/>
    <cellStyle name="20% - Accent6 2 5 6 2 2" xfId="20467"/>
    <cellStyle name="20% - Accent6 2 5 6 2 2 2" xfId="20468"/>
    <cellStyle name="20% - Accent6 2 5 6 2 2 2 2" xfId="20469"/>
    <cellStyle name="20% - Accent6 2 5 6 2 2 3" xfId="20470"/>
    <cellStyle name="20% - Accent6 2 5 6 2 3" xfId="20471"/>
    <cellStyle name="20% - Accent6 2 5 6 2 3 2" xfId="20472"/>
    <cellStyle name="20% - Accent6 2 5 6 2 4" xfId="20473"/>
    <cellStyle name="20% - Accent6 2 5 6 3" xfId="20474"/>
    <cellStyle name="20% - Accent6 2 5 6 3 2" xfId="20475"/>
    <cellStyle name="20% - Accent6 2 5 6 3 2 2" xfId="20476"/>
    <cellStyle name="20% - Accent6 2 5 6 3 3" xfId="20477"/>
    <cellStyle name="20% - Accent6 2 5 6 4" xfId="20478"/>
    <cellStyle name="20% - Accent6 2 5 6 4 2" xfId="20479"/>
    <cellStyle name="20% - Accent6 2 5 6 5" xfId="20480"/>
    <cellStyle name="20% - Accent6 2 5 7" xfId="20481"/>
    <cellStyle name="20% - Accent6 2 5 7 2" xfId="20482"/>
    <cellStyle name="20% - Accent6 2 5 7 2 2" xfId="20483"/>
    <cellStyle name="20% - Accent6 2 5 7 2 2 2" xfId="20484"/>
    <cellStyle name="20% - Accent6 2 5 7 2 2 2 2" xfId="20485"/>
    <cellStyle name="20% - Accent6 2 5 7 2 2 3" xfId="20486"/>
    <cellStyle name="20% - Accent6 2 5 7 2 3" xfId="20487"/>
    <cellStyle name="20% - Accent6 2 5 7 2 3 2" xfId="20488"/>
    <cellStyle name="20% - Accent6 2 5 7 2 4" xfId="20489"/>
    <cellStyle name="20% - Accent6 2 5 7 3" xfId="20490"/>
    <cellStyle name="20% - Accent6 2 5 7 3 2" xfId="20491"/>
    <cellStyle name="20% - Accent6 2 5 7 3 2 2" xfId="20492"/>
    <cellStyle name="20% - Accent6 2 5 7 3 3" xfId="20493"/>
    <cellStyle name="20% - Accent6 2 5 7 4" xfId="20494"/>
    <cellStyle name="20% - Accent6 2 5 7 4 2" xfId="20495"/>
    <cellStyle name="20% - Accent6 2 5 7 5" xfId="20496"/>
    <cellStyle name="20% - Accent6 2 5 8" xfId="20497"/>
    <cellStyle name="20% - Accent6 2 5 8 2" xfId="20498"/>
    <cellStyle name="20% - Accent6 2 5 8 2 2" xfId="20499"/>
    <cellStyle name="20% - Accent6 2 5 8 2 2 2" xfId="20500"/>
    <cellStyle name="20% - Accent6 2 5 8 2 3" xfId="20501"/>
    <cellStyle name="20% - Accent6 2 5 8 3" xfId="20502"/>
    <cellStyle name="20% - Accent6 2 5 8 3 2" xfId="20503"/>
    <cellStyle name="20% - Accent6 2 5 8 4" xfId="20504"/>
    <cellStyle name="20% - Accent6 2 5 9" xfId="20505"/>
    <cellStyle name="20% - Accent6 2 5 9 2" xfId="20506"/>
    <cellStyle name="20% - Accent6 2 5 9 2 2" xfId="20507"/>
    <cellStyle name="20% - Accent6 2 5 9 3" xfId="20508"/>
    <cellStyle name="20% - Accent6 2 6" xfId="20509"/>
    <cellStyle name="20% - Accent6 2 6 10" xfId="20510"/>
    <cellStyle name="20% - Accent6 2 6 10 2" xfId="20511"/>
    <cellStyle name="20% - Accent6 2 6 11" xfId="20512"/>
    <cellStyle name="20% - Accent6 2 6 2" xfId="20513"/>
    <cellStyle name="20% - Accent6 2 6 2 10" xfId="20514"/>
    <cellStyle name="20% - Accent6 2 6 2 2" xfId="20515"/>
    <cellStyle name="20% - Accent6 2 6 2 2 2" xfId="20516"/>
    <cellStyle name="20% - Accent6 2 6 2 2 2 2" xfId="20517"/>
    <cellStyle name="20% - Accent6 2 6 2 2 2 2 2" xfId="20518"/>
    <cellStyle name="20% - Accent6 2 6 2 2 2 2 2 2" xfId="20519"/>
    <cellStyle name="20% - Accent6 2 6 2 2 2 2 3" xfId="20520"/>
    <cellStyle name="20% - Accent6 2 6 2 2 2 3" xfId="20521"/>
    <cellStyle name="20% - Accent6 2 6 2 2 2 3 2" xfId="20522"/>
    <cellStyle name="20% - Accent6 2 6 2 2 2 4" xfId="20523"/>
    <cellStyle name="20% - Accent6 2 6 2 2 3" xfId="20524"/>
    <cellStyle name="20% - Accent6 2 6 2 2 3 2" xfId="20525"/>
    <cellStyle name="20% - Accent6 2 6 2 2 3 2 2" xfId="20526"/>
    <cellStyle name="20% - Accent6 2 6 2 2 3 3" xfId="20527"/>
    <cellStyle name="20% - Accent6 2 6 2 2 4" xfId="20528"/>
    <cellStyle name="20% - Accent6 2 6 2 2 4 2" xfId="20529"/>
    <cellStyle name="20% - Accent6 2 6 2 2 5" xfId="20530"/>
    <cellStyle name="20% - Accent6 2 6 2 3" xfId="20531"/>
    <cellStyle name="20% - Accent6 2 6 2 3 2" xfId="20532"/>
    <cellStyle name="20% - Accent6 2 6 2 3 2 2" xfId="20533"/>
    <cellStyle name="20% - Accent6 2 6 2 3 2 2 2" xfId="20534"/>
    <cellStyle name="20% - Accent6 2 6 2 3 2 2 2 2" xfId="20535"/>
    <cellStyle name="20% - Accent6 2 6 2 3 2 2 3" xfId="20536"/>
    <cellStyle name="20% - Accent6 2 6 2 3 2 3" xfId="20537"/>
    <cellStyle name="20% - Accent6 2 6 2 3 2 3 2" xfId="20538"/>
    <cellStyle name="20% - Accent6 2 6 2 3 2 4" xfId="20539"/>
    <cellStyle name="20% - Accent6 2 6 2 3 3" xfId="20540"/>
    <cellStyle name="20% - Accent6 2 6 2 3 3 2" xfId="20541"/>
    <cellStyle name="20% - Accent6 2 6 2 3 3 2 2" xfId="20542"/>
    <cellStyle name="20% - Accent6 2 6 2 3 3 3" xfId="20543"/>
    <cellStyle name="20% - Accent6 2 6 2 3 4" xfId="20544"/>
    <cellStyle name="20% - Accent6 2 6 2 3 4 2" xfId="20545"/>
    <cellStyle name="20% - Accent6 2 6 2 3 5" xfId="20546"/>
    <cellStyle name="20% - Accent6 2 6 2 4" xfId="20547"/>
    <cellStyle name="20% - Accent6 2 6 2 4 2" xfId="20548"/>
    <cellStyle name="20% - Accent6 2 6 2 4 2 2" xfId="20549"/>
    <cellStyle name="20% - Accent6 2 6 2 4 2 2 2" xfId="20550"/>
    <cellStyle name="20% - Accent6 2 6 2 4 2 2 2 2" xfId="20551"/>
    <cellStyle name="20% - Accent6 2 6 2 4 2 2 3" xfId="20552"/>
    <cellStyle name="20% - Accent6 2 6 2 4 2 3" xfId="20553"/>
    <cellStyle name="20% - Accent6 2 6 2 4 2 3 2" xfId="20554"/>
    <cellStyle name="20% - Accent6 2 6 2 4 2 4" xfId="20555"/>
    <cellStyle name="20% - Accent6 2 6 2 4 3" xfId="20556"/>
    <cellStyle name="20% - Accent6 2 6 2 4 3 2" xfId="20557"/>
    <cellStyle name="20% - Accent6 2 6 2 4 3 2 2" xfId="20558"/>
    <cellStyle name="20% - Accent6 2 6 2 4 3 3" xfId="20559"/>
    <cellStyle name="20% - Accent6 2 6 2 4 4" xfId="20560"/>
    <cellStyle name="20% - Accent6 2 6 2 4 4 2" xfId="20561"/>
    <cellStyle name="20% - Accent6 2 6 2 4 5" xfId="20562"/>
    <cellStyle name="20% - Accent6 2 6 2 5" xfId="20563"/>
    <cellStyle name="20% - Accent6 2 6 2 5 2" xfId="20564"/>
    <cellStyle name="20% - Accent6 2 6 2 5 2 2" xfId="20565"/>
    <cellStyle name="20% - Accent6 2 6 2 5 2 2 2" xfId="20566"/>
    <cellStyle name="20% - Accent6 2 6 2 5 2 2 2 2" xfId="20567"/>
    <cellStyle name="20% - Accent6 2 6 2 5 2 2 3" xfId="20568"/>
    <cellStyle name="20% - Accent6 2 6 2 5 2 3" xfId="20569"/>
    <cellStyle name="20% - Accent6 2 6 2 5 2 3 2" xfId="20570"/>
    <cellStyle name="20% - Accent6 2 6 2 5 2 4" xfId="20571"/>
    <cellStyle name="20% - Accent6 2 6 2 5 3" xfId="20572"/>
    <cellStyle name="20% - Accent6 2 6 2 5 3 2" xfId="20573"/>
    <cellStyle name="20% - Accent6 2 6 2 5 3 2 2" xfId="20574"/>
    <cellStyle name="20% - Accent6 2 6 2 5 3 3" xfId="20575"/>
    <cellStyle name="20% - Accent6 2 6 2 5 4" xfId="20576"/>
    <cellStyle name="20% - Accent6 2 6 2 5 4 2" xfId="20577"/>
    <cellStyle name="20% - Accent6 2 6 2 5 5" xfId="20578"/>
    <cellStyle name="20% - Accent6 2 6 2 6" xfId="20579"/>
    <cellStyle name="20% - Accent6 2 6 2 6 2" xfId="20580"/>
    <cellStyle name="20% - Accent6 2 6 2 6 2 2" xfId="20581"/>
    <cellStyle name="20% - Accent6 2 6 2 6 2 2 2" xfId="20582"/>
    <cellStyle name="20% - Accent6 2 6 2 6 2 2 2 2" xfId="20583"/>
    <cellStyle name="20% - Accent6 2 6 2 6 2 2 3" xfId="20584"/>
    <cellStyle name="20% - Accent6 2 6 2 6 2 3" xfId="20585"/>
    <cellStyle name="20% - Accent6 2 6 2 6 2 3 2" xfId="20586"/>
    <cellStyle name="20% - Accent6 2 6 2 6 2 4" xfId="20587"/>
    <cellStyle name="20% - Accent6 2 6 2 6 3" xfId="20588"/>
    <cellStyle name="20% - Accent6 2 6 2 6 3 2" xfId="20589"/>
    <cellStyle name="20% - Accent6 2 6 2 6 3 2 2" xfId="20590"/>
    <cellStyle name="20% - Accent6 2 6 2 6 3 3" xfId="20591"/>
    <cellStyle name="20% - Accent6 2 6 2 6 4" xfId="20592"/>
    <cellStyle name="20% - Accent6 2 6 2 6 4 2" xfId="20593"/>
    <cellStyle name="20% - Accent6 2 6 2 6 5" xfId="20594"/>
    <cellStyle name="20% - Accent6 2 6 2 7" xfId="20595"/>
    <cellStyle name="20% - Accent6 2 6 2 7 2" xfId="20596"/>
    <cellStyle name="20% - Accent6 2 6 2 7 2 2" xfId="20597"/>
    <cellStyle name="20% - Accent6 2 6 2 7 2 2 2" xfId="20598"/>
    <cellStyle name="20% - Accent6 2 6 2 7 2 3" xfId="20599"/>
    <cellStyle name="20% - Accent6 2 6 2 7 3" xfId="20600"/>
    <cellStyle name="20% - Accent6 2 6 2 7 3 2" xfId="20601"/>
    <cellStyle name="20% - Accent6 2 6 2 7 4" xfId="20602"/>
    <cellStyle name="20% - Accent6 2 6 2 8" xfId="20603"/>
    <cellStyle name="20% - Accent6 2 6 2 8 2" xfId="20604"/>
    <cellStyle name="20% - Accent6 2 6 2 8 2 2" xfId="20605"/>
    <cellStyle name="20% - Accent6 2 6 2 8 3" xfId="20606"/>
    <cellStyle name="20% - Accent6 2 6 2 9" xfId="20607"/>
    <cellStyle name="20% - Accent6 2 6 2 9 2" xfId="20608"/>
    <cellStyle name="20% - Accent6 2 6 3" xfId="20609"/>
    <cellStyle name="20% - Accent6 2 6 3 2" xfId="20610"/>
    <cellStyle name="20% - Accent6 2 6 3 2 2" xfId="20611"/>
    <cellStyle name="20% - Accent6 2 6 3 2 2 2" xfId="20612"/>
    <cellStyle name="20% - Accent6 2 6 3 2 2 2 2" xfId="20613"/>
    <cellStyle name="20% - Accent6 2 6 3 2 2 3" xfId="20614"/>
    <cellStyle name="20% - Accent6 2 6 3 2 3" xfId="20615"/>
    <cellStyle name="20% - Accent6 2 6 3 2 3 2" xfId="20616"/>
    <cellStyle name="20% - Accent6 2 6 3 2 4" xfId="20617"/>
    <cellStyle name="20% - Accent6 2 6 3 3" xfId="20618"/>
    <cellStyle name="20% - Accent6 2 6 3 3 2" xfId="20619"/>
    <cellStyle name="20% - Accent6 2 6 3 3 2 2" xfId="20620"/>
    <cellStyle name="20% - Accent6 2 6 3 3 3" xfId="20621"/>
    <cellStyle name="20% - Accent6 2 6 3 4" xfId="20622"/>
    <cellStyle name="20% - Accent6 2 6 3 4 2" xfId="20623"/>
    <cellStyle name="20% - Accent6 2 6 3 5" xfId="20624"/>
    <cellStyle name="20% - Accent6 2 6 4" xfId="20625"/>
    <cellStyle name="20% - Accent6 2 6 4 2" xfId="20626"/>
    <cellStyle name="20% - Accent6 2 6 4 2 2" xfId="20627"/>
    <cellStyle name="20% - Accent6 2 6 4 2 2 2" xfId="20628"/>
    <cellStyle name="20% - Accent6 2 6 4 2 2 2 2" xfId="20629"/>
    <cellStyle name="20% - Accent6 2 6 4 2 2 3" xfId="20630"/>
    <cellStyle name="20% - Accent6 2 6 4 2 3" xfId="20631"/>
    <cellStyle name="20% - Accent6 2 6 4 2 3 2" xfId="20632"/>
    <cellStyle name="20% - Accent6 2 6 4 2 4" xfId="20633"/>
    <cellStyle name="20% - Accent6 2 6 4 3" xfId="20634"/>
    <cellStyle name="20% - Accent6 2 6 4 3 2" xfId="20635"/>
    <cellStyle name="20% - Accent6 2 6 4 3 2 2" xfId="20636"/>
    <cellStyle name="20% - Accent6 2 6 4 3 3" xfId="20637"/>
    <cellStyle name="20% - Accent6 2 6 4 4" xfId="20638"/>
    <cellStyle name="20% - Accent6 2 6 4 4 2" xfId="20639"/>
    <cellStyle name="20% - Accent6 2 6 4 5" xfId="20640"/>
    <cellStyle name="20% - Accent6 2 6 5" xfId="20641"/>
    <cellStyle name="20% - Accent6 2 6 5 2" xfId="20642"/>
    <cellStyle name="20% - Accent6 2 6 5 2 2" xfId="20643"/>
    <cellStyle name="20% - Accent6 2 6 5 2 2 2" xfId="20644"/>
    <cellStyle name="20% - Accent6 2 6 5 2 2 2 2" xfId="20645"/>
    <cellStyle name="20% - Accent6 2 6 5 2 2 3" xfId="20646"/>
    <cellStyle name="20% - Accent6 2 6 5 2 3" xfId="20647"/>
    <cellStyle name="20% - Accent6 2 6 5 2 3 2" xfId="20648"/>
    <cellStyle name="20% - Accent6 2 6 5 2 4" xfId="20649"/>
    <cellStyle name="20% - Accent6 2 6 5 3" xfId="20650"/>
    <cellStyle name="20% - Accent6 2 6 5 3 2" xfId="20651"/>
    <cellStyle name="20% - Accent6 2 6 5 3 2 2" xfId="20652"/>
    <cellStyle name="20% - Accent6 2 6 5 3 3" xfId="20653"/>
    <cellStyle name="20% - Accent6 2 6 5 4" xfId="20654"/>
    <cellStyle name="20% - Accent6 2 6 5 4 2" xfId="20655"/>
    <cellStyle name="20% - Accent6 2 6 5 5" xfId="20656"/>
    <cellStyle name="20% - Accent6 2 6 6" xfId="20657"/>
    <cellStyle name="20% - Accent6 2 6 6 2" xfId="20658"/>
    <cellStyle name="20% - Accent6 2 6 6 2 2" xfId="20659"/>
    <cellStyle name="20% - Accent6 2 6 6 2 2 2" xfId="20660"/>
    <cellStyle name="20% - Accent6 2 6 6 2 2 2 2" xfId="20661"/>
    <cellStyle name="20% - Accent6 2 6 6 2 2 3" xfId="20662"/>
    <cellStyle name="20% - Accent6 2 6 6 2 3" xfId="20663"/>
    <cellStyle name="20% - Accent6 2 6 6 2 3 2" xfId="20664"/>
    <cellStyle name="20% - Accent6 2 6 6 2 4" xfId="20665"/>
    <cellStyle name="20% - Accent6 2 6 6 3" xfId="20666"/>
    <cellStyle name="20% - Accent6 2 6 6 3 2" xfId="20667"/>
    <cellStyle name="20% - Accent6 2 6 6 3 2 2" xfId="20668"/>
    <cellStyle name="20% - Accent6 2 6 6 3 3" xfId="20669"/>
    <cellStyle name="20% - Accent6 2 6 6 4" xfId="20670"/>
    <cellStyle name="20% - Accent6 2 6 6 4 2" xfId="20671"/>
    <cellStyle name="20% - Accent6 2 6 6 5" xfId="20672"/>
    <cellStyle name="20% - Accent6 2 6 7" xfId="20673"/>
    <cellStyle name="20% - Accent6 2 6 7 2" xfId="20674"/>
    <cellStyle name="20% - Accent6 2 6 7 2 2" xfId="20675"/>
    <cellStyle name="20% - Accent6 2 6 7 2 2 2" xfId="20676"/>
    <cellStyle name="20% - Accent6 2 6 7 2 2 2 2" xfId="20677"/>
    <cellStyle name="20% - Accent6 2 6 7 2 2 3" xfId="20678"/>
    <cellStyle name="20% - Accent6 2 6 7 2 3" xfId="20679"/>
    <cellStyle name="20% - Accent6 2 6 7 2 3 2" xfId="20680"/>
    <cellStyle name="20% - Accent6 2 6 7 2 4" xfId="20681"/>
    <cellStyle name="20% - Accent6 2 6 7 3" xfId="20682"/>
    <cellStyle name="20% - Accent6 2 6 7 3 2" xfId="20683"/>
    <cellStyle name="20% - Accent6 2 6 7 3 2 2" xfId="20684"/>
    <cellStyle name="20% - Accent6 2 6 7 3 3" xfId="20685"/>
    <cellStyle name="20% - Accent6 2 6 7 4" xfId="20686"/>
    <cellStyle name="20% - Accent6 2 6 7 4 2" xfId="20687"/>
    <cellStyle name="20% - Accent6 2 6 7 5" xfId="20688"/>
    <cellStyle name="20% - Accent6 2 6 8" xfId="20689"/>
    <cellStyle name="20% - Accent6 2 6 8 2" xfId="20690"/>
    <cellStyle name="20% - Accent6 2 6 8 2 2" xfId="20691"/>
    <cellStyle name="20% - Accent6 2 6 8 2 2 2" xfId="20692"/>
    <cellStyle name="20% - Accent6 2 6 8 2 3" xfId="20693"/>
    <cellStyle name="20% - Accent6 2 6 8 3" xfId="20694"/>
    <cellStyle name="20% - Accent6 2 6 8 3 2" xfId="20695"/>
    <cellStyle name="20% - Accent6 2 6 8 4" xfId="20696"/>
    <cellStyle name="20% - Accent6 2 6 9" xfId="20697"/>
    <cellStyle name="20% - Accent6 2 6 9 2" xfId="20698"/>
    <cellStyle name="20% - Accent6 2 6 9 2 2" xfId="20699"/>
    <cellStyle name="20% - Accent6 2 6 9 3" xfId="20700"/>
    <cellStyle name="20% - Accent6 2 7" xfId="20701"/>
    <cellStyle name="20% - Accent6 2 7 10" xfId="20702"/>
    <cellStyle name="20% - Accent6 2 7 10 2" xfId="20703"/>
    <cellStyle name="20% - Accent6 2 7 11" xfId="20704"/>
    <cellStyle name="20% - Accent6 2 7 2" xfId="20705"/>
    <cellStyle name="20% - Accent6 2 7 2 10" xfId="20706"/>
    <cellStyle name="20% - Accent6 2 7 2 2" xfId="20707"/>
    <cellStyle name="20% - Accent6 2 7 2 2 2" xfId="20708"/>
    <cellStyle name="20% - Accent6 2 7 2 2 2 2" xfId="20709"/>
    <cellStyle name="20% - Accent6 2 7 2 2 2 2 2" xfId="20710"/>
    <cellStyle name="20% - Accent6 2 7 2 2 2 2 2 2" xfId="20711"/>
    <cellStyle name="20% - Accent6 2 7 2 2 2 2 3" xfId="20712"/>
    <cellStyle name="20% - Accent6 2 7 2 2 2 3" xfId="20713"/>
    <cellStyle name="20% - Accent6 2 7 2 2 2 3 2" xfId="20714"/>
    <cellStyle name="20% - Accent6 2 7 2 2 2 4" xfId="20715"/>
    <cellStyle name="20% - Accent6 2 7 2 2 3" xfId="20716"/>
    <cellStyle name="20% - Accent6 2 7 2 2 3 2" xfId="20717"/>
    <cellStyle name="20% - Accent6 2 7 2 2 3 2 2" xfId="20718"/>
    <cellStyle name="20% - Accent6 2 7 2 2 3 3" xfId="20719"/>
    <cellStyle name="20% - Accent6 2 7 2 2 4" xfId="20720"/>
    <cellStyle name="20% - Accent6 2 7 2 2 4 2" xfId="20721"/>
    <cellStyle name="20% - Accent6 2 7 2 2 5" xfId="20722"/>
    <cellStyle name="20% - Accent6 2 7 2 3" xfId="20723"/>
    <cellStyle name="20% - Accent6 2 7 2 3 2" xfId="20724"/>
    <cellStyle name="20% - Accent6 2 7 2 3 2 2" xfId="20725"/>
    <cellStyle name="20% - Accent6 2 7 2 3 2 2 2" xfId="20726"/>
    <cellStyle name="20% - Accent6 2 7 2 3 2 2 2 2" xfId="20727"/>
    <cellStyle name="20% - Accent6 2 7 2 3 2 2 3" xfId="20728"/>
    <cellStyle name="20% - Accent6 2 7 2 3 2 3" xfId="20729"/>
    <cellStyle name="20% - Accent6 2 7 2 3 2 3 2" xfId="20730"/>
    <cellStyle name="20% - Accent6 2 7 2 3 2 4" xfId="20731"/>
    <cellStyle name="20% - Accent6 2 7 2 3 3" xfId="20732"/>
    <cellStyle name="20% - Accent6 2 7 2 3 3 2" xfId="20733"/>
    <cellStyle name="20% - Accent6 2 7 2 3 3 2 2" xfId="20734"/>
    <cellStyle name="20% - Accent6 2 7 2 3 3 3" xfId="20735"/>
    <cellStyle name="20% - Accent6 2 7 2 3 4" xfId="20736"/>
    <cellStyle name="20% - Accent6 2 7 2 3 4 2" xfId="20737"/>
    <cellStyle name="20% - Accent6 2 7 2 3 5" xfId="20738"/>
    <cellStyle name="20% - Accent6 2 7 2 4" xfId="20739"/>
    <cellStyle name="20% - Accent6 2 7 2 4 2" xfId="20740"/>
    <cellStyle name="20% - Accent6 2 7 2 4 2 2" xfId="20741"/>
    <cellStyle name="20% - Accent6 2 7 2 4 2 2 2" xfId="20742"/>
    <cellStyle name="20% - Accent6 2 7 2 4 2 2 2 2" xfId="20743"/>
    <cellStyle name="20% - Accent6 2 7 2 4 2 2 3" xfId="20744"/>
    <cellStyle name="20% - Accent6 2 7 2 4 2 3" xfId="20745"/>
    <cellStyle name="20% - Accent6 2 7 2 4 2 3 2" xfId="20746"/>
    <cellStyle name="20% - Accent6 2 7 2 4 2 4" xfId="20747"/>
    <cellStyle name="20% - Accent6 2 7 2 4 3" xfId="20748"/>
    <cellStyle name="20% - Accent6 2 7 2 4 3 2" xfId="20749"/>
    <cellStyle name="20% - Accent6 2 7 2 4 3 2 2" xfId="20750"/>
    <cellStyle name="20% - Accent6 2 7 2 4 3 3" xfId="20751"/>
    <cellStyle name="20% - Accent6 2 7 2 4 4" xfId="20752"/>
    <cellStyle name="20% - Accent6 2 7 2 4 4 2" xfId="20753"/>
    <cellStyle name="20% - Accent6 2 7 2 4 5" xfId="20754"/>
    <cellStyle name="20% - Accent6 2 7 2 5" xfId="20755"/>
    <cellStyle name="20% - Accent6 2 7 2 5 2" xfId="20756"/>
    <cellStyle name="20% - Accent6 2 7 2 5 2 2" xfId="20757"/>
    <cellStyle name="20% - Accent6 2 7 2 5 2 2 2" xfId="20758"/>
    <cellStyle name="20% - Accent6 2 7 2 5 2 2 2 2" xfId="20759"/>
    <cellStyle name="20% - Accent6 2 7 2 5 2 2 3" xfId="20760"/>
    <cellStyle name="20% - Accent6 2 7 2 5 2 3" xfId="20761"/>
    <cellStyle name="20% - Accent6 2 7 2 5 2 3 2" xfId="20762"/>
    <cellStyle name="20% - Accent6 2 7 2 5 2 4" xfId="20763"/>
    <cellStyle name="20% - Accent6 2 7 2 5 3" xfId="20764"/>
    <cellStyle name="20% - Accent6 2 7 2 5 3 2" xfId="20765"/>
    <cellStyle name="20% - Accent6 2 7 2 5 3 2 2" xfId="20766"/>
    <cellStyle name="20% - Accent6 2 7 2 5 3 3" xfId="20767"/>
    <cellStyle name="20% - Accent6 2 7 2 5 4" xfId="20768"/>
    <cellStyle name="20% - Accent6 2 7 2 5 4 2" xfId="20769"/>
    <cellStyle name="20% - Accent6 2 7 2 5 5" xfId="20770"/>
    <cellStyle name="20% - Accent6 2 7 2 6" xfId="20771"/>
    <cellStyle name="20% - Accent6 2 7 2 6 2" xfId="20772"/>
    <cellStyle name="20% - Accent6 2 7 2 6 2 2" xfId="20773"/>
    <cellStyle name="20% - Accent6 2 7 2 6 2 2 2" xfId="20774"/>
    <cellStyle name="20% - Accent6 2 7 2 6 2 2 2 2" xfId="20775"/>
    <cellStyle name="20% - Accent6 2 7 2 6 2 2 3" xfId="20776"/>
    <cellStyle name="20% - Accent6 2 7 2 6 2 3" xfId="20777"/>
    <cellStyle name="20% - Accent6 2 7 2 6 2 3 2" xfId="20778"/>
    <cellStyle name="20% - Accent6 2 7 2 6 2 4" xfId="20779"/>
    <cellStyle name="20% - Accent6 2 7 2 6 3" xfId="20780"/>
    <cellStyle name="20% - Accent6 2 7 2 6 3 2" xfId="20781"/>
    <cellStyle name="20% - Accent6 2 7 2 6 3 2 2" xfId="20782"/>
    <cellStyle name="20% - Accent6 2 7 2 6 3 3" xfId="20783"/>
    <cellStyle name="20% - Accent6 2 7 2 6 4" xfId="20784"/>
    <cellStyle name="20% - Accent6 2 7 2 6 4 2" xfId="20785"/>
    <cellStyle name="20% - Accent6 2 7 2 6 5" xfId="20786"/>
    <cellStyle name="20% - Accent6 2 7 2 7" xfId="20787"/>
    <cellStyle name="20% - Accent6 2 7 2 7 2" xfId="20788"/>
    <cellStyle name="20% - Accent6 2 7 2 7 2 2" xfId="20789"/>
    <cellStyle name="20% - Accent6 2 7 2 7 2 2 2" xfId="20790"/>
    <cellStyle name="20% - Accent6 2 7 2 7 2 3" xfId="20791"/>
    <cellStyle name="20% - Accent6 2 7 2 7 3" xfId="20792"/>
    <cellStyle name="20% - Accent6 2 7 2 7 3 2" xfId="20793"/>
    <cellStyle name="20% - Accent6 2 7 2 7 4" xfId="20794"/>
    <cellStyle name="20% - Accent6 2 7 2 8" xfId="20795"/>
    <cellStyle name="20% - Accent6 2 7 2 8 2" xfId="20796"/>
    <cellStyle name="20% - Accent6 2 7 2 8 2 2" xfId="20797"/>
    <cellStyle name="20% - Accent6 2 7 2 8 3" xfId="20798"/>
    <cellStyle name="20% - Accent6 2 7 2 9" xfId="20799"/>
    <cellStyle name="20% - Accent6 2 7 2 9 2" xfId="20800"/>
    <cellStyle name="20% - Accent6 2 7 3" xfId="20801"/>
    <cellStyle name="20% - Accent6 2 7 3 2" xfId="20802"/>
    <cellStyle name="20% - Accent6 2 7 3 2 2" xfId="20803"/>
    <cellStyle name="20% - Accent6 2 7 3 2 2 2" xfId="20804"/>
    <cellStyle name="20% - Accent6 2 7 3 2 2 2 2" xfId="20805"/>
    <cellStyle name="20% - Accent6 2 7 3 2 2 3" xfId="20806"/>
    <cellStyle name="20% - Accent6 2 7 3 2 3" xfId="20807"/>
    <cellStyle name="20% - Accent6 2 7 3 2 3 2" xfId="20808"/>
    <cellStyle name="20% - Accent6 2 7 3 2 4" xfId="20809"/>
    <cellStyle name="20% - Accent6 2 7 3 3" xfId="20810"/>
    <cellStyle name="20% - Accent6 2 7 3 3 2" xfId="20811"/>
    <cellStyle name="20% - Accent6 2 7 3 3 2 2" xfId="20812"/>
    <cellStyle name="20% - Accent6 2 7 3 3 3" xfId="20813"/>
    <cellStyle name="20% - Accent6 2 7 3 4" xfId="20814"/>
    <cellStyle name="20% - Accent6 2 7 3 4 2" xfId="20815"/>
    <cellStyle name="20% - Accent6 2 7 3 5" xfId="20816"/>
    <cellStyle name="20% - Accent6 2 7 4" xfId="20817"/>
    <cellStyle name="20% - Accent6 2 7 4 2" xfId="20818"/>
    <cellStyle name="20% - Accent6 2 7 4 2 2" xfId="20819"/>
    <cellStyle name="20% - Accent6 2 7 4 2 2 2" xfId="20820"/>
    <cellStyle name="20% - Accent6 2 7 4 2 2 2 2" xfId="20821"/>
    <cellStyle name="20% - Accent6 2 7 4 2 2 3" xfId="20822"/>
    <cellStyle name="20% - Accent6 2 7 4 2 3" xfId="20823"/>
    <cellStyle name="20% - Accent6 2 7 4 2 3 2" xfId="20824"/>
    <cellStyle name="20% - Accent6 2 7 4 2 4" xfId="20825"/>
    <cellStyle name="20% - Accent6 2 7 4 3" xfId="20826"/>
    <cellStyle name="20% - Accent6 2 7 4 3 2" xfId="20827"/>
    <cellStyle name="20% - Accent6 2 7 4 3 2 2" xfId="20828"/>
    <cellStyle name="20% - Accent6 2 7 4 3 3" xfId="20829"/>
    <cellStyle name="20% - Accent6 2 7 4 4" xfId="20830"/>
    <cellStyle name="20% - Accent6 2 7 4 4 2" xfId="20831"/>
    <cellStyle name="20% - Accent6 2 7 4 5" xfId="20832"/>
    <cellStyle name="20% - Accent6 2 7 5" xfId="20833"/>
    <cellStyle name="20% - Accent6 2 7 5 2" xfId="20834"/>
    <cellStyle name="20% - Accent6 2 7 5 2 2" xfId="20835"/>
    <cellStyle name="20% - Accent6 2 7 5 2 2 2" xfId="20836"/>
    <cellStyle name="20% - Accent6 2 7 5 2 2 2 2" xfId="20837"/>
    <cellStyle name="20% - Accent6 2 7 5 2 2 3" xfId="20838"/>
    <cellStyle name="20% - Accent6 2 7 5 2 3" xfId="20839"/>
    <cellStyle name="20% - Accent6 2 7 5 2 3 2" xfId="20840"/>
    <cellStyle name="20% - Accent6 2 7 5 2 4" xfId="20841"/>
    <cellStyle name="20% - Accent6 2 7 5 3" xfId="20842"/>
    <cellStyle name="20% - Accent6 2 7 5 3 2" xfId="20843"/>
    <cellStyle name="20% - Accent6 2 7 5 3 2 2" xfId="20844"/>
    <cellStyle name="20% - Accent6 2 7 5 3 3" xfId="20845"/>
    <cellStyle name="20% - Accent6 2 7 5 4" xfId="20846"/>
    <cellStyle name="20% - Accent6 2 7 5 4 2" xfId="20847"/>
    <cellStyle name="20% - Accent6 2 7 5 5" xfId="20848"/>
    <cellStyle name="20% - Accent6 2 7 6" xfId="20849"/>
    <cellStyle name="20% - Accent6 2 7 6 2" xfId="20850"/>
    <cellStyle name="20% - Accent6 2 7 6 2 2" xfId="20851"/>
    <cellStyle name="20% - Accent6 2 7 6 2 2 2" xfId="20852"/>
    <cellStyle name="20% - Accent6 2 7 6 2 2 2 2" xfId="20853"/>
    <cellStyle name="20% - Accent6 2 7 6 2 2 3" xfId="20854"/>
    <cellStyle name="20% - Accent6 2 7 6 2 3" xfId="20855"/>
    <cellStyle name="20% - Accent6 2 7 6 2 3 2" xfId="20856"/>
    <cellStyle name="20% - Accent6 2 7 6 2 4" xfId="20857"/>
    <cellStyle name="20% - Accent6 2 7 6 3" xfId="20858"/>
    <cellStyle name="20% - Accent6 2 7 6 3 2" xfId="20859"/>
    <cellStyle name="20% - Accent6 2 7 6 3 2 2" xfId="20860"/>
    <cellStyle name="20% - Accent6 2 7 6 3 3" xfId="20861"/>
    <cellStyle name="20% - Accent6 2 7 6 4" xfId="20862"/>
    <cellStyle name="20% - Accent6 2 7 6 4 2" xfId="20863"/>
    <cellStyle name="20% - Accent6 2 7 6 5" xfId="20864"/>
    <cellStyle name="20% - Accent6 2 7 7" xfId="20865"/>
    <cellStyle name="20% - Accent6 2 7 7 2" xfId="20866"/>
    <cellStyle name="20% - Accent6 2 7 7 2 2" xfId="20867"/>
    <cellStyle name="20% - Accent6 2 7 7 2 2 2" xfId="20868"/>
    <cellStyle name="20% - Accent6 2 7 7 2 2 2 2" xfId="20869"/>
    <cellStyle name="20% - Accent6 2 7 7 2 2 3" xfId="20870"/>
    <cellStyle name="20% - Accent6 2 7 7 2 3" xfId="20871"/>
    <cellStyle name="20% - Accent6 2 7 7 2 3 2" xfId="20872"/>
    <cellStyle name="20% - Accent6 2 7 7 2 4" xfId="20873"/>
    <cellStyle name="20% - Accent6 2 7 7 3" xfId="20874"/>
    <cellStyle name="20% - Accent6 2 7 7 3 2" xfId="20875"/>
    <cellStyle name="20% - Accent6 2 7 7 3 2 2" xfId="20876"/>
    <cellStyle name="20% - Accent6 2 7 7 3 3" xfId="20877"/>
    <cellStyle name="20% - Accent6 2 7 7 4" xfId="20878"/>
    <cellStyle name="20% - Accent6 2 7 7 4 2" xfId="20879"/>
    <cellStyle name="20% - Accent6 2 7 7 5" xfId="20880"/>
    <cellStyle name="20% - Accent6 2 7 8" xfId="20881"/>
    <cellStyle name="20% - Accent6 2 7 8 2" xfId="20882"/>
    <cellStyle name="20% - Accent6 2 7 8 2 2" xfId="20883"/>
    <cellStyle name="20% - Accent6 2 7 8 2 2 2" xfId="20884"/>
    <cellStyle name="20% - Accent6 2 7 8 2 3" xfId="20885"/>
    <cellStyle name="20% - Accent6 2 7 8 3" xfId="20886"/>
    <cellStyle name="20% - Accent6 2 7 8 3 2" xfId="20887"/>
    <cellStyle name="20% - Accent6 2 7 8 4" xfId="20888"/>
    <cellStyle name="20% - Accent6 2 7 9" xfId="20889"/>
    <cellStyle name="20% - Accent6 2 7 9 2" xfId="20890"/>
    <cellStyle name="20% - Accent6 2 7 9 2 2" xfId="20891"/>
    <cellStyle name="20% - Accent6 2 7 9 3" xfId="20892"/>
    <cellStyle name="20% - Accent6 2 8" xfId="20893"/>
    <cellStyle name="20% - Accent6 2 8 10" xfId="20894"/>
    <cellStyle name="20% - Accent6 2 8 10 2" xfId="20895"/>
    <cellStyle name="20% - Accent6 2 8 11" xfId="20896"/>
    <cellStyle name="20% - Accent6 2 8 2" xfId="20897"/>
    <cellStyle name="20% - Accent6 2 8 2 10" xfId="20898"/>
    <cellStyle name="20% - Accent6 2 8 2 2" xfId="20899"/>
    <cellStyle name="20% - Accent6 2 8 2 2 2" xfId="20900"/>
    <cellStyle name="20% - Accent6 2 8 2 2 2 2" xfId="20901"/>
    <cellStyle name="20% - Accent6 2 8 2 2 2 2 2" xfId="20902"/>
    <cellStyle name="20% - Accent6 2 8 2 2 2 2 2 2" xfId="20903"/>
    <cellStyle name="20% - Accent6 2 8 2 2 2 2 3" xfId="20904"/>
    <cellStyle name="20% - Accent6 2 8 2 2 2 3" xfId="20905"/>
    <cellStyle name="20% - Accent6 2 8 2 2 2 3 2" xfId="20906"/>
    <cellStyle name="20% - Accent6 2 8 2 2 2 4" xfId="20907"/>
    <cellStyle name="20% - Accent6 2 8 2 2 3" xfId="20908"/>
    <cellStyle name="20% - Accent6 2 8 2 2 3 2" xfId="20909"/>
    <cellStyle name="20% - Accent6 2 8 2 2 3 2 2" xfId="20910"/>
    <cellStyle name="20% - Accent6 2 8 2 2 3 3" xfId="20911"/>
    <cellStyle name="20% - Accent6 2 8 2 2 4" xfId="20912"/>
    <cellStyle name="20% - Accent6 2 8 2 2 4 2" xfId="20913"/>
    <cellStyle name="20% - Accent6 2 8 2 2 5" xfId="20914"/>
    <cellStyle name="20% - Accent6 2 8 2 3" xfId="20915"/>
    <cellStyle name="20% - Accent6 2 8 2 3 2" xfId="20916"/>
    <cellStyle name="20% - Accent6 2 8 2 3 2 2" xfId="20917"/>
    <cellStyle name="20% - Accent6 2 8 2 3 2 2 2" xfId="20918"/>
    <cellStyle name="20% - Accent6 2 8 2 3 2 2 2 2" xfId="20919"/>
    <cellStyle name="20% - Accent6 2 8 2 3 2 2 3" xfId="20920"/>
    <cellStyle name="20% - Accent6 2 8 2 3 2 3" xfId="20921"/>
    <cellStyle name="20% - Accent6 2 8 2 3 2 3 2" xfId="20922"/>
    <cellStyle name="20% - Accent6 2 8 2 3 2 4" xfId="20923"/>
    <cellStyle name="20% - Accent6 2 8 2 3 3" xfId="20924"/>
    <cellStyle name="20% - Accent6 2 8 2 3 3 2" xfId="20925"/>
    <cellStyle name="20% - Accent6 2 8 2 3 3 2 2" xfId="20926"/>
    <cellStyle name="20% - Accent6 2 8 2 3 3 3" xfId="20927"/>
    <cellStyle name="20% - Accent6 2 8 2 3 4" xfId="20928"/>
    <cellStyle name="20% - Accent6 2 8 2 3 4 2" xfId="20929"/>
    <cellStyle name="20% - Accent6 2 8 2 3 5" xfId="20930"/>
    <cellStyle name="20% - Accent6 2 8 2 4" xfId="20931"/>
    <cellStyle name="20% - Accent6 2 8 2 4 2" xfId="20932"/>
    <cellStyle name="20% - Accent6 2 8 2 4 2 2" xfId="20933"/>
    <cellStyle name="20% - Accent6 2 8 2 4 2 2 2" xfId="20934"/>
    <cellStyle name="20% - Accent6 2 8 2 4 2 2 2 2" xfId="20935"/>
    <cellStyle name="20% - Accent6 2 8 2 4 2 2 3" xfId="20936"/>
    <cellStyle name="20% - Accent6 2 8 2 4 2 3" xfId="20937"/>
    <cellStyle name="20% - Accent6 2 8 2 4 2 3 2" xfId="20938"/>
    <cellStyle name="20% - Accent6 2 8 2 4 2 4" xfId="20939"/>
    <cellStyle name="20% - Accent6 2 8 2 4 3" xfId="20940"/>
    <cellStyle name="20% - Accent6 2 8 2 4 3 2" xfId="20941"/>
    <cellStyle name="20% - Accent6 2 8 2 4 3 2 2" xfId="20942"/>
    <cellStyle name="20% - Accent6 2 8 2 4 3 3" xfId="20943"/>
    <cellStyle name="20% - Accent6 2 8 2 4 4" xfId="20944"/>
    <cellStyle name="20% - Accent6 2 8 2 4 4 2" xfId="20945"/>
    <cellStyle name="20% - Accent6 2 8 2 4 5" xfId="20946"/>
    <cellStyle name="20% - Accent6 2 8 2 5" xfId="20947"/>
    <cellStyle name="20% - Accent6 2 8 2 5 2" xfId="20948"/>
    <cellStyle name="20% - Accent6 2 8 2 5 2 2" xfId="20949"/>
    <cellStyle name="20% - Accent6 2 8 2 5 2 2 2" xfId="20950"/>
    <cellStyle name="20% - Accent6 2 8 2 5 2 2 2 2" xfId="20951"/>
    <cellStyle name="20% - Accent6 2 8 2 5 2 2 3" xfId="20952"/>
    <cellStyle name="20% - Accent6 2 8 2 5 2 3" xfId="20953"/>
    <cellStyle name="20% - Accent6 2 8 2 5 2 3 2" xfId="20954"/>
    <cellStyle name="20% - Accent6 2 8 2 5 2 4" xfId="20955"/>
    <cellStyle name="20% - Accent6 2 8 2 5 3" xfId="20956"/>
    <cellStyle name="20% - Accent6 2 8 2 5 3 2" xfId="20957"/>
    <cellStyle name="20% - Accent6 2 8 2 5 3 2 2" xfId="20958"/>
    <cellStyle name="20% - Accent6 2 8 2 5 3 3" xfId="20959"/>
    <cellStyle name="20% - Accent6 2 8 2 5 4" xfId="20960"/>
    <cellStyle name="20% - Accent6 2 8 2 5 4 2" xfId="20961"/>
    <cellStyle name="20% - Accent6 2 8 2 5 5" xfId="20962"/>
    <cellStyle name="20% - Accent6 2 8 2 6" xfId="20963"/>
    <cellStyle name="20% - Accent6 2 8 2 6 2" xfId="20964"/>
    <cellStyle name="20% - Accent6 2 8 2 6 2 2" xfId="20965"/>
    <cellStyle name="20% - Accent6 2 8 2 6 2 2 2" xfId="20966"/>
    <cellStyle name="20% - Accent6 2 8 2 6 2 2 2 2" xfId="20967"/>
    <cellStyle name="20% - Accent6 2 8 2 6 2 2 3" xfId="20968"/>
    <cellStyle name="20% - Accent6 2 8 2 6 2 3" xfId="20969"/>
    <cellStyle name="20% - Accent6 2 8 2 6 2 3 2" xfId="20970"/>
    <cellStyle name="20% - Accent6 2 8 2 6 2 4" xfId="20971"/>
    <cellStyle name="20% - Accent6 2 8 2 6 3" xfId="20972"/>
    <cellStyle name="20% - Accent6 2 8 2 6 3 2" xfId="20973"/>
    <cellStyle name="20% - Accent6 2 8 2 6 3 2 2" xfId="20974"/>
    <cellStyle name="20% - Accent6 2 8 2 6 3 3" xfId="20975"/>
    <cellStyle name="20% - Accent6 2 8 2 6 4" xfId="20976"/>
    <cellStyle name="20% - Accent6 2 8 2 6 4 2" xfId="20977"/>
    <cellStyle name="20% - Accent6 2 8 2 6 5" xfId="20978"/>
    <cellStyle name="20% - Accent6 2 8 2 7" xfId="20979"/>
    <cellStyle name="20% - Accent6 2 8 2 7 2" xfId="20980"/>
    <cellStyle name="20% - Accent6 2 8 2 7 2 2" xfId="20981"/>
    <cellStyle name="20% - Accent6 2 8 2 7 2 2 2" xfId="20982"/>
    <cellStyle name="20% - Accent6 2 8 2 7 2 3" xfId="20983"/>
    <cellStyle name="20% - Accent6 2 8 2 7 3" xfId="20984"/>
    <cellStyle name="20% - Accent6 2 8 2 7 3 2" xfId="20985"/>
    <cellStyle name="20% - Accent6 2 8 2 7 4" xfId="20986"/>
    <cellStyle name="20% - Accent6 2 8 2 8" xfId="20987"/>
    <cellStyle name="20% - Accent6 2 8 2 8 2" xfId="20988"/>
    <cellStyle name="20% - Accent6 2 8 2 8 2 2" xfId="20989"/>
    <cellStyle name="20% - Accent6 2 8 2 8 3" xfId="20990"/>
    <cellStyle name="20% - Accent6 2 8 2 9" xfId="20991"/>
    <cellStyle name="20% - Accent6 2 8 2 9 2" xfId="20992"/>
    <cellStyle name="20% - Accent6 2 8 3" xfId="20993"/>
    <cellStyle name="20% - Accent6 2 8 3 2" xfId="20994"/>
    <cellStyle name="20% - Accent6 2 8 3 2 2" xfId="20995"/>
    <cellStyle name="20% - Accent6 2 8 3 2 2 2" xfId="20996"/>
    <cellStyle name="20% - Accent6 2 8 3 2 2 2 2" xfId="20997"/>
    <cellStyle name="20% - Accent6 2 8 3 2 2 3" xfId="20998"/>
    <cellStyle name="20% - Accent6 2 8 3 2 3" xfId="20999"/>
    <cellStyle name="20% - Accent6 2 8 3 2 3 2" xfId="21000"/>
    <cellStyle name="20% - Accent6 2 8 3 2 4" xfId="21001"/>
    <cellStyle name="20% - Accent6 2 8 3 3" xfId="21002"/>
    <cellStyle name="20% - Accent6 2 8 3 3 2" xfId="21003"/>
    <cellStyle name="20% - Accent6 2 8 3 3 2 2" xfId="21004"/>
    <cellStyle name="20% - Accent6 2 8 3 3 3" xfId="21005"/>
    <cellStyle name="20% - Accent6 2 8 3 4" xfId="21006"/>
    <cellStyle name="20% - Accent6 2 8 3 4 2" xfId="21007"/>
    <cellStyle name="20% - Accent6 2 8 3 5" xfId="21008"/>
    <cellStyle name="20% - Accent6 2 8 4" xfId="21009"/>
    <cellStyle name="20% - Accent6 2 8 4 2" xfId="21010"/>
    <cellStyle name="20% - Accent6 2 8 4 2 2" xfId="21011"/>
    <cellStyle name="20% - Accent6 2 8 4 2 2 2" xfId="21012"/>
    <cellStyle name="20% - Accent6 2 8 4 2 2 2 2" xfId="21013"/>
    <cellStyle name="20% - Accent6 2 8 4 2 2 3" xfId="21014"/>
    <cellStyle name="20% - Accent6 2 8 4 2 3" xfId="21015"/>
    <cellStyle name="20% - Accent6 2 8 4 2 3 2" xfId="21016"/>
    <cellStyle name="20% - Accent6 2 8 4 2 4" xfId="21017"/>
    <cellStyle name="20% - Accent6 2 8 4 3" xfId="21018"/>
    <cellStyle name="20% - Accent6 2 8 4 3 2" xfId="21019"/>
    <cellStyle name="20% - Accent6 2 8 4 3 2 2" xfId="21020"/>
    <cellStyle name="20% - Accent6 2 8 4 3 3" xfId="21021"/>
    <cellStyle name="20% - Accent6 2 8 4 4" xfId="21022"/>
    <cellStyle name="20% - Accent6 2 8 4 4 2" xfId="21023"/>
    <cellStyle name="20% - Accent6 2 8 4 5" xfId="21024"/>
    <cellStyle name="20% - Accent6 2 8 5" xfId="21025"/>
    <cellStyle name="20% - Accent6 2 8 5 2" xfId="21026"/>
    <cellStyle name="20% - Accent6 2 8 5 2 2" xfId="21027"/>
    <cellStyle name="20% - Accent6 2 8 5 2 2 2" xfId="21028"/>
    <cellStyle name="20% - Accent6 2 8 5 2 2 2 2" xfId="21029"/>
    <cellStyle name="20% - Accent6 2 8 5 2 2 3" xfId="21030"/>
    <cellStyle name="20% - Accent6 2 8 5 2 3" xfId="21031"/>
    <cellStyle name="20% - Accent6 2 8 5 2 3 2" xfId="21032"/>
    <cellStyle name="20% - Accent6 2 8 5 2 4" xfId="21033"/>
    <cellStyle name="20% - Accent6 2 8 5 3" xfId="21034"/>
    <cellStyle name="20% - Accent6 2 8 5 3 2" xfId="21035"/>
    <cellStyle name="20% - Accent6 2 8 5 3 2 2" xfId="21036"/>
    <cellStyle name="20% - Accent6 2 8 5 3 3" xfId="21037"/>
    <cellStyle name="20% - Accent6 2 8 5 4" xfId="21038"/>
    <cellStyle name="20% - Accent6 2 8 5 4 2" xfId="21039"/>
    <cellStyle name="20% - Accent6 2 8 5 5" xfId="21040"/>
    <cellStyle name="20% - Accent6 2 8 6" xfId="21041"/>
    <cellStyle name="20% - Accent6 2 8 6 2" xfId="21042"/>
    <cellStyle name="20% - Accent6 2 8 6 2 2" xfId="21043"/>
    <cellStyle name="20% - Accent6 2 8 6 2 2 2" xfId="21044"/>
    <cellStyle name="20% - Accent6 2 8 6 2 2 2 2" xfId="21045"/>
    <cellStyle name="20% - Accent6 2 8 6 2 2 3" xfId="21046"/>
    <cellStyle name="20% - Accent6 2 8 6 2 3" xfId="21047"/>
    <cellStyle name="20% - Accent6 2 8 6 2 3 2" xfId="21048"/>
    <cellStyle name="20% - Accent6 2 8 6 2 4" xfId="21049"/>
    <cellStyle name="20% - Accent6 2 8 6 3" xfId="21050"/>
    <cellStyle name="20% - Accent6 2 8 6 3 2" xfId="21051"/>
    <cellStyle name="20% - Accent6 2 8 6 3 2 2" xfId="21052"/>
    <cellStyle name="20% - Accent6 2 8 6 3 3" xfId="21053"/>
    <cellStyle name="20% - Accent6 2 8 6 4" xfId="21054"/>
    <cellStyle name="20% - Accent6 2 8 6 4 2" xfId="21055"/>
    <cellStyle name="20% - Accent6 2 8 6 5" xfId="21056"/>
    <cellStyle name="20% - Accent6 2 8 7" xfId="21057"/>
    <cellStyle name="20% - Accent6 2 8 7 2" xfId="21058"/>
    <cellStyle name="20% - Accent6 2 8 7 2 2" xfId="21059"/>
    <cellStyle name="20% - Accent6 2 8 7 2 2 2" xfId="21060"/>
    <cellStyle name="20% - Accent6 2 8 7 2 2 2 2" xfId="21061"/>
    <cellStyle name="20% - Accent6 2 8 7 2 2 3" xfId="21062"/>
    <cellStyle name="20% - Accent6 2 8 7 2 3" xfId="21063"/>
    <cellStyle name="20% - Accent6 2 8 7 2 3 2" xfId="21064"/>
    <cellStyle name="20% - Accent6 2 8 7 2 4" xfId="21065"/>
    <cellStyle name="20% - Accent6 2 8 7 3" xfId="21066"/>
    <cellStyle name="20% - Accent6 2 8 7 3 2" xfId="21067"/>
    <cellStyle name="20% - Accent6 2 8 7 3 2 2" xfId="21068"/>
    <cellStyle name="20% - Accent6 2 8 7 3 3" xfId="21069"/>
    <cellStyle name="20% - Accent6 2 8 7 4" xfId="21070"/>
    <cellStyle name="20% - Accent6 2 8 7 4 2" xfId="21071"/>
    <cellStyle name="20% - Accent6 2 8 7 5" xfId="21072"/>
    <cellStyle name="20% - Accent6 2 8 8" xfId="21073"/>
    <cellStyle name="20% - Accent6 2 8 8 2" xfId="21074"/>
    <cellStyle name="20% - Accent6 2 8 8 2 2" xfId="21075"/>
    <cellStyle name="20% - Accent6 2 8 8 2 2 2" xfId="21076"/>
    <cellStyle name="20% - Accent6 2 8 8 2 3" xfId="21077"/>
    <cellStyle name="20% - Accent6 2 8 8 3" xfId="21078"/>
    <cellStyle name="20% - Accent6 2 8 8 3 2" xfId="21079"/>
    <cellStyle name="20% - Accent6 2 8 8 4" xfId="21080"/>
    <cellStyle name="20% - Accent6 2 8 9" xfId="21081"/>
    <cellStyle name="20% - Accent6 2 8 9 2" xfId="21082"/>
    <cellStyle name="20% - Accent6 2 8 9 2 2" xfId="21083"/>
    <cellStyle name="20% - Accent6 2 8 9 3" xfId="21084"/>
    <cellStyle name="20% - Accent6 2 9" xfId="21085"/>
    <cellStyle name="20% - Accent6 2 9 10" xfId="21086"/>
    <cellStyle name="20% - Accent6 2 9 10 2" xfId="21087"/>
    <cellStyle name="20% - Accent6 2 9 11" xfId="21088"/>
    <cellStyle name="20% - Accent6 2 9 2" xfId="21089"/>
    <cellStyle name="20% - Accent6 2 9 2 10" xfId="21090"/>
    <cellStyle name="20% - Accent6 2 9 2 2" xfId="21091"/>
    <cellStyle name="20% - Accent6 2 9 2 2 2" xfId="21092"/>
    <cellStyle name="20% - Accent6 2 9 2 2 2 2" xfId="21093"/>
    <cellStyle name="20% - Accent6 2 9 2 2 2 2 2" xfId="21094"/>
    <cellStyle name="20% - Accent6 2 9 2 2 2 2 2 2" xfId="21095"/>
    <cellStyle name="20% - Accent6 2 9 2 2 2 2 3" xfId="21096"/>
    <cellStyle name="20% - Accent6 2 9 2 2 2 3" xfId="21097"/>
    <cellStyle name="20% - Accent6 2 9 2 2 2 3 2" xfId="21098"/>
    <cellStyle name="20% - Accent6 2 9 2 2 2 4" xfId="21099"/>
    <cellStyle name="20% - Accent6 2 9 2 2 3" xfId="21100"/>
    <cellStyle name="20% - Accent6 2 9 2 2 3 2" xfId="21101"/>
    <cellStyle name="20% - Accent6 2 9 2 2 3 2 2" xfId="21102"/>
    <cellStyle name="20% - Accent6 2 9 2 2 3 3" xfId="21103"/>
    <cellStyle name="20% - Accent6 2 9 2 2 4" xfId="21104"/>
    <cellStyle name="20% - Accent6 2 9 2 2 4 2" xfId="21105"/>
    <cellStyle name="20% - Accent6 2 9 2 2 5" xfId="21106"/>
    <cellStyle name="20% - Accent6 2 9 2 3" xfId="21107"/>
    <cellStyle name="20% - Accent6 2 9 2 3 2" xfId="21108"/>
    <cellStyle name="20% - Accent6 2 9 2 3 2 2" xfId="21109"/>
    <cellStyle name="20% - Accent6 2 9 2 3 2 2 2" xfId="21110"/>
    <cellStyle name="20% - Accent6 2 9 2 3 2 2 2 2" xfId="21111"/>
    <cellStyle name="20% - Accent6 2 9 2 3 2 2 3" xfId="21112"/>
    <cellStyle name="20% - Accent6 2 9 2 3 2 3" xfId="21113"/>
    <cellStyle name="20% - Accent6 2 9 2 3 2 3 2" xfId="21114"/>
    <cellStyle name="20% - Accent6 2 9 2 3 2 4" xfId="21115"/>
    <cellStyle name="20% - Accent6 2 9 2 3 3" xfId="21116"/>
    <cellStyle name="20% - Accent6 2 9 2 3 3 2" xfId="21117"/>
    <cellStyle name="20% - Accent6 2 9 2 3 3 2 2" xfId="21118"/>
    <cellStyle name="20% - Accent6 2 9 2 3 3 3" xfId="21119"/>
    <cellStyle name="20% - Accent6 2 9 2 3 4" xfId="21120"/>
    <cellStyle name="20% - Accent6 2 9 2 3 4 2" xfId="21121"/>
    <cellStyle name="20% - Accent6 2 9 2 3 5" xfId="21122"/>
    <cellStyle name="20% - Accent6 2 9 2 4" xfId="21123"/>
    <cellStyle name="20% - Accent6 2 9 2 4 2" xfId="21124"/>
    <cellStyle name="20% - Accent6 2 9 2 4 2 2" xfId="21125"/>
    <cellStyle name="20% - Accent6 2 9 2 4 2 2 2" xfId="21126"/>
    <cellStyle name="20% - Accent6 2 9 2 4 2 2 2 2" xfId="21127"/>
    <cellStyle name="20% - Accent6 2 9 2 4 2 2 3" xfId="21128"/>
    <cellStyle name="20% - Accent6 2 9 2 4 2 3" xfId="21129"/>
    <cellStyle name="20% - Accent6 2 9 2 4 2 3 2" xfId="21130"/>
    <cellStyle name="20% - Accent6 2 9 2 4 2 4" xfId="21131"/>
    <cellStyle name="20% - Accent6 2 9 2 4 3" xfId="21132"/>
    <cellStyle name="20% - Accent6 2 9 2 4 3 2" xfId="21133"/>
    <cellStyle name="20% - Accent6 2 9 2 4 3 2 2" xfId="21134"/>
    <cellStyle name="20% - Accent6 2 9 2 4 3 3" xfId="21135"/>
    <cellStyle name="20% - Accent6 2 9 2 4 4" xfId="21136"/>
    <cellStyle name="20% - Accent6 2 9 2 4 4 2" xfId="21137"/>
    <cellStyle name="20% - Accent6 2 9 2 4 5" xfId="21138"/>
    <cellStyle name="20% - Accent6 2 9 2 5" xfId="21139"/>
    <cellStyle name="20% - Accent6 2 9 2 5 2" xfId="21140"/>
    <cellStyle name="20% - Accent6 2 9 2 5 2 2" xfId="21141"/>
    <cellStyle name="20% - Accent6 2 9 2 5 2 2 2" xfId="21142"/>
    <cellStyle name="20% - Accent6 2 9 2 5 2 2 2 2" xfId="21143"/>
    <cellStyle name="20% - Accent6 2 9 2 5 2 2 3" xfId="21144"/>
    <cellStyle name="20% - Accent6 2 9 2 5 2 3" xfId="21145"/>
    <cellStyle name="20% - Accent6 2 9 2 5 2 3 2" xfId="21146"/>
    <cellStyle name="20% - Accent6 2 9 2 5 2 4" xfId="21147"/>
    <cellStyle name="20% - Accent6 2 9 2 5 3" xfId="21148"/>
    <cellStyle name="20% - Accent6 2 9 2 5 3 2" xfId="21149"/>
    <cellStyle name="20% - Accent6 2 9 2 5 3 2 2" xfId="21150"/>
    <cellStyle name="20% - Accent6 2 9 2 5 3 3" xfId="21151"/>
    <cellStyle name="20% - Accent6 2 9 2 5 4" xfId="21152"/>
    <cellStyle name="20% - Accent6 2 9 2 5 4 2" xfId="21153"/>
    <cellStyle name="20% - Accent6 2 9 2 5 5" xfId="21154"/>
    <cellStyle name="20% - Accent6 2 9 2 6" xfId="21155"/>
    <cellStyle name="20% - Accent6 2 9 2 6 2" xfId="21156"/>
    <cellStyle name="20% - Accent6 2 9 2 6 2 2" xfId="21157"/>
    <cellStyle name="20% - Accent6 2 9 2 6 2 2 2" xfId="21158"/>
    <cellStyle name="20% - Accent6 2 9 2 6 2 2 2 2" xfId="21159"/>
    <cellStyle name="20% - Accent6 2 9 2 6 2 2 3" xfId="21160"/>
    <cellStyle name="20% - Accent6 2 9 2 6 2 3" xfId="21161"/>
    <cellStyle name="20% - Accent6 2 9 2 6 2 3 2" xfId="21162"/>
    <cellStyle name="20% - Accent6 2 9 2 6 2 4" xfId="21163"/>
    <cellStyle name="20% - Accent6 2 9 2 6 3" xfId="21164"/>
    <cellStyle name="20% - Accent6 2 9 2 6 3 2" xfId="21165"/>
    <cellStyle name="20% - Accent6 2 9 2 6 3 2 2" xfId="21166"/>
    <cellStyle name="20% - Accent6 2 9 2 6 3 3" xfId="21167"/>
    <cellStyle name="20% - Accent6 2 9 2 6 4" xfId="21168"/>
    <cellStyle name="20% - Accent6 2 9 2 6 4 2" xfId="21169"/>
    <cellStyle name="20% - Accent6 2 9 2 6 5" xfId="21170"/>
    <cellStyle name="20% - Accent6 2 9 2 7" xfId="21171"/>
    <cellStyle name="20% - Accent6 2 9 2 7 2" xfId="21172"/>
    <cellStyle name="20% - Accent6 2 9 2 7 2 2" xfId="21173"/>
    <cellStyle name="20% - Accent6 2 9 2 7 2 2 2" xfId="21174"/>
    <cellStyle name="20% - Accent6 2 9 2 7 2 3" xfId="21175"/>
    <cellStyle name="20% - Accent6 2 9 2 7 3" xfId="21176"/>
    <cellStyle name="20% - Accent6 2 9 2 7 3 2" xfId="21177"/>
    <cellStyle name="20% - Accent6 2 9 2 7 4" xfId="21178"/>
    <cellStyle name="20% - Accent6 2 9 2 8" xfId="21179"/>
    <cellStyle name="20% - Accent6 2 9 2 8 2" xfId="21180"/>
    <cellStyle name="20% - Accent6 2 9 2 8 2 2" xfId="21181"/>
    <cellStyle name="20% - Accent6 2 9 2 8 3" xfId="21182"/>
    <cellStyle name="20% - Accent6 2 9 2 9" xfId="21183"/>
    <cellStyle name="20% - Accent6 2 9 2 9 2" xfId="21184"/>
    <cellStyle name="20% - Accent6 2 9 3" xfId="21185"/>
    <cellStyle name="20% - Accent6 2 9 3 2" xfId="21186"/>
    <cellStyle name="20% - Accent6 2 9 3 2 2" xfId="21187"/>
    <cellStyle name="20% - Accent6 2 9 3 2 2 2" xfId="21188"/>
    <cellStyle name="20% - Accent6 2 9 3 2 2 2 2" xfId="21189"/>
    <cellStyle name="20% - Accent6 2 9 3 2 2 3" xfId="21190"/>
    <cellStyle name="20% - Accent6 2 9 3 2 3" xfId="21191"/>
    <cellStyle name="20% - Accent6 2 9 3 2 3 2" xfId="21192"/>
    <cellStyle name="20% - Accent6 2 9 3 2 4" xfId="21193"/>
    <cellStyle name="20% - Accent6 2 9 3 3" xfId="21194"/>
    <cellStyle name="20% - Accent6 2 9 3 3 2" xfId="21195"/>
    <cellStyle name="20% - Accent6 2 9 3 3 2 2" xfId="21196"/>
    <cellStyle name="20% - Accent6 2 9 3 3 3" xfId="21197"/>
    <cellStyle name="20% - Accent6 2 9 3 4" xfId="21198"/>
    <cellStyle name="20% - Accent6 2 9 3 4 2" xfId="21199"/>
    <cellStyle name="20% - Accent6 2 9 3 5" xfId="21200"/>
    <cellStyle name="20% - Accent6 2 9 4" xfId="21201"/>
    <cellStyle name="20% - Accent6 2 9 4 2" xfId="21202"/>
    <cellStyle name="20% - Accent6 2 9 4 2 2" xfId="21203"/>
    <cellStyle name="20% - Accent6 2 9 4 2 2 2" xfId="21204"/>
    <cellStyle name="20% - Accent6 2 9 4 2 2 2 2" xfId="21205"/>
    <cellStyle name="20% - Accent6 2 9 4 2 2 3" xfId="21206"/>
    <cellStyle name="20% - Accent6 2 9 4 2 3" xfId="21207"/>
    <cellStyle name="20% - Accent6 2 9 4 2 3 2" xfId="21208"/>
    <cellStyle name="20% - Accent6 2 9 4 2 4" xfId="21209"/>
    <cellStyle name="20% - Accent6 2 9 4 3" xfId="21210"/>
    <cellStyle name="20% - Accent6 2 9 4 3 2" xfId="21211"/>
    <cellStyle name="20% - Accent6 2 9 4 3 2 2" xfId="21212"/>
    <cellStyle name="20% - Accent6 2 9 4 3 3" xfId="21213"/>
    <cellStyle name="20% - Accent6 2 9 4 4" xfId="21214"/>
    <cellStyle name="20% - Accent6 2 9 4 4 2" xfId="21215"/>
    <cellStyle name="20% - Accent6 2 9 4 5" xfId="21216"/>
    <cellStyle name="20% - Accent6 2 9 5" xfId="21217"/>
    <cellStyle name="20% - Accent6 2 9 5 2" xfId="21218"/>
    <cellStyle name="20% - Accent6 2 9 5 2 2" xfId="21219"/>
    <cellStyle name="20% - Accent6 2 9 5 2 2 2" xfId="21220"/>
    <cellStyle name="20% - Accent6 2 9 5 2 2 2 2" xfId="21221"/>
    <cellStyle name="20% - Accent6 2 9 5 2 2 3" xfId="21222"/>
    <cellStyle name="20% - Accent6 2 9 5 2 3" xfId="21223"/>
    <cellStyle name="20% - Accent6 2 9 5 2 3 2" xfId="21224"/>
    <cellStyle name="20% - Accent6 2 9 5 2 4" xfId="21225"/>
    <cellStyle name="20% - Accent6 2 9 5 3" xfId="21226"/>
    <cellStyle name="20% - Accent6 2 9 5 3 2" xfId="21227"/>
    <cellStyle name="20% - Accent6 2 9 5 3 2 2" xfId="21228"/>
    <cellStyle name="20% - Accent6 2 9 5 3 3" xfId="21229"/>
    <cellStyle name="20% - Accent6 2 9 5 4" xfId="21230"/>
    <cellStyle name="20% - Accent6 2 9 5 4 2" xfId="21231"/>
    <cellStyle name="20% - Accent6 2 9 5 5" xfId="21232"/>
    <cellStyle name="20% - Accent6 2 9 6" xfId="21233"/>
    <cellStyle name="20% - Accent6 2 9 6 2" xfId="21234"/>
    <cellStyle name="20% - Accent6 2 9 6 2 2" xfId="21235"/>
    <cellStyle name="20% - Accent6 2 9 6 2 2 2" xfId="21236"/>
    <cellStyle name="20% - Accent6 2 9 6 2 2 2 2" xfId="21237"/>
    <cellStyle name="20% - Accent6 2 9 6 2 2 3" xfId="21238"/>
    <cellStyle name="20% - Accent6 2 9 6 2 3" xfId="21239"/>
    <cellStyle name="20% - Accent6 2 9 6 2 3 2" xfId="21240"/>
    <cellStyle name="20% - Accent6 2 9 6 2 4" xfId="21241"/>
    <cellStyle name="20% - Accent6 2 9 6 3" xfId="21242"/>
    <cellStyle name="20% - Accent6 2 9 6 3 2" xfId="21243"/>
    <cellStyle name="20% - Accent6 2 9 6 3 2 2" xfId="21244"/>
    <cellStyle name="20% - Accent6 2 9 6 3 3" xfId="21245"/>
    <cellStyle name="20% - Accent6 2 9 6 4" xfId="21246"/>
    <cellStyle name="20% - Accent6 2 9 6 4 2" xfId="21247"/>
    <cellStyle name="20% - Accent6 2 9 6 5" xfId="21248"/>
    <cellStyle name="20% - Accent6 2 9 7" xfId="21249"/>
    <cellStyle name="20% - Accent6 2 9 7 2" xfId="21250"/>
    <cellStyle name="20% - Accent6 2 9 7 2 2" xfId="21251"/>
    <cellStyle name="20% - Accent6 2 9 7 2 2 2" xfId="21252"/>
    <cellStyle name="20% - Accent6 2 9 7 2 2 2 2" xfId="21253"/>
    <cellStyle name="20% - Accent6 2 9 7 2 2 3" xfId="21254"/>
    <cellStyle name="20% - Accent6 2 9 7 2 3" xfId="21255"/>
    <cellStyle name="20% - Accent6 2 9 7 2 3 2" xfId="21256"/>
    <cellStyle name="20% - Accent6 2 9 7 2 4" xfId="21257"/>
    <cellStyle name="20% - Accent6 2 9 7 3" xfId="21258"/>
    <cellStyle name="20% - Accent6 2 9 7 3 2" xfId="21259"/>
    <cellStyle name="20% - Accent6 2 9 7 3 2 2" xfId="21260"/>
    <cellStyle name="20% - Accent6 2 9 7 3 3" xfId="21261"/>
    <cellStyle name="20% - Accent6 2 9 7 4" xfId="21262"/>
    <cellStyle name="20% - Accent6 2 9 7 4 2" xfId="21263"/>
    <cellStyle name="20% - Accent6 2 9 7 5" xfId="21264"/>
    <cellStyle name="20% - Accent6 2 9 8" xfId="21265"/>
    <cellStyle name="20% - Accent6 2 9 8 2" xfId="21266"/>
    <cellStyle name="20% - Accent6 2 9 8 2 2" xfId="21267"/>
    <cellStyle name="20% - Accent6 2 9 8 2 2 2" xfId="21268"/>
    <cellStyle name="20% - Accent6 2 9 8 2 3" xfId="21269"/>
    <cellStyle name="20% - Accent6 2 9 8 3" xfId="21270"/>
    <cellStyle name="20% - Accent6 2 9 8 3 2" xfId="21271"/>
    <cellStyle name="20% - Accent6 2 9 8 4" xfId="21272"/>
    <cellStyle name="20% - Accent6 2 9 9" xfId="21273"/>
    <cellStyle name="20% - Accent6 2 9 9 2" xfId="21274"/>
    <cellStyle name="20% - Accent6 2 9 9 2 2" xfId="21275"/>
    <cellStyle name="20% - Accent6 2 9 9 3" xfId="21276"/>
    <cellStyle name="20% - Accent6 20" xfId="21277"/>
    <cellStyle name="20% - Accent6 20 2" xfId="21278"/>
    <cellStyle name="20% - Accent6 20 2 2" xfId="21279"/>
    <cellStyle name="20% - Accent6 20 2 2 2" xfId="21280"/>
    <cellStyle name="20% - Accent6 20 2 2 2 2" xfId="21281"/>
    <cellStyle name="20% - Accent6 20 2 2 3" xfId="21282"/>
    <cellStyle name="20% - Accent6 20 2 3" xfId="21283"/>
    <cellStyle name="20% - Accent6 20 2 3 2" xfId="21284"/>
    <cellStyle name="20% - Accent6 20 2 4" xfId="21285"/>
    <cellStyle name="20% - Accent6 20 3" xfId="21286"/>
    <cellStyle name="20% - Accent6 20 3 2" xfId="21287"/>
    <cellStyle name="20% - Accent6 20 3 2 2" xfId="21288"/>
    <cellStyle name="20% - Accent6 20 3 3" xfId="21289"/>
    <cellStyle name="20% - Accent6 20 4" xfId="21290"/>
    <cellStyle name="20% - Accent6 20 4 2" xfId="21291"/>
    <cellStyle name="20% - Accent6 20 5" xfId="21292"/>
    <cellStyle name="20% - Accent6 21" xfId="21293"/>
    <cellStyle name="20% - Accent6 21 2" xfId="21294"/>
    <cellStyle name="20% - Accent6 21 2 2" xfId="21295"/>
    <cellStyle name="20% - Accent6 21 2 2 2" xfId="21296"/>
    <cellStyle name="20% - Accent6 21 2 3" xfId="21297"/>
    <cellStyle name="20% - Accent6 21 3" xfId="21298"/>
    <cellStyle name="20% - Accent6 21 3 2" xfId="21299"/>
    <cellStyle name="20% - Accent6 21 4" xfId="21300"/>
    <cellStyle name="20% - Accent6 22" xfId="21301"/>
    <cellStyle name="20% - Accent6 22 2" xfId="21302"/>
    <cellStyle name="20% - Accent6 22 2 2" xfId="21303"/>
    <cellStyle name="20% - Accent6 22 3" xfId="21304"/>
    <cellStyle name="20% - Accent6 23" xfId="21305"/>
    <cellStyle name="20% - Accent6 23 2" xfId="21306"/>
    <cellStyle name="20% - Accent6 24" xfId="21307"/>
    <cellStyle name="20% - Accent6 3" xfId="21308"/>
    <cellStyle name="20% - Accent6 3 10" xfId="21309"/>
    <cellStyle name="20% - Accent6 3 10 2" xfId="21310"/>
    <cellStyle name="20% - Accent6 3 11" xfId="21311"/>
    <cellStyle name="20% - Accent6 3 2" xfId="21312"/>
    <cellStyle name="20% - Accent6 3 2 10" xfId="21313"/>
    <cellStyle name="20% - Accent6 3 2 2" xfId="21314"/>
    <cellStyle name="20% - Accent6 3 2 2 2" xfId="21315"/>
    <cellStyle name="20% - Accent6 3 2 2 2 2" xfId="21316"/>
    <cellStyle name="20% - Accent6 3 2 2 2 2 2" xfId="21317"/>
    <cellStyle name="20% - Accent6 3 2 2 2 2 2 2" xfId="21318"/>
    <cellStyle name="20% - Accent6 3 2 2 2 2 3" xfId="21319"/>
    <cellStyle name="20% - Accent6 3 2 2 2 3" xfId="21320"/>
    <cellStyle name="20% - Accent6 3 2 2 2 3 2" xfId="21321"/>
    <cellStyle name="20% - Accent6 3 2 2 2 4" xfId="21322"/>
    <cellStyle name="20% - Accent6 3 2 2 3" xfId="21323"/>
    <cellStyle name="20% - Accent6 3 2 2 3 2" xfId="21324"/>
    <cellStyle name="20% - Accent6 3 2 2 3 2 2" xfId="21325"/>
    <cellStyle name="20% - Accent6 3 2 2 3 3" xfId="21326"/>
    <cellStyle name="20% - Accent6 3 2 2 4" xfId="21327"/>
    <cellStyle name="20% - Accent6 3 2 2 4 2" xfId="21328"/>
    <cellStyle name="20% - Accent6 3 2 2 5" xfId="21329"/>
    <cellStyle name="20% - Accent6 3 2 3" xfId="21330"/>
    <cellStyle name="20% - Accent6 3 2 3 2" xfId="21331"/>
    <cellStyle name="20% - Accent6 3 2 3 2 2" xfId="21332"/>
    <cellStyle name="20% - Accent6 3 2 3 2 2 2" xfId="21333"/>
    <cellStyle name="20% - Accent6 3 2 3 2 2 2 2" xfId="21334"/>
    <cellStyle name="20% - Accent6 3 2 3 2 2 3" xfId="21335"/>
    <cellStyle name="20% - Accent6 3 2 3 2 3" xfId="21336"/>
    <cellStyle name="20% - Accent6 3 2 3 2 3 2" xfId="21337"/>
    <cellStyle name="20% - Accent6 3 2 3 2 4" xfId="21338"/>
    <cellStyle name="20% - Accent6 3 2 3 3" xfId="21339"/>
    <cellStyle name="20% - Accent6 3 2 3 3 2" xfId="21340"/>
    <cellStyle name="20% - Accent6 3 2 3 3 2 2" xfId="21341"/>
    <cellStyle name="20% - Accent6 3 2 3 3 3" xfId="21342"/>
    <cellStyle name="20% - Accent6 3 2 3 4" xfId="21343"/>
    <cellStyle name="20% - Accent6 3 2 3 4 2" xfId="21344"/>
    <cellStyle name="20% - Accent6 3 2 3 5" xfId="21345"/>
    <cellStyle name="20% - Accent6 3 2 4" xfId="21346"/>
    <cellStyle name="20% - Accent6 3 2 4 2" xfId="21347"/>
    <cellStyle name="20% - Accent6 3 2 4 2 2" xfId="21348"/>
    <cellStyle name="20% - Accent6 3 2 4 2 2 2" xfId="21349"/>
    <cellStyle name="20% - Accent6 3 2 4 2 2 2 2" xfId="21350"/>
    <cellStyle name="20% - Accent6 3 2 4 2 2 3" xfId="21351"/>
    <cellStyle name="20% - Accent6 3 2 4 2 3" xfId="21352"/>
    <cellStyle name="20% - Accent6 3 2 4 2 3 2" xfId="21353"/>
    <cellStyle name="20% - Accent6 3 2 4 2 4" xfId="21354"/>
    <cellStyle name="20% - Accent6 3 2 4 3" xfId="21355"/>
    <cellStyle name="20% - Accent6 3 2 4 3 2" xfId="21356"/>
    <cellStyle name="20% - Accent6 3 2 4 3 2 2" xfId="21357"/>
    <cellStyle name="20% - Accent6 3 2 4 3 3" xfId="21358"/>
    <cellStyle name="20% - Accent6 3 2 4 4" xfId="21359"/>
    <cellStyle name="20% - Accent6 3 2 4 4 2" xfId="21360"/>
    <cellStyle name="20% - Accent6 3 2 4 5" xfId="21361"/>
    <cellStyle name="20% - Accent6 3 2 5" xfId="21362"/>
    <cellStyle name="20% - Accent6 3 2 5 2" xfId="21363"/>
    <cellStyle name="20% - Accent6 3 2 5 2 2" xfId="21364"/>
    <cellStyle name="20% - Accent6 3 2 5 2 2 2" xfId="21365"/>
    <cellStyle name="20% - Accent6 3 2 5 2 2 2 2" xfId="21366"/>
    <cellStyle name="20% - Accent6 3 2 5 2 2 3" xfId="21367"/>
    <cellStyle name="20% - Accent6 3 2 5 2 3" xfId="21368"/>
    <cellStyle name="20% - Accent6 3 2 5 2 3 2" xfId="21369"/>
    <cellStyle name="20% - Accent6 3 2 5 2 4" xfId="21370"/>
    <cellStyle name="20% - Accent6 3 2 5 3" xfId="21371"/>
    <cellStyle name="20% - Accent6 3 2 5 3 2" xfId="21372"/>
    <cellStyle name="20% - Accent6 3 2 5 3 2 2" xfId="21373"/>
    <cellStyle name="20% - Accent6 3 2 5 3 3" xfId="21374"/>
    <cellStyle name="20% - Accent6 3 2 5 4" xfId="21375"/>
    <cellStyle name="20% - Accent6 3 2 5 4 2" xfId="21376"/>
    <cellStyle name="20% - Accent6 3 2 5 5" xfId="21377"/>
    <cellStyle name="20% - Accent6 3 2 6" xfId="21378"/>
    <cellStyle name="20% - Accent6 3 2 6 2" xfId="21379"/>
    <cellStyle name="20% - Accent6 3 2 6 2 2" xfId="21380"/>
    <cellStyle name="20% - Accent6 3 2 6 2 2 2" xfId="21381"/>
    <cellStyle name="20% - Accent6 3 2 6 2 2 2 2" xfId="21382"/>
    <cellStyle name="20% - Accent6 3 2 6 2 2 3" xfId="21383"/>
    <cellStyle name="20% - Accent6 3 2 6 2 3" xfId="21384"/>
    <cellStyle name="20% - Accent6 3 2 6 2 3 2" xfId="21385"/>
    <cellStyle name="20% - Accent6 3 2 6 2 4" xfId="21386"/>
    <cellStyle name="20% - Accent6 3 2 6 3" xfId="21387"/>
    <cellStyle name="20% - Accent6 3 2 6 3 2" xfId="21388"/>
    <cellStyle name="20% - Accent6 3 2 6 3 2 2" xfId="21389"/>
    <cellStyle name="20% - Accent6 3 2 6 3 3" xfId="21390"/>
    <cellStyle name="20% - Accent6 3 2 6 4" xfId="21391"/>
    <cellStyle name="20% - Accent6 3 2 6 4 2" xfId="21392"/>
    <cellStyle name="20% - Accent6 3 2 6 5" xfId="21393"/>
    <cellStyle name="20% - Accent6 3 2 7" xfId="21394"/>
    <cellStyle name="20% - Accent6 3 2 7 2" xfId="21395"/>
    <cellStyle name="20% - Accent6 3 2 7 2 2" xfId="21396"/>
    <cellStyle name="20% - Accent6 3 2 7 2 2 2" xfId="21397"/>
    <cellStyle name="20% - Accent6 3 2 7 2 3" xfId="21398"/>
    <cellStyle name="20% - Accent6 3 2 7 3" xfId="21399"/>
    <cellStyle name="20% - Accent6 3 2 7 3 2" xfId="21400"/>
    <cellStyle name="20% - Accent6 3 2 7 4" xfId="21401"/>
    <cellStyle name="20% - Accent6 3 2 8" xfId="21402"/>
    <cellStyle name="20% - Accent6 3 2 8 2" xfId="21403"/>
    <cellStyle name="20% - Accent6 3 2 8 2 2" xfId="21404"/>
    <cellStyle name="20% - Accent6 3 2 8 3" xfId="21405"/>
    <cellStyle name="20% - Accent6 3 2 9" xfId="21406"/>
    <cellStyle name="20% - Accent6 3 2 9 2" xfId="21407"/>
    <cellStyle name="20% - Accent6 3 3" xfId="21408"/>
    <cellStyle name="20% - Accent6 3 3 2" xfId="21409"/>
    <cellStyle name="20% - Accent6 3 3 2 2" xfId="21410"/>
    <cellStyle name="20% - Accent6 3 3 2 2 2" xfId="21411"/>
    <cellStyle name="20% - Accent6 3 3 2 2 2 2" xfId="21412"/>
    <cellStyle name="20% - Accent6 3 3 2 2 3" xfId="21413"/>
    <cellStyle name="20% - Accent6 3 3 2 3" xfId="21414"/>
    <cellStyle name="20% - Accent6 3 3 2 3 2" xfId="21415"/>
    <cellStyle name="20% - Accent6 3 3 2 4" xfId="21416"/>
    <cellStyle name="20% - Accent6 3 3 3" xfId="21417"/>
    <cellStyle name="20% - Accent6 3 3 3 2" xfId="21418"/>
    <cellStyle name="20% - Accent6 3 3 3 2 2" xfId="21419"/>
    <cellStyle name="20% - Accent6 3 3 3 3" xfId="21420"/>
    <cellStyle name="20% - Accent6 3 3 4" xfId="21421"/>
    <cellStyle name="20% - Accent6 3 3 4 2" xfId="21422"/>
    <cellStyle name="20% - Accent6 3 3 5" xfId="21423"/>
    <cellStyle name="20% - Accent6 3 4" xfId="21424"/>
    <cellStyle name="20% - Accent6 3 4 2" xfId="21425"/>
    <cellStyle name="20% - Accent6 3 4 2 2" xfId="21426"/>
    <cellStyle name="20% - Accent6 3 4 2 2 2" xfId="21427"/>
    <cellStyle name="20% - Accent6 3 4 2 2 2 2" xfId="21428"/>
    <cellStyle name="20% - Accent6 3 4 2 2 3" xfId="21429"/>
    <cellStyle name="20% - Accent6 3 4 2 3" xfId="21430"/>
    <cellStyle name="20% - Accent6 3 4 2 3 2" xfId="21431"/>
    <cellStyle name="20% - Accent6 3 4 2 4" xfId="21432"/>
    <cellStyle name="20% - Accent6 3 4 3" xfId="21433"/>
    <cellStyle name="20% - Accent6 3 4 3 2" xfId="21434"/>
    <cellStyle name="20% - Accent6 3 4 3 2 2" xfId="21435"/>
    <cellStyle name="20% - Accent6 3 4 3 3" xfId="21436"/>
    <cellStyle name="20% - Accent6 3 4 4" xfId="21437"/>
    <cellStyle name="20% - Accent6 3 4 4 2" xfId="21438"/>
    <cellStyle name="20% - Accent6 3 4 5" xfId="21439"/>
    <cellStyle name="20% - Accent6 3 5" xfId="21440"/>
    <cellStyle name="20% - Accent6 3 5 2" xfId="21441"/>
    <cellStyle name="20% - Accent6 3 5 2 2" xfId="21442"/>
    <cellStyle name="20% - Accent6 3 5 2 2 2" xfId="21443"/>
    <cellStyle name="20% - Accent6 3 5 2 2 2 2" xfId="21444"/>
    <cellStyle name="20% - Accent6 3 5 2 2 3" xfId="21445"/>
    <cellStyle name="20% - Accent6 3 5 2 3" xfId="21446"/>
    <cellStyle name="20% - Accent6 3 5 2 3 2" xfId="21447"/>
    <cellStyle name="20% - Accent6 3 5 2 4" xfId="21448"/>
    <cellStyle name="20% - Accent6 3 5 3" xfId="21449"/>
    <cellStyle name="20% - Accent6 3 5 3 2" xfId="21450"/>
    <cellStyle name="20% - Accent6 3 5 3 2 2" xfId="21451"/>
    <cellStyle name="20% - Accent6 3 5 3 3" xfId="21452"/>
    <cellStyle name="20% - Accent6 3 5 4" xfId="21453"/>
    <cellStyle name="20% - Accent6 3 5 4 2" xfId="21454"/>
    <cellStyle name="20% - Accent6 3 5 5" xfId="21455"/>
    <cellStyle name="20% - Accent6 3 6" xfId="21456"/>
    <cellStyle name="20% - Accent6 3 6 2" xfId="21457"/>
    <cellStyle name="20% - Accent6 3 6 2 2" xfId="21458"/>
    <cellStyle name="20% - Accent6 3 6 2 2 2" xfId="21459"/>
    <cellStyle name="20% - Accent6 3 6 2 2 2 2" xfId="21460"/>
    <cellStyle name="20% - Accent6 3 6 2 2 3" xfId="21461"/>
    <cellStyle name="20% - Accent6 3 6 2 3" xfId="21462"/>
    <cellStyle name="20% - Accent6 3 6 2 3 2" xfId="21463"/>
    <cellStyle name="20% - Accent6 3 6 2 4" xfId="21464"/>
    <cellStyle name="20% - Accent6 3 6 3" xfId="21465"/>
    <cellStyle name="20% - Accent6 3 6 3 2" xfId="21466"/>
    <cellStyle name="20% - Accent6 3 6 3 2 2" xfId="21467"/>
    <cellStyle name="20% - Accent6 3 6 3 3" xfId="21468"/>
    <cellStyle name="20% - Accent6 3 6 4" xfId="21469"/>
    <cellStyle name="20% - Accent6 3 6 4 2" xfId="21470"/>
    <cellStyle name="20% - Accent6 3 6 5" xfId="21471"/>
    <cellStyle name="20% - Accent6 3 7" xfId="21472"/>
    <cellStyle name="20% - Accent6 3 7 2" xfId="21473"/>
    <cellStyle name="20% - Accent6 3 7 2 2" xfId="21474"/>
    <cellStyle name="20% - Accent6 3 7 2 2 2" xfId="21475"/>
    <cellStyle name="20% - Accent6 3 7 2 2 2 2" xfId="21476"/>
    <cellStyle name="20% - Accent6 3 7 2 2 3" xfId="21477"/>
    <cellStyle name="20% - Accent6 3 7 2 3" xfId="21478"/>
    <cellStyle name="20% - Accent6 3 7 2 3 2" xfId="21479"/>
    <cellStyle name="20% - Accent6 3 7 2 4" xfId="21480"/>
    <cellStyle name="20% - Accent6 3 7 3" xfId="21481"/>
    <cellStyle name="20% - Accent6 3 7 3 2" xfId="21482"/>
    <cellStyle name="20% - Accent6 3 7 3 2 2" xfId="21483"/>
    <cellStyle name="20% - Accent6 3 7 3 3" xfId="21484"/>
    <cellStyle name="20% - Accent6 3 7 4" xfId="21485"/>
    <cellStyle name="20% - Accent6 3 7 4 2" xfId="21486"/>
    <cellStyle name="20% - Accent6 3 7 5" xfId="21487"/>
    <cellStyle name="20% - Accent6 3 8" xfId="21488"/>
    <cellStyle name="20% - Accent6 3 8 2" xfId="21489"/>
    <cellStyle name="20% - Accent6 3 8 2 2" xfId="21490"/>
    <cellStyle name="20% - Accent6 3 8 2 2 2" xfId="21491"/>
    <cellStyle name="20% - Accent6 3 8 2 3" xfId="21492"/>
    <cellStyle name="20% - Accent6 3 8 3" xfId="21493"/>
    <cellStyle name="20% - Accent6 3 8 3 2" xfId="21494"/>
    <cellStyle name="20% - Accent6 3 8 4" xfId="21495"/>
    <cellStyle name="20% - Accent6 3 9" xfId="21496"/>
    <cellStyle name="20% - Accent6 3 9 2" xfId="21497"/>
    <cellStyle name="20% - Accent6 3 9 2 2" xfId="21498"/>
    <cellStyle name="20% - Accent6 3 9 3" xfId="21499"/>
    <cellStyle name="20% - Accent6 4" xfId="21500"/>
    <cellStyle name="20% - Accent6 4 10" xfId="21501"/>
    <cellStyle name="20% - Accent6 4 10 2" xfId="21502"/>
    <cellStyle name="20% - Accent6 4 11" xfId="21503"/>
    <cellStyle name="20% - Accent6 4 2" xfId="21504"/>
    <cellStyle name="20% - Accent6 4 2 10" xfId="21505"/>
    <cellStyle name="20% - Accent6 4 2 2" xfId="21506"/>
    <cellStyle name="20% - Accent6 4 2 2 2" xfId="21507"/>
    <cellStyle name="20% - Accent6 4 2 2 2 2" xfId="21508"/>
    <cellStyle name="20% - Accent6 4 2 2 2 2 2" xfId="21509"/>
    <cellStyle name="20% - Accent6 4 2 2 2 2 2 2" xfId="21510"/>
    <cellStyle name="20% - Accent6 4 2 2 2 2 3" xfId="21511"/>
    <cellStyle name="20% - Accent6 4 2 2 2 3" xfId="21512"/>
    <cellStyle name="20% - Accent6 4 2 2 2 3 2" xfId="21513"/>
    <cellStyle name="20% - Accent6 4 2 2 2 4" xfId="21514"/>
    <cellStyle name="20% - Accent6 4 2 2 3" xfId="21515"/>
    <cellStyle name="20% - Accent6 4 2 2 3 2" xfId="21516"/>
    <cellStyle name="20% - Accent6 4 2 2 3 2 2" xfId="21517"/>
    <cellStyle name="20% - Accent6 4 2 2 3 3" xfId="21518"/>
    <cellStyle name="20% - Accent6 4 2 2 4" xfId="21519"/>
    <cellStyle name="20% - Accent6 4 2 2 4 2" xfId="21520"/>
    <cellStyle name="20% - Accent6 4 2 2 5" xfId="21521"/>
    <cellStyle name="20% - Accent6 4 2 3" xfId="21522"/>
    <cellStyle name="20% - Accent6 4 2 3 2" xfId="21523"/>
    <cellStyle name="20% - Accent6 4 2 3 2 2" xfId="21524"/>
    <cellStyle name="20% - Accent6 4 2 3 2 2 2" xfId="21525"/>
    <cellStyle name="20% - Accent6 4 2 3 2 2 2 2" xfId="21526"/>
    <cellStyle name="20% - Accent6 4 2 3 2 2 3" xfId="21527"/>
    <cellStyle name="20% - Accent6 4 2 3 2 3" xfId="21528"/>
    <cellStyle name="20% - Accent6 4 2 3 2 3 2" xfId="21529"/>
    <cellStyle name="20% - Accent6 4 2 3 2 4" xfId="21530"/>
    <cellStyle name="20% - Accent6 4 2 3 3" xfId="21531"/>
    <cellStyle name="20% - Accent6 4 2 3 3 2" xfId="21532"/>
    <cellStyle name="20% - Accent6 4 2 3 3 2 2" xfId="21533"/>
    <cellStyle name="20% - Accent6 4 2 3 3 3" xfId="21534"/>
    <cellStyle name="20% - Accent6 4 2 3 4" xfId="21535"/>
    <cellStyle name="20% - Accent6 4 2 3 4 2" xfId="21536"/>
    <cellStyle name="20% - Accent6 4 2 3 5" xfId="21537"/>
    <cellStyle name="20% - Accent6 4 2 4" xfId="21538"/>
    <cellStyle name="20% - Accent6 4 2 4 2" xfId="21539"/>
    <cellStyle name="20% - Accent6 4 2 4 2 2" xfId="21540"/>
    <cellStyle name="20% - Accent6 4 2 4 2 2 2" xfId="21541"/>
    <cellStyle name="20% - Accent6 4 2 4 2 2 2 2" xfId="21542"/>
    <cellStyle name="20% - Accent6 4 2 4 2 2 3" xfId="21543"/>
    <cellStyle name="20% - Accent6 4 2 4 2 3" xfId="21544"/>
    <cellStyle name="20% - Accent6 4 2 4 2 3 2" xfId="21545"/>
    <cellStyle name="20% - Accent6 4 2 4 2 4" xfId="21546"/>
    <cellStyle name="20% - Accent6 4 2 4 3" xfId="21547"/>
    <cellStyle name="20% - Accent6 4 2 4 3 2" xfId="21548"/>
    <cellStyle name="20% - Accent6 4 2 4 3 2 2" xfId="21549"/>
    <cellStyle name="20% - Accent6 4 2 4 3 3" xfId="21550"/>
    <cellStyle name="20% - Accent6 4 2 4 4" xfId="21551"/>
    <cellStyle name="20% - Accent6 4 2 4 4 2" xfId="21552"/>
    <cellStyle name="20% - Accent6 4 2 4 5" xfId="21553"/>
    <cellStyle name="20% - Accent6 4 2 5" xfId="21554"/>
    <cellStyle name="20% - Accent6 4 2 5 2" xfId="21555"/>
    <cellStyle name="20% - Accent6 4 2 5 2 2" xfId="21556"/>
    <cellStyle name="20% - Accent6 4 2 5 2 2 2" xfId="21557"/>
    <cellStyle name="20% - Accent6 4 2 5 2 2 2 2" xfId="21558"/>
    <cellStyle name="20% - Accent6 4 2 5 2 2 3" xfId="21559"/>
    <cellStyle name="20% - Accent6 4 2 5 2 3" xfId="21560"/>
    <cellStyle name="20% - Accent6 4 2 5 2 3 2" xfId="21561"/>
    <cellStyle name="20% - Accent6 4 2 5 2 4" xfId="21562"/>
    <cellStyle name="20% - Accent6 4 2 5 3" xfId="21563"/>
    <cellStyle name="20% - Accent6 4 2 5 3 2" xfId="21564"/>
    <cellStyle name="20% - Accent6 4 2 5 3 2 2" xfId="21565"/>
    <cellStyle name="20% - Accent6 4 2 5 3 3" xfId="21566"/>
    <cellStyle name="20% - Accent6 4 2 5 4" xfId="21567"/>
    <cellStyle name="20% - Accent6 4 2 5 4 2" xfId="21568"/>
    <cellStyle name="20% - Accent6 4 2 5 5" xfId="21569"/>
    <cellStyle name="20% - Accent6 4 2 6" xfId="21570"/>
    <cellStyle name="20% - Accent6 4 2 6 2" xfId="21571"/>
    <cellStyle name="20% - Accent6 4 2 6 2 2" xfId="21572"/>
    <cellStyle name="20% - Accent6 4 2 6 2 2 2" xfId="21573"/>
    <cellStyle name="20% - Accent6 4 2 6 2 2 2 2" xfId="21574"/>
    <cellStyle name="20% - Accent6 4 2 6 2 2 3" xfId="21575"/>
    <cellStyle name="20% - Accent6 4 2 6 2 3" xfId="21576"/>
    <cellStyle name="20% - Accent6 4 2 6 2 3 2" xfId="21577"/>
    <cellStyle name="20% - Accent6 4 2 6 2 4" xfId="21578"/>
    <cellStyle name="20% - Accent6 4 2 6 3" xfId="21579"/>
    <cellStyle name="20% - Accent6 4 2 6 3 2" xfId="21580"/>
    <cellStyle name="20% - Accent6 4 2 6 3 2 2" xfId="21581"/>
    <cellStyle name="20% - Accent6 4 2 6 3 3" xfId="21582"/>
    <cellStyle name="20% - Accent6 4 2 6 4" xfId="21583"/>
    <cellStyle name="20% - Accent6 4 2 6 4 2" xfId="21584"/>
    <cellStyle name="20% - Accent6 4 2 6 5" xfId="21585"/>
    <cellStyle name="20% - Accent6 4 2 7" xfId="21586"/>
    <cellStyle name="20% - Accent6 4 2 7 2" xfId="21587"/>
    <cellStyle name="20% - Accent6 4 2 7 2 2" xfId="21588"/>
    <cellStyle name="20% - Accent6 4 2 7 2 2 2" xfId="21589"/>
    <cellStyle name="20% - Accent6 4 2 7 2 3" xfId="21590"/>
    <cellStyle name="20% - Accent6 4 2 7 3" xfId="21591"/>
    <cellStyle name="20% - Accent6 4 2 7 3 2" xfId="21592"/>
    <cellStyle name="20% - Accent6 4 2 7 4" xfId="21593"/>
    <cellStyle name="20% - Accent6 4 2 8" xfId="21594"/>
    <cellStyle name="20% - Accent6 4 2 8 2" xfId="21595"/>
    <cellStyle name="20% - Accent6 4 2 8 2 2" xfId="21596"/>
    <cellStyle name="20% - Accent6 4 2 8 3" xfId="21597"/>
    <cellStyle name="20% - Accent6 4 2 9" xfId="21598"/>
    <cellStyle name="20% - Accent6 4 2 9 2" xfId="21599"/>
    <cellStyle name="20% - Accent6 4 3" xfId="21600"/>
    <cellStyle name="20% - Accent6 4 3 2" xfId="21601"/>
    <cellStyle name="20% - Accent6 4 3 2 2" xfId="21602"/>
    <cellStyle name="20% - Accent6 4 3 2 2 2" xfId="21603"/>
    <cellStyle name="20% - Accent6 4 3 2 2 2 2" xfId="21604"/>
    <cellStyle name="20% - Accent6 4 3 2 2 3" xfId="21605"/>
    <cellStyle name="20% - Accent6 4 3 2 3" xfId="21606"/>
    <cellStyle name="20% - Accent6 4 3 2 3 2" xfId="21607"/>
    <cellStyle name="20% - Accent6 4 3 2 4" xfId="21608"/>
    <cellStyle name="20% - Accent6 4 3 3" xfId="21609"/>
    <cellStyle name="20% - Accent6 4 3 3 2" xfId="21610"/>
    <cellStyle name="20% - Accent6 4 3 3 2 2" xfId="21611"/>
    <cellStyle name="20% - Accent6 4 3 3 3" xfId="21612"/>
    <cellStyle name="20% - Accent6 4 3 4" xfId="21613"/>
    <cellStyle name="20% - Accent6 4 3 4 2" xfId="21614"/>
    <cellStyle name="20% - Accent6 4 3 5" xfId="21615"/>
    <cellStyle name="20% - Accent6 4 4" xfId="21616"/>
    <cellStyle name="20% - Accent6 4 4 2" xfId="21617"/>
    <cellStyle name="20% - Accent6 4 4 2 2" xfId="21618"/>
    <cellStyle name="20% - Accent6 4 4 2 2 2" xfId="21619"/>
    <cellStyle name="20% - Accent6 4 4 2 2 2 2" xfId="21620"/>
    <cellStyle name="20% - Accent6 4 4 2 2 3" xfId="21621"/>
    <cellStyle name="20% - Accent6 4 4 2 3" xfId="21622"/>
    <cellStyle name="20% - Accent6 4 4 2 3 2" xfId="21623"/>
    <cellStyle name="20% - Accent6 4 4 2 4" xfId="21624"/>
    <cellStyle name="20% - Accent6 4 4 3" xfId="21625"/>
    <cellStyle name="20% - Accent6 4 4 3 2" xfId="21626"/>
    <cellStyle name="20% - Accent6 4 4 3 2 2" xfId="21627"/>
    <cellStyle name="20% - Accent6 4 4 3 3" xfId="21628"/>
    <cellStyle name="20% - Accent6 4 4 4" xfId="21629"/>
    <cellStyle name="20% - Accent6 4 4 4 2" xfId="21630"/>
    <cellStyle name="20% - Accent6 4 4 5" xfId="21631"/>
    <cellStyle name="20% - Accent6 4 5" xfId="21632"/>
    <cellStyle name="20% - Accent6 4 5 2" xfId="21633"/>
    <cellStyle name="20% - Accent6 4 5 2 2" xfId="21634"/>
    <cellStyle name="20% - Accent6 4 5 2 2 2" xfId="21635"/>
    <cellStyle name="20% - Accent6 4 5 2 2 2 2" xfId="21636"/>
    <cellStyle name="20% - Accent6 4 5 2 2 3" xfId="21637"/>
    <cellStyle name="20% - Accent6 4 5 2 3" xfId="21638"/>
    <cellStyle name="20% - Accent6 4 5 2 3 2" xfId="21639"/>
    <cellStyle name="20% - Accent6 4 5 2 4" xfId="21640"/>
    <cellStyle name="20% - Accent6 4 5 3" xfId="21641"/>
    <cellStyle name="20% - Accent6 4 5 3 2" xfId="21642"/>
    <cellStyle name="20% - Accent6 4 5 3 2 2" xfId="21643"/>
    <cellStyle name="20% - Accent6 4 5 3 3" xfId="21644"/>
    <cellStyle name="20% - Accent6 4 5 4" xfId="21645"/>
    <cellStyle name="20% - Accent6 4 5 4 2" xfId="21646"/>
    <cellStyle name="20% - Accent6 4 5 5" xfId="21647"/>
    <cellStyle name="20% - Accent6 4 6" xfId="21648"/>
    <cellStyle name="20% - Accent6 4 6 2" xfId="21649"/>
    <cellStyle name="20% - Accent6 4 6 2 2" xfId="21650"/>
    <cellStyle name="20% - Accent6 4 6 2 2 2" xfId="21651"/>
    <cellStyle name="20% - Accent6 4 6 2 2 2 2" xfId="21652"/>
    <cellStyle name="20% - Accent6 4 6 2 2 3" xfId="21653"/>
    <cellStyle name="20% - Accent6 4 6 2 3" xfId="21654"/>
    <cellStyle name="20% - Accent6 4 6 2 3 2" xfId="21655"/>
    <cellStyle name="20% - Accent6 4 6 2 4" xfId="21656"/>
    <cellStyle name="20% - Accent6 4 6 3" xfId="21657"/>
    <cellStyle name="20% - Accent6 4 6 3 2" xfId="21658"/>
    <cellStyle name="20% - Accent6 4 6 3 2 2" xfId="21659"/>
    <cellStyle name="20% - Accent6 4 6 3 3" xfId="21660"/>
    <cellStyle name="20% - Accent6 4 6 4" xfId="21661"/>
    <cellStyle name="20% - Accent6 4 6 4 2" xfId="21662"/>
    <cellStyle name="20% - Accent6 4 6 5" xfId="21663"/>
    <cellStyle name="20% - Accent6 4 7" xfId="21664"/>
    <cellStyle name="20% - Accent6 4 7 2" xfId="21665"/>
    <cellStyle name="20% - Accent6 4 7 2 2" xfId="21666"/>
    <cellStyle name="20% - Accent6 4 7 2 2 2" xfId="21667"/>
    <cellStyle name="20% - Accent6 4 7 2 2 2 2" xfId="21668"/>
    <cellStyle name="20% - Accent6 4 7 2 2 3" xfId="21669"/>
    <cellStyle name="20% - Accent6 4 7 2 3" xfId="21670"/>
    <cellStyle name="20% - Accent6 4 7 2 3 2" xfId="21671"/>
    <cellStyle name="20% - Accent6 4 7 2 4" xfId="21672"/>
    <cellStyle name="20% - Accent6 4 7 3" xfId="21673"/>
    <cellStyle name="20% - Accent6 4 7 3 2" xfId="21674"/>
    <cellStyle name="20% - Accent6 4 7 3 2 2" xfId="21675"/>
    <cellStyle name="20% - Accent6 4 7 3 3" xfId="21676"/>
    <cellStyle name="20% - Accent6 4 7 4" xfId="21677"/>
    <cellStyle name="20% - Accent6 4 7 4 2" xfId="21678"/>
    <cellStyle name="20% - Accent6 4 7 5" xfId="21679"/>
    <cellStyle name="20% - Accent6 4 8" xfId="21680"/>
    <cellStyle name="20% - Accent6 4 8 2" xfId="21681"/>
    <cellStyle name="20% - Accent6 4 8 2 2" xfId="21682"/>
    <cellStyle name="20% - Accent6 4 8 2 2 2" xfId="21683"/>
    <cellStyle name="20% - Accent6 4 8 2 3" xfId="21684"/>
    <cellStyle name="20% - Accent6 4 8 3" xfId="21685"/>
    <cellStyle name="20% - Accent6 4 8 3 2" xfId="21686"/>
    <cellStyle name="20% - Accent6 4 8 4" xfId="21687"/>
    <cellStyle name="20% - Accent6 4 9" xfId="21688"/>
    <cellStyle name="20% - Accent6 4 9 2" xfId="21689"/>
    <cellStyle name="20% - Accent6 4 9 2 2" xfId="21690"/>
    <cellStyle name="20% - Accent6 4 9 3" xfId="21691"/>
    <cellStyle name="20% - Accent6 5" xfId="21692"/>
    <cellStyle name="20% - Accent6 5 10" xfId="21693"/>
    <cellStyle name="20% - Accent6 5 10 2" xfId="21694"/>
    <cellStyle name="20% - Accent6 5 11" xfId="21695"/>
    <cellStyle name="20% - Accent6 5 2" xfId="21696"/>
    <cellStyle name="20% - Accent6 5 2 10" xfId="21697"/>
    <cellStyle name="20% - Accent6 5 2 2" xfId="21698"/>
    <cellStyle name="20% - Accent6 5 2 2 2" xfId="21699"/>
    <cellStyle name="20% - Accent6 5 2 2 2 2" xfId="21700"/>
    <cellStyle name="20% - Accent6 5 2 2 2 2 2" xfId="21701"/>
    <cellStyle name="20% - Accent6 5 2 2 2 2 2 2" xfId="21702"/>
    <cellStyle name="20% - Accent6 5 2 2 2 2 3" xfId="21703"/>
    <cellStyle name="20% - Accent6 5 2 2 2 3" xfId="21704"/>
    <cellStyle name="20% - Accent6 5 2 2 2 3 2" xfId="21705"/>
    <cellStyle name="20% - Accent6 5 2 2 2 4" xfId="21706"/>
    <cellStyle name="20% - Accent6 5 2 2 3" xfId="21707"/>
    <cellStyle name="20% - Accent6 5 2 2 3 2" xfId="21708"/>
    <cellStyle name="20% - Accent6 5 2 2 3 2 2" xfId="21709"/>
    <cellStyle name="20% - Accent6 5 2 2 3 3" xfId="21710"/>
    <cellStyle name="20% - Accent6 5 2 2 4" xfId="21711"/>
    <cellStyle name="20% - Accent6 5 2 2 4 2" xfId="21712"/>
    <cellStyle name="20% - Accent6 5 2 2 5" xfId="21713"/>
    <cellStyle name="20% - Accent6 5 2 3" xfId="21714"/>
    <cellStyle name="20% - Accent6 5 2 3 2" xfId="21715"/>
    <cellStyle name="20% - Accent6 5 2 3 2 2" xfId="21716"/>
    <cellStyle name="20% - Accent6 5 2 3 2 2 2" xfId="21717"/>
    <cellStyle name="20% - Accent6 5 2 3 2 2 2 2" xfId="21718"/>
    <cellStyle name="20% - Accent6 5 2 3 2 2 3" xfId="21719"/>
    <cellStyle name="20% - Accent6 5 2 3 2 3" xfId="21720"/>
    <cellStyle name="20% - Accent6 5 2 3 2 3 2" xfId="21721"/>
    <cellStyle name="20% - Accent6 5 2 3 2 4" xfId="21722"/>
    <cellStyle name="20% - Accent6 5 2 3 3" xfId="21723"/>
    <cellStyle name="20% - Accent6 5 2 3 3 2" xfId="21724"/>
    <cellStyle name="20% - Accent6 5 2 3 3 2 2" xfId="21725"/>
    <cellStyle name="20% - Accent6 5 2 3 3 3" xfId="21726"/>
    <cellStyle name="20% - Accent6 5 2 3 4" xfId="21727"/>
    <cellStyle name="20% - Accent6 5 2 3 4 2" xfId="21728"/>
    <cellStyle name="20% - Accent6 5 2 3 5" xfId="21729"/>
    <cellStyle name="20% - Accent6 5 2 4" xfId="21730"/>
    <cellStyle name="20% - Accent6 5 2 4 2" xfId="21731"/>
    <cellStyle name="20% - Accent6 5 2 4 2 2" xfId="21732"/>
    <cellStyle name="20% - Accent6 5 2 4 2 2 2" xfId="21733"/>
    <cellStyle name="20% - Accent6 5 2 4 2 2 2 2" xfId="21734"/>
    <cellStyle name="20% - Accent6 5 2 4 2 2 3" xfId="21735"/>
    <cellStyle name="20% - Accent6 5 2 4 2 3" xfId="21736"/>
    <cellStyle name="20% - Accent6 5 2 4 2 3 2" xfId="21737"/>
    <cellStyle name="20% - Accent6 5 2 4 2 4" xfId="21738"/>
    <cellStyle name="20% - Accent6 5 2 4 3" xfId="21739"/>
    <cellStyle name="20% - Accent6 5 2 4 3 2" xfId="21740"/>
    <cellStyle name="20% - Accent6 5 2 4 3 2 2" xfId="21741"/>
    <cellStyle name="20% - Accent6 5 2 4 3 3" xfId="21742"/>
    <cellStyle name="20% - Accent6 5 2 4 4" xfId="21743"/>
    <cellStyle name="20% - Accent6 5 2 4 4 2" xfId="21744"/>
    <cellStyle name="20% - Accent6 5 2 4 5" xfId="21745"/>
    <cellStyle name="20% - Accent6 5 2 5" xfId="21746"/>
    <cellStyle name="20% - Accent6 5 2 5 2" xfId="21747"/>
    <cellStyle name="20% - Accent6 5 2 5 2 2" xfId="21748"/>
    <cellStyle name="20% - Accent6 5 2 5 2 2 2" xfId="21749"/>
    <cellStyle name="20% - Accent6 5 2 5 2 2 2 2" xfId="21750"/>
    <cellStyle name="20% - Accent6 5 2 5 2 2 3" xfId="21751"/>
    <cellStyle name="20% - Accent6 5 2 5 2 3" xfId="21752"/>
    <cellStyle name="20% - Accent6 5 2 5 2 3 2" xfId="21753"/>
    <cellStyle name="20% - Accent6 5 2 5 2 4" xfId="21754"/>
    <cellStyle name="20% - Accent6 5 2 5 3" xfId="21755"/>
    <cellStyle name="20% - Accent6 5 2 5 3 2" xfId="21756"/>
    <cellStyle name="20% - Accent6 5 2 5 3 2 2" xfId="21757"/>
    <cellStyle name="20% - Accent6 5 2 5 3 3" xfId="21758"/>
    <cellStyle name="20% - Accent6 5 2 5 4" xfId="21759"/>
    <cellStyle name="20% - Accent6 5 2 5 4 2" xfId="21760"/>
    <cellStyle name="20% - Accent6 5 2 5 5" xfId="21761"/>
    <cellStyle name="20% - Accent6 5 2 6" xfId="21762"/>
    <cellStyle name="20% - Accent6 5 2 6 2" xfId="21763"/>
    <cellStyle name="20% - Accent6 5 2 6 2 2" xfId="21764"/>
    <cellStyle name="20% - Accent6 5 2 6 2 2 2" xfId="21765"/>
    <cellStyle name="20% - Accent6 5 2 6 2 2 2 2" xfId="21766"/>
    <cellStyle name="20% - Accent6 5 2 6 2 2 3" xfId="21767"/>
    <cellStyle name="20% - Accent6 5 2 6 2 3" xfId="21768"/>
    <cellStyle name="20% - Accent6 5 2 6 2 3 2" xfId="21769"/>
    <cellStyle name="20% - Accent6 5 2 6 2 4" xfId="21770"/>
    <cellStyle name="20% - Accent6 5 2 6 3" xfId="21771"/>
    <cellStyle name="20% - Accent6 5 2 6 3 2" xfId="21772"/>
    <cellStyle name="20% - Accent6 5 2 6 3 2 2" xfId="21773"/>
    <cellStyle name="20% - Accent6 5 2 6 3 3" xfId="21774"/>
    <cellStyle name="20% - Accent6 5 2 6 4" xfId="21775"/>
    <cellStyle name="20% - Accent6 5 2 6 4 2" xfId="21776"/>
    <cellStyle name="20% - Accent6 5 2 6 5" xfId="21777"/>
    <cellStyle name="20% - Accent6 5 2 7" xfId="21778"/>
    <cellStyle name="20% - Accent6 5 2 7 2" xfId="21779"/>
    <cellStyle name="20% - Accent6 5 2 7 2 2" xfId="21780"/>
    <cellStyle name="20% - Accent6 5 2 7 2 2 2" xfId="21781"/>
    <cellStyle name="20% - Accent6 5 2 7 2 3" xfId="21782"/>
    <cellStyle name="20% - Accent6 5 2 7 3" xfId="21783"/>
    <cellStyle name="20% - Accent6 5 2 7 3 2" xfId="21784"/>
    <cellStyle name="20% - Accent6 5 2 7 4" xfId="21785"/>
    <cellStyle name="20% - Accent6 5 2 8" xfId="21786"/>
    <cellStyle name="20% - Accent6 5 2 8 2" xfId="21787"/>
    <cellStyle name="20% - Accent6 5 2 8 2 2" xfId="21788"/>
    <cellStyle name="20% - Accent6 5 2 8 3" xfId="21789"/>
    <cellStyle name="20% - Accent6 5 2 9" xfId="21790"/>
    <cellStyle name="20% - Accent6 5 2 9 2" xfId="21791"/>
    <cellStyle name="20% - Accent6 5 3" xfId="21792"/>
    <cellStyle name="20% - Accent6 5 3 2" xfId="21793"/>
    <cellStyle name="20% - Accent6 5 3 2 2" xfId="21794"/>
    <cellStyle name="20% - Accent6 5 3 2 2 2" xfId="21795"/>
    <cellStyle name="20% - Accent6 5 3 2 2 2 2" xfId="21796"/>
    <cellStyle name="20% - Accent6 5 3 2 2 3" xfId="21797"/>
    <cellStyle name="20% - Accent6 5 3 2 3" xfId="21798"/>
    <cellStyle name="20% - Accent6 5 3 2 3 2" xfId="21799"/>
    <cellStyle name="20% - Accent6 5 3 2 4" xfId="21800"/>
    <cellStyle name="20% - Accent6 5 3 3" xfId="21801"/>
    <cellStyle name="20% - Accent6 5 3 3 2" xfId="21802"/>
    <cellStyle name="20% - Accent6 5 3 3 2 2" xfId="21803"/>
    <cellStyle name="20% - Accent6 5 3 3 3" xfId="21804"/>
    <cellStyle name="20% - Accent6 5 3 4" xfId="21805"/>
    <cellStyle name="20% - Accent6 5 3 4 2" xfId="21806"/>
    <cellStyle name="20% - Accent6 5 3 5" xfId="21807"/>
    <cellStyle name="20% - Accent6 5 4" xfId="21808"/>
    <cellStyle name="20% - Accent6 5 4 2" xfId="21809"/>
    <cellStyle name="20% - Accent6 5 4 2 2" xfId="21810"/>
    <cellStyle name="20% - Accent6 5 4 2 2 2" xfId="21811"/>
    <cellStyle name="20% - Accent6 5 4 2 2 2 2" xfId="21812"/>
    <cellStyle name="20% - Accent6 5 4 2 2 3" xfId="21813"/>
    <cellStyle name="20% - Accent6 5 4 2 3" xfId="21814"/>
    <cellStyle name="20% - Accent6 5 4 2 3 2" xfId="21815"/>
    <cellStyle name="20% - Accent6 5 4 2 4" xfId="21816"/>
    <cellStyle name="20% - Accent6 5 4 3" xfId="21817"/>
    <cellStyle name="20% - Accent6 5 4 3 2" xfId="21818"/>
    <cellStyle name="20% - Accent6 5 4 3 2 2" xfId="21819"/>
    <cellStyle name="20% - Accent6 5 4 3 3" xfId="21820"/>
    <cellStyle name="20% - Accent6 5 4 4" xfId="21821"/>
    <cellStyle name="20% - Accent6 5 4 4 2" xfId="21822"/>
    <cellStyle name="20% - Accent6 5 4 5" xfId="21823"/>
    <cellStyle name="20% - Accent6 5 5" xfId="21824"/>
    <cellStyle name="20% - Accent6 5 5 2" xfId="21825"/>
    <cellStyle name="20% - Accent6 5 5 2 2" xfId="21826"/>
    <cellStyle name="20% - Accent6 5 5 2 2 2" xfId="21827"/>
    <cellStyle name="20% - Accent6 5 5 2 2 2 2" xfId="21828"/>
    <cellStyle name="20% - Accent6 5 5 2 2 3" xfId="21829"/>
    <cellStyle name="20% - Accent6 5 5 2 3" xfId="21830"/>
    <cellStyle name="20% - Accent6 5 5 2 3 2" xfId="21831"/>
    <cellStyle name="20% - Accent6 5 5 2 4" xfId="21832"/>
    <cellStyle name="20% - Accent6 5 5 3" xfId="21833"/>
    <cellStyle name="20% - Accent6 5 5 3 2" xfId="21834"/>
    <cellStyle name="20% - Accent6 5 5 3 2 2" xfId="21835"/>
    <cellStyle name="20% - Accent6 5 5 3 3" xfId="21836"/>
    <cellStyle name="20% - Accent6 5 5 4" xfId="21837"/>
    <cellStyle name="20% - Accent6 5 5 4 2" xfId="21838"/>
    <cellStyle name="20% - Accent6 5 5 5" xfId="21839"/>
    <cellStyle name="20% - Accent6 5 6" xfId="21840"/>
    <cellStyle name="20% - Accent6 5 6 2" xfId="21841"/>
    <cellStyle name="20% - Accent6 5 6 2 2" xfId="21842"/>
    <cellStyle name="20% - Accent6 5 6 2 2 2" xfId="21843"/>
    <cellStyle name="20% - Accent6 5 6 2 2 2 2" xfId="21844"/>
    <cellStyle name="20% - Accent6 5 6 2 2 3" xfId="21845"/>
    <cellStyle name="20% - Accent6 5 6 2 3" xfId="21846"/>
    <cellStyle name="20% - Accent6 5 6 2 3 2" xfId="21847"/>
    <cellStyle name="20% - Accent6 5 6 2 4" xfId="21848"/>
    <cellStyle name="20% - Accent6 5 6 3" xfId="21849"/>
    <cellStyle name="20% - Accent6 5 6 3 2" xfId="21850"/>
    <cellStyle name="20% - Accent6 5 6 3 2 2" xfId="21851"/>
    <cellStyle name="20% - Accent6 5 6 3 3" xfId="21852"/>
    <cellStyle name="20% - Accent6 5 6 4" xfId="21853"/>
    <cellStyle name="20% - Accent6 5 6 4 2" xfId="21854"/>
    <cellStyle name="20% - Accent6 5 6 5" xfId="21855"/>
    <cellStyle name="20% - Accent6 5 7" xfId="21856"/>
    <cellStyle name="20% - Accent6 5 7 2" xfId="21857"/>
    <cellStyle name="20% - Accent6 5 7 2 2" xfId="21858"/>
    <cellStyle name="20% - Accent6 5 7 2 2 2" xfId="21859"/>
    <cellStyle name="20% - Accent6 5 7 2 2 2 2" xfId="21860"/>
    <cellStyle name="20% - Accent6 5 7 2 2 3" xfId="21861"/>
    <cellStyle name="20% - Accent6 5 7 2 3" xfId="21862"/>
    <cellStyle name="20% - Accent6 5 7 2 3 2" xfId="21863"/>
    <cellStyle name="20% - Accent6 5 7 2 4" xfId="21864"/>
    <cellStyle name="20% - Accent6 5 7 3" xfId="21865"/>
    <cellStyle name="20% - Accent6 5 7 3 2" xfId="21866"/>
    <cellStyle name="20% - Accent6 5 7 3 2 2" xfId="21867"/>
    <cellStyle name="20% - Accent6 5 7 3 3" xfId="21868"/>
    <cellStyle name="20% - Accent6 5 7 4" xfId="21869"/>
    <cellStyle name="20% - Accent6 5 7 4 2" xfId="21870"/>
    <cellStyle name="20% - Accent6 5 7 5" xfId="21871"/>
    <cellStyle name="20% - Accent6 5 8" xfId="21872"/>
    <cellStyle name="20% - Accent6 5 8 2" xfId="21873"/>
    <cellStyle name="20% - Accent6 5 8 2 2" xfId="21874"/>
    <cellStyle name="20% - Accent6 5 8 2 2 2" xfId="21875"/>
    <cellStyle name="20% - Accent6 5 8 2 3" xfId="21876"/>
    <cellStyle name="20% - Accent6 5 8 3" xfId="21877"/>
    <cellStyle name="20% - Accent6 5 8 3 2" xfId="21878"/>
    <cellStyle name="20% - Accent6 5 8 4" xfId="21879"/>
    <cellStyle name="20% - Accent6 5 9" xfId="21880"/>
    <cellStyle name="20% - Accent6 5 9 2" xfId="21881"/>
    <cellStyle name="20% - Accent6 5 9 2 2" xfId="21882"/>
    <cellStyle name="20% - Accent6 5 9 3" xfId="21883"/>
    <cellStyle name="20% - Accent6 6" xfId="21884"/>
    <cellStyle name="20% - Accent6 6 10" xfId="21885"/>
    <cellStyle name="20% - Accent6 6 10 2" xfId="21886"/>
    <cellStyle name="20% - Accent6 6 11" xfId="21887"/>
    <cellStyle name="20% - Accent6 6 2" xfId="21888"/>
    <cellStyle name="20% - Accent6 6 2 10" xfId="21889"/>
    <cellStyle name="20% - Accent6 6 2 2" xfId="21890"/>
    <cellStyle name="20% - Accent6 6 2 2 2" xfId="21891"/>
    <cellStyle name="20% - Accent6 6 2 2 2 2" xfId="21892"/>
    <cellStyle name="20% - Accent6 6 2 2 2 2 2" xfId="21893"/>
    <cellStyle name="20% - Accent6 6 2 2 2 2 2 2" xfId="21894"/>
    <cellStyle name="20% - Accent6 6 2 2 2 2 3" xfId="21895"/>
    <cellStyle name="20% - Accent6 6 2 2 2 3" xfId="21896"/>
    <cellStyle name="20% - Accent6 6 2 2 2 3 2" xfId="21897"/>
    <cellStyle name="20% - Accent6 6 2 2 2 4" xfId="21898"/>
    <cellStyle name="20% - Accent6 6 2 2 3" xfId="21899"/>
    <cellStyle name="20% - Accent6 6 2 2 3 2" xfId="21900"/>
    <cellStyle name="20% - Accent6 6 2 2 3 2 2" xfId="21901"/>
    <cellStyle name="20% - Accent6 6 2 2 3 3" xfId="21902"/>
    <cellStyle name="20% - Accent6 6 2 2 4" xfId="21903"/>
    <cellStyle name="20% - Accent6 6 2 2 4 2" xfId="21904"/>
    <cellStyle name="20% - Accent6 6 2 2 5" xfId="21905"/>
    <cellStyle name="20% - Accent6 6 2 3" xfId="21906"/>
    <cellStyle name="20% - Accent6 6 2 3 2" xfId="21907"/>
    <cellStyle name="20% - Accent6 6 2 3 2 2" xfId="21908"/>
    <cellStyle name="20% - Accent6 6 2 3 2 2 2" xfId="21909"/>
    <cellStyle name="20% - Accent6 6 2 3 2 2 2 2" xfId="21910"/>
    <cellStyle name="20% - Accent6 6 2 3 2 2 3" xfId="21911"/>
    <cellStyle name="20% - Accent6 6 2 3 2 3" xfId="21912"/>
    <cellStyle name="20% - Accent6 6 2 3 2 3 2" xfId="21913"/>
    <cellStyle name="20% - Accent6 6 2 3 2 4" xfId="21914"/>
    <cellStyle name="20% - Accent6 6 2 3 3" xfId="21915"/>
    <cellStyle name="20% - Accent6 6 2 3 3 2" xfId="21916"/>
    <cellStyle name="20% - Accent6 6 2 3 3 2 2" xfId="21917"/>
    <cellStyle name="20% - Accent6 6 2 3 3 3" xfId="21918"/>
    <cellStyle name="20% - Accent6 6 2 3 4" xfId="21919"/>
    <cellStyle name="20% - Accent6 6 2 3 4 2" xfId="21920"/>
    <cellStyle name="20% - Accent6 6 2 3 5" xfId="21921"/>
    <cellStyle name="20% - Accent6 6 2 4" xfId="21922"/>
    <cellStyle name="20% - Accent6 6 2 4 2" xfId="21923"/>
    <cellStyle name="20% - Accent6 6 2 4 2 2" xfId="21924"/>
    <cellStyle name="20% - Accent6 6 2 4 2 2 2" xfId="21925"/>
    <cellStyle name="20% - Accent6 6 2 4 2 2 2 2" xfId="21926"/>
    <cellStyle name="20% - Accent6 6 2 4 2 2 3" xfId="21927"/>
    <cellStyle name="20% - Accent6 6 2 4 2 3" xfId="21928"/>
    <cellStyle name="20% - Accent6 6 2 4 2 3 2" xfId="21929"/>
    <cellStyle name="20% - Accent6 6 2 4 2 4" xfId="21930"/>
    <cellStyle name="20% - Accent6 6 2 4 3" xfId="21931"/>
    <cellStyle name="20% - Accent6 6 2 4 3 2" xfId="21932"/>
    <cellStyle name="20% - Accent6 6 2 4 3 2 2" xfId="21933"/>
    <cellStyle name="20% - Accent6 6 2 4 3 3" xfId="21934"/>
    <cellStyle name="20% - Accent6 6 2 4 4" xfId="21935"/>
    <cellStyle name="20% - Accent6 6 2 4 4 2" xfId="21936"/>
    <cellStyle name="20% - Accent6 6 2 4 5" xfId="21937"/>
    <cellStyle name="20% - Accent6 6 2 5" xfId="21938"/>
    <cellStyle name="20% - Accent6 6 2 5 2" xfId="21939"/>
    <cellStyle name="20% - Accent6 6 2 5 2 2" xfId="21940"/>
    <cellStyle name="20% - Accent6 6 2 5 2 2 2" xfId="21941"/>
    <cellStyle name="20% - Accent6 6 2 5 2 2 2 2" xfId="21942"/>
    <cellStyle name="20% - Accent6 6 2 5 2 2 3" xfId="21943"/>
    <cellStyle name="20% - Accent6 6 2 5 2 3" xfId="21944"/>
    <cellStyle name="20% - Accent6 6 2 5 2 3 2" xfId="21945"/>
    <cellStyle name="20% - Accent6 6 2 5 2 4" xfId="21946"/>
    <cellStyle name="20% - Accent6 6 2 5 3" xfId="21947"/>
    <cellStyle name="20% - Accent6 6 2 5 3 2" xfId="21948"/>
    <cellStyle name="20% - Accent6 6 2 5 3 2 2" xfId="21949"/>
    <cellStyle name="20% - Accent6 6 2 5 3 3" xfId="21950"/>
    <cellStyle name="20% - Accent6 6 2 5 4" xfId="21951"/>
    <cellStyle name="20% - Accent6 6 2 5 4 2" xfId="21952"/>
    <cellStyle name="20% - Accent6 6 2 5 5" xfId="21953"/>
    <cellStyle name="20% - Accent6 6 2 6" xfId="21954"/>
    <cellStyle name="20% - Accent6 6 2 6 2" xfId="21955"/>
    <cellStyle name="20% - Accent6 6 2 6 2 2" xfId="21956"/>
    <cellStyle name="20% - Accent6 6 2 6 2 2 2" xfId="21957"/>
    <cellStyle name="20% - Accent6 6 2 6 2 2 2 2" xfId="21958"/>
    <cellStyle name="20% - Accent6 6 2 6 2 2 3" xfId="21959"/>
    <cellStyle name="20% - Accent6 6 2 6 2 3" xfId="21960"/>
    <cellStyle name="20% - Accent6 6 2 6 2 3 2" xfId="21961"/>
    <cellStyle name="20% - Accent6 6 2 6 2 4" xfId="21962"/>
    <cellStyle name="20% - Accent6 6 2 6 3" xfId="21963"/>
    <cellStyle name="20% - Accent6 6 2 6 3 2" xfId="21964"/>
    <cellStyle name="20% - Accent6 6 2 6 3 2 2" xfId="21965"/>
    <cellStyle name="20% - Accent6 6 2 6 3 3" xfId="21966"/>
    <cellStyle name="20% - Accent6 6 2 6 4" xfId="21967"/>
    <cellStyle name="20% - Accent6 6 2 6 4 2" xfId="21968"/>
    <cellStyle name="20% - Accent6 6 2 6 5" xfId="21969"/>
    <cellStyle name="20% - Accent6 6 2 7" xfId="21970"/>
    <cellStyle name="20% - Accent6 6 2 7 2" xfId="21971"/>
    <cellStyle name="20% - Accent6 6 2 7 2 2" xfId="21972"/>
    <cellStyle name="20% - Accent6 6 2 7 2 2 2" xfId="21973"/>
    <cellStyle name="20% - Accent6 6 2 7 2 3" xfId="21974"/>
    <cellStyle name="20% - Accent6 6 2 7 3" xfId="21975"/>
    <cellStyle name="20% - Accent6 6 2 7 3 2" xfId="21976"/>
    <cellStyle name="20% - Accent6 6 2 7 4" xfId="21977"/>
    <cellStyle name="20% - Accent6 6 2 8" xfId="21978"/>
    <cellStyle name="20% - Accent6 6 2 8 2" xfId="21979"/>
    <cellStyle name="20% - Accent6 6 2 8 2 2" xfId="21980"/>
    <cellStyle name="20% - Accent6 6 2 8 3" xfId="21981"/>
    <cellStyle name="20% - Accent6 6 2 9" xfId="21982"/>
    <cellStyle name="20% - Accent6 6 2 9 2" xfId="21983"/>
    <cellStyle name="20% - Accent6 6 3" xfId="21984"/>
    <cellStyle name="20% - Accent6 6 3 2" xfId="21985"/>
    <cellStyle name="20% - Accent6 6 3 2 2" xfId="21986"/>
    <cellStyle name="20% - Accent6 6 3 2 2 2" xfId="21987"/>
    <cellStyle name="20% - Accent6 6 3 2 2 2 2" xfId="21988"/>
    <cellStyle name="20% - Accent6 6 3 2 2 3" xfId="21989"/>
    <cellStyle name="20% - Accent6 6 3 2 3" xfId="21990"/>
    <cellStyle name="20% - Accent6 6 3 2 3 2" xfId="21991"/>
    <cellStyle name="20% - Accent6 6 3 2 4" xfId="21992"/>
    <cellStyle name="20% - Accent6 6 3 3" xfId="21993"/>
    <cellStyle name="20% - Accent6 6 3 3 2" xfId="21994"/>
    <cellStyle name="20% - Accent6 6 3 3 2 2" xfId="21995"/>
    <cellStyle name="20% - Accent6 6 3 3 3" xfId="21996"/>
    <cellStyle name="20% - Accent6 6 3 4" xfId="21997"/>
    <cellStyle name="20% - Accent6 6 3 4 2" xfId="21998"/>
    <cellStyle name="20% - Accent6 6 3 5" xfId="21999"/>
    <cellStyle name="20% - Accent6 6 4" xfId="22000"/>
    <cellStyle name="20% - Accent6 6 4 2" xfId="22001"/>
    <cellStyle name="20% - Accent6 6 4 2 2" xfId="22002"/>
    <cellStyle name="20% - Accent6 6 4 2 2 2" xfId="22003"/>
    <cellStyle name="20% - Accent6 6 4 2 2 2 2" xfId="22004"/>
    <cellStyle name="20% - Accent6 6 4 2 2 3" xfId="22005"/>
    <cellStyle name="20% - Accent6 6 4 2 3" xfId="22006"/>
    <cellStyle name="20% - Accent6 6 4 2 3 2" xfId="22007"/>
    <cellStyle name="20% - Accent6 6 4 2 4" xfId="22008"/>
    <cellStyle name="20% - Accent6 6 4 3" xfId="22009"/>
    <cellStyle name="20% - Accent6 6 4 3 2" xfId="22010"/>
    <cellStyle name="20% - Accent6 6 4 3 2 2" xfId="22011"/>
    <cellStyle name="20% - Accent6 6 4 3 3" xfId="22012"/>
    <cellStyle name="20% - Accent6 6 4 4" xfId="22013"/>
    <cellStyle name="20% - Accent6 6 4 4 2" xfId="22014"/>
    <cellStyle name="20% - Accent6 6 4 5" xfId="22015"/>
    <cellStyle name="20% - Accent6 6 5" xfId="22016"/>
    <cellStyle name="20% - Accent6 6 5 2" xfId="22017"/>
    <cellStyle name="20% - Accent6 6 5 2 2" xfId="22018"/>
    <cellStyle name="20% - Accent6 6 5 2 2 2" xfId="22019"/>
    <cellStyle name="20% - Accent6 6 5 2 2 2 2" xfId="22020"/>
    <cellStyle name="20% - Accent6 6 5 2 2 3" xfId="22021"/>
    <cellStyle name="20% - Accent6 6 5 2 3" xfId="22022"/>
    <cellStyle name="20% - Accent6 6 5 2 3 2" xfId="22023"/>
    <cellStyle name="20% - Accent6 6 5 2 4" xfId="22024"/>
    <cellStyle name="20% - Accent6 6 5 3" xfId="22025"/>
    <cellStyle name="20% - Accent6 6 5 3 2" xfId="22026"/>
    <cellStyle name="20% - Accent6 6 5 3 2 2" xfId="22027"/>
    <cellStyle name="20% - Accent6 6 5 3 3" xfId="22028"/>
    <cellStyle name="20% - Accent6 6 5 4" xfId="22029"/>
    <cellStyle name="20% - Accent6 6 5 4 2" xfId="22030"/>
    <cellStyle name="20% - Accent6 6 5 5" xfId="22031"/>
    <cellStyle name="20% - Accent6 6 6" xfId="22032"/>
    <cellStyle name="20% - Accent6 6 6 2" xfId="22033"/>
    <cellStyle name="20% - Accent6 6 6 2 2" xfId="22034"/>
    <cellStyle name="20% - Accent6 6 6 2 2 2" xfId="22035"/>
    <cellStyle name="20% - Accent6 6 6 2 2 2 2" xfId="22036"/>
    <cellStyle name="20% - Accent6 6 6 2 2 3" xfId="22037"/>
    <cellStyle name="20% - Accent6 6 6 2 3" xfId="22038"/>
    <cellStyle name="20% - Accent6 6 6 2 3 2" xfId="22039"/>
    <cellStyle name="20% - Accent6 6 6 2 4" xfId="22040"/>
    <cellStyle name="20% - Accent6 6 6 3" xfId="22041"/>
    <cellStyle name="20% - Accent6 6 6 3 2" xfId="22042"/>
    <cellStyle name="20% - Accent6 6 6 3 2 2" xfId="22043"/>
    <cellStyle name="20% - Accent6 6 6 3 3" xfId="22044"/>
    <cellStyle name="20% - Accent6 6 6 4" xfId="22045"/>
    <cellStyle name="20% - Accent6 6 6 4 2" xfId="22046"/>
    <cellStyle name="20% - Accent6 6 6 5" xfId="22047"/>
    <cellStyle name="20% - Accent6 6 7" xfId="22048"/>
    <cellStyle name="20% - Accent6 6 7 2" xfId="22049"/>
    <cellStyle name="20% - Accent6 6 7 2 2" xfId="22050"/>
    <cellStyle name="20% - Accent6 6 7 2 2 2" xfId="22051"/>
    <cellStyle name="20% - Accent6 6 7 2 2 2 2" xfId="22052"/>
    <cellStyle name="20% - Accent6 6 7 2 2 3" xfId="22053"/>
    <cellStyle name="20% - Accent6 6 7 2 3" xfId="22054"/>
    <cellStyle name="20% - Accent6 6 7 2 3 2" xfId="22055"/>
    <cellStyle name="20% - Accent6 6 7 2 4" xfId="22056"/>
    <cellStyle name="20% - Accent6 6 7 3" xfId="22057"/>
    <cellStyle name="20% - Accent6 6 7 3 2" xfId="22058"/>
    <cellStyle name="20% - Accent6 6 7 3 2 2" xfId="22059"/>
    <cellStyle name="20% - Accent6 6 7 3 3" xfId="22060"/>
    <cellStyle name="20% - Accent6 6 7 4" xfId="22061"/>
    <cellStyle name="20% - Accent6 6 7 4 2" xfId="22062"/>
    <cellStyle name="20% - Accent6 6 7 5" xfId="22063"/>
    <cellStyle name="20% - Accent6 6 8" xfId="22064"/>
    <cellStyle name="20% - Accent6 6 8 2" xfId="22065"/>
    <cellStyle name="20% - Accent6 6 8 2 2" xfId="22066"/>
    <cellStyle name="20% - Accent6 6 8 2 2 2" xfId="22067"/>
    <cellStyle name="20% - Accent6 6 8 2 3" xfId="22068"/>
    <cellStyle name="20% - Accent6 6 8 3" xfId="22069"/>
    <cellStyle name="20% - Accent6 6 8 3 2" xfId="22070"/>
    <cellStyle name="20% - Accent6 6 8 4" xfId="22071"/>
    <cellStyle name="20% - Accent6 6 9" xfId="22072"/>
    <cellStyle name="20% - Accent6 6 9 2" xfId="22073"/>
    <cellStyle name="20% - Accent6 6 9 2 2" xfId="22074"/>
    <cellStyle name="20% - Accent6 6 9 3" xfId="22075"/>
    <cellStyle name="20% - Accent6 7" xfId="22076"/>
    <cellStyle name="20% - Accent6 7 10" xfId="22077"/>
    <cellStyle name="20% - Accent6 7 10 2" xfId="22078"/>
    <cellStyle name="20% - Accent6 7 11" xfId="22079"/>
    <cellStyle name="20% - Accent6 7 2" xfId="22080"/>
    <cellStyle name="20% - Accent6 7 2 10" xfId="22081"/>
    <cellStyle name="20% - Accent6 7 2 2" xfId="22082"/>
    <cellStyle name="20% - Accent6 7 2 2 2" xfId="22083"/>
    <cellStyle name="20% - Accent6 7 2 2 2 2" xfId="22084"/>
    <cellStyle name="20% - Accent6 7 2 2 2 2 2" xfId="22085"/>
    <cellStyle name="20% - Accent6 7 2 2 2 2 2 2" xfId="22086"/>
    <cellStyle name="20% - Accent6 7 2 2 2 2 3" xfId="22087"/>
    <cellStyle name="20% - Accent6 7 2 2 2 3" xfId="22088"/>
    <cellStyle name="20% - Accent6 7 2 2 2 3 2" xfId="22089"/>
    <cellStyle name="20% - Accent6 7 2 2 2 4" xfId="22090"/>
    <cellStyle name="20% - Accent6 7 2 2 3" xfId="22091"/>
    <cellStyle name="20% - Accent6 7 2 2 3 2" xfId="22092"/>
    <cellStyle name="20% - Accent6 7 2 2 3 2 2" xfId="22093"/>
    <cellStyle name="20% - Accent6 7 2 2 3 3" xfId="22094"/>
    <cellStyle name="20% - Accent6 7 2 2 4" xfId="22095"/>
    <cellStyle name="20% - Accent6 7 2 2 4 2" xfId="22096"/>
    <cellStyle name="20% - Accent6 7 2 2 5" xfId="22097"/>
    <cellStyle name="20% - Accent6 7 2 3" xfId="22098"/>
    <cellStyle name="20% - Accent6 7 2 3 2" xfId="22099"/>
    <cellStyle name="20% - Accent6 7 2 3 2 2" xfId="22100"/>
    <cellStyle name="20% - Accent6 7 2 3 2 2 2" xfId="22101"/>
    <cellStyle name="20% - Accent6 7 2 3 2 2 2 2" xfId="22102"/>
    <cellStyle name="20% - Accent6 7 2 3 2 2 3" xfId="22103"/>
    <cellStyle name="20% - Accent6 7 2 3 2 3" xfId="22104"/>
    <cellStyle name="20% - Accent6 7 2 3 2 3 2" xfId="22105"/>
    <cellStyle name="20% - Accent6 7 2 3 2 4" xfId="22106"/>
    <cellStyle name="20% - Accent6 7 2 3 3" xfId="22107"/>
    <cellStyle name="20% - Accent6 7 2 3 3 2" xfId="22108"/>
    <cellStyle name="20% - Accent6 7 2 3 3 2 2" xfId="22109"/>
    <cellStyle name="20% - Accent6 7 2 3 3 3" xfId="22110"/>
    <cellStyle name="20% - Accent6 7 2 3 4" xfId="22111"/>
    <cellStyle name="20% - Accent6 7 2 3 4 2" xfId="22112"/>
    <cellStyle name="20% - Accent6 7 2 3 5" xfId="22113"/>
    <cellStyle name="20% - Accent6 7 2 4" xfId="22114"/>
    <cellStyle name="20% - Accent6 7 2 4 2" xfId="22115"/>
    <cellStyle name="20% - Accent6 7 2 4 2 2" xfId="22116"/>
    <cellStyle name="20% - Accent6 7 2 4 2 2 2" xfId="22117"/>
    <cellStyle name="20% - Accent6 7 2 4 2 2 2 2" xfId="22118"/>
    <cellStyle name="20% - Accent6 7 2 4 2 2 3" xfId="22119"/>
    <cellStyle name="20% - Accent6 7 2 4 2 3" xfId="22120"/>
    <cellStyle name="20% - Accent6 7 2 4 2 3 2" xfId="22121"/>
    <cellStyle name="20% - Accent6 7 2 4 2 4" xfId="22122"/>
    <cellStyle name="20% - Accent6 7 2 4 3" xfId="22123"/>
    <cellStyle name="20% - Accent6 7 2 4 3 2" xfId="22124"/>
    <cellStyle name="20% - Accent6 7 2 4 3 2 2" xfId="22125"/>
    <cellStyle name="20% - Accent6 7 2 4 3 3" xfId="22126"/>
    <cellStyle name="20% - Accent6 7 2 4 4" xfId="22127"/>
    <cellStyle name="20% - Accent6 7 2 4 4 2" xfId="22128"/>
    <cellStyle name="20% - Accent6 7 2 4 5" xfId="22129"/>
    <cellStyle name="20% - Accent6 7 2 5" xfId="22130"/>
    <cellStyle name="20% - Accent6 7 2 5 2" xfId="22131"/>
    <cellStyle name="20% - Accent6 7 2 5 2 2" xfId="22132"/>
    <cellStyle name="20% - Accent6 7 2 5 2 2 2" xfId="22133"/>
    <cellStyle name="20% - Accent6 7 2 5 2 2 2 2" xfId="22134"/>
    <cellStyle name="20% - Accent6 7 2 5 2 2 3" xfId="22135"/>
    <cellStyle name="20% - Accent6 7 2 5 2 3" xfId="22136"/>
    <cellStyle name="20% - Accent6 7 2 5 2 3 2" xfId="22137"/>
    <cellStyle name="20% - Accent6 7 2 5 2 4" xfId="22138"/>
    <cellStyle name="20% - Accent6 7 2 5 3" xfId="22139"/>
    <cellStyle name="20% - Accent6 7 2 5 3 2" xfId="22140"/>
    <cellStyle name="20% - Accent6 7 2 5 3 2 2" xfId="22141"/>
    <cellStyle name="20% - Accent6 7 2 5 3 3" xfId="22142"/>
    <cellStyle name="20% - Accent6 7 2 5 4" xfId="22143"/>
    <cellStyle name="20% - Accent6 7 2 5 4 2" xfId="22144"/>
    <cellStyle name="20% - Accent6 7 2 5 5" xfId="22145"/>
    <cellStyle name="20% - Accent6 7 2 6" xfId="22146"/>
    <cellStyle name="20% - Accent6 7 2 6 2" xfId="22147"/>
    <cellStyle name="20% - Accent6 7 2 6 2 2" xfId="22148"/>
    <cellStyle name="20% - Accent6 7 2 6 2 2 2" xfId="22149"/>
    <cellStyle name="20% - Accent6 7 2 6 2 2 2 2" xfId="22150"/>
    <cellStyle name="20% - Accent6 7 2 6 2 2 3" xfId="22151"/>
    <cellStyle name="20% - Accent6 7 2 6 2 3" xfId="22152"/>
    <cellStyle name="20% - Accent6 7 2 6 2 3 2" xfId="22153"/>
    <cellStyle name="20% - Accent6 7 2 6 2 4" xfId="22154"/>
    <cellStyle name="20% - Accent6 7 2 6 3" xfId="22155"/>
    <cellStyle name="20% - Accent6 7 2 6 3 2" xfId="22156"/>
    <cellStyle name="20% - Accent6 7 2 6 3 2 2" xfId="22157"/>
    <cellStyle name="20% - Accent6 7 2 6 3 3" xfId="22158"/>
    <cellStyle name="20% - Accent6 7 2 6 4" xfId="22159"/>
    <cellStyle name="20% - Accent6 7 2 6 4 2" xfId="22160"/>
    <cellStyle name="20% - Accent6 7 2 6 5" xfId="22161"/>
    <cellStyle name="20% - Accent6 7 2 7" xfId="22162"/>
    <cellStyle name="20% - Accent6 7 2 7 2" xfId="22163"/>
    <cellStyle name="20% - Accent6 7 2 7 2 2" xfId="22164"/>
    <cellStyle name="20% - Accent6 7 2 7 2 2 2" xfId="22165"/>
    <cellStyle name="20% - Accent6 7 2 7 2 3" xfId="22166"/>
    <cellStyle name="20% - Accent6 7 2 7 3" xfId="22167"/>
    <cellStyle name="20% - Accent6 7 2 7 3 2" xfId="22168"/>
    <cellStyle name="20% - Accent6 7 2 7 4" xfId="22169"/>
    <cellStyle name="20% - Accent6 7 2 8" xfId="22170"/>
    <cellStyle name="20% - Accent6 7 2 8 2" xfId="22171"/>
    <cellStyle name="20% - Accent6 7 2 8 2 2" xfId="22172"/>
    <cellStyle name="20% - Accent6 7 2 8 3" xfId="22173"/>
    <cellStyle name="20% - Accent6 7 2 9" xfId="22174"/>
    <cellStyle name="20% - Accent6 7 2 9 2" xfId="22175"/>
    <cellStyle name="20% - Accent6 7 3" xfId="22176"/>
    <cellStyle name="20% - Accent6 7 3 2" xfId="22177"/>
    <cellStyle name="20% - Accent6 7 3 2 2" xfId="22178"/>
    <cellStyle name="20% - Accent6 7 3 2 2 2" xfId="22179"/>
    <cellStyle name="20% - Accent6 7 3 2 2 2 2" xfId="22180"/>
    <cellStyle name="20% - Accent6 7 3 2 2 3" xfId="22181"/>
    <cellStyle name="20% - Accent6 7 3 2 3" xfId="22182"/>
    <cellStyle name="20% - Accent6 7 3 2 3 2" xfId="22183"/>
    <cellStyle name="20% - Accent6 7 3 2 4" xfId="22184"/>
    <cellStyle name="20% - Accent6 7 3 3" xfId="22185"/>
    <cellStyle name="20% - Accent6 7 3 3 2" xfId="22186"/>
    <cellStyle name="20% - Accent6 7 3 3 2 2" xfId="22187"/>
    <cellStyle name="20% - Accent6 7 3 3 3" xfId="22188"/>
    <cellStyle name="20% - Accent6 7 3 4" xfId="22189"/>
    <cellStyle name="20% - Accent6 7 3 4 2" xfId="22190"/>
    <cellStyle name="20% - Accent6 7 3 5" xfId="22191"/>
    <cellStyle name="20% - Accent6 7 4" xfId="22192"/>
    <cellStyle name="20% - Accent6 7 4 2" xfId="22193"/>
    <cellStyle name="20% - Accent6 7 4 2 2" xfId="22194"/>
    <cellStyle name="20% - Accent6 7 4 2 2 2" xfId="22195"/>
    <cellStyle name="20% - Accent6 7 4 2 2 2 2" xfId="22196"/>
    <cellStyle name="20% - Accent6 7 4 2 2 3" xfId="22197"/>
    <cellStyle name="20% - Accent6 7 4 2 3" xfId="22198"/>
    <cellStyle name="20% - Accent6 7 4 2 3 2" xfId="22199"/>
    <cellStyle name="20% - Accent6 7 4 2 4" xfId="22200"/>
    <cellStyle name="20% - Accent6 7 4 3" xfId="22201"/>
    <cellStyle name="20% - Accent6 7 4 3 2" xfId="22202"/>
    <cellStyle name="20% - Accent6 7 4 3 2 2" xfId="22203"/>
    <cellStyle name="20% - Accent6 7 4 3 3" xfId="22204"/>
    <cellStyle name="20% - Accent6 7 4 4" xfId="22205"/>
    <cellStyle name="20% - Accent6 7 4 4 2" xfId="22206"/>
    <cellStyle name="20% - Accent6 7 4 5" xfId="22207"/>
    <cellStyle name="20% - Accent6 7 5" xfId="22208"/>
    <cellStyle name="20% - Accent6 7 5 2" xfId="22209"/>
    <cellStyle name="20% - Accent6 7 5 2 2" xfId="22210"/>
    <cellStyle name="20% - Accent6 7 5 2 2 2" xfId="22211"/>
    <cellStyle name="20% - Accent6 7 5 2 2 2 2" xfId="22212"/>
    <cellStyle name="20% - Accent6 7 5 2 2 3" xfId="22213"/>
    <cellStyle name="20% - Accent6 7 5 2 3" xfId="22214"/>
    <cellStyle name="20% - Accent6 7 5 2 3 2" xfId="22215"/>
    <cellStyle name="20% - Accent6 7 5 2 4" xfId="22216"/>
    <cellStyle name="20% - Accent6 7 5 3" xfId="22217"/>
    <cellStyle name="20% - Accent6 7 5 3 2" xfId="22218"/>
    <cellStyle name="20% - Accent6 7 5 3 2 2" xfId="22219"/>
    <cellStyle name="20% - Accent6 7 5 3 3" xfId="22220"/>
    <cellStyle name="20% - Accent6 7 5 4" xfId="22221"/>
    <cellStyle name="20% - Accent6 7 5 4 2" xfId="22222"/>
    <cellStyle name="20% - Accent6 7 5 5" xfId="22223"/>
    <cellStyle name="20% - Accent6 7 6" xfId="22224"/>
    <cellStyle name="20% - Accent6 7 6 2" xfId="22225"/>
    <cellStyle name="20% - Accent6 7 6 2 2" xfId="22226"/>
    <cellStyle name="20% - Accent6 7 6 2 2 2" xfId="22227"/>
    <cellStyle name="20% - Accent6 7 6 2 2 2 2" xfId="22228"/>
    <cellStyle name="20% - Accent6 7 6 2 2 3" xfId="22229"/>
    <cellStyle name="20% - Accent6 7 6 2 3" xfId="22230"/>
    <cellStyle name="20% - Accent6 7 6 2 3 2" xfId="22231"/>
    <cellStyle name="20% - Accent6 7 6 2 4" xfId="22232"/>
    <cellStyle name="20% - Accent6 7 6 3" xfId="22233"/>
    <cellStyle name="20% - Accent6 7 6 3 2" xfId="22234"/>
    <cellStyle name="20% - Accent6 7 6 3 2 2" xfId="22235"/>
    <cellStyle name="20% - Accent6 7 6 3 3" xfId="22236"/>
    <cellStyle name="20% - Accent6 7 6 4" xfId="22237"/>
    <cellStyle name="20% - Accent6 7 6 4 2" xfId="22238"/>
    <cellStyle name="20% - Accent6 7 6 5" xfId="22239"/>
    <cellStyle name="20% - Accent6 7 7" xfId="22240"/>
    <cellStyle name="20% - Accent6 7 7 2" xfId="22241"/>
    <cellStyle name="20% - Accent6 7 7 2 2" xfId="22242"/>
    <cellStyle name="20% - Accent6 7 7 2 2 2" xfId="22243"/>
    <cellStyle name="20% - Accent6 7 7 2 2 2 2" xfId="22244"/>
    <cellStyle name="20% - Accent6 7 7 2 2 3" xfId="22245"/>
    <cellStyle name="20% - Accent6 7 7 2 3" xfId="22246"/>
    <cellStyle name="20% - Accent6 7 7 2 3 2" xfId="22247"/>
    <cellStyle name="20% - Accent6 7 7 2 4" xfId="22248"/>
    <cellStyle name="20% - Accent6 7 7 3" xfId="22249"/>
    <cellStyle name="20% - Accent6 7 7 3 2" xfId="22250"/>
    <cellStyle name="20% - Accent6 7 7 3 2 2" xfId="22251"/>
    <cellStyle name="20% - Accent6 7 7 3 3" xfId="22252"/>
    <cellStyle name="20% - Accent6 7 7 4" xfId="22253"/>
    <cellStyle name="20% - Accent6 7 7 4 2" xfId="22254"/>
    <cellStyle name="20% - Accent6 7 7 5" xfId="22255"/>
    <cellStyle name="20% - Accent6 7 8" xfId="22256"/>
    <cellStyle name="20% - Accent6 7 8 2" xfId="22257"/>
    <cellStyle name="20% - Accent6 7 8 2 2" xfId="22258"/>
    <cellStyle name="20% - Accent6 7 8 2 2 2" xfId="22259"/>
    <cellStyle name="20% - Accent6 7 8 2 3" xfId="22260"/>
    <cellStyle name="20% - Accent6 7 8 3" xfId="22261"/>
    <cellStyle name="20% - Accent6 7 8 3 2" xfId="22262"/>
    <cellStyle name="20% - Accent6 7 8 4" xfId="22263"/>
    <cellStyle name="20% - Accent6 7 9" xfId="22264"/>
    <cellStyle name="20% - Accent6 7 9 2" xfId="22265"/>
    <cellStyle name="20% - Accent6 7 9 2 2" xfId="22266"/>
    <cellStyle name="20% - Accent6 7 9 3" xfId="22267"/>
    <cellStyle name="20% - Accent6 8" xfId="22268"/>
    <cellStyle name="20% - Accent6 8 10" xfId="22269"/>
    <cellStyle name="20% - Accent6 8 10 2" xfId="22270"/>
    <cellStyle name="20% - Accent6 8 11" xfId="22271"/>
    <cellStyle name="20% - Accent6 8 2" xfId="22272"/>
    <cellStyle name="20% - Accent6 8 2 10" xfId="22273"/>
    <cellStyle name="20% - Accent6 8 2 2" xfId="22274"/>
    <cellStyle name="20% - Accent6 8 2 2 2" xfId="22275"/>
    <cellStyle name="20% - Accent6 8 2 2 2 2" xfId="22276"/>
    <cellStyle name="20% - Accent6 8 2 2 2 2 2" xfId="22277"/>
    <cellStyle name="20% - Accent6 8 2 2 2 2 2 2" xfId="22278"/>
    <cellStyle name="20% - Accent6 8 2 2 2 2 3" xfId="22279"/>
    <cellStyle name="20% - Accent6 8 2 2 2 3" xfId="22280"/>
    <cellStyle name="20% - Accent6 8 2 2 2 3 2" xfId="22281"/>
    <cellStyle name="20% - Accent6 8 2 2 2 4" xfId="22282"/>
    <cellStyle name="20% - Accent6 8 2 2 3" xfId="22283"/>
    <cellStyle name="20% - Accent6 8 2 2 3 2" xfId="22284"/>
    <cellStyle name="20% - Accent6 8 2 2 3 2 2" xfId="22285"/>
    <cellStyle name="20% - Accent6 8 2 2 3 3" xfId="22286"/>
    <cellStyle name="20% - Accent6 8 2 2 4" xfId="22287"/>
    <cellStyle name="20% - Accent6 8 2 2 4 2" xfId="22288"/>
    <cellStyle name="20% - Accent6 8 2 2 5" xfId="22289"/>
    <cellStyle name="20% - Accent6 8 2 3" xfId="22290"/>
    <cellStyle name="20% - Accent6 8 2 3 2" xfId="22291"/>
    <cellStyle name="20% - Accent6 8 2 3 2 2" xfId="22292"/>
    <cellStyle name="20% - Accent6 8 2 3 2 2 2" xfId="22293"/>
    <cellStyle name="20% - Accent6 8 2 3 2 2 2 2" xfId="22294"/>
    <cellStyle name="20% - Accent6 8 2 3 2 2 3" xfId="22295"/>
    <cellStyle name="20% - Accent6 8 2 3 2 3" xfId="22296"/>
    <cellStyle name="20% - Accent6 8 2 3 2 3 2" xfId="22297"/>
    <cellStyle name="20% - Accent6 8 2 3 2 4" xfId="22298"/>
    <cellStyle name="20% - Accent6 8 2 3 3" xfId="22299"/>
    <cellStyle name="20% - Accent6 8 2 3 3 2" xfId="22300"/>
    <cellStyle name="20% - Accent6 8 2 3 3 2 2" xfId="22301"/>
    <cellStyle name="20% - Accent6 8 2 3 3 3" xfId="22302"/>
    <cellStyle name="20% - Accent6 8 2 3 4" xfId="22303"/>
    <cellStyle name="20% - Accent6 8 2 3 4 2" xfId="22304"/>
    <cellStyle name="20% - Accent6 8 2 3 5" xfId="22305"/>
    <cellStyle name="20% - Accent6 8 2 4" xfId="22306"/>
    <cellStyle name="20% - Accent6 8 2 4 2" xfId="22307"/>
    <cellStyle name="20% - Accent6 8 2 4 2 2" xfId="22308"/>
    <cellStyle name="20% - Accent6 8 2 4 2 2 2" xfId="22309"/>
    <cellStyle name="20% - Accent6 8 2 4 2 2 2 2" xfId="22310"/>
    <cellStyle name="20% - Accent6 8 2 4 2 2 3" xfId="22311"/>
    <cellStyle name="20% - Accent6 8 2 4 2 3" xfId="22312"/>
    <cellStyle name="20% - Accent6 8 2 4 2 3 2" xfId="22313"/>
    <cellStyle name="20% - Accent6 8 2 4 2 4" xfId="22314"/>
    <cellStyle name="20% - Accent6 8 2 4 3" xfId="22315"/>
    <cellStyle name="20% - Accent6 8 2 4 3 2" xfId="22316"/>
    <cellStyle name="20% - Accent6 8 2 4 3 2 2" xfId="22317"/>
    <cellStyle name="20% - Accent6 8 2 4 3 3" xfId="22318"/>
    <cellStyle name="20% - Accent6 8 2 4 4" xfId="22319"/>
    <cellStyle name="20% - Accent6 8 2 4 4 2" xfId="22320"/>
    <cellStyle name="20% - Accent6 8 2 4 5" xfId="22321"/>
    <cellStyle name="20% - Accent6 8 2 5" xfId="22322"/>
    <cellStyle name="20% - Accent6 8 2 5 2" xfId="22323"/>
    <cellStyle name="20% - Accent6 8 2 5 2 2" xfId="22324"/>
    <cellStyle name="20% - Accent6 8 2 5 2 2 2" xfId="22325"/>
    <cellStyle name="20% - Accent6 8 2 5 2 2 2 2" xfId="22326"/>
    <cellStyle name="20% - Accent6 8 2 5 2 2 3" xfId="22327"/>
    <cellStyle name="20% - Accent6 8 2 5 2 3" xfId="22328"/>
    <cellStyle name="20% - Accent6 8 2 5 2 3 2" xfId="22329"/>
    <cellStyle name="20% - Accent6 8 2 5 2 4" xfId="22330"/>
    <cellStyle name="20% - Accent6 8 2 5 3" xfId="22331"/>
    <cellStyle name="20% - Accent6 8 2 5 3 2" xfId="22332"/>
    <cellStyle name="20% - Accent6 8 2 5 3 2 2" xfId="22333"/>
    <cellStyle name="20% - Accent6 8 2 5 3 3" xfId="22334"/>
    <cellStyle name="20% - Accent6 8 2 5 4" xfId="22335"/>
    <cellStyle name="20% - Accent6 8 2 5 4 2" xfId="22336"/>
    <cellStyle name="20% - Accent6 8 2 5 5" xfId="22337"/>
    <cellStyle name="20% - Accent6 8 2 6" xfId="22338"/>
    <cellStyle name="20% - Accent6 8 2 6 2" xfId="22339"/>
    <cellStyle name="20% - Accent6 8 2 6 2 2" xfId="22340"/>
    <cellStyle name="20% - Accent6 8 2 6 2 2 2" xfId="22341"/>
    <cellStyle name="20% - Accent6 8 2 6 2 2 2 2" xfId="22342"/>
    <cellStyle name="20% - Accent6 8 2 6 2 2 3" xfId="22343"/>
    <cellStyle name="20% - Accent6 8 2 6 2 3" xfId="22344"/>
    <cellStyle name="20% - Accent6 8 2 6 2 3 2" xfId="22345"/>
    <cellStyle name="20% - Accent6 8 2 6 2 4" xfId="22346"/>
    <cellStyle name="20% - Accent6 8 2 6 3" xfId="22347"/>
    <cellStyle name="20% - Accent6 8 2 6 3 2" xfId="22348"/>
    <cellStyle name="20% - Accent6 8 2 6 3 2 2" xfId="22349"/>
    <cellStyle name="20% - Accent6 8 2 6 3 3" xfId="22350"/>
    <cellStyle name="20% - Accent6 8 2 6 4" xfId="22351"/>
    <cellStyle name="20% - Accent6 8 2 6 4 2" xfId="22352"/>
    <cellStyle name="20% - Accent6 8 2 6 5" xfId="22353"/>
    <cellStyle name="20% - Accent6 8 2 7" xfId="22354"/>
    <cellStyle name="20% - Accent6 8 2 7 2" xfId="22355"/>
    <cellStyle name="20% - Accent6 8 2 7 2 2" xfId="22356"/>
    <cellStyle name="20% - Accent6 8 2 7 2 2 2" xfId="22357"/>
    <cellStyle name="20% - Accent6 8 2 7 2 3" xfId="22358"/>
    <cellStyle name="20% - Accent6 8 2 7 3" xfId="22359"/>
    <cellStyle name="20% - Accent6 8 2 7 3 2" xfId="22360"/>
    <cellStyle name="20% - Accent6 8 2 7 4" xfId="22361"/>
    <cellStyle name="20% - Accent6 8 2 8" xfId="22362"/>
    <cellStyle name="20% - Accent6 8 2 8 2" xfId="22363"/>
    <cellStyle name="20% - Accent6 8 2 8 2 2" xfId="22364"/>
    <cellStyle name="20% - Accent6 8 2 8 3" xfId="22365"/>
    <cellStyle name="20% - Accent6 8 2 9" xfId="22366"/>
    <cellStyle name="20% - Accent6 8 2 9 2" xfId="22367"/>
    <cellStyle name="20% - Accent6 8 3" xfId="22368"/>
    <cellStyle name="20% - Accent6 8 3 2" xfId="22369"/>
    <cellStyle name="20% - Accent6 8 3 2 2" xfId="22370"/>
    <cellStyle name="20% - Accent6 8 3 2 2 2" xfId="22371"/>
    <cellStyle name="20% - Accent6 8 3 2 2 2 2" xfId="22372"/>
    <cellStyle name="20% - Accent6 8 3 2 2 3" xfId="22373"/>
    <cellStyle name="20% - Accent6 8 3 2 3" xfId="22374"/>
    <cellStyle name="20% - Accent6 8 3 2 3 2" xfId="22375"/>
    <cellStyle name="20% - Accent6 8 3 2 4" xfId="22376"/>
    <cellStyle name="20% - Accent6 8 3 3" xfId="22377"/>
    <cellStyle name="20% - Accent6 8 3 3 2" xfId="22378"/>
    <cellStyle name="20% - Accent6 8 3 3 2 2" xfId="22379"/>
    <cellStyle name="20% - Accent6 8 3 3 3" xfId="22380"/>
    <cellStyle name="20% - Accent6 8 3 4" xfId="22381"/>
    <cellStyle name="20% - Accent6 8 3 4 2" xfId="22382"/>
    <cellStyle name="20% - Accent6 8 3 5" xfId="22383"/>
    <cellStyle name="20% - Accent6 8 4" xfId="22384"/>
    <cellStyle name="20% - Accent6 8 4 2" xfId="22385"/>
    <cellStyle name="20% - Accent6 8 4 2 2" xfId="22386"/>
    <cellStyle name="20% - Accent6 8 4 2 2 2" xfId="22387"/>
    <cellStyle name="20% - Accent6 8 4 2 2 2 2" xfId="22388"/>
    <cellStyle name="20% - Accent6 8 4 2 2 3" xfId="22389"/>
    <cellStyle name="20% - Accent6 8 4 2 3" xfId="22390"/>
    <cellStyle name="20% - Accent6 8 4 2 3 2" xfId="22391"/>
    <cellStyle name="20% - Accent6 8 4 2 4" xfId="22392"/>
    <cellStyle name="20% - Accent6 8 4 3" xfId="22393"/>
    <cellStyle name="20% - Accent6 8 4 3 2" xfId="22394"/>
    <cellStyle name="20% - Accent6 8 4 3 2 2" xfId="22395"/>
    <cellStyle name="20% - Accent6 8 4 3 3" xfId="22396"/>
    <cellStyle name="20% - Accent6 8 4 4" xfId="22397"/>
    <cellStyle name="20% - Accent6 8 4 4 2" xfId="22398"/>
    <cellStyle name="20% - Accent6 8 4 5" xfId="22399"/>
    <cellStyle name="20% - Accent6 8 5" xfId="22400"/>
    <cellStyle name="20% - Accent6 8 5 2" xfId="22401"/>
    <cellStyle name="20% - Accent6 8 5 2 2" xfId="22402"/>
    <cellStyle name="20% - Accent6 8 5 2 2 2" xfId="22403"/>
    <cellStyle name="20% - Accent6 8 5 2 2 2 2" xfId="22404"/>
    <cellStyle name="20% - Accent6 8 5 2 2 3" xfId="22405"/>
    <cellStyle name="20% - Accent6 8 5 2 3" xfId="22406"/>
    <cellStyle name="20% - Accent6 8 5 2 3 2" xfId="22407"/>
    <cellStyle name="20% - Accent6 8 5 2 4" xfId="22408"/>
    <cellStyle name="20% - Accent6 8 5 3" xfId="22409"/>
    <cellStyle name="20% - Accent6 8 5 3 2" xfId="22410"/>
    <cellStyle name="20% - Accent6 8 5 3 2 2" xfId="22411"/>
    <cellStyle name="20% - Accent6 8 5 3 3" xfId="22412"/>
    <cellStyle name="20% - Accent6 8 5 4" xfId="22413"/>
    <cellStyle name="20% - Accent6 8 5 4 2" xfId="22414"/>
    <cellStyle name="20% - Accent6 8 5 5" xfId="22415"/>
    <cellStyle name="20% - Accent6 8 6" xfId="22416"/>
    <cellStyle name="20% - Accent6 8 6 2" xfId="22417"/>
    <cellStyle name="20% - Accent6 8 6 2 2" xfId="22418"/>
    <cellStyle name="20% - Accent6 8 6 2 2 2" xfId="22419"/>
    <cellStyle name="20% - Accent6 8 6 2 2 2 2" xfId="22420"/>
    <cellStyle name="20% - Accent6 8 6 2 2 3" xfId="22421"/>
    <cellStyle name="20% - Accent6 8 6 2 3" xfId="22422"/>
    <cellStyle name="20% - Accent6 8 6 2 3 2" xfId="22423"/>
    <cellStyle name="20% - Accent6 8 6 2 4" xfId="22424"/>
    <cellStyle name="20% - Accent6 8 6 3" xfId="22425"/>
    <cellStyle name="20% - Accent6 8 6 3 2" xfId="22426"/>
    <cellStyle name="20% - Accent6 8 6 3 2 2" xfId="22427"/>
    <cellStyle name="20% - Accent6 8 6 3 3" xfId="22428"/>
    <cellStyle name="20% - Accent6 8 6 4" xfId="22429"/>
    <cellStyle name="20% - Accent6 8 6 4 2" xfId="22430"/>
    <cellStyle name="20% - Accent6 8 6 5" xfId="22431"/>
    <cellStyle name="20% - Accent6 8 7" xfId="22432"/>
    <cellStyle name="20% - Accent6 8 7 2" xfId="22433"/>
    <cellStyle name="20% - Accent6 8 7 2 2" xfId="22434"/>
    <cellStyle name="20% - Accent6 8 7 2 2 2" xfId="22435"/>
    <cellStyle name="20% - Accent6 8 7 2 2 2 2" xfId="22436"/>
    <cellStyle name="20% - Accent6 8 7 2 2 3" xfId="22437"/>
    <cellStyle name="20% - Accent6 8 7 2 3" xfId="22438"/>
    <cellStyle name="20% - Accent6 8 7 2 3 2" xfId="22439"/>
    <cellStyle name="20% - Accent6 8 7 2 4" xfId="22440"/>
    <cellStyle name="20% - Accent6 8 7 3" xfId="22441"/>
    <cellStyle name="20% - Accent6 8 7 3 2" xfId="22442"/>
    <cellStyle name="20% - Accent6 8 7 3 2 2" xfId="22443"/>
    <cellStyle name="20% - Accent6 8 7 3 3" xfId="22444"/>
    <cellStyle name="20% - Accent6 8 7 4" xfId="22445"/>
    <cellStyle name="20% - Accent6 8 7 4 2" xfId="22446"/>
    <cellStyle name="20% - Accent6 8 7 5" xfId="22447"/>
    <cellStyle name="20% - Accent6 8 8" xfId="22448"/>
    <cellStyle name="20% - Accent6 8 8 2" xfId="22449"/>
    <cellStyle name="20% - Accent6 8 8 2 2" xfId="22450"/>
    <cellStyle name="20% - Accent6 8 8 2 2 2" xfId="22451"/>
    <cellStyle name="20% - Accent6 8 8 2 3" xfId="22452"/>
    <cellStyle name="20% - Accent6 8 8 3" xfId="22453"/>
    <cellStyle name="20% - Accent6 8 8 3 2" xfId="22454"/>
    <cellStyle name="20% - Accent6 8 8 4" xfId="22455"/>
    <cellStyle name="20% - Accent6 8 9" xfId="22456"/>
    <cellStyle name="20% - Accent6 8 9 2" xfId="22457"/>
    <cellStyle name="20% - Accent6 8 9 2 2" xfId="22458"/>
    <cellStyle name="20% - Accent6 8 9 3" xfId="22459"/>
    <cellStyle name="20% - Accent6 9" xfId="22460"/>
    <cellStyle name="20% - Accent6 9 10" xfId="22461"/>
    <cellStyle name="20% - Accent6 9 10 2" xfId="22462"/>
    <cellStyle name="20% - Accent6 9 11" xfId="22463"/>
    <cellStyle name="20% - Accent6 9 2" xfId="22464"/>
    <cellStyle name="20% - Accent6 9 2 10" xfId="22465"/>
    <cellStyle name="20% - Accent6 9 2 2" xfId="22466"/>
    <cellStyle name="20% - Accent6 9 2 2 2" xfId="22467"/>
    <cellStyle name="20% - Accent6 9 2 2 2 2" xfId="22468"/>
    <cellStyle name="20% - Accent6 9 2 2 2 2 2" xfId="22469"/>
    <cellStyle name="20% - Accent6 9 2 2 2 2 2 2" xfId="22470"/>
    <cellStyle name="20% - Accent6 9 2 2 2 2 3" xfId="22471"/>
    <cellStyle name="20% - Accent6 9 2 2 2 3" xfId="22472"/>
    <cellStyle name="20% - Accent6 9 2 2 2 3 2" xfId="22473"/>
    <cellStyle name="20% - Accent6 9 2 2 2 4" xfId="22474"/>
    <cellStyle name="20% - Accent6 9 2 2 3" xfId="22475"/>
    <cellStyle name="20% - Accent6 9 2 2 3 2" xfId="22476"/>
    <cellStyle name="20% - Accent6 9 2 2 3 2 2" xfId="22477"/>
    <cellStyle name="20% - Accent6 9 2 2 3 3" xfId="22478"/>
    <cellStyle name="20% - Accent6 9 2 2 4" xfId="22479"/>
    <cellStyle name="20% - Accent6 9 2 2 4 2" xfId="22480"/>
    <cellStyle name="20% - Accent6 9 2 2 5" xfId="22481"/>
    <cellStyle name="20% - Accent6 9 2 3" xfId="22482"/>
    <cellStyle name="20% - Accent6 9 2 3 2" xfId="22483"/>
    <cellStyle name="20% - Accent6 9 2 3 2 2" xfId="22484"/>
    <cellStyle name="20% - Accent6 9 2 3 2 2 2" xfId="22485"/>
    <cellStyle name="20% - Accent6 9 2 3 2 2 2 2" xfId="22486"/>
    <cellStyle name="20% - Accent6 9 2 3 2 2 3" xfId="22487"/>
    <cellStyle name="20% - Accent6 9 2 3 2 3" xfId="22488"/>
    <cellStyle name="20% - Accent6 9 2 3 2 3 2" xfId="22489"/>
    <cellStyle name="20% - Accent6 9 2 3 2 4" xfId="22490"/>
    <cellStyle name="20% - Accent6 9 2 3 3" xfId="22491"/>
    <cellStyle name="20% - Accent6 9 2 3 3 2" xfId="22492"/>
    <cellStyle name="20% - Accent6 9 2 3 3 2 2" xfId="22493"/>
    <cellStyle name="20% - Accent6 9 2 3 3 3" xfId="22494"/>
    <cellStyle name="20% - Accent6 9 2 3 4" xfId="22495"/>
    <cellStyle name="20% - Accent6 9 2 3 4 2" xfId="22496"/>
    <cellStyle name="20% - Accent6 9 2 3 5" xfId="22497"/>
    <cellStyle name="20% - Accent6 9 2 4" xfId="22498"/>
    <cellStyle name="20% - Accent6 9 2 4 2" xfId="22499"/>
    <cellStyle name="20% - Accent6 9 2 4 2 2" xfId="22500"/>
    <cellStyle name="20% - Accent6 9 2 4 2 2 2" xfId="22501"/>
    <cellStyle name="20% - Accent6 9 2 4 2 2 2 2" xfId="22502"/>
    <cellStyle name="20% - Accent6 9 2 4 2 2 3" xfId="22503"/>
    <cellStyle name="20% - Accent6 9 2 4 2 3" xfId="22504"/>
    <cellStyle name="20% - Accent6 9 2 4 2 3 2" xfId="22505"/>
    <cellStyle name="20% - Accent6 9 2 4 2 4" xfId="22506"/>
    <cellStyle name="20% - Accent6 9 2 4 3" xfId="22507"/>
    <cellStyle name="20% - Accent6 9 2 4 3 2" xfId="22508"/>
    <cellStyle name="20% - Accent6 9 2 4 3 2 2" xfId="22509"/>
    <cellStyle name="20% - Accent6 9 2 4 3 3" xfId="22510"/>
    <cellStyle name="20% - Accent6 9 2 4 4" xfId="22511"/>
    <cellStyle name="20% - Accent6 9 2 4 4 2" xfId="22512"/>
    <cellStyle name="20% - Accent6 9 2 4 5" xfId="22513"/>
    <cellStyle name="20% - Accent6 9 2 5" xfId="22514"/>
    <cellStyle name="20% - Accent6 9 2 5 2" xfId="22515"/>
    <cellStyle name="20% - Accent6 9 2 5 2 2" xfId="22516"/>
    <cellStyle name="20% - Accent6 9 2 5 2 2 2" xfId="22517"/>
    <cellStyle name="20% - Accent6 9 2 5 2 2 2 2" xfId="22518"/>
    <cellStyle name="20% - Accent6 9 2 5 2 2 3" xfId="22519"/>
    <cellStyle name="20% - Accent6 9 2 5 2 3" xfId="22520"/>
    <cellStyle name="20% - Accent6 9 2 5 2 3 2" xfId="22521"/>
    <cellStyle name="20% - Accent6 9 2 5 2 4" xfId="22522"/>
    <cellStyle name="20% - Accent6 9 2 5 3" xfId="22523"/>
    <cellStyle name="20% - Accent6 9 2 5 3 2" xfId="22524"/>
    <cellStyle name="20% - Accent6 9 2 5 3 2 2" xfId="22525"/>
    <cellStyle name="20% - Accent6 9 2 5 3 3" xfId="22526"/>
    <cellStyle name="20% - Accent6 9 2 5 4" xfId="22527"/>
    <cellStyle name="20% - Accent6 9 2 5 4 2" xfId="22528"/>
    <cellStyle name="20% - Accent6 9 2 5 5" xfId="22529"/>
    <cellStyle name="20% - Accent6 9 2 6" xfId="22530"/>
    <cellStyle name="20% - Accent6 9 2 6 2" xfId="22531"/>
    <cellStyle name="20% - Accent6 9 2 6 2 2" xfId="22532"/>
    <cellStyle name="20% - Accent6 9 2 6 2 2 2" xfId="22533"/>
    <cellStyle name="20% - Accent6 9 2 6 2 2 2 2" xfId="22534"/>
    <cellStyle name="20% - Accent6 9 2 6 2 2 3" xfId="22535"/>
    <cellStyle name="20% - Accent6 9 2 6 2 3" xfId="22536"/>
    <cellStyle name="20% - Accent6 9 2 6 2 3 2" xfId="22537"/>
    <cellStyle name="20% - Accent6 9 2 6 2 4" xfId="22538"/>
    <cellStyle name="20% - Accent6 9 2 6 3" xfId="22539"/>
    <cellStyle name="20% - Accent6 9 2 6 3 2" xfId="22540"/>
    <cellStyle name="20% - Accent6 9 2 6 3 2 2" xfId="22541"/>
    <cellStyle name="20% - Accent6 9 2 6 3 3" xfId="22542"/>
    <cellStyle name="20% - Accent6 9 2 6 4" xfId="22543"/>
    <cellStyle name="20% - Accent6 9 2 6 4 2" xfId="22544"/>
    <cellStyle name="20% - Accent6 9 2 6 5" xfId="22545"/>
    <cellStyle name="20% - Accent6 9 2 7" xfId="22546"/>
    <cellStyle name="20% - Accent6 9 2 7 2" xfId="22547"/>
    <cellStyle name="20% - Accent6 9 2 7 2 2" xfId="22548"/>
    <cellStyle name="20% - Accent6 9 2 7 2 2 2" xfId="22549"/>
    <cellStyle name="20% - Accent6 9 2 7 2 3" xfId="22550"/>
    <cellStyle name="20% - Accent6 9 2 7 3" xfId="22551"/>
    <cellStyle name="20% - Accent6 9 2 7 3 2" xfId="22552"/>
    <cellStyle name="20% - Accent6 9 2 7 4" xfId="22553"/>
    <cellStyle name="20% - Accent6 9 2 8" xfId="22554"/>
    <cellStyle name="20% - Accent6 9 2 8 2" xfId="22555"/>
    <cellStyle name="20% - Accent6 9 2 8 2 2" xfId="22556"/>
    <cellStyle name="20% - Accent6 9 2 8 3" xfId="22557"/>
    <cellStyle name="20% - Accent6 9 2 9" xfId="22558"/>
    <cellStyle name="20% - Accent6 9 2 9 2" xfId="22559"/>
    <cellStyle name="20% - Accent6 9 3" xfId="22560"/>
    <cellStyle name="20% - Accent6 9 3 2" xfId="22561"/>
    <cellStyle name="20% - Accent6 9 3 2 2" xfId="22562"/>
    <cellStyle name="20% - Accent6 9 3 2 2 2" xfId="22563"/>
    <cellStyle name="20% - Accent6 9 3 2 2 2 2" xfId="22564"/>
    <cellStyle name="20% - Accent6 9 3 2 2 3" xfId="22565"/>
    <cellStyle name="20% - Accent6 9 3 2 3" xfId="22566"/>
    <cellStyle name="20% - Accent6 9 3 2 3 2" xfId="22567"/>
    <cellStyle name="20% - Accent6 9 3 2 4" xfId="22568"/>
    <cellStyle name="20% - Accent6 9 3 3" xfId="22569"/>
    <cellStyle name="20% - Accent6 9 3 3 2" xfId="22570"/>
    <cellStyle name="20% - Accent6 9 3 3 2 2" xfId="22571"/>
    <cellStyle name="20% - Accent6 9 3 3 3" xfId="22572"/>
    <cellStyle name="20% - Accent6 9 3 4" xfId="22573"/>
    <cellStyle name="20% - Accent6 9 3 4 2" xfId="22574"/>
    <cellStyle name="20% - Accent6 9 3 5" xfId="22575"/>
    <cellStyle name="20% - Accent6 9 4" xfId="22576"/>
    <cellStyle name="20% - Accent6 9 4 2" xfId="22577"/>
    <cellStyle name="20% - Accent6 9 4 2 2" xfId="22578"/>
    <cellStyle name="20% - Accent6 9 4 2 2 2" xfId="22579"/>
    <cellStyle name="20% - Accent6 9 4 2 2 2 2" xfId="22580"/>
    <cellStyle name="20% - Accent6 9 4 2 2 3" xfId="22581"/>
    <cellStyle name="20% - Accent6 9 4 2 3" xfId="22582"/>
    <cellStyle name="20% - Accent6 9 4 2 3 2" xfId="22583"/>
    <cellStyle name="20% - Accent6 9 4 2 4" xfId="22584"/>
    <cellStyle name="20% - Accent6 9 4 3" xfId="22585"/>
    <cellStyle name="20% - Accent6 9 4 3 2" xfId="22586"/>
    <cellStyle name="20% - Accent6 9 4 3 2 2" xfId="22587"/>
    <cellStyle name="20% - Accent6 9 4 3 3" xfId="22588"/>
    <cellStyle name="20% - Accent6 9 4 4" xfId="22589"/>
    <cellStyle name="20% - Accent6 9 4 4 2" xfId="22590"/>
    <cellStyle name="20% - Accent6 9 4 5" xfId="22591"/>
    <cellStyle name="20% - Accent6 9 5" xfId="22592"/>
    <cellStyle name="20% - Accent6 9 5 2" xfId="22593"/>
    <cellStyle name="20% - Accent6 9 5 2 2" xfId="22594"/>
    <cellStyle name="20% - Accent6 9 5 2 2 2" xfId="22595"/>
    <cellStyle name="20% - Accent6 9 5 2 2 2 2" xfId="22596"/>
    <cellStyle name="20% - Accent6 9 5 2 2 3" xfId="22597"/>
    <cellStyle name="20% - Accent6 9 5 2 3" xfId="22598"/>
    <cellStyle name="20% - Accent6 9 5 2 3 2" xfId="22599"/>
    <cellStyle name="20% - Accent6 9 5 2 4" xfId="22600"/>
    <cellStyle name="20% - Accent6 9 5 3" xfId="22601"/>
    <cellStyle name="20% - Accent6 9 5 3 2" xfId="22602"/>
    <cellStyle name="20% - Accent6 9 5 3 2 2" xfId="22603"/>
    <cellStyle name="20% - Accent6 9 5 3 3" xfId="22604"/>
    <cellStyle name="20% - Accent6 9 5 4" xfId="22605"/>
    <cellStyle name="20% - Accent6 9 5 4 2" xfId="22606"/>
    <cellStyle name="20% - Accent6 9 5 5" xfId="22607"/>
    <cellStyle name="20% - Accent6 9 6" xfId="22608"/>
    <cellStyle name="20% - Accent6 9 6 2" xfId="22609"/>
    <cellStyle name="20% - Accent6 9 6 2 2" xfId="22610"/>
    <cellStyle name="20% - Accent6 9 6 2 2 2" xfId="22611"/>
    <cellStyle name="20% - Accent6 9 6 2 2 2 2" xfId="22612"/>
    <cellStyle name="20% - Accent6 9 6 2 2 3" xfId="22613"/>
    <cellStyle name="20% - Accent6 9 6 2 3" xfId="22614"/>
    <cellStyle name="20% - Accent6 9 6 2 3 2" xfId="22615"/>
    <cellStyle name="20% - Accent6 9 6 2 4" xfId="22616"/>
    <cellStyle name="20% - Accent6 9 6 3" xfId="22617"/>
    <cellStyle name="20% - Accent6 9 6 3 2" xfId="22618"/>
    <cellStyle name="20% - Accent6 9 6 3 2 2" xfId="22619"/>
    <cellStyle name="20% - Accent6 9 6 3 3" xfId="22620"/>
    <cellStyle name="20% - Accent6 9 6 4" xfId="22621"/>
    <cellStyle name="20% - Accent6 9 6 4 2" xfId="22622"/>
    <cellStyle name="20% - Accent6 9 6 5" xfId="22623"/>
    <cellStyle name="20% - Accent6 9 7" xfId="22624"/>
    <cellStyle name="20% - Accent6 9 7 2" xfId="22625"/>
    <cellStyle name="20% - Accent6 9 7 2 2" xfId="22626"/>
    <cellStyle name="20% - Accent6 9 7 2 2 2" xfId="22627"/>
    <cellStyle name="20% - Accent6 9 7 2 2 2 2" xfId="22628"/>
    <cellStyle name="20% - Accent6 9 7 2 2 3" xfId="22629"/>
    <cellStyle name="20% - Accent6 9 7 2 3" xfId="22630"/>
    <cellStyle name="20% - Accent6 9 7 2 3 2" xfId="22631"/>
    <cellStyle name="20% - Accent6 9 7 2 4" xfId="22632"/>
    <cellStyle name="20% - Accent6 9 7 3" xfId="22633"/>
    <cellStyle name="20% - Accent6 9 7 3 2" xfId="22634"/>
    <cellStyle name="20% - Accent6 9 7 3 2 2" xfId="22635"/>
    <cellStyle name="20% - Accent6 9 7 3 3" xfId="22636"/>
    <cellStyle name="20% - Accent6 9 7 4" xfId="22637"/>
    <cellStyle name="20% - Accent6 9 7 4 2" xfId="22638"/>
    <cellStyle name="20% - Accent6 9 7 5" xfId="22639"/>
    <cellStyle name="20% - Accent6 9 8" xfId="22640"/>
    <cellStyle name="20% - Accent6 9 8 2" xfId="22641"/>
    <cellStyle name="20% - Accent6 9 8 2 2" xfId="22642"/>
    <cellStyle name="20% - Accent6 9 8 2 2 2" xfId="22643"/>
    <cellStyle name="20% - Accent6 9 8 2 3" xfId="22644"/>
    <cellStyle name="20% - Accent6 9 8 3" xfId="22645"/>
    <cellStyle name="20% - Accent6 9 8 3 2" xfId="22646"/>
    <cellStyle name="20% - Accent6 9 8 4" xfId="22647"/>
    <cellStyle name="20% - Accent6 9 9" xfId="22648"/>
    <cellStyle name="20% - Accent6 9 9 2" xfId="22649"/>
    <cellStyle name="20% - Accent6 9 9 2 2" xfId="22650"/>
    <cellStyle name="20% - Accent6 9 9 3" xfId="22651"/>
    <cellStyle name="40% - Accent1" xfId="52850" builtinId="31" customBuiltin="1"/>
    <cellStyle name="40% - Accent1 10" xfId="22652"/>
    <cellStyle name="40% - Accent1 10 10" xfId="22653"/>
    <cellStyle name="40% - Accent1 10 10 2" xfId="22654"/>
    <cellStyle name="40% - Accent1 10 11" xfId="22655"/>
    <cellStyle name="40% - Accent1 10 2" xfId="22656"/>
    <cellStyle name="40% - Accent1 10 2 10" xfId="22657"/>
    <cellStyle name="40% - Accent1 10 2 2" xfId="22658"/>
    <cellStyle name="40% - Accent1 10 2 2 2" xfId="22659"/>
    <cellStyle name="40% - Accent1 10 2 2 2 2" xfId="22660"/>
    <cellStyle name="40% - Accent1 10 2 2 2 2 2" xfId="22661"/>
    <cellStyle name="40% - Accent1 10 2 2 2 2 2 2" xfId="22662"/>
    <cellStyle name="40% - Accent1 10 2 2 2 2 3" xfId="22663"/>
    <cellStyle name="40% - Accent1 10 2 2 2 3" xfId="22664"/>
    <cellStyle name="40% - Accent1 10 2 2 2 3 2" xfId="22665"/>
    <cellStyle name="40% - Accent1 10 2 2 2 4" xfId="22666"/>
    <cellStyle name="40% - Accent1 10 2 2 3" xfId="22667"/>
    <cellStyle name="40% - Accent1 10 2 2 3 2" xfId="22668"/>
    <cellStyle name="40% - Accent1 10 2 2 3 2 2" xfId="22669"/>
    <cellStyle name="40% - Accent1 10 2 2 3 3" xfId="22670"/>
    <cellStyle name="40% - Accent1 10 2 2 4" xfId="22671"/>
    <cellStyle name="40% - Accent1 10 2 2 4 2" xfId="22672"/>
    <cellStyle name="40% - Accent1 10 2 2 5" xfId="22673"/>
    <cellStyle name="40% - Accent1 10 2 3" xfId="22674"/>
    <cellStyle name="40% - Accent1 10 2 3 2" xfId="22675"/>
    <cellStyle name="40% - Accent1 10 2 3 2 2" xfId="22676"/>
    <cellStyle name="40% - Accent1 10 2 3 2 2 2" xfId="22677"/>
    <cellStyle name="40% - Accent1 10 2 3 2 2 2 2" xfId="22678"/>
    <cellStyle name="40% - Accent1 10 2 3 2 2 3" xfId="22679"/>
    <cellStyle name="40% - Accent1 10 2 3 2 3" xfId="22680"/>
    <cellStyle name="40% - Accent1 10 2 3 2 3 2" xfId="22681"/>
    <cellStyle name="40% - Accent1 10 2 3 2 4" xfId="22682"/>
    <cellStyle name="40% - Accent1 10 2 3 3" xfId="22683"/>
    <cellStyle name="40% - Accent1 10 2 3 3 2" xfId="22684"/>
    <cellStyle name="40% - Accent1 10 2 3 3 2 2" xfId="22685"/>
    <cellStyle name="40% - Accent1 10 2 3 3 3" xfId="22686"/>
    <cellStyle name="40% - Accent1 10 2 3 4" xfId="22687"/>
    <cellStyle name="40% - Accent1 10 2 3 4 2" xfId="22688"/>
    <cellStyle name="40% - Accent1 10 2 3 5" xfId="22689"/>
    <cellStyle name="40% - Accent1 10 2 4" xfId="22690"/>
    <cellStyle name="40% - Accent1 10 2 4 2" xfId="22691"/>
    <cellStyle name="40% - Accent1 10 2 4 2 2" xfId="22692"/>
    <cellStyle name="40% - Accent1 10 2 4 2 2 2" xfId="22693"/>
    <cellStyle name="40% - Accent1 10 2 4 2 2 2 2" xfId="22694"/>
    <cellStyle name="40% - Accent1 10 2 4 2 2 3" xfId="22695"/>
    <cellStyle name="40% - Accent1 10 2 4 2 3" xfId="22696"/>
    <cellStyle name="40% - Accent1 10 2 4 2 3 2" xfId="22697"/>
    <cellStyle name="40% - Accent1 10 2 4 2 4" xfId="22698"/>
    <cellStyle name="40% - Accent1 10 2 4 3" xfId="22699"/>
    <cellStyle name="40% - Accent1 10 2 4 3 2" xfId="22700"/>
    <cellStyle name="40% - Accent1 10 2 4 3 2 2" xfId="22701"/>
    <cellStyle name="40% - Accent1 10 2 4 3 3" xfId="22702"/>
    <cellStyle name="40% - Accent1 10 2 4 4" xfId="22703"/>
    <cellStyle name="40% - Accent1 10 2 4 4 2" xfId="22704"/>
    <cellStyle name="40% - Accent1 10 2 4 5" xfId="22705"/>
    <cellStyle name="40% - Accent1 10 2 5" xfId="22706"/>
    <cellStyle name="40% - Accent1 10 2 5 2" xfId="22707"/>
    <cellStyle name="40% - Accent1 10 2 5 2 2" xfId="22708"/>
    <cellStyle name="40% - Accent1 10 2 5 2 2 2" xfId="22709"/>
    <cellStyle name="40% - Accent1 10 2 5 2 2 2 2" xfId="22710"/>
    <cellStyle name="40% - Accent1 10 2 5 2 2 3" xfId="22711"/>
    <cellStyle name="40% - Accent1 10 2 5 2 3" xfId="22712"/>
    <cellStyle name="40% - Accent1 10 2 5 2 3 2" xfId="22713"/>
    <cellStyle name="40% - Accent1 10 2 5 2 4" xfId="22714"/>
    <cellStyle name="40% - Accent1 10 2 5 3" xfId="22715"/>
    <cellStyle name="40% - Accent1 10 2 5 3 2" xfId="22716"/>
    <cellStyle name="40% - Accent1 10 2 5 3 2 2" xfId="22717"/>
    <cellStyle name="40% - Accent1 10 2 5 3 3" xfId="22718"/>
    <cellStyle name="40% - Accent1 10 2 5 4" xfId="22719"/>
    <cellStyle name="40% - Accent1 10 2 5 4 2" xfId="22720"/>
    <cellStyle name="40% - Accent1 10 2 5 5" xfId="22721"/>
    <cellStyle name="40% - Accent1 10 2 6" xfId="22722"/>
    <cellStyle name="40% - Accent1 10 2 6 2" xfId="22723"/>
    <cellStyle name="40% - Accent1 10 2 6 2 2" xfId="22724"/>
    <cellStyle name="40% - Accent1 10 2 6 2 2 2" xfId="22725"/>
    <cellStyle name="40% - Accent1 10 2 6 2 2 2 2" xfId="22726"/>
    <cellStyle name="40% - Accent1 10 2 6 2 2 3" xfId="22727"/>
    <cellStyle name="40% - Accent1 10 2 6 2 3" xfId="22728"/>
    <cellStyle name="40% - Accent1 10 2 6 2 3 2" xfId="22729"/>
    <cellStyle name="40% - Accent1 10 2 6 2 4" xfId="22730"/>
    <cellStyle name="40% - Accent1 10 2 6 3" xfId="22731"/>
    <cellStyle name="40% - Accent1 10 2 6 3 2" xfId="22732"/>
    <cellStyle name="40% - Accent1 10 2 6 3 2 2" xfId="22733"/>
    <cellStyle name="40% - Accent1 10 2 6 3 3" xfId="22734"/>
    <cellStyle name="40% - Accent1 10 2 6 4" xfId="22735"/>
    <cellStyle name="40% - Accent1 10 2 6 4 2" xfId="22736"/>
    <cellStyle name="40% - Accent1 10 2 6 5" xfId="22737"/>
    <cellStyle name="40% - Accent1 10 2 7" xfId="22738"/>
    <cellStyle name="40% - Accent1 10 2 7 2" xfId="22739"/>
    <cellStyle name="40% - Accent1 10 2 7 2 2" xfId="22740"/>
    <cellStyle name="40% - Accent1 10 2 7 2 2 2" xfId="22741"/>
    <cellStyle name="40% - Accent1 10 2 7 2 3" xfId="22742"/>
    <cellStyle name="40% - Accent1 10 2 7 3" xfId="22743"/>
    <cellStyle name="40% - Accent1 10 2 7 3 2" xfId="22744"/>
    <cellStyle name="40% - Accent1 10 2 7 4" xfId="22745"/>
    <cellStyle name="40% - Accent1 10 2 8" xfId="22746"/>
    <cellStyle name="40% - Accent1 10 2 8 2" xfId="22747"/>
    <cellStyle name="40% - Accent1 10 2 8 2 2" xfId="22748"/>
    <cellStyle name="40% - Accent1 10 2 8 3" xfId="22749"/>
    <cellStyle name="40% - Accent1 10 2 9" xfId="22750"/>
    <cellStyle name="40% - Accent1 10 2 9 2" xfId="22751"/>
    <cellStyle name="40% - Accent1 10 3" xfId="22752"/>
    <cellStyle name="40% - Accent1 10 3 2" xfId="22753"/>
    <cellStyle name="40% - Accent1 10 3 2 2" xfId="22754"/>
    <cellStyle name="40% - Accent1 10 3 2 2 2" xfId="22755"/>
    <cellStyle name="40% - Accent1 10 3 2 2 2 2" xfId="22756"/>
    <cellStyle name="40% - Accent1 10 3 2 2 3" xfId="22757"/>
    <cellStyle name="40% - Accent1 10 3 2 3" xfId="22758"/>
    <cellStyle name="40% - Accent1 10 3 2 3 2" xfId="22759"/>
    <cellStyle name="40% - Accent1 10 3 2 4" xfId="22760"/>
    <cellStyle name="40% - Accent1 10 3 3" xfId="22761"/>
    <cellStyle name="40% - Accent1 10 3 3 2" xfId="22762"/>
    <cellStyle name="40% - Accent1 10 3 3 2 2" xfId="22763"/>
    <cellStyle name="40% - Accent1 10 3 3 3" xfId="22764"/>
    <cellStyle name="40% - Accent1 10 3 4" xfId="22765"/>
    <cellStyle name="40% - Accent1 10 3 4 2" xfId="22766"/>
    <cellStyle name="40% - Accent1 10 3 5" xfId="22767"/>
    <cellStyle name="40% - Accent1 10 4" xfId="22768"/>
    <cellStyle name="40% - Accent1 10 4 2" xfId="22769"/>
    <cellStyle name="40% - Accent1 10 4 2 2" xfId="22770"/>
    <cellStyle name="40% - Accent1 10 4 2 2 2" xfId="22771"/>
    <cellStyle name="40% - Accent1 10 4 2 2 2 2" xfId="22772"/>
    <cellStyle name="40% - Accent1 10 4 2 2 3" xfId="22773"/>
    <cellStyle name="40% - Accent1 10 4 2 3" xfId="22774"/>
    <cellStyle name="40% - Accent1 10 4 2 3 2" xfId="22775"/>
    <cellStyle name="40% - Accent1 10 4 2 4" xfId="22776"/>
    <cellStyle name="40% - Accent1 10 4 3" xfId="22777"/>
    <cellStyle name="40% - Accent1 10 4 3 2" xfId="22778"/>
    <cellStyle name="40% - Accent1 10 4 3 2 2" xfId="22779"/>
    <cellStyle name="40% - Accent1 10 4 3 3" xfId="22780"/>
    <cellStyle name="40% - Accent1 10 4 4" xfId="22781"/>
    <cellStyle name="40% - Accent1 10 4 4 2" xfId="22782"/>
    <cellStyle name="40% - Accent1 10 4 5" xfId="22783"/>
    <cellStyle name="40% - Accent1 10 5" xfId="22784"/>
    <cellStyle name="40% - Accent1 10 5 2" xfId="22785"/>
    <cellStyle name="40% - Accent1 10 5 2 2" xfId="22786"/>
    <cellStyle name="40% - Accent1 10 5 2 2 2" xfId="22787"/>
    <cellStyle name="40% - Accent1 10 5 2 2 2 2" xfId="22788"/>
    <cellStyle name="40% - Accent1 10 5 2 2 3" xfId="22789"/>
    <cellStyle name="40% - Accent1 10 5 2 3" xfId="22790"/>
    <cellStyle name="40% - Accent1 10 5 2 3 2" xfId="22791"/>
    <cellStyle name="40% - Accent1 10 5 2 4" xfId="22792"/>
    <cellStyle name="40% - Accent1 10 5 3" xfId="22793"/>
    <cellStyle name="40% - Accent1 10 5 3 2" xfId="22794"/>
    <cellStyle name="40% - Accent1 10 5 3 2 2" xfId="22795"/>
    <cellStyle name="40% - Accent1 10 5 3 3" xfId="22796"/>
    <cellStyle name="40% - Accent1 10 5 4" xfId="22797"/>
    <cellStyle name="40% - Accent1 10 5 4 2" xfId="22798"/>
    <cellStyle name="40% - Accent1 10 5 5" xfId="22799"/>
    <cellStyle name="40% - Accent1 10 6" xfId="22800"/>
    <cellStyle name="40% - Accent1 10 6 2" xfId="22801"/>
    <cellStyle name="40% - Accent1 10 6 2 2" xfId="22802"/>
    <cellStyle name="40% - Accent1 10 6 2 2 2" xfId="22803"/>
    <cellStyle name="40% - Accent1 10 6 2 2 2 2" xfId="22804"/>
    <cellStyle name="40% - Accent1 10 6 2 2 3" xfId="22805"/>
    <cellStyle name="40% - Accent1 10 6 2 3" xfId="22806"/>
    <cellStyle name="40% - Accent1 10 6 2 3 2" xfId="22807"/>
    <cellStyle name="40% - Accent1 10 6 2 4" xfId="22808"/>
    <cellStyle name="40% - Accent1 10 6 3" xfId="22809"/>
    <cellStyle name="40% - Accent1 10 6 3 2" xfId="22810"/>
    <cellStyle name="40% - Accent1 10 6 3 2 2" xfId="22811"/>
    <cellStyle name="40% - Accent1 10 6 3 3" xfId="22812"/>
    <cellStyle name="40% - Accent1 10 6 4" xfId="22813"/>
    <cellStyle name="40% - Accent1 10 6 4 2" xfId="22814"/>
    <cellStyle name="40% - Accent1 10 6 5" xfId="22815"/>
    <cellStyle name="40% - Accent1 10 7" xfId="22816"/>
    <cellStyle name="40% - Accent1 10 7 2" xfId="22817"/>
    <cellStyle name="40% - Accent1 10 7 2 2" xfId="22818"/>
    <cellStyle name="40% - Accent1 10 7 2 2 2" xfId="22819"/>
    <cellStyle name="40% - Accent1 10 7 2 2 2 2" xfId="22820"/>
    <cellStyle name="40% - Accent1 10 7 2 2 3" xfId="22821"/>
    <cellStyle name="40% - Accent1 10 7 2 3" xfId="22822"/>
    <cellStyle name="40% - Accent1 10 7 2 3 2" xfId="22823"/>
    <cellStyle name="40% - Accent1 10 7 2 4" xfId="22824"/>
    <cellStyle name="40% - Accent1 10 7 3" xfId="22825"/>
    <cellStyle name="40% - Accent1 10 7 3 2" xfId="22826"/>
    <cellStyle name="40% - Accent1 10 7 3 2 2" xfId="22827"/>
    <cellStyle name="40% - Accent1 10 7 3 3" xfId="22828"/>
    <cellStyle name="40% - Accent1 10 7 4" xfId="22829"/>
    <cellStyle name="40% - Accent1 10 7 4 2" xfId="22830"/>
    <cellStyle name="40% - Accent1 10 7 5" xfId="22831"/>
    <cellStyle name="40% - Accent1 10 8" xfId="22832"/>
    <cellStyle name="40% - Accent1 10 8 2" xfId="22833"/>
    <cellStyle name="40% - Accent1 10 8 2 2" xfId="22834"/>
    <cellStyle name="40% - Accent1 10 8 2 2 2" xfId="22835"/>
    <cellStyle name="40% - Accent1 10 8 2 3" xfId="22836"/>
    <cellStyle name="40% - Accent1 10 8 3" xfId="22837"/>
    <cellStyle name="40% - Accent1 10 8 3 2" xfId="22838"/>
    <cellStyle name="40% - Accent1 10 8 4" xfId="22839"/>
    <cellStyle name="40% - Accent1 10 9" xfId="22840"/>
    <cellStyle name="40% - Accent1 10 9 2" xfId="22841"/>
    <cellStyle name="40% - Accent1 10 9 2 2" xfId="22842"/>
    <cellStyle name="40% - Accent1 10 9 3" xfId="22843"/>
    <cellStyle name="40% - Accent1 11" xfId="22844"/>
    <cellStyle name="40% - Accent1 11 10" xfId="22845"/>
    <cellStyle name="40% - Accent1 11 10 2" xfId="22846"/>
    <cellStyle name="40% - Accent1 11 11" xfId="22847"/>
    <cellStyle name="40% - Accent1 11 2" xfId="22848"/>
    <cellStyle name="40% - Accent1 11 2 10" xfId="22849"/>
    <cellStyle name="40% - Accent1 11 2 2" xfId="22850"/>
    <cellStyle name="40% - Accent1 11 2 2 2" xfId="22851"/>
    <cellStyle name="40% - Accent1 11 2 2 2 2" xfId="22852"/>
    <cellStyle name="40% - Accent1 11 2 2 2 2 2" xfId="22853"/>
    <cellStyle name="40% - Accent1 11 2 2 2 2 2 2" xfId="22854"/>
    <cellStyle name="40% - Accent1 11 2 2 2 2 3" xfId="22855"/>
    <cellStyle name="40% - Accent1 11 2 2 2 3" xfId="22856"/>
    <cellStyle name="40% - Accent1 11 2 2 2 3 2" xfId="22857"/>
    <cellStyle name="40% - Accent1 11 2 2 2 4" xfId="22858"/>
    <cellStyle name="40% - Accent1 11 2 2 3" xfId="22859"/>
    <cellStyle name="40% - Accent1 11 2 2 3 2" xfId="22860"/>
    <cellStyle name="40% - Accent1 11 2 2 3 2 2" xfId="22861"/>
    <cellStyle name="40% - Accent1 11 2 2 3 3" xfId="22862"/>
    <cellStyle name="40% - Accent1 11 2 2 4" xfId="22863"/>
    <cellStyle name="40% - Accent1 11 2 2 4 2" xfId="22864"/>
    <cellStyle name="40% - Accent1 11 2 2 5" xfId="22865"/>
    <cellStyle name="40% - Accent1 11 2 3" xfId="22866"/>
    <cellStyle name="40% - Accent1 11 2 3 2" xfId="22867"/>
    <cellStyle name="40% - Accent1 11 2 3 2 2" xfId="22868"/>
    <cellStyle name="40% - Accent1 11 2 3 2 2 2" xfId="22869"/>
    <cellStyle name="40% - Accent1 11 2 3 2 2 2 2" xfId="22870"/>
    <cellStyle name="40% - Accent1 11 2 3 2 2 3" xfId="22871"/>
    <cellStyle name="40% - Accent1 11 2 3 2 3" xfId="22872"/>
    <cellStyle name="40% - Accent1 11 2 3 2 3 2" xfId="22873"/>
    <cellStyle name="40% - Accent1 11 2 3 2 4" xfId="22874"/>
    <cellStyle name="40% - Accent1 11 2 3 3" xfId="22875"/>
    <cellStyle name="40% - Accent1 11 2 3 3 2" xfId="22876"/>
    <cellStyle name="40% - Accent1 11 2 3 3 2 2" xfId="22877"/>
    <cellStyle name="40% - Accent1 11 2 3 3 3" xfId="22878"/>
    <cellStyle name="40% - Accent1 11 2 3 4" xfId="22879"/>
    <cellStyle name="40% - Accent1 11 2 3 4 2" xfId="22880"/>
    <cellStyle name="40% - Accent1 11 2 3 5" xfId="22881"/>
    <cellStyle name="40% - Accent1 11 2 4" xfId="22882"/>
    <cellStyle name="40% - Accent1 11 2 4 2" xfId="22883"/>
    <cellStyle name="40% - Accent1 11 2 4 2 2" xfId="22884"/>
    <cellStyle name="40% - Accent1 11 2 4 2 2 2" xfId="22885"/>
    <cellStyle name="40% - Accent1 11 2 4 2 2 2 2" xfId="22886"/>
    <cellStyle name="40% - Accent1 11 2 4 2 2 3" xfId="22887"/>
    <cellStyle name="40% - Accent1 11 2 4 2 3" xfId="22888"/>
    <cellStyle name="40% - Accent1 11 2 4 2 3 2" xfId="22889"/>
    <cellStyle name="40% - Accent1 11 2 4 2 4" xfId="22890"/>
    <cellStyle name="40% - Accent1 11 2 4 3" xfId="22891"/>
    <cellStyle name="40% - Accent1 11 2 4 3 2" xfId="22892"/>
    <cellStyle name="40% - Accent1 11 2 4 3 2 2" xfId="22893"/>
    <cellStyle name="40% - Accent1 11 2 4 3 3" xfId="22894"/>
    <cellStyle name="40% - Accent1 11 2 4 4" xfId="22895"/>
    <cellStyle name="40% - Accent1 11 2 4 4 2" xfId="22896"/>
    <cellStyle name="40% - Accent1 11 2 4 5" xfId="22897"/>
    <cellStyle name="40% - Accent1 11 2 5" xfId="22898"/>
    <cellStyle name="40% - Accent1 11 2 5 2" xfId="22899"/>
    <cellStyle name="40% - Accent1 11 2 5 2 2" xfId="22900"/>
    <cellStyle name="40% - Accent1 11 2 5 2 2 2" xfId="22901"/>
    <cellStyle name="40% - Accent1 11 2 5 2 2 2 2" xfId="22902"/>
    <cellStyle name="40% - Accent1 11 2 5 2 2 3" xfId="22903"/>
    <cellStyle name="40% - Accent1 11 2 5 2 3" xfId="22904"/>
    <cellStyle name="40% - Accent1 11 2 5 2 3 2" xfId="22905"/>
    <cellStyle name="40% - Accent1 11 2 5 2 4" xfId="22906"/>
    <cellStyle name="40% - Accent1 11 2 5 3" xfId="22907"/>
    <cellStyle name="40% - Accent1 11 2 5 3 2" xfId="22908"/>
    <cellStyle name="40% - Accent1 11 2 5 3 2 2" xfId="22909"/>
    <cellStyle name="40% - Accent1 11 2 5 3 3" xfId="22910"/>
    <cellStyle name="40% - Accent1 11 2 5 4" xfId="22911"/>
    <cellStyle name="40% - Accent1 11 2 5 4 2" xfId="22912"/>
    <cellStyle name="40% - Accent1 11 2 5 5" xfId="22913"/>
    <cellStyle name="40% - Accent1 11 2 6" xfId="22914"/>
    <cellStyle name="40% - Accent1 11 2 6 2" xfId="22915"/>
    <cellStyle name="40% - Accent1 11 2 6 2 2" xfId="22916"/>
    <cellStyle name="40% - Accent1 11 2 6 2 2 2" xfId="22917"/>
    <cellStyle name="40% - Accent1 11 2 6 2 2 2 2" xfId="22918"/>
    <cellStyle name="40% - Accent1 11 2 6 2 2 3" xfId="22919"/>
    <cellStyle name="40% - Accent1 11 2 6 2 3" xfId="22920"/>
    <cellStyle name="40% - Accent1 11 2 6 2 3 2" xfId="22921"/>
    <cellStyle name="40% - Accent1 11 2 6 2 4" xfId="22922"/>
    <cellStyle name="40% - Accent1 11 2 6 3" xfId="22923"/>
    <cellStyle name="40% - Accent1 11 2 6 3 2" xfId="22924"/>
    <cellStyle name="40% - Accent1 11 2 6 3 2 2" xfId="22925"/>
    <cellStyle name="40% - Accent1 11 2 6 3 3" xfId="22926"/>
    <cellStyle name="40% - Accent1 11 2 6 4" xfId="22927"/>
    <cellStyle name="40% - Accent1 11 2 6 4 2" xfId="22928"/>
    <cellStyle name="40% - Accent1 11 2 6 5" xfId="22929"/>
    <cellStyle name="40% - Accent1 11 2 7" xfId="22930"/>
    <cellStyle name="40% - Accent1 11 2 7 2" xfId="22931"/>
    <cellStyle name="40% - Accent1 11 2 7 2 2" xfId="22932"/>
    <cellStyle name="40% - Accent1 11 2 7 2 2 2" xfId="22933"/>
    <cellStyle name="40% - Accent1 11 2 7 2 3" xfId="22934"/>
    <cellStyle name="40% - Accent1 11 2 7 3" xfId="22935"/>
    <cellStyle name="40% - Accent1 11 2 7 3 2" xfId="22936"/>
    <cellStyle name="40% - Accent1 11 2 7 4" xfId="22937"/>
    <cellStyle name="40% - Accent1 11 2 8" xfId="22938"/>
    <cellStyle name="40% - Accent1 11 2 8 2" xfId="22939"/>
    <cellStyle name="40% - Accent1 11 2 8 2 2" xfId="22940"/>
    <cellStyle name="40% - Accent1 11 2 8 3" xfId="22941"/>
    <cellStyle name="40% - Accent1 11 2 9" xfId="22942"/>
    <cellStyle name="40% - Accent1 11 2 9 2" xfId="22943"/>
    <cellStyle name="40% - Accent1 11 3" xfId="22944"/>
    <cellStyle name="40% - Accent1 11 3 2" xfId="22945"/>
    <cellStyle name="40% - Accent1 11 3 2 2" xfId="22946"/>
    <cellStyle name="40% - Accent1 11 3 2 2 2" xfId="22947"/>
    <cellStyle name="40% - Accent1 11 3 2 2 2 2" xfId="22948"/>
    <cellStyle name="40% - Accent1 11 3 2 2 3" xfId="22949"/>
    <cellStyle name="40% - Accent1 11 3 2 3" xfId="22950"/>
    <cellStyle name="40% - Accent1 11 3 2 3 2" xfId="22951"/>
    <cellStyle name="40% - Accent1 11 3 2 4" xfId="22952"/>
    <cellStyle name="40% - Accent1 11 3 3" xfId="22953"/>
    <cellStyle name="40% - Accent1 11 3 3 2" xfId="22954"/>
    <cellStyle name="40% - Accent1 11 3 3 2 2" xfId="22955"/>
    <cellStyle name="40% - Accent1 11 3 3 3" xfId="22956"/>
    <cellStyle name="40% - Accent1 11 3 4" xfId="22957"/>
    <cellStyle name="40% - Accent1 11 3 4 2" xfId="22958"/>
    <cellStyle name="40% - Accent1 11 3 5" xfId="22959"/>
    <cellStyle name="40% - Accent1 11 4" xfId="22960"/>
    <cellStyle name="40% - Accent1 11 4 2" xfId="22961"/>
    <cellStyle name="40% - Accent1 11 4 2 2" xfId="22962"/>
    <cellStyle name="40% - Accent1 11 4 2 2 2" xfId="22963"/>
    <cellStyle name="40% - Accent1 11 4 2 2 2 2" xfId="22964"/>
    <cellStyle name="40% - Accent1 11 4 2 2 3" xfId="22965"/>
    <cellStyle name="40% - Accent1 11 4 2 3" xfId="22966"/>
    <cellStyle name="40% - Accent1 11 4 2 3 2" xfId="22967"/>
    <cellStyle name="40% - Accent1 11 4 2 4" xfId="22968"/>
    <cellStyle name="40% - Accent1 11 4 3" xfId="22969"/>
    <cellStyle name="40% - Accent1 11 4 3 2" xfId="22970"/>
    <cellStyle name="40% - Accent1 11 4 3 2 2" xfId="22971"/>
    <cellStyle name="40% - Accent1 11 4 3 3" xfId="22972"/>
    <cellStyle name="40% - Accent1 11 4 4" xfId="22973"/>
    <cellStyle name="40% - Accent1 11 4 4 2" xfId="22974"/>
    <cellStyle name="40% - Accent1 11 4 5" xfId="22975"/>
    <cellStyle name="40% - Accent1 11 5" xfId="22976"/>
    <cellStyle name="40% - Accent1 11 5 2" xfId="22977"/>
    <cellStyle name="40% - Accent1 11 5 2 2" xfId="22978"/>
    <cellStyle name="40% - Accent1 11 5 2 2 2" xfId="22979"/>
    <cellStyle name="40% - Accent1 11 5 2 2 2 2" xfId="22980"/>
    <cellStyle name="40% - Accent1 11 5 2 2 3" xfId="22981"/>
    <cellStyle name="40% - Accent1 11 5 2 3" xfId="22982"/>
    <cellStyle name="40% - Accent1 11 5 2 3 2" xfId="22983"/>
    <cellStyle name="40% - Accent1 11 5 2 4" xfId="22984"/>
    <cellStyle name="40% - Accent1 11 5 3" xfId="22985"/>
    <cellStyle name="40% - Accent1 11 5 3 2" xfId="22986"/>
    <cellStyle name="40% - Accent1 11 5 3 2 2" xfId="22987"/>
    <cellStyle name="40% - Accent1 11 5 3 3" xfId="22988"/>
    <cellStyle name="40% - Accent1 11 5 4" xfId="22989"/>
    <cellStyle name="40% - Accent1 11 5 4 2" xfId="22990"/>
    <cellStyle name="40% - Accent1 11 5 5" xfId="22991"/>
    <cellStyle name="40% - Accent1 11 6" xfId="22992"/>
    <cellStyle name="40% - Accent1 11 6 2" xfId="22993"/>
    <cellStyle name="40% - Accent1 11 6 2 2" xfId="22994"/>
    <cellStyle name="40% - Accent1 11 6 2 2 2" xfId="22995"/>
    <cellStyle name="40% - Accent1 11 6 2 2 2 2" xfId="22996"/>
    <cellStyle name="40% - Accent1 11 6 2 2 3" xfId="22997"/>
    <cellStyle name="40% - Accent1 11 6 2 3" xfId="22998"/>
    <cellStyle name="40% - Accent1 11 6 2 3 2" xfId="22999"/>
    <cellStyle name="40% - Accent1 11 6 2 4" xfId="23000"/>
    <cellStyle name="40% - Accent1 11 6 3" xfId="23001"/>
    <cellStyle name="40% - Accent1 11 6 3 2" xfId="23002"/>
    <cellStyle name="40% - Accent1 11 6 3 2 2" xfId="23003"/>
    <cellStyle name="40% - Accent1 11 6 3 3" xfId="23004"/>
    <cellStyle name="40% - Accent1 11 6 4" xfId="23005"/>
    <cellStyle name="40% - Accent1 11 6 4 2" xfId="23006"/>
    <cellStyle name="40% - Accent1 11 6 5" xfId="23007"/>
    <cellStyle name="40% - Accent1 11 7" xfId="23008"/>
    <cellStyle name="40% - Accent1 11 7 2" xfId="23009"/>
    <cellStyle name="40% - Accent1 11 7 2 2" xfId="23010"/>
    <cellStyle name="40% - Accent1 11 7 2 2 2" xfId="23011"/>
    <cellStyle name="40% - Accent1 11 7 2 2 2 2" xfId="23012"/>
    <cellStyle name="40% - Accent1 11 7 2 2 3" xfId="23013"/>
    <cellStyle name="40% - Accent1 11 7 2 3" xfId="23014"/>
    <cellStyle name="40% - Accent1 11 7 2 3 2" xfId="23015"/>
    <cellStyle name="40% - Accent1 11 7 2 4" xfId="23016"/>
    <cellStyle name="40% - Accent1 11 7 3" xfId="23017"/>
    <cellStyle name="40% - Accent1 11 7 3 2" xfId="23018"/>
    <cellStyle name="40% - Accent1 11 7 3 2 2" xfId="23019"/>
    <cellStyle name="40% - Accent1 11 7 3 3" xfId="23020"/>
    <cellStyle name="40% - Accent1 11 7 4" xfId="23021"/>
    <cellStyle name="40% - Accent1 11 7 4 2" xfId="23022"/>
    <cellStyle name="40% - Accent1 11 7 5" xfId="23023"/>
    <cellStyle name="40% - Accent1 11 8" xfId="23024"/>
    <cellStyle name="40% - Accent1 11 8 2" xfId="23025"/>
    <cellStyle name="40% - Accent1 11 8 2 2" xfId="23026"/>
    <cellStyle name="40% - Accent1 11 8 2 2 2" xfId="23027"/>
    <cellStyle name="40% - Accent1 11 8 2 3" xfId="23028"/>
    <cellStyle name="40% - Accent1 11 8 3" xfId="23029"/>
    <cellStyle name="40% - Accent1 11 8 3 2" xfId="23030"/>
    <cellStyle name="40% - Accent1 11 8 4" xfId="23031"/>
    <cellStyle name="40% - Accent1 11 9" xfId="23032"/>
    <cellStyle name="40% - Accent1 11 9 2" xfId="23033"/>
    <cellStyle name="40% - Accent1 11 9 2 2" xfId="23034"/>
    <cellStyle name="40% - Accent1 11 9 3" xfId="23035"/>
    <cellStyle name="40% - Accent1 12" xfId="23036"/>
    <cellStyle name="40% - Accent1 12 10" xfId="23037"/>
    <cellStyle name="40% - Accent1 12 2" xfId="23038"/>
    <cellStyle name="40% - Accent1 12 2 2" xfId="23039"/>
    <cellStyle name="40% - Accent1 12 2 2 2" xfId="23040"/>
    <cellStyle name="40% - Accent1 12 2 2 2 2" xfId="23041"/>
    <cellStyle name="40% - Accent1 12 2 2 2 2 2" xfId="23042"/>
    <cellStyle name="40% - Accent1 12 2 2 2 3" xfId="23043"/>
    <cellStyle name="40% - Accent1 12 2 2 3" xfId="23044"/>
    <cellStyle name="40% - Accent1 12 2 2 3 2" xfId="23045"/>
    <cellStyle name="40% - Accent1 12 2 2 4" xfId="23046"/>
    <cellStyle name="40% - Accent1 12 2 3" xfId="23047"/>
    <cellStyle name="40% - Accent1 12 2 3 2" xfId="23048"/>
    <cellStyle name="40% - Accent1 12 2 3 2 2" xfId="23049"/>
    <cellStyle name="40% - Accent1 12 2 3 3" xfId="23050"/>
    <cellStyle name="40% - Accent1 12 2 4" xfId="23051"/>
    <cellStyle name="40% - Accent1 12 2 4 2" xfId="23052"/>
    <cellStyle name="40% - Accent1 12 2 5" xfId="23053"/>
    <cellStyle name="40% - Accent1 12 3" xfId="23054"/>
    <cellStyle name="40% - Accent1 12 3 2" xfId="23055"/>
    <cellStyle name="40% - Accent1 12 3 2 2" xfId="23056"/>
    <cellStyle name="40% - Accent1 12 3 2 2 2" xfId="23057"/>
    <cellStyle name="40% - Accent1 12 3 2 2 2 2" xfId="23058"/>
    <cellStyle name="40% - Accent1 12 3 2 2 3" xfId="23059"/>
    <cellStyle name="40% - Accent1 12 3 2 3" xfId="23060"/>
    <cellStyle name="40% - Accent1 12 3 2 3 2" xfId="23061"/>
    <cellStyle name="40% - Accent1 12 3 2 4" xfId="23062"/>
    <cellStyle name="40% - Accent1 12 3 3" xfId="23063"/>
    <cellStyle name="40% - Accent1 12 3 3 2" xfId="23064"/>
    <cellStyle name="40% - Accent1 12 3 3 2 2" xfId="23065"/>
    <cellStyle name="40% - Accent1 12 3 3 3" xfId="23066"/>
    <cellStyle name="40% - Accent1 12 3 4" xfId="23067"/>
    <cellStyle name="40% - Accent1 12 3 4 2" xfId="23068"/>
    <cellStyle name="40% - Accent1 12 3 5" xfId="23069"/>
    <cellStyle name="40% - Accent1 12 4" xfId="23070"/>
    <cellStyle name="40% - Accent1 12 4 2" xfId="23071"/>
    <cellStyle name="40% - Accent1 12 4 2 2" xfId="23072"/>
    <cellStyle name="40% - Accent1 12 4 2 2 2" xfId="23073"/>
    <cellStyle name="40% - Accent1 12 4 2 2 2 2" xfId="23074"/>
    <cellStyle name="40% - Accent1 12 4 2 2 3" xfId="23075"/>
    <cellStyle name="40% - Accent1 12 4 2 3" xfId="23076"/>
    <cellStyle name="40% - Accent1 12 4 2 3 2" xfId="23077"/>
    <cellStyle name="40% - Accent1 12 4 2 4" xfId="23078"/>
    <cellStyle name="40% - Accent1 12 4 3" xfId="23079"/>
    <cellStyle name="40% - Accent1 12 4 3 2" xfId="23080"/>
    <cellStyle name="40% - Accent1 12 4 3 2 2" xfId="23081"/>
    <cellStyle name="40% - Accent1 12 4 3 3" xfId="23082"/>
    <cellStyle name="40% - Accent1 12 4 4" xfId="23083"/>
    <cellStyle name="40% - Accent1 12 4 4 2" xfId="23084"/>
    <cellStyle name="40% - Accent1 12 4 5" xfId="23085"/>
    <cellStyle name="40% - Accent1 12 5" xfId="23086"/>
    <cellStyle name="40% - Accent1 12 5 2" xfId="23087"/>
    <cellStyle name="40% - Accent1 12 5 2 2" xfId="23088"/>
    <cellStyle name="40% - Accent1 12 5 2 2 2" xfId="23089"/>
    <cellStyle name="40% - Accent1 12 5 2 2 2 2" xfId="23090"/>
    <cellStyle name="40% - Accent1 12 5 2 2 3" xfId="23091"/>
    <cellStyle name="40% - Accent1 12 5 2 3" xfId="23092"/>
    <cellStyle name="40% - Accent1 12 5 2 3 2" xfId="23093"/>
    <cellStyle name="40% - Accent1 12 5 2 4" xfId="23094"/>
    <cellStyle name="40% - Accent1 12 5 3" xfId="23095"/>
    <cellStyle name="40% - Accent1 12 5 3 2" xfId="23096"/>
    <cellStyle name="40% - Accent1 12 5 3 2 2" xfId="23097"/>
    <cellStyle name="40% - Accent1 12 5 3 3" xfId="23098"/>
    <cellStyle name="40% - Accent1 12 5 4" xfId="23099"/>
    <cellStyle name="40% - Accent1 12 5 4 2" xfId="23100"/>
    <cellStyle name="40% - Accent1 12 5 5" xfId="23101"/>
    <cellStyle name="40% - Accent1 12 6" xfId="23102"/>
    <cellStyle name="40% - Accent1 12 6 2" xfId="23103"/>
    <cellStyle name="40% - Accent1 12 6 2 2" xfId="23104"/>
    <cellStyle name="40% - Accent1 12 6 2 2 2" xfId="23105"/>
    <cellStyle name="40% - Accent1 12 6 2 2 2 2" xfId="23106"/>
    <cellStyle name="40% - Accent1 12 6 2 2 3" xfId="23107"/>
    <cellStyle name="40% - Accent1 12 6 2 3" xfId="23108"/>
    <cellStyle name="40% - Accent1 12 6 2 3 2" xfId="23109"/>
    <cellStyle name="40% - Accent1 12 6 2 4" xfId="23110"/>
    <cellStyle name="40% - Accent1 12 6 3" xfId="23111"/>
    <cellStyle name="40% - Accent1 12 6 3 2" xfId="23112"/>
    <cellStyle name="40% - Accent1 12 6 3 2 2" xfId="23113"/>
    <cellStyle name="40% - Accent1 12 6 3 3" xfId="23114"/>
    <cellStyle name="40% - Accent1 12 6 4" xfId="23115"/>
    <cellStyle name="40% - Accent1 12 6 4 2" xfId="23116"/>
    <cellStyle name="40% - Accent1 12 6 5" xfId="23117"/>
    <cellStyle name="40% - Accent1 12 7" xfId="23118"/>
    <cellStyle name="40% - Accent1 12 7 2" xfId="23119"/>
    <cellStyle name="40% - Accent1 12 7 2 2" xfId="23120"/>
    <cellStyle name="40% - Accent1 12 7 2 2 2" xfId="23121"/>
    <cellStyle name="40% - Accent1 12 7 2 3" xfId="23122"/>
    <cellStyle name="40% - Accent1 12 7 3" xfId="23123"/>
    <cellStyle name="40% - Accent1 12 7 3 2" xfId="23124"/>
    <cellStyle name="40% - Accent1 12 7 4" xfId="23125"/>
    <cellStyle name="40% - Accent1 12 8" xfId="23126"/>
    <cellStyle name="40% - Accent1 12 8 2" xfId="23127"/>
    <cellStyle name="40% - Accent1 12 8 2 2" xfId="23128"/>
    <cellStyle name="40% - Accent1 12 8 3" xfId="23129"/>
    <cellStyle name="40% - Accent1 12 9" xfId="23130"/>
    <cellStyle name="40% - Accent1 12 9 2" xfId="23131"/>
    <cellStyle name="40% - Accent1 13" xfId="23132"/>
    <cellStyle name="40% - Accent1 13 10" xfId="23133"/>
    <cellStyle name="40% - Accent1 13 2" xfId="23134"/>
    <cellStyle name="40% - Accent1 13 2 2" xfId="23135"/>
    <cellStyle name="40% - Accent1 13 2 2 2" xfId="23136"/>
    <cellStyle name="40% - Accent1 13 2 2 2 2" xfId="23137"/>
    <cellStyle name="40% - Accent1 13 2 2 2 2 2" xfId="23138"/>
    <cellStyle name="40% - Accent1 13 2 2 2 3" xfId="23139"/>
    <cellStyle name="40% - Accent1 13 2 2 3" xfId="23140"/>
    <cellStyle name="40% - Accent1 13 2 2 3 2" xfId="23141"/>
    <cellStyle name="40% - Accent1 13 2 2 4" xfId="23142"/>
    <cellStyle name="40% - Accent1 13 2 3" xfId="23143"/>
    <cellStyle name="40% - Accent1 13 2 3 2" xfId="23144"/>
    <cellStyle name="40% - Accent1 13 2 3 2 2" xfId="23145"/>
    <cellStyle name="40% - Accent1 13 2 3 3" xfId="23146"/>
    <cellStyle name="40% - Accent1 13 2 4" xfId="23147"/>
    <cellStyle name="40% - Accent1 13 2 4 2" xfId="23148"/>
    <cellStyle name="40% - Accent1 13 2 5" xfId="23149"/>
    <cellStyle name="40% - Accent1 13 3" xfId="23150"/>
    <cellStyle name="40% - Accent1 13 3 2" xfId="23151"/>
    <cellStyle name="40% - Accent1 13 3 2 2" xfId="23152"/>
    <cellStyle name="40% - Accent1 13 3 2 2 2" xfId="23153"/>
    <cellStyle name="40% - Accent1 13 3 2 2 2 2" xfId="23154"/>
    <cellStyle name="40% - Accent1 13 3 2 2 3" xfId="23155"/>
    <cellStyle name="40% - Accent1 13 3 2 3" xfId="23156"/>
    <cellStyle name="40% - Accent1 13 3 2 3 2" xfId="23157"/>
    <cellStyle name="40% - Accent1 13 3 2 4" xfId="23158"/>
    <cellStyle name="40% - Accent1 13 3 3" xfId="23159"/>
    <cellStyle name="40% - Accent1 13 3 3 2" xfId="23160"/>
    <cellStyle name="40% - Accent1 13 3 3 2 2" xfId="23161"/>
    <cellStyle name="40% - Accent1 13 3 3 3" xfId="23162"/>
    <cellStyle name="40% - Accent1 13 3 4" xfId="23163"/>
    <cellStyle name="40% - Accent1 13 3 4 2" xfId="23164"/>
    <cellStyle name="40% - Accent1 13 3 5" xfId="23165"/>
    <cellStyle name="40% - Accent1 13 4" xfId="23166"/>
    <cellStyle name="40% - Accent1 13 4 2" xfId="23167"/>
    <cellStyle name="40% - Accent1 13 4 2 2" xfId="23168"/>
    <cellStyle name="40% - Accent1 13 4 2 2 2" xfId="23169"/>
    <cellStyle name="40% - Accent1 13 4 2 2 2 2" xfId="23170"/>
    <cellStyle name="40% - Accent1 13 4 2 2 3" xfId="23171"/>
    <cellStyle name="40% - Accent1 13 4 2 3" xfId="23172"/>
    <cellStyle name="40% - Accent1 13 4 2 3 2" xfId="23173"/>
    <cellStyle name="40% - Accent1 13 4 2 4" xfId="23174"/>
    <cellStyle name="40% - Accent1 13 4 3" xfId="23175"/>
    <cellStyle name="40% - Accent1 13 4 3 2" xfId="23176"/>
    <cellStyle name="40% - Accent1 13 4 3 2 2" xfId="23177"/>
    <cellStyle name="40% - Accent1 13 4 3 3" xfId="23178"/>
    <cellStyle name="40% - Accent1 13 4 4" xfId="23179"/>
    <cellStyle name="40% - Accent1 13 4 4 2" xfId="23180"/>
    <cellStyle name="40% - Accent1 13 4 5" xfId="23181"/>
    <cellStyle name="40% - Accent1 13 5" xfId="23182"/>
    <cellStyle name="40% - Accent1 13 5 2" xfId="23183"/>
    <cellStyle name="40% - Accent1 13 5 2 2" xfId="23184"/>
    <cellStyle name="40% - Accent1 13 5 2 2 2" xfId="23185"/>
    <cellStyle name="40% - Accent1 13 5 2 2 2 2" xfId="23186"/>
    <cellStyle name="40% - Accent1 13 5 2 2 3" xfId="23187"/>
    <cellStyle name="40% - Accent1 13 5 2 3" xfId="23188"/>
    <cellStyle name="40% - Accent1 13 5 2 3 2" xfId="23189"/>
    <cellStyle name="40% - Accent1 13 5 2 4" xfId="23190"/>
    <cellStyle name="40% - Accent1 13 5 3" xfId="23191"/>
    <cellStyle name="40% - Accent1 13 5 3 2" xfId="23192"/>
    <cellStyle name="40% - Accent1 13 5 3 2 2" xfId="23193"/>
    <cellStyle name="40% - Accent1 13 5 3 3" xfId="23194"/>
    <cellStyle name="40% - Accent1 13 5 4" xfId="23195"/>
    <cellStyle name="40% - Accent1 13 5 4 2" xfId="23196"/>
    <cellStyle name="40% - Accent1 13 5 5" xfId="23197"/>
    <cellStyle name="40% - Accent1 13 6" xfId="23198"/>
    <cellStyle name="40% - Accent1 13 6 2" xfId="23199"/>
    <cellStyle name="40% - Accent1 13 6 2 2" xfId="23200"/>
    <cellStyle name="40% - Accent1 13 6 2 2 2" xfId="23201"/>
    <cellStyle name="40% - Accent1 13 6 2 2 2 2" xfId="23202"/>
    <cellStyle name="40% - Accent1 13 6 2 2 3" xfId="23203"/>
    <cellStyle name="40% - Accent1 13 6 2 3" xfId="23204"/>
    <cellStyle name="40% - Accent1 13 6 2 3 2" xfId="23205"/>
    <cellStyle name="40% - Accent1 13 6 2 4" xfId="23206"/>
    <cellStyle name="40% - Accent1 13 6 3" xfId="23207"/>
    <cellStyle name="40% - Accent1 13 6 3 2" xfId="23208"/>
    <cellStyle name="40% - Accent1 13 6 3 2 2" xfId="23209"/>
    <cellStyle name="40% - Accent1 13 6 3 3" xfId="23210"/>
    <cellStyle name="40% - Accent1 13 6 4" xfId="23211"/>
    <cellStyle name="40% - Accent1 13 6 4 2" xfId="23212"/>
    <cellStyle name="40% - Accent1 13 6 5" xfId="23213"/>
    <cellStyle name="40% - Accent1 13 7" xfId="23214"/>
    <cellStyle name="40% - Accent1 13 7 2" xfId="23215"/>
    <cellStyle name="40% - Accent1 13 7 2 2" xfId="23216"/>
    <cellStyle name="40% - Accent1 13 7 2 2 2" xfId="23217"/>
    <cellStyle name="40% - Accent1 13 7 2 3" xfId="23218"/>
    <cellStyle name="40% - Accent1 13 7 3" xfId="23219"/>
    <cellStyle name="40% - Accent1 13 7 3 2" xfId="23220"/>
    <cellStyle name="40% - Accent1 13 7 4" xfId="23221"/>
    <cellStyle name="40% - Accent1 13 8" xfId="23222"/>
    <cellStyle name="40% - Accent1 13 8 2" xfId="23223"/>
    <cellStyle name="40% - Accent1 13 8 2 2" xfId="23224"/>
    <cellStyle name="40% - Accent1 13 8 3" xfId="23225"/>
    <cellStyle name="40% - Accent1 13 9" xfId="23226"/>
    <cellStyle name="40% - Accent1 13 9 2" xfId="23227"/>
    <cellStyle name="40% - Accent1 14" xfId="23228"/>
    <cellStyle name="40% - Accent1 14 2" xfId="23229"/>
    <cellStyle name="40% - Accent1 14 2 2" xfId="23230"/>
    <cellStyle name="40% - Accent1 14 2 2 2" xfId="23231"/>
    <cellStyle name="40% - Accent1 14 2 2 2 2" xfId="23232"/>
    <cellStyle name="40% - Accent1 14 2 2 3" xfId="23233"/>
    <cellStyle name="40% - Accent1 14 2 3" xfId="23234"/>
    <cellStyle name="40% - Accent1 14 2 3 2" xfId="23235"/>
    <cellStyle name="40% - Accent1 14 2 4" xfId="23236"/>
    <cellStyle name="40% - Accent1 14 3" xfId="23237"/>
    <cellStyle name="40% - Accent1 14 3 2" xfId="23238"/>
    <cellStyle name="40% - Accent1 14 3 2 2" xfId="23239"/>
    <cellStyle name="40% - Accent1 14 3 3" xfId="23240"/>
    <cellStyle name="40% - Accent1 14 4" xfId="23241"/>
    <cellStyle name="40% - Accent1 14 4 2" xfId="23242"/>
    <cellStyle name="40% - Accent1 14 5" xfId="23243"/>
    <cellStyle name="40% - Accent1 15" xfId="23244"/>
    <cellStyle name="40% - Accent1 15 2" xfId="23245"/>
    <cellStyle name="40% - Accent1 15 2 2" xfId="23246"/>
    <cellStyle name="40% - Accent1 15 2 2 2" xfId="23247"/>
    <cellStyle name="40% - Accent1 15 2 2 2 2" xfId="23248"/>
    <cellStyle name="40% - Accent1 15 2 2 3" xfId="23249"/>
    <cellStyle name="40% - Accent1 15 2 3" xfId="23250"/>
    <cellStyle name="40% - Accent1 15 2 3 2" xfId="23251"/>
    <cellStyle name="40% - Accent1 15 2 4" xfId="23252"/>
    <cellStyle name="40% - Accent1 15 3" xfId="23253"/>
    <cellStyle name="40% - Accent1 15 3 2" xfId="23254"/>
    <cellStyle name="40% - Accent1 15 3 2 2" xfId="23255"/>
    <cellStyle name="40% - Accent1 15 3 3" xfId="23256"/>
    <cellStyle name="40% - Accent1 15 4" xfId="23257"/>
    <cellStyle name="40% - Accent1 15 4 2" xfId="23258"/>
    <cellStyle name="40% - Accent1 15 5" xfId="23259"/>
    <cellStyle name="40% - Accent1 16" xfId="23260"/>
    <cellStyle name="40% - Accent1 16 2" xfId="23261"/>
    <cellStyle name="40% - Accent1 16 2 2" xfId="23262"/>
    <cellStyle name="40% - Accent1 16 2 2 2" xfId="23263"/>
    <cellStyle name="40% - Accent1 16 2 2 2 2" xfId="23264"/>
    <cellStyle name="40% - Accent1 16 2 2 3" xfId="23265"/>
    <cellStyle name="40% - Accent1 16 2 3" xfId="23266"/>
    <cellStyle name="40% - Accent1 16 2 3 2" xfId="23267"/>
    <cellStyle name="40% - Accent1 16 2 4" xfId="23268"/>
    <cellStyle name="40% - Accent1 16 3" xfId="23269"/>
    <cellStyle name="40% - Accent1 16 3 2" xfId="23270"/>
    <cellStyle name="40% - Accent1 16 3 2 2" xfId="23271"/>
    <cellStyle name="40% - Accent1 16 3 3" xfId="23272"/>
    <cellStyle name="40% - Accent1 16 4" xfId="23273"/>
    <cellStyle name="40% - Accent1 16 4 2" xfId="23274"/>
    <cellStyle name="40% - Accent1 16 5" xfId="23275"/>
    <cellStyle name="40% - Accent1 17" xfId="23276"/>
    <cellStyle name="40% - Accent1 17 2" xfId="23277"/>
    <cellStyle name="40% - Accent1 17 2 2" xfId="23278"/>
    <cellStyle name="40% - Accent1 17 2 2 2" xfId="23279"/>
    <cellStyle name="40% - Accent1 17 2 2 2 2" xfId="23280"/>
    <cellStyle name="40% - Accent1 17 2 2 3" xfId="23281"/>
    <cellStyle name="40% - Accent1 17 2 3" xfId="23282"/>
    <cellStyle name="40% - Accent1 17 2 3 2" xfId="23283"/>
    <cellStyle name="40% - Accent1 17 2 4" xfId="23284"/>
    <cellStyle name="40% - Accent1 17 3" xfId="23285"/>
    <cellStyle name="40% - Accent1 17 3 2" xfId="23286"/>
    <cellStyle name="40% - Accent1 17 3 2 2" xfId="23287"/>
    <cellStyle name="40% - Accent1 17 3 3" xfId="23288"/>
    <cellStyle name="40% - Accent1 17 4" xfId="23289"/>
    <cellStyle name="40% - Accent1 17 4 2" xfId="23290"/>
    <cellStyle name="40% - Accent1 17 5" xfId="23291"/>
    <cellStyle name="40% - Accent1 18" xfId="23292"/>
    <cellStyle name="40% - Accent1 18 2" xfId="23293"/>
    <cellStyle name="40% - Accent1 18 2 2" xfId="23294"/>
    <cellStyle name="40% - Accent1 18 2 2 2" xfId="23295"/>
    <cellStyle name="40% - Accent1 18 2 2 2 2" xfId="23296"/>
    <cellStyle name="40% - Accent1 18 2 2 3" xfId="23297"/>
    <cellStyle name="40% - Accent1 18 2 3" xfId="23298"/>
    <cellStyle name="40% - Accent1 18 2 3 2" xfId="23299"/>
    <cellStyle name="40% - Accent1 18 2 4" xfId="23300"/>
    <cellStyle name="40% - Accent1 18 3" xfId="23301"/>
    <cellStyle name="40% - Accent1 18 3 2" xfId="23302"/>
    <cellStyle name="40% - Accent1 18 3 2 2" xfId="23303"/>
    <cellStyle name="40% - Accent1 18 3 3" xfId="23304"/>
    <cellStyle name="40% - Accent1 18 4" xfId="23305"/>
    <cellStyle name="40% - Accent1 18 4 2" xfId="23306"/>
    <cellStyle name="40% - Accent1 18 5" xfId="23307"/>
    <cellStyle name="40% - Accent1 19" xfId="23308"/>
    <cellStyle name="40% - Accent1 19 2" xfId="23309"/>
    <cellStyle name="40% - Accent1 19 2 2" xfId="23310"/>
    <cellStyle name="40% - Accent1 19 2 2 2" xfId="23311"/>
    <cellStyle name="40% - Accent1 19 2 2 2 2" xfId="23312"/>
    <cellStyle name="40% - Accent1 19 2 2 3" xfId="23313"/>
    <cellStyle name="40% - Accent1 19 2 3" xfId="23314"/>
    <cellStyle name="40% - Accent1 19 2 3 2" xfId="23315"/>
    <cellStyle name="40% - Accent1 19 2 4" xfId="23316"/>
    <cellStyle name="40% - Accent1 19 3" xfId="23317"/>
    <cellStyle name="40% - Accent1 19 3 2" xfId="23318"/>
    <cellStyle name="40% - Accent1 19 3 2 2" xfId="23319"/>
    <cellStyle name="40% - Accent1 19 3 3" xfId="23320"/>
    <cellStyle name="40% - Accent1 19 4" xfId="23321"/>
    <cellStyle name="40% - Accent1 19 4 2" xfId="23322"/>
    <cellStyle name="40% - Accent1 19 5" xfId="23323"/>
    <cellStyle name="40% - Accent1 2" xfId="23324"/>
    <cellStyle name="40% - Accent1 2 10" xfId="23325"/>
    <cellStyle name="40% - Accent1 2 10 10" xfId="23326"/>
    <cellStyle name="40% - Accent1 2 10 2" xfId="23327"/>
    <cellStyle name="40% - Accent1 2 10 2 2" xfId="23328"/>
    <cellStyle name="40% - Accent1 2 10 2 2 2" xfId="23329"/>
    <cellStyle name="40% - Accent1 2 10 2 2 2 2" xfId="23330"/>
    <cellStyle name="40% - Accent1 2 10 2 2 2 2 2" xfId="23331"/>
    <cellStyle name="40% - Accent1 2 10 2 2 2 3" xfId="23332"/>
    <cellStyle name="40% - Accent1 2 10 2 2 3" xfId="23333"/>
    <cellStyle name="40% - Accent1 2 10 2 2 3 2" xfId="23334"/>
    <cellStyle name="40% - Accent1 2 10 2 2 4" xfId="23335"/>
    <cellStyle name="40% - Accent1 2 10 2 3" xfId="23336"/>
    <cellStyle name="40% - Accent1 2 10 2 3 2" xfId="23337"/>
    <cellStyle name="40% - Accent1 2 10 2 3 2 2" xfId="23338"/>
    <cellStyle name="40% - Accent1 2 10 2 3 3" xfId="23339"/>
    <cellStyle name="40% - Accent1 2 10 2 4" xfId="23340"/>
    <cellStyle name="40% - Accent1 2 10 2 4 2" xfId="23341"/>
    <cellStyle name="40% - Accent1 2 10 2 5" xfId="23342"/>
    <cellStyle name="40% - Accent1 2 10 3" xfId="23343"/>
    <cellStyle name="40% - Accent1 2 10 3 2" xfId="23344"/>
    <cellStyle name="40% - Accent1 2 10 3 2 2" xfId="23345"/>
    <cellStyle name="40% - Accent1 2 10 3 2 2 2" xfId="23346"/>
    <cellStyle name="40% - Accent1 2 10 3 2 2 2 2" xfId="23347"/>
    <cellStyle name="40% - Accent1 2 10 3 2 2 3" xfId="23348"/>
    <cellStyle name="40% - Accent1 2 10 3 2 3" xfId="23349"/>
    <cellStyle name="40% - Accent1 2 10 3 2 3 2" xfId="23350"/>
    <cellStyle name="40% - Accent1 2 10 3 2 4" xfId="23351"/>
    <cellStyle name="40% - Accent1 2 10 3 3" xfId="23352"/>
    <cellStyle name="40% - Accent1 2 10 3 3 2" xfId="23353"/>
    <cellStyle name="40% - Accent1 2 10 3 3 2 2" xfId="23354"/>
    <cellStyle name="40% - Accent1 2 10 3 3 3" xfId="23355"/>
    <cellStyle name="40% - Accent1 2 10 3 4" xfId="23356"/>
    <cellStyle name="40% - Accent1 2 10 3 4 2" xfId="23357"/>
    <cellStyle name="40% - Accent1 2 10 3 5" xfId="23358"/>
    <cellStyle name="40% - Accent1 2 10 4" xfId="23359"/>
    <cellStyle name="40% - Accent1 2 10 4 2" xfId="23360"/>
    <cellStyle name="40% - Accent1 2 10 4 2 2" xfId="23361"/>
    <cellStyle name="40% - Accent1 2 10 4 2 2 2" xfId="23362"/>
    <cellStyle name="40% - Accent1 2 10 4 2 2 2 2" xfId="23363"/>
    <cellStyle name="40% - Accent1 2 10 4 2 2 3" xfId="23364"/>
    <cellStyle name="40% - Accent1 2 10 4 2 3" xfId="23365"/>
    <cellStyle name="40% - Accent1 2 10 4 2 3 2" xfId="23366"/>
    <cellStyle name="40% - Accent1 2 10 4 2 4" xfId="23367"/>
    <cellStyle name="40% - Accent1 2 10 4 3" xfId="23368"/>
    <cellStyle name="40% - Accent1 2 10 4 3 2" xfId="23369"/>
    <cellStyle name="40% - Accent1 2 10 4 3 2 2" xfId="23370"/>
    <cellStyle name="40% - Accent1 2 10 4 3 3" xfId="23371"/>
    <cellStyle name="40% - Accent1 2 10 4 4" xfId="23372"/>
    <cellStyle name="40% - Accent1 2 10 4 4 2" xfId="23373"/>
    <cellStyle name="40% - Accent1 2 10 4 5" xfId="23374"/>
    <cellStyle name="40% - Accent1 2 10 5" xfId="23375"/>
    <cellStyle name="40% - Accent1 2 10 5 2" xfId="23376"/>
    <cellStyle name="40% - Accent1 2 10 5 2 2" xfId="23377"/>
    <cellStyle name="40% - Accent1 2 10 5 2 2 2" xfId="23378"/>
    <cellStyle name="40% - Accent1 2 10 5 2 2 2 2" xfId="23379"/>
    <cellStyle name="40% - Accent1 2 10 5 2 2 3" xfId="23380"/>
    <cellStyle name="40% - Accent1 2 10 5 2 3" xfId="23381"/>
    <cellStyle name="40% - Accent1 2 10 5 2 3 2" xfId="23382"/>
    <cellStyle name="40% - Accent1 2 10 5 2 4" xfId="23383"/>
    <cellStyle name="40% - Accent1 2 10 5 3" xfId="23384"/>
    <cellStyle name="40% - Accent1 2 10 5 3 2" xfId="23385"/>
    <cellStyle name="40% - Accent1 2 10 5 3 2 2" xfId="23386"/>
    <cellStyle name="40% - Accent1 2 10 5 3 3" xfId="23387"/>
    <cellStyle name="40% - Accent1 2 10 5 4" xfId="23388"/>
    <cellStyle name="40% - Accent1 2 10 5 4 2" xfId="23389"/>
    <cellStyle name="40% - Accent1 2 10 5 5" xfId="23390"/>
    <cellStyle name="40% - Accent1 2 10 6" xfId="23391"/>
    <cellStyle name="40% - Accent1 2 10 6 2" xfId="23392"/>
    <cellStyle name="40% - Accent1 2 10 6 2 2" xfId="23393"/>
    <cellStyle name="40% - Accent1 2 10 6 2 2 2" xfId="23394"/>
    <cellStyle name="40% - Accent1 2 10 6 2 2 2 2" xfId="23395"/>
    <cellStyle name="40% - Accent1 2 10 6 2 2 3" xfId="23396"/>
    <cellStyle name="40% - Accent1 2 10 6 2 3" xfId="23397"/>
    <cellStyle name="40% - Accent1 2 10 6 2 3 2" xfId="23398"/>
    <cellStyle name="40% - Accent1 2 10 6 2 4" xfId="23399"/>
    <cellStyle name="40% - Accent1 2 10 6 3" xfId="23400"/>
    <cellStyle name="40% - Accent1 2 10 6 3 2" xfId="23401"/>
    <cellStyle name="40% - Accent1 2 10 6 3 2 2" xfId="23402"/>
    <cellStyle name="40% - Accent1 2 10 6 3 3" xfId="23403"/>
    <cellStyle name="40% - Accent1 2 10 6 4" xfId="23404"/>
    <cellStyle name="40% - Accent1 2 10 6 4 2" xfId="23405"/>
    <cellStyle name="40% - Accent1 2 10 6 5" xfId="23406"/>
    <cellStyle name="40% - Accent1 2 10 7" xfId="23407"/>
    <cellStyle name="40% - Accent1 2 10 7 2" xfId="23408"/>
    <cellStyle name="40% - Accent1 2 10 7 2 2" xfId="23409"/>
    <cellStyle name="40% - Accent1 2 10 7 2 2 2" xfId="23410"/>
    <cellStyle name="40% - Accent1 2 10 7 2 3" xfId="23411"/>
    <cellStyle name="40% - Accent1 2 10 7 3" xfId="23412"/>
    <cellStyle name="40% - Accent1 2 10 7 3 2" xfId="23413"/>
    <cellStyle name="40% - Accent1 2 10 7 4" xfId="23414"/>
    <cellStyle name="40% - Accent1 2 10 8" xfId="23415"/>
    <cellStyle name="40% - Accent1 2 10 8 2" xfId="23416"/>
    <cellStyle name="40% - Accent1 2 10 8 2 2" xfId="23417"/>
    <cellStyle name="40% - Accent1 2 10 8 3" xfId="23418"/>
    <cellStyle name="40% - Accent1 2 10 9" xfId="23419"/>
    <cellStyle name="40% - Accent1 2 10 9 2" xfId="23420"/>
    <cellStyle name="40% - Accent1 2 11" xfId="23421"/>
    <cellStyle name="40% - Accent1 2 11 2" xfId="23422"/>
    <cellStyle name="40% - Accent1 2 11 2 2" xfId="23423"/>
    <cellStyle name="40% - Accent1 2 11 2 2 2" xfId="23424"/>
    <cellStyle name="40% - Accent1 2 11 2 2 2 2" xfId="23425"/>
    <cellStyle name="40% - Accent1 2 11 2 2 3" xfId="23426"/>
    <cellStyle name="40% - Accent1 2 11 2 3" xfId="23427"/>
    <cellStyle name="40% - Accent1 2 11 2 3 2" xfId="23428"/>
    <cellStyle name="40% - Accent1 2 11 2 4" xfId="23429"/>
    <cellStyle name="40% - Accent1 2 11 3" xfId="23430"/>
    <cellStyle name="40% - Accent1 2 11 3 2" xfId="23431"/>
    <cellStyle name="40% - Accent1 2 11 3 2 2" xfId="23432"/>
    <cellStyle name="40% - Accent1 2 11 3 3" xfId="23433"/>
    <cellStyle name="40% - Accent1 2 11 4" xfId="23434"/>
    <cellStyle name="40% - Accent1 2 11 4 2" xfId="23435"/>
    <cellStyle name="40% - Accent1 2 11 5" xfId="23436"/>
    <cellStyle name="40% - Accent1 2 12" xfId="23437"/>
    <cellStyle name="40% - Accent1 2 12 2" xfId="23438"/>
    <cellStyle name="40% - Accent1 2 12 2 2" xfId="23439"/>
    <cellStyle name="40% - Accent1 2 12 2 2 2" xfId="23440"/>
    <cellStyle name="40% - Accent1 2 12 2 2 2 2" xfId="23441"/>
    <cellStyle name="40% - Accent1 2 12 2 2 3" xfId="23442"/>
    <cellStyle name="40% - Accent1 2 12 2 3" xfId="23443"/>
    <cellStyle name="40% - Accent1 2 12 2 3 2" xfId="23444"/>
    <cellStyle name="40% - Accent1 2 12 2 4" xfId="23445"/>
    <cellStyle name="40% - Accent1 2 12 3" xfId="23446"/>
    <cellStyle name="40% - Accent1 2 12 3 2" xfId="23447"/>
    <cellStyle name="40% - Accent1 2 12 3 2 2" xfId="23448"/>
    <cellStyle name="40% - Accent1 2 12 3 3" xfId="23449"/>
    <cellStyle name="40% - Accent1 2 12 4" xfId="23450"/>
    <cellStyle name="40% - Accent1 2 12 4 2" xfId="23451"/>
    <cellStyle name="40% - Accent1 2 12 5" xfId="23452"/>
    <cellStyle name="40% - Accent1 2 13" xfId="23453"/>
    <cellStyle name="40% - Accent1 2 13 2" xfId="23454"/>
    <cellStyle name="40% - Accent1 2 13 2 2" xfId="23455"/>
    <cellStyle name="40% - Accent1 2 13 2 2 2" xfId="23456"/>
    <cellStyle name="40% - Accent1 2 13 2 2 2 2" xfId="23457"/>
    <cellStyle name="40% - Accent1 2 13 2 2 3" xfId="23458"/>
    <cellStyle name="40% - Accent1 2 13 2 3" xfId="23459"/>
    <cellStyle name="40% - Accent1 2 13 2 3 2" xfId="23460"/>
    <cellStyle name="40% - Accent1 2 13 2 4" xfId="23461"/>
    <cellStyle name="40% - Accent1 2 13 3" xfId="23462"/>
    <cellStyle name="40% - Accent1 2 13 3 2" xfId="23463"/>
    <cellStyle name="40% - Accent1 2 13 3 2 2" xfId="23464"/>
    <cellStyle name="40% - Accent1 2 13 3 3" xfId="23465"/>
    <cellStyle name="40% - Accent1 2 13 4" xfId="23466"/>
    <cellStyle name="40% - Accent1 2 13 4 2" xfId="23467"/>
    <cellStyle name="40% - Accent1 2 13 5" xfId="23468"/>
    <cellStyle name="40% - Accent1 2 14" xfId="23469"/>
    <cellStyle name="40% - Accent1 2 14 2" xfId="23470"/>
    <cellStyle name="40% - Accent1 2 14 2 2" xfId="23471"/>
    <cellStyle name="40% - Accent1 2 14 2 2 2" xfId="23472"/>
    <cellStyle name="40% - Accent1 2 14 2 2 2 2" xfId="23473"/>
    <cellStyle name="40% - Accent1 2 14 2 2 3" xfId="23474"/>
    <cellStyle name="40% - Accent1 2 14 2 3" xfId="23475"/>
    <cellStyle name="40% - Accent1 2 14 2 3 2" xfId="23476"/>
    <cellStyle name="40% - Accent1 2 14 2 4" xfId="23477"/>
    <cellStyle name="40% - Accent1 2 14 3" xfId="23478"/>
    <cellStyle name="40% - Accent1 2 14 3 2" xfId="23479"/>
    <cellStyle name="40% - Accent1 2 14 3 2 2" xfId="23480"/>
    <cellStyle name="40% - Accent1 2 14 3 3" xfId="23481"/>
    <cellStyle name="40% - Accent1 2 14 4" xfId="23482"/>
    <cellStyle name="40% - Accent1 2 14 4 2" xfId="23483"/>
    <cellStyle name="40% - Accent1 2 14 5" xfId="23484"/>
    <cellStyle name="40% - Accent1 2 15" xfId="23485"/>
    <cellStyle name="40% - Accent1 2 15 2" xfId="23486"/>
    <cellStyle name="40% - Accent1 2 15 2 2" xfId="23487"/>
    <cellStyle name="40% - Accent1 2 15 2 2 2" xfId="23488"/>
    <cellStyle name="40% - Accent1 2 15 2 2 2 2" xfId="23489"/>
    <cellStyle name="40% - Accent1 2 15 2 2 3" xfId="23490"/>
    <cellStyle name="40% - Accent1 2 15 2 3" xfId="23491"/>
    <cellStyle name="40% - Accent1 2 15 2 3 2" xfId="23492"/>
    <cellStyle name="40% - Accent1 2 15 2 4" xfId="23493"/>
    <cellStyle name="40% - Accent1 2 15 3" xfId="23494"/>
    <cellStyle name="40% - Accent1 2 15 3 2" xfId="23495"/>
    <cellStyle name="40% - Accent1 2 15 3 2 2" xfId="23496"/>
    <cellStyle name="40% - Accent1 2 15 3 3" xfId="23497"/>
    <cellStyle name="40% - Accent1 2 15 4" xfId="23498"/>
    <cellStyle name="40% - Accent1 2 15 4 2" xfId="23499"/>
    <cellStyle name="40% - Accent1 2 15 5" xfId="23500"/>
    <cellStyle name="40% - Accent1 2 16" xfId="23501"/>
    <cellStyle name="40% - Accent1 2 16 2" xfId="23502"/>
    <cellStyle name="40% - Accent1 2 16 2 2" xfId="23503"/>
    <cellStyle name="40% - Accent1 2 16 2 2 2" xfId="23504"/>
    <cellStyle name="40% - Accent1 2 16 2 3" xfId="23505"/>
    <cellStyle name="40% - Accent1 2 16 3" xfId="23506"/>
    <cellStyle name="40% - Accent1 2 16 3 2" xfId="23507"/>
    <cellStyle name="40% - Accent1 2 16 4" xfId="23508"/>
    <cellStyle name="40% - Accent1 2 17" xfId="23509"/>
    <cellStyle name="40% - Accent1 2 17 2" xfId="23510"/>
    <cellStyle name="40% - Accent1 2 17 2 2" xfId="23511"/>
    <cellStyle name="40% - Accent1 2 17 3" xfId="23512"/>
    <cellStyle name="40% - Accent1 2 18" xfId="23513"/>
    <cellStyle name="40% - Accent1 2 18 2" xfId="23514"/>
    <cellStyle name="40% - Accent1 2 19" xfId="23515"/>
    <cellStyle name="40% - Accent1 2 2" xfId="23516"/>
    <cellStyle name="40% - Accent1 2 2 10" xfId="23517"/>
    <cellStyle name="40% - Accent1 2 2 10 2" xfId="23518"/>
    <cellStyle name="40% - Accent1 2 2 11" xfId="23519"/>
    <cellStyle name="40% - Accent1 2 2 2" xfId="23520"/>
    <cellStyle name="40% - Accent1 2 2 2 10" xfId="23521"/>
    <cellStyle name="40% - Accent1 2 2 2 2" xfId="23522"/>
    <cellStyle name="40% - Accent1 2 2 2 2 2" xfId="23523"/>
    <cellStyle name="40% - Accent1 2 2 2 2 2 2" xfId="23524"/>
    <cellStyle name="40% - Accent1 2 2 2 2 2 2 2" xfId="23525"/>
    <cellStyle name="40% - Accent1 2 2 2 2 2 2 2 2" xfId="23526"/>
    <cellStyle name="40% - Accent1 2 2 2 2 2 2 3" xfId="23527"/>
    <cellStyle name="40% - Accent1 2 2 2 2 2 3" xfId="23528"/>
    <cellStyle name="40% - Accent1 2 2 2 2 2 3 2" xfId="23529"/>
    <cellStyle name="40% - Accent1 2 2 2 2 2 4" xfId="23530"/>
    <cellStyle name="40% - Accent1 2 2 2 2 3" xfId="23531"/>
    <cellStyle name="40% - Accent1 2 2 2 2 3 2" xfId="23532"/>
    <cellStyle name="40% - Accent1 2 2 2 2 3 2 2" xfId="23533"/>
    <cellStyle name="40% - Accent1 2 2 2 2 3 3" xfId="23534"/>
    <cellStyle name="40% - Accent1 2 2 2 2 4" xfId="23535"/>
    <cellStyle name="40% - Accent1 2 2 2 2 4 2" xfId="23536"/>
    <cellStyle name="40% - Accent1 2 2 2 2 5" xfId="23537"/>
    <cellStyle name="40% - Accent1 2 2 2 3" xfId="23538"/>
    <cellStyle name="40% - Accent1 2 2 2 3 2" xfId="23539"/>
    <cellStyle name="40% - Accent1 2 2 2 3 2 2" xfId="23540"/>
    <cellStyle name="40% - Accent1 2 2 2 3 2 2 2" xfId="23541"/>
    <cellStyle name="40% - Accent1 2 2 2 3 2 2 2 2" xfId="23542"/>
    <cellStyle name="40% - Accent1 2 2 2 3 2 2 3" xfId="23543"/>
    <cellStyle name="40% - Accent1 2 2 2 3 2 3" xfId="23544"/>
    <cellStyle name="40% - Accent1 2 2 2 3 2 3 2" xfId="23545"/>
    <cellStyle name="40% - Accent1 2 2 2 3 2 4" xfId="23546"/>
    <cellStyle name="40% - Accent1 2 2 2 3 3" xfId="23547"/>
    <cellStyle name="40% - Accent1 2 2 2 3 3 2" xfId="23548"/>
    <cellStyle name="40% - Accent1 2 2 2 3 3 2 2" xfId="23549"/>
    <cellStyle name="40% - Accent1 2 2 2 3 3 3" xfId="23550"/>
    <cellStyle name="40% - Accent1 2 2 2 3 4" xfId="23551"/>
    <cellStyle name="40% - Accent1 2 2 2 3 4 2" xfId="23552"/>
    <cellStyle name="40% - Accent1 2 2 2 3 5" xfId="23553"/>
    <cellStyle name="40% - Accent1 2 2 2 4" xfId="23554"/>
    <cellStyle name="40% - Accent1 2 2 2 4 2" xfId="23555"/>
    <cellStyle name="40% - Accent1 2 2 2 4 2 2" xfId="23556"/>
    <cellStyle name="40% - Accent1 2 2 2 4 2 2 2" xfId="23557"/>
    <cellStyle name="40% - Accent1 2 2 2 4 2 2 2 2" xfId="23558"/>
    <cellStyle name="40% - Accent1 2 2 2 4 2 2 3" xfId="23559"/>
    <cellStyle name="40% - Accent1 2 2 2 4 2 3" xfId="23560"/>
    <cellStyle name="40% - Accent1 2 2 2 4 2 3 2" xfId="23561"/>
    <cellStyle name="40% - Accent1 2 2 2 4 2 4" xfId="23562"/>
    <cellStyle name="40% - Accent1 2 2 2 4 3" xfId="23563"/>
    <cellStyle name="40% - Accent1 2 2 2 4 3 2" xfId="23564"/>
    <cellStyle name="40% - Accent1 2 2 2 4 3 2 2" xfId="23565"/>
    <cellStyle name="40% - Accent1 2 2 2 4 3 3" xfId="23566"/>
    <cellStyle name="40% - Accent1 2 2 2 4 4" xfId="23567"/>
    <cellStyle name="40% - Accent1 2 2 2 4 4 2" xfId="23568"/>
    <cellStyle name="40% - Accent1 2 2 2 4 5" xfId="23569"/>
    <cellStyle name="40% - Accent1 2 2 2 5" xfId="23570"/>
    <cellStyle name="40% - Accent1 2 2 2 5 2" xfId="23571"/>
    <cellStyle name="40% - Accent1 2 2 2 5 2 2" xfId="23572"/>
    <cellStyle name="40% - Accent1 2 2 2 5 2 2 2" xfId="23573"/>
    <cellStyle name="40% - Accent1 2 2 2 5 2 2 2 2" xfId="23574"/>
    <cellStyle name="40% - Accent1 2 2 2 5 2 2 3" xfId="23575"/>
    <cellStyle name="40% - Accent1 2 2 2 5 2 3" xfId="23576"/>
    <cellStyle name="40% - Accent1 2 2 2 5 2 3 2" xfId="23577"/>
    <cellStyle name="40% - Accent1 2 2 2 5 2 4" xfId="23578"/>
    <cellStyle name="40% - Accent1 2 2 2 5 3" xfId="23579"/>
    <cellStyle name="40% - Accent1 2 2 2 5 3 2" xfId="23580"/>
    <cellStyle name="40% - Accent1 2 2 2 5 3 2 2" xfId="23581"/>
    <cellStyle name="40% - Accent1 2 2 2 5 3 3" xfId="23582"/>
    <cellStyle name="40% - Accent1 2 2 2 5 4" xfId="23583"/>
    <cellStyle name="40% - Accent1 2 2 2 5 4 2" xfId="23584"/>
    <cellStyle name="40% - Accent1 2 2 2 5 5" xfId="23585"/>
    <cellStyle name="40% - Accent1 2 2 2 6" xfId="23586"/>
    <cellStyle name="40% - Accent1 2 2 2 6 2" xfId="23587"/>
    <cellStyle name="40% - Accent1 2 2 2 6 2 2" xfId="23588"/>
    <cellStyle name="40% - Accent1 2 2 2 6 2 2 2" xfId="23589"/>
    <cellStyle name="40% - Accent1 2 2 2 6 2 2 2 2" xfId="23590"/>
    <cellStyle name="40% - Accent1 2 2 2 6 2 2 3" xfId="23591"/>
    <cellStyle name="40% - Accent1 2 2 2 6 2 3" xfId="23592"/>
    <cellStyle name="40% - Accent1 2 2 2 6 2 3 2" xfId="23593"/>
    <cellStyle name="40% - Accent1 2 2 2 6 2 4" xfId="23594"/>
    <cellStyle name="40% - Accent1 2 2 2 6 3" xfId="23595"/>
    <cellStyle name="40% - Accent1 2 2 2 6 3 2" xfId="23596"/>
    <cellStyle name="40% - Accent1 2 2 2 6 3 2 2" xfId="23597"/>
    <cellStyle name="40% - Accent1 2 2 2 6 3 3" xfId="23598"/>
    <cellStyle name="40% - Accent1 2 2 2 6 4" xfId="23599"/>
    <cellStyle name="40% - Accent1 2 2 2 6 4 2" xfId="23600"/>
    <cellStyle name="40% - Accent1 2 2 2 6 5" xfId="23601"/>
    <cellStyle name="40% - Accent1 2 2 2 7" xfId="23602"/>
    <cellStyle name="40% - Accent1 2 2 2 7 2" xfId="23603"/>
    <cellStyle name="40% - Accent1 2 2 2 7 2 2" xfId="23604"/>
    <cellStyle name="40% - Accent1 2 2 2 7 2 2 2" xfId="23605"/>
    <cellStyle name="40% - Accent1 2 2 2 7 2 3" xfId="23606"/>
    <cellStyle name="40% - Accent1 2 2 2 7 3" xfId="23607"/>
    <cellStyle name="40% - Accent1 2 2 2 7 3 2" xfId="23608"/>
    <cellStyle name="40% - Accent1 2 2 2 7 4" xfId="23609"/>
    <cellStyle name="40% - Accent1 2 2 2 8" xfId="23610"/>
    <cellStyle name="40% - Accent1 2 2 2 8 2" xfId="23611"/>
    <cellStyle name="40% - Accent1 2 2 2 8 2 2" xfId="23612"/>
    <cellStyle name="40% - Accent1 2 2 2 8 3" xfId="23613"/>
    <cellStyle name="40% - Accent1 2 2 2 9" xfId="23614"/>
    <cellStyle name="40% - Accent1 2 2 2 9 2" xfId="23615"/>
    <cellStyle name="40% - Accent1 2 2 3" xfId="23616"/>
    <cellStyle name="40% - Accent1 2 2 3 2" xfId="23617"/>
    <cellStyle name="40% - Accent1 2 2 3 2 2" xfId="23618"/>
    <cellStyle name="40% - Accent1 2 2 3 2 2 2" xfId="23619"/>
    <cellStyle name="40% - Accent1 2 2 3 2 2 2 2" xfId="23620"/>
    <cellStyle name="40% - Accent1 2 2 3 2 2 3" xfId="23621"/>
    <cellStyle name="40% - Accent1 2 2 3 2 3" xfId="23622"/>
    <cellStyle name="40% - Accent1 2 2 3 2 3 2" xfId="23623"/>
    <cellStyle name="40% - Accent1 2 2 3 2 4" xfId="23624"/>
    <cellStyle name="40% - Accent1 2 2 3 3" xfId="23625"/>
    <cellStyle name="40% - Accent1 2 2 3 3 2" xfId="23626"/>
    <cellStyle name="40% - Accent1 2 2 3 3 2 2" xfId="23627"/>
    <cellStyle name="40% - Accent1 2 2 3 3 3" xfId="23628"/>
    <cellStyle name="40% - Accent1 2 2 3 4" xfId="23629"/>
    <cellStyle name="40% - Accent1 2 2 3 4 2" xfId="23630"/>
    <cellStyle name="40% - Accent1 2 2 3 5" xfId="23631"/>
    <cellStyle name="40% - Accent1 2 2 4" xfId="23632"/>
    <cellStyle name="40% - Accent1 2 2 4 2" xfId="23633"/>
    <cellStyle name="40% - Accent1 2 2 4 2 2" xfId="23634"/>
    <cellStyle name="40% - Accent1 2 2 4 2 2 2" xfId="23635"/>
    <cellStyle name="40% - Accent1 2 2 4 2 2 2 2" xfId="23636"/>
    <cellStyle name="40% - Accent1 2 2 4 2 2 3" xfId="23637"/>
    <cellStyle name="40% - Accent1 2 2 4 2 3" xfId="23638"/>
    <cellStyle name="40% - Accent1 2 2 4 2 3 2" xfId="23639"/>
    <cellStyle name="40% - Accent1 2 2 4 2 4" xfId="23640"/>
    <cellStyle name="40% - Accent1 2 2 4 3" xfId="23641"/>
    <cellStyle name="40% - Accent1 2 2 4 3 2" xfId="23642"/>
    <cellStyle name="40% - Accent1 2 2 4 3 2 2" xfId="23643"/>
    <cellStyle name="40% - Accent1 2 2 4 3 3" xfId="23644"/>
    <cellStyle name="40% - Accent1 2 2 4 4" xfId="23645"/>
    <cellStyle name="40% - Accent1 2 2 4 4 2" xfId="23646"/>
    <cellStyle name="40% - Accent1 2 2 4 5" xfId="23647"/>
    <cellStyle name="40% - Accent1 2 2 5" xfId="23648"/>
    <cellStyle name="40% - Accent1 2 2 5 2" xfId="23649"/>
    <cellStyle name="40% - Accent1 2 2 5 2 2" xfId="23650"/>
    <cellStyle name="40% - Accent1 2 2 5 2 2 2" xfId="23651"/>
    <cellStyle name="40% - Accent1 2 2 5 2 2 2 2" xfId="23652"/>
    <cellStyle name="40% - Accent1 2 2 5 2 2 3" xfId="23653"/>
    <cellStyle name="40% - Accent1 2 2 5 2 3" xfId="23654"/>
    <cellStyle name="40% - Accent1 2 2 5 2 3 2" xfId="23655"/>
    <cellStyle name="40% - Accent1 2 2 5 2 4" xfId="23656"/>
    <cellStyle name="40% - Accent1 2 2 5 3" xfId="23657"/>
    <cellStyle name="40% - Accent1 2 2 5 3 2" xfId="23658"/>
    <cellStyle name="40% - Accent1 2 2 5 3 2 2" xfId="23659"/>
    <cellStyle name="40% - Accent1 2 2 5 3 3" xfId="23660"/>
    <cellStyle name="40% - Accent1 2 2 5 4" xfId="23661"/>
    <cellStyle name="40% - Accent1 2 2 5 4 2" xfId="23662"/>
    <cellStyle name="40% - Accent1 2 2 5 5" xfId="23663"/>
    <cellStyle name="40% - Accent1 2 2 6" xfId="23664"/>
    <cellStyle name="40% - Accent1 2 2 6 2" xfId="23665"/>
    <cellStyle name="40% - Accent1 2 2 6 2 2" xfId="23666"/>
    <cellStyle name="40% - Accent1 2 2 6 2 2 2" xfId="23667"/>
    <cellStyle name="40% - Accent1 2 2 6 2 2 2 2" xfId="23668"/>
    <cellStyle name="40% - Accent1 2 2 6 2 2 3" xfId="23669"/>
    <cellStyle name="40% - Accent1 2 2 6 2 3" xfId="23670"/>
    <cellStyle name="40% - Accent1 2 2 6 2 3 2" xfId="23671"/>
    <cellStyle name="40% - Accent1 2 2 6 2 4" xfId="23672"/>
    <cellStyle name="40% - Accent1 2 2 6 3" xfId="23673"/>
    <cellStyle name="40% - Accent1 2 2 6 3 2" xfId="23674"/>
    <cellStyle name="40% - Accent1 2 2 6 3 2 2" xfId="23675"/>
    <cellStyle name="40% - Accent1 2 2 6 3 3" xfId="23676"/>
    <cellStyle name="40% - Accent1 2 2 6 4" xfId="23677"/>
    <cellStyle name="40% - Accent1 2 2 6 4 2" xfId="23678"/>
    <cellStyle name="40% - Accent1 2 2 6 5" xfId="23679"/>
    <cellStyle name="40% - Accent1 2 2 7" xfId="23680"/>
    <cellStyle name="40% - Accent1 2 2 7 2" xfId="23681"/>
    <cellStyle name="40% - Accent1 2 2 7 2 2" xfId="23682"/>
    <cellStyle name="40% - Accent1 2 2 7 2 2 2" xfId="23683"/>
    <cellStyle name="40% - Accent1 2 2 7 2 2 2 2" xfId="23684"/>
    <cellStyle name="40% - Accent1 2 2 7 2 2 3" xfId="23685"/>
    <cellStyle name="40% - Accent1 2 2 7 2 3" xfId="23686"/>
    <cellStyle name="40% - Accent1 2 2 7 2 3 2" xfId="23687"/>
    <cellStyle name="40% - Accent1 2 2 7 2 4" xfId="23688"/>
    <cellStyle name="40% - Accent1 2 2 7 3" xfId="23689"/>
    <cellStyle name="40% - Accent1 2 2 7 3 2" xfId="23690"/>
    <cellStyle name="40% - Accent1 2 2 7 3 2 2" xfId="23691"/>
    <cellStyle name="40% - Accent1 2 2 7 3 3" xfId="23692"/>
    <cellStyle name="40% - Accent1 2 2 7 4" xfId="23693"/>
    <cellStyle name="40% - Accent1 2 2 7 4 2" xfId="23694"/>
    <cellStyle name="40% - Accent1 2 2 7 5" xfId="23695"/>
    <cellStyle name="40% - Accent1 2 2 8" xfId="23696"/>
    <cellStyle name="40% - Accent1 2 2 8 2" xfId="23697"/>
    <cellStyle name="40% - Accent1 2 2 8 2 2" xfId="23698"/>
    <cellStyle name="40% - Accent1 2 2 8 2 2 2" xfId="23699"/>
    <cellStyle name="40% - Accent1 2 2 8 2 3" xfId="23700"/>
    <cellStyle name="40% - Accent1 2 2 8 3" xfId="23701"/>
    <cellStyle name="40% - Accent1 2 2 8 3 2" xfId="23702"/>
    <cellStyle name="40% - Accent1 2 2 8 4" xfId="23703"/>
    <cellStyle name="40% - Accent1 2 2 9" xfId="23704"/>
    <cellStyle name="40% - Accent1 2 2 9 2" xfId="23705"/>
    <cellStyle name="40% - Accent1 2 2 9 2 2" xfId="23706"/>
    <cellStyle name="40% - Accent1 2 2 9 3" xfId="23707"/>
    <cellStyle name="40% - Accent1 2 3" xfId="23708"/>
    <cellStyle name="40% - Accent1 2 3 10" xfId="23709"/>
    <cellStyle name="40% - Accent1 2 3 10 2" xfId="23710"/>
    <cellStyle name="40% - Accent1 2 3 11" xfId="23711"/>
    <cellStyle name="40% - Accent1 2 3 2" xfId="23712"/>
    <cellStyle name="40% - Accent1 2 3 2 10" xfId="23713"/>
    <cellStyle name="40% - Accent1 2 3 2 2" xfId="23714"/>
    <cellStyle name="40% - Accent1 2 3 2 2 2" xfId="23715"/>
    <cellStyle name="40% - Accent1 2 3 2 2 2 2" xfId="23716"/>
    <cellStyle name="40% - Accent1 2 3 2 2 2 2 2" xfId="23717"/>
    <cellStyle name="40% - Accent1 2 3 2 2 2 2 2 2" xfId="23718"/>
    <cellStyle name="40% - Accent1 2 3 2 2 2 2 3" xfId="23719"/>
    <cellStyle name="40% - Accent1 2 3 2 2 2 3" xfId="23720"/>
    <cellStyle name="40% - Accent1 2 3 2 2 2 3 2" xfId="23721"/>
    <cellStyle name="40% - Accent1 2 3 2 2 2 4" xfId="23722"/>
    <cellStyle name="40% - Accent1 2 3 2 2 3" xfId="23723"/>
    <cellStyle name="40% - Accent1 2 3 2 2 3 2" xfId="23724"/>
    <cellStyle name="40% - Accent1 2 3 2 2 3 2 2" xfId="23725"/>
    <cellStyle name="40% - Accent1 2 3 2 2 3 3" xfId="23726"/>
    <cellStyle name="40% - Accent1 2 3 2 2 4" xfId="23727"/>
    <cellStyle name="40% - Accent1 2 3 2 2 4 2" xfId="23728"/>
    <cellStyle name="40% - Accent1 2 3 2 2 5" xfId="23729"/>
    <cellStyle name="40% - Accent1 2 3 2 3" xfId="23730"/>
    <cellStyle name="40% - Accent1 2 3 2 3 2" xfId="23731"/>
    <cellStyle name="40% - Accent1 2 3 2 3 2 2" xfId="23732"/>
    <cellStyle name="40% - Accent1 2 3 2 3 2 2 2" xfId="23733"/>
    <cellStyle name="40% - Accent1 2 3 2 3 2 2 2 2" xfId="23734"/>
    <cellStyle name="40% - Accent1 2 3 2 3 2 2 3" xfId="23735"/>
    <cellStyle name="40% - Accent1 2 3 2 3 2 3" xfId="23736"/>
    <cellStyle name="40% - Accent1 2 3 2 3 2 3 2" xfId="23737"/>
    <cellStyle name="40% - Accent1 2 3 2 3 2 4" xfId="23738"/>
    <cellStyle name="40% - Accent1 2 3 2 3 3" xfId="23739"/>
    <cellStyle name="40% - Accent1 2 3 2 3 3 2" xfId="23740"/>
    <cellStyle name="40% - Accent1 2 3 2 3 3 2 2" xfId="23741"/>
    <cellStyle name="40% - Accent1 2 3 2 3 3 3" xfId="23742"/>
    <cellStyle name="40% - Accent1 2 3 2 3 4" xfId="23743"/>
    <cellStyle name="40% - Accent1 2 3 2 3 4 2" xfId="23744"/>
    <cellStyle name="40% - Accent1 2 3 2 3 5" xfId="23745"/>
    <cellStyle name="40% - Accent1 2 3 2 4" xfId="23746"/>
    <cellStyle name="40% - Accent1 2 3 2 4 2" xfId="23747"/>
    <cellStyle name="40% - Accent1 2 3 2 4 2 2" xfId="23748"/>
    <cellStyle name="40% - Accent1 2 3 2 4 2 2 2" xfId="23749"/>
    <cellStyle name="40% - Accent1 2 3 2 4 2 2 2 2" xfId="23750"/>
    <cellStyle name="40% - Accent1 2 3 2 4 2 2 3" xfId="23751"/>
    <cellStyle name="40% - Accent1 2 3 2 4 2 3" xfId="23752"/>
    <cellStyle name="40% - Accent1 2 3 2 4 2 3 2" xfId="23753"/>
    <cellStyle name="40% - Accent1 2 3 2 4 2 4" xfId="23754"/>
    <cellStyle name="40% - Accent1 2 3 2 4 3" xfId="23755"/>
    <cellStyle name="40% - Accent1 2 3 2 4 3 2" xfId="23756"/>
    <cellStyle name="40% - Accent1 2 3 2 4 3 2 2" xfId="23757"/>
    <cellStyle name="40% - Accent1 2 3 2 4 3 3" xfId="23758"/>
    <cellStyle name="40% - Accent1 2 3 2 4 4" xfId="23759"/>
    <cellStyle name="40% - Accent1 2 3 2 4 4 2" xfId="23760"/>
    <cellStyle name="40% - Accent1 2 3 2 4 5" xfId="23761"/>
    <cellStyle name="40% - Accent1 2 3 2 5" xfId="23762"/>
    <cellStyle name="40% - Accent1 2 3 2 5 2" xfId="23763"/>
    <cellStyle name="40% - Accent1 2 3 2 5 2 2" xfId="23764"/>
    <cellStyle name="40% - Accent1 2 3 2 5 2 2 2" xfId="23765"/>
    <cellStyle name="40% - Accent1 2 3 2 5 2 2 2 2" xfId="23766"/>
    <cellStyle name="40% - Accent1 2 3 2 5 2 2 3" xfId="23767"/>
    <cellStyle name="40% - Accent1 2 3 2 5 2 3" xfId="23768"/>
    <cellStyle name="40% - Accent1 2 3 2 5 2 3 2" xfId="23769"/>
    <cellStyle name="40% - Accent1 2 3 2 5 2 4" xfId="23770"/>
    <cellStyle name="40% - Accent1 2 3 2 5 3" xfId="23771"/>
    <cellStyle name="40% - Accent1 2 3 2 5 3 2" xfId="23772"/>
    <cellStyle name="40% - Accent1 2 3 2 5 3 2 2" xfId="23773"/>
    <cellStyle name="40% - Accent1 2 3 2 5 3 3" xfId="23774"/>
    <cellStyle name="40% - Accent1 2 3 2 5 4" xfId="23775"/>
    <cellStyle name="40% - Accent1 2 3 2 5 4 2" xfId="23776"/>
    <cellStyle name="40% - Accent1 2 3 2 5 5" xfId="23777"/>
    <cellStyle name="40% - Accent1 2 3 2 6" xfId="23778"/>
    <cellStyle name="40% - Accent1 2 3 2 6 2" xfId="23779"/>
    <cellStyle name="40% - Accent1 2 3 2 6 2 2" xfId="23780"/>
    <cellStyle name="40% - Accent1 2 3 2 6 2 2 2" xfId="23781"/>
    <cellStyle name="40% - Accent1 2 3 2 6 2 2 2 2" xfId="23782"/>
    <cellStyle name="40% - Accent1 2 3 2 6 2 2 3" xfId="23783"/>
    <cellStyle name="40% - Accent1 2 3 2 6 2 3" xfId="23784"/>
    <cellStyle name="40% - Accent1 2 3 2 6 2 3 2" xfId="23785"/>
    <cellStyle name="40% - Accent1 2 3 2 6 2 4" xfId="23786"/>
    <cellStyle name="40% - Accent1 2 3 2 6 3" xfId="23787"/>
    <cellStyle name="40% - Accent1 2 3 2 6 3 2" xfId="23788"/>
    <cellStyle name="40% - Accent1 2 3 2 6 3 2 2" xfId="23789"/>
    <cellStyle name="40% - Accent1 2 3 2 6 3 3" xfId="23790"/>
    <cellStyle name="40% - Accent1 2 3 2 6 4" xfId="23791"/>
    <cellStyle name="40% - Accent1 2 3 2 6 4 2" xfId="23792"/>
    <cellStyle name="40% - Accent1 2 3 2 6 5" xfId="23793"/>
    <cellStyle name="40% - Accent1 2 3 2 7" xfId="23794"/>
    <cellStyle name="40% - Accent1 2 3 2 7 2" xfId="23795"/>
    <cellStyle name="40% - Accent1 2 3 2 7 2 2" xfId="23796"/>
    <cellStyle name="40% - Accent1 2 3 2 7 2 2 2" xfId="23797"/>
    <cellStyle name="40% - Accent1 2 3 2 7 2 3" xfId="23798"/>
    <cellStyle name="40% - Accent1 2 3 2 7 3" xfId="23799"/>
    <cellStyle name="40% - Accent1 2 3 2 7 3 2" xfId="23800"/>
    <cellStyle name="40% - Accent1 2 3 2 7 4" xfId="23801"/>
    <cellStyle name="40% - Accent1 2 3 2 8" xfId="23802"/>
    <cellStyle name="40% - Accent1 2 3 2 8 2" xfId="23803"/>
    <cellStyle name="40% - Accent1 2 3 2 8 2 2" xfId="23804"/>
    <cellStyle name="40% - Accent1 2 3 2 8 3" xfId="23805"/>
    <cellStyle name="40% - Accent1 2 3 2 9" xfId="23806"/>
    <cellStyle name="40% - Accent1 2 3 2 9 2" xfId="23807"/>
    <cellStyle name="40% - Accent1 2 3 3" xfId="23808"/>
    <cellStyle name="40% - Accent1 2 3 3 2" xfId="23809"/>
    <cellStyle name="40% - Accent1 2 3 3 2 2" xfId="23810"/>
    <cellStyle name="40% - Accent1 2 3 3 2 2 2" xfId="23811"/>
    <cellStyle name="40% - Accent1 2 3 3 2 2 2 2" xfId="23812"/>
    <cellStyle name="40% - Accent1 2 3 3 2 2 3" xfId="23813"/>
    <cellStyle name="40% - Accent1 2 3 3 2 3" xfId="23814"/>
    <cellStyle name="40% - Accent1 2 3 3 2 3 2" xfId="23815"/>
    <cellStyle name="40% - Accent1 2 3 3 2 4" xfId="23816"/>
    <cellStyle name="40% - Accent1 2 3 3 3" xfId="23817"/>
    <cellStyle name="40% - Accent1 2 3 3 3 2" xfId="23818"/>
    <cellStyle name="40% - Accent1 2 3 3 3 2 2" xfId="23819"/>
    <cellStyle name="40% - Accent1 2 3 3 3 3" xfId="23820"/>
    <cellStyle name="40% - Accent1 2 3 3 4" xfId="23821"/>
    <cellStyle name="40% - Accent1 2 3 3 4 2" xfId="23822"/>
    <cellStyle name="40% - Accent1 2 3 3 5" xfId="23823"/>
    <cellStyle name="40% - Accent1 2 3 4" xfId="23824"/>
    <cellStyle name="40% - Accent1 2 3 4 2" xfId="23825"/>
    <cellStyle name="40% - Accent1 2 3 4 2 2" xfId="23826"/>
    <cellStyle name="40% - Accent1 2 3 4 2 2 2" xfId="23827"/>
    <cellStyle name="40% - Accent1 2 3 4 2 2 2 2" xfId="23828"/>
    <cellStyle name="40% - Accent1 2 3 4 2 2 3" xfId="23829"/>
    <cellStyle name="40% - Accent1 2 3 4 2 3" xfId="23830"/>
    <cellStyle name="40% - Accent1 2 3 4 2 3 2" xfId="23831"/>
    <cellStyle name="40% - Accent1 2 3 4 2 4" xfId="23832"/>
    <cellStyle name="40% - Accent1 2 3 4 3" xfId="23833"/>
    <cellStyle name="40% - Accent1 2 3 4 3 2" xfId="23834"/>
    <cellStyle name="40% - Accent1 2 3 4 3 2 2" xfId="23835"/>
    <cellStyle name="40% - Accent1 2 3 4 3 3" xfId="23836"/>
    <cellStyle name="40% - Accent1 2 3 4 4" xfId="23837"/>
    <cellStyle name="40% - Accent1 2 3 4 4 2" xfId="23838"/>
    <cellStyle name="40% - Accent1 2 3 4 5" xfId="23839"/>
    <cellStyle name="40% - Accent1 2 3 5" xfId="23840"/>
    <cellStyle name="40% - Accent1 2 3 5 2" xfId="23841"/>
    <cellStyle name="40% - Accent1 2 3 5 2 2" xfId="23842"/>
    <cellStyle name="40% - Accent1 2 3 5 2 2 2" xfId="23843"/>
    <cellStyle name="40% - Accent1 2 3 5 2 2 2 2" xfId="23844"/>
    <cellStyle name="40% - Accent1 2 3 5 2 2 3" xfId="23845"/>
    <cellStyle name="40% - Accent1 2 3 5 2 3" xfId="23846"/>
    <cellStyle name="40% - Accent1 2 3 5 2 3 2" xfId="23847"/>
    <cellStyle name="40% - Accent1 2 3 5 2 4" xfId="23848"/>
    <cellStyle name="40% - Accent1 2 3 5 3" xfId="23849"/>
    <cellStyle name="40% - Accent1 2 3 5 3 2" xfId="23850"/>
    <cellStyle name="40% - Accent1 2 3 5 3 2 2" xfId="23851"/>
    <cellStyle name="40% - Accent1 2 3 5 3 3" xfId="23852"/>
    <cellStyle name="40% - Accent1 2 3 5 4" xfId="23853"/>
    <cellStyle name="40% - Accent1 2 3 5 4 2" xfId="23854"/>
    <cellStyle name="40% - Accent1 2 3 5 5" xfId="23855"/>
    <cellStyle name="40% - Accent1 2 3 6" xfId="23856"/>
    <cellStyle name="40% - Accent1 2 3 6 2" xfId="23857"/>
    <cellStyle name="40% - Accent1 2 3 6 2 2" xfId="23858"/>
    <cellStyle name="40% - Accent1 2 3 6 2 2 2" xfId="23859"/>
    <cellStyle name="40% - Accent1 2 3 6 2 2 2 2" xfId="23860"/>
    <cellStyle name="40% - Accent1 2 3 6 2 2 3" xfId="23861"/>
    <cellStyle name="40% - Accent1 2 3 6 2 3" xfId="23862"/>
    <cellStyle name="40% - Accent1 2 3 6 2 3 2" xfId="23863"/>
    <cellStyle name="40% - Accent1 2 3 6 2 4" xfId="23864"/>
    <cellStyle name="40% - Accent1 2 3 6 3" xfId="23865"/>
    <cellStyle name="40% - Accent1 2 3 6 3 2" xfId="23866"/>
    <cellStyle name="40% - Accent1 2 3 6 3 2 2" xfId="23867"/>
    <cellStyle name="40% - Accent1 2 3 6 3 3" xfId="23868"/>
    <cellStyle name="40% - Accent1 2 3 6 4" xfId="23869"/>
    <cellStyle name="40% - Accent1 2 3 6 4 2" xfId="23870"/>
    <cellStyle name="40% - Accent1 2 3 6 5" xfId="23871"/>
    <cellStyle name="40% - Accent1 2 3 7" xfId="23872"/>
    <cellStyle name="40% - Accent1 2 3 7 2" xfId="23873"/>
    <cellStyle name="40% - Accent1 2 3 7 2 2" xfId="23874"/>
    <cellStyle name="40% - Accent1 2 3 7 2 2 2" xfId="23875"/>
    <cellStyle name="40% - Accent1 2 3 7 2 2 2 2" xfId="23876"/>
    <cellStyle name="40% - Accent1 2 3 7 2 2 3" xfId="23877"/>
    <cellStyle name="40% - Accent1 2 3 7 2 3" xfId="23878"/>
    <cellStyle name="40% - Accent1 2 3 7 2 3 2" xfId="23879"/>
    <cellStyle name="40% - Accent1 2 3 7 2 4" xfId="23880"/>
    <cellStyle name="40% - Accent1 2 3 7 3" xfId="23881"/>
    <cellStyle name="40% - Accent1 2 3 7 3 2" xfId="23882"/>
    <cellStyle name="40% - Accent1 2 3 7 3 2 2" xfId="23883"/>
    <cellStyle name="40% - Accent1 2 3 7 3 3" xfId="23884"/>
    <cellStyle name="40% - Accent1 2 3 7 4" xfId="23885"/>
    <cellStyle name="40% - Accent1 2 3 7 4 2" xfId="23886"/>
    <cellStyle name="40% - Accent1 2 3 7 5" xfId="23887"/>
    <cellStyle name="40% - Accent1 2 3 8" xfId="23888"/>
    <cellStyle name="40% - Accent1 2 3 8 2" xfId="23889"/>
    <cellStyle name="40% - Accent1 2 3 8 2 2" xfId="23890"/>
    <cellStyle name="40% - Accent1 2 3 8 2 2 2" xfId="23891"/>
    <cellStyle name="40% - Accent1 2 3 8 2 3" xfId="23892"/>
    <cellStyle name="40% - Accent1 2 3 8 3" xfId="23893"/>
    <cellStyle name="40% - Accent1 2 3 8 3 2" xfId="23894"/>
    <cellStyle name="40% - Accent1 2 3 8 4" xfId="23895"/>
    <cellStyle name="40% - Accent1 2 3 9" xfId="23896"/>
    <cellStyle name="40% - Accent1 2 3 9 2" xfId="23897"/>
    <cellStyle name="40% - Accent1 2 3 9 2 2" xfId="23898"/>
    <cellStyle name="40% - Accent1 2 3 9 3" xfId="23899"/>
    <cellStyle name="40% - Accent1 2 4" xfId="23900"/>
    <cellStyle name="40% - Accent1 2 4 10" xfId="23901"/>
    <cellStyle name="40% - Accent1 2 4 10 2" xfId="23902"/>
    <cellStyle name="40% - Accent1 2 4 11" xfId="23903"/>
    <cellStyle name="40% - Accent1 2 4 2" xfId="23904"/>
    <cellStyle name="40% - Accent1 2 4 2 10" xfId="23905"/>
    <cellStyle name="40% - Accent1 2 4 2 2" xfId="23906"/>
    <cellStyle name="40% - Accent1 2 4 2 2 2" xfId="23907"/>
    <cellStyle name="40% - Accent1 2 4 2 2 2 2" xfId="23908"/>
    <cellStyle name="40% - Accent1 2 4 2 2 2 2 2" xfId="23909"/>
    <cellStyle name="40% - Accent1 2 4 2 2 2 2 2 2" xfId="23910"/>
    <cellStyle name="40% - Accent1 2 4 2 2 2 2 3" xfId="23911"/>
    <cellStyle name="40% - Accent1 2 4 2 2 2 3" xfId="23912"/>
    <cellStyle name="40% - Accent1 2 4 2 2 2 3 2" xfId="23913"/>
    <cellStyle name="40% - Accent1 2 4 2 2 2 4" xfId="23914"/>
    <cellStyle name="40% - Accent1 2 4 2 2 3" xfId="23915"/>
    <cellStyle name="40% - Accent1 2 4 2 2 3 2" xfId="23916"/>
    <cellStyle name="40% - Accent1 2 4 2 2 3 2 2" xfId="23917"/>
    <cellStyle name="40% - Accent1 2 4 2 2 3 3" xfId="23918"/>
    <cellStyle name="40% - Accent1 2 4 2 2 4" xfId="23919"/>
    <cellStyle name="40% - Accent1 2 4 2 2 4 2" xfId="23920"/>
    <cellStyle name="40% - Accent1 2 4 2 2 5" xfId="23921"/>
    <cellStyle name="40% - Accent1 2 4 2 3" xfId="23922"/>
    <cellStyle name="40% - Accent1 2 4 2 3 2" xfId="23923"/>
    <cellStyle name="40% - Accent1 2 4 2 3 2 2" xfId="23924"/>
    <cellStyle name="40% - Accent1 2 4 2 3 2 2 2" xfId="23925"/>
    <cellStyle name="40% - Accent1 2 4 2 3 2 2 2 2" xfId="23926"/>
    <cellStyle name="40% - Accent1 2 4 2 3 2 2 3" xfId="23927"/>
    <cellStyle name="40% - Accent1 2 4 2 3 2 3" xfId="23928"/>
    <cellStyle name="40% - Accent1 2 4 2 3 2 3 2" xfId="23929"/>
    <cellStyle name="40% - Accent1 2 4 2 3 2 4" xfId="23930"/>
    <cellStyle name="40% - Accent1 2 4 2 3 3" xfId="23931"/>
    <cellStyle name="40% - Accent1 2 4 2 3 3 2" xfId="23932"/>
    <cellStyle name="40% - Accent1 2 4 2 3 3 2 2" xfId="23933"/>
    <cellStyle name="40% - Accent1 2 4 2 3 3 3" xfId="23934"/>
    <cellStyle name="40% - Accent1 2 4 2 3 4" xfId="23935"/>
    <cellStyle name="40% - Accent1 2 4 2 3 4 2" xfId="23936"/>
    <cellStyle name="40% - Accent1 2 4 2 3 5" xfId="23937"/>
    <cellStyle name="40% - Accent1 2 4 2 4" xfId="23938"/>
    <cellStyle name="40% - Accent1 2 4 2 4 2" xfId="23939"/>
    <cellStyle name="40% - Accent1 2 4 2 4 2 2" xfId="23940"/>
    <cellStyle name="40% - Accent1 2 4 2 4 2 2 2" xfId="23941"/>
    <cellStyle name="40% - Accent1 2 4 2 4 2 2 2 2" xfId="23942"/>
    <cellStyle name="40% - Accent1 2 4 2 4 2 2 3" xfId="23943"/>
    <cellStyle name="40% - Accent1 2 4 2 4 2 3" xfId="23944"/>
    <cellStyle name="40% - Accent1 2 4 2 4 2 3 2" xfId="23945"/>
    <cellStyle name="40% - Accent1 2 4 2 4 2 4" xfId="23946"/>
    <cellStyle name="40% - Accent1 2 4 2 4 3" xfId="23947"/>
    <cellStyle name="40% - Accent1 2 4 2 4 3 2" xfId="23948"/>
    <cellStyle name="40% - Accent1 2 4 2 4 3 2 2" xfId="23949"/>
    <cellStyle name="40% - Accent1 2 4 2 4 3 3" xfId="23950"/>
    <cellStyle name="40% - Accent1 2 4 2 4 4" xfId="23951"/>
    <cellStyle name="40% - Accent1 2 4 2 4 4 2" xfId="23952"/>
    <cellStyle name="40% - Accent1 2 4 2 4 5" xfId="23953"/>
    <cellStyle name="40% - Accent1 2 4 2 5" xfId="23954"/>
    <cellStyle name="40% - Accent1 2 4 2 5 2" xfId="23955"/>
    <cellStyle name="40% - Accent1 2 4 2 5 2 2" xfId="23956"/>
    <cellStyle name="40% - Accent1 2 4 2 5 2 2 2" xfId="23957"/>
    <cellStyle name="40% - Accent1 2 4 2 5 2 2 2 2" xfId="23958"/>
    <cellStyle name="40% - Accent1 2 4 2 5 2 2 3" xfId="23959"/>
    <cellStyle name="40% - Accent1 2 4 2 5 2 3" xfId="23960"/>
    <cellStyle name="40% - Accent1 2 4 2 5 2 3 2" xfId="23961"/>
    <cellStyle name="40% - Accent1 2 4 2 5 2 4" xfId="23962"/>
    <cellStyle name="40% - Accent1 2 4 2 5 3" xfId="23963"/>
    <cellStyle name="40% - Accent1 2 4 2 5 3 2" xfId="23964"/>
    <cellStyle name="40% - Accent1 2 4 2 5 3 2 2" xfId="23965"/>
    <cellStyle name="40% - Accent1 2 4 2 5 3 3" xfId="23966"/>
    <cellStyle name="40% - Accent1 2 4 2 5 4" xfId="23967"/>
    <cellStyle name="40% - Accent1 2 4 2 5 4 2" xfId="23968"/>
    <cellStyle name="40% - Accent1 2 4 2 5 5" xfId="23969"/>
    <cellStyle name="40% - Accent1 2 4 2 6" xfId="23970"/>
    <cellStyle name="40% - Accent1 2 4 2 6 2" xfId="23971"/>
    <cellStyle name="40% - Accent1 2 4 2 6 2 2" xfId="23972"/>
    <cellStyle name="40% - Accent1 2 4 2 6 2 2 2" xfId="23973"/>
    <cellStyle name="40% - Accent1 2 4 2 6 2 2 2 2" xfId="23974"/>
    <cellStyle name="40% - Accent1 2 4 2 6 2 2 3" xfId="23975"/>
    <cellStyle name="40% - Accent1 2 4 2 6 2 3" xfId="23976"/>
    <cellStyle name="40% - Accent1 2 4 2 6 2 3 2" xfId="23977"/>
    <cellStyle name="40% - Accent1 2 4 2 6 2 4" xfId="23978"/>
    <cellStyle name="40% - Accent1 2 4 2 6 3" xfId="23979"/>
    <cellStyle name="40% - Accent1 2 4 2 6 3 2" xfId="23980"/>
    <cellStyle name="40% - Accent1 2 4 2 6 3 2 2" xfId="23981"/>
    <cellStyle name="40% - Accent1 2 4 2 6 3 3" xfId="23982"/>
    <cellStyle name="40% - Accent1 2 4 2 6 4" xfId="23983"/>
    <cellStyle name="40% - Accent1 2 4 2 6 4 2" xfId="23984"/>
    <cellStyle name="40% - Accent1 2 4 2 6 5" xfId="23985"/>
    <cellStyle name="40% - Accent1 2 4 2 7" xfId="23986"/>
    <cellStyle name="40% - Accent1 2 4 2 7 2" xfId="23987"/>
    <cellStyle name="40% - Accent1 2 4 2 7 2 2" xfId="23988"/>
    <cellStyle name="40% - Accent1 2 4 2 7 2 2 2" xfId="23989"/>
    <cellStyle name="40% - Accent1 2 4 2 7 2 3" xfId="23990"/>
    <cellStyle name="40% - Accent1 2 4 2 7 3" xfId="23991"/>
    <cellStyle name="40% - Accent1 2 4 2 7 3 2" xfId="23992"/>
    <cellStyle name="40% - Accent1 2 4 2 7 4" xfId="23993"/>
    <cellStyle name="40% - Accent1 2 4 2 8" xfId="23994"/>
    <cellStyle name="40% - Accent1 2 4 2 8 2" xfId="23995"/>
    <cellStyle name="40% - Accent1 2 4 2 8 2 2" xfId="23996"/>
    <cellStyle name="40% - Accent1 2 4 2 8 3" xfId="23997"/>
    <cellStyle name="40% - Accent1 2 4 2 9" xfId="23998"/>
    <cellStyle name="40% - Accent1 2 4 2 9 2" xfId="23999"/>
    <cellStyle name="40% - Accent1 2 4 3" xfId="24000"/>
    <cellStyle name="40% - Accent1 2 4 3 2" xfId="24001"/>
    <cellStyle name="40% - Accent1 2 4 3 2 2" xfId="24002"/>
    <cellStyle name="40% - Accent1 2 4 3 2 2 2" xfId="24003"/>
    <cellStyle name="40% - Accent1 2 4 3 2 2 2 2" xfId="24004"/>
    <cellStyle name="40% - Accent1 2 4 3 2 2 3" xfId="24005"/>
    <cellStyle name="40% - Accent1 2 4 3 2 3" xfId="24006"/>
    <cellStyle name="40% - Accent1 2 4 3 2 3 2" xfId="24007"/>
    <cellStyle name="40% - Accent1 2 4 3 2 4" xfId="24008"/>
    <cellStyle name="40% - Accent1 2 4 3 3" xfId="24009"/>
    <cellStyle name="40% - Accent1 2 4 3 3 2" xfId="24010"/>
    <cellStyle name="40% - Accent1 2 4 3 3 2 2" xfId="24011"/>
    <cellStyle name="40% - Accent1 2 4 3 3 3" xfId="24012"/>
    <cellStyle name="40% - Accent1 2 4 3 4" xfId="24013"/>
    <cellStyle name="40% - Accent1 2 4 3 4 2" xfId="24014"/>
    <cellStyle name="40% - Accent1 2 4 3 5" xfId="24015"/>
    <cellStyle name="40% - Accent1 2 4 4" xfId="24016"/>
    <cellStyle name="40% - Accent1 2 4 4 2" xfId="24017"/>
    <cellStyle name="40% - Accent1 2 4 4 2 2" xfId="24018"/>
    <cellStyle name="40% - Accent1 2 4 4 2 2 2" xfId="24019"/>
    <cellStyle name="40% - Accent1 2 4 4 2 2 2 2" xfId="24020"/>
    <cellStyle name="40% - Accent1 2 4 4 2 2 3" xfId="24021"/>
    <cellStyle name="40% - Accent1 2 4 4 2 3" xfId="24022"/>
    <cellStyle name="40% - Accent1 2 4 4 2 3 2" xfId="24023"/>
    <cellStyle name="40% - Accent1 2 4 4 2 4" xfId="24024"/>
    <cellStyle name="40% - Accent1 2 4 4 3" xfId="24025"/>
    <cellStyle name="40% - Accent1 2 4 4 3 2" xfId="24026"/>
    <cellStyle name="40% - Accent1 2 4 4 3 2 2" xfId="24027"/>
    <cellStyle name="40% - Accent1 2 4 4 3 3" xfId="24028"/>
    <cellStyle name="40% - Accent1 2 4 4 4" xfId="24029"/>
    <cellStyle name="40% - Accent1 2 4 4 4 2" xfId="24030"/>
    <cellStyle name="40% - Accent1 2 4 4 5" xfId="24031"/>
    <cellStyle name="40% - Accent1 2 4 5" xfId="24032"/>
    <cellStyle name="40% - Accent1 2 4 5 2" xfId="24033"/>
    <cellStyle name="40% - Accent1 2 4 5 2 2" xfId="24034"/>
    <cellStyle name="40% - Accent1 2 4 5 2 2 2" xfId="24035"/>
    <cellStyle name="40% - Accent1 2 4 5 2 2 2 2" xfId="24036"/>
    <cellStyle name="40% - Accent1 2 4 5 2 2 3" xfId="24037"/>
    <cellStyle name="40% - Accent1 2 4 5 2 3" xfId="24038"/>
    <cellStyle name="40% - Accent1 2 4 5 2 3 2" xfId="24039"/>
    <cellStyle name="40% - Accent1 2 4 5 2 4" xfId="24040"/>
    <cellStyle name="40% - Accent1 2 4 5 3" xfId="24041"/>
    <cellStyle name="40% - Accent1 2 4 5 3 2" xfId="24042"/>
    <cellStyle name="40% - Accent1 2 4 5 3 2 2" xfId="24043"/>
    <cellStyle name="40% - Accent1 2 4 5 3 3" xfId="24044"/>
    <cellStyle name="40% - Accent1 2 4 5 4" xfId="24045"/>
    <cellStyle name="40% - Accent1 2 4 5 4 2" xfId="24046"/>
    <cellStyle name="40% - Accent1 2 4 5 5" xfId="24047"/>
    <cellStyle name="40% - Accent1 2 4 6" xfId="24048"/>
    <cellStyle name="40% - Accent1 2 4 6 2" xfId="24049"/>
    <cellStyle name="40% - Accent1 2 4 6 2 2" xfId="24050"/>
    <cellStyle name="40% - Accent1 2 4 6 2 2 2" xfId="24051"/>
    <cellStyle name="40% - Accent1 2 4 6 2 2 2 2" xfId="24052"/>
    <cellStyle name="40% - Accent1 2 4 6 2 2 3" xfId="24053"/>
    <cellStyle name="40% - Accent1 2 4 6 2 3" xfId="24054"/>
    <cellStyle name="40% - Accent1 2 4 6 2 3 2" xfId="24055"/>
    <cellStyle name="40% - Accent1 2 4 6 2 4" xfId="24056"/>
    <cellStyle name="40% - Accent1 2 4 6 3" xfId="24057"/>
    <cellStyle name="40% - Accent1 2 4 6 3 2" xfId="24058"/>
    <cellStyle name="40% - Accent1 2 4 6 3 2 2" xfId="24059"/>
    <cellStyle name="40% - Accent1 2 4 6 3 3" xfId="24060"/>
    <cellStyle name="40% - Accent1 2 4 6 4" xfId="24061"/>
    <cellStyle name="40% - Accent1 2 4 6 4 2" xfId="24062"/>
    <cellStyle name="40% - Accent1 2 4 6 5" xfId="24063"/>
    <cellStyle name="40% - Accent1 2 4 7" xfId="24064"/>
    <cellStyle name="40% - Accent1 2 4 7 2" xfId="24065"/>
    <cellStyle name="40% - Accent1 2 4 7 2 2" xfId="24066"/>
    <cellStyle name="40% - Accent1 2 4 7 2 2 2" xfId="24067"/>
    <cellStyle name="40% - Accent1 2 4 7 2 2 2 2" xfId="24068"/>
    <cellStyle name="40% - Accent1 2 4 7 2 2 3" xfId="24069"/>
    <cellStyle name="40% - Accent1 2 4 7 2 3" xfId="24070"/>
    <cellStyle name="40% - Accent1 2 4 7 2 3 2" xfId="24071"/>
    <cellStyle name="40% - Accent1 2 4 7 2 4" xfId="24072"/>
    <cellStyle name="40% - Accent1 2 4 7 3" xfId="24073"/>
    <cellStyle name="40% - Accent1 2 4 7 3 2" xfId="24074"/>
    <cellStyle name="40% - Accent1 2 4 7 3 2 2" xfId="24075"/>
    <cellStyle name="40% - Accent1 2 4 7 3 3" xfId="24076"/>
    <cellStyle name="40% - Accent1 2 4 7 4" xfId="24077"/>
    <cellStyle name="40% - Accent1 2 4 7 4 2" xfId="24078"/>
    <cellStyle name="40% - Accent1 2 4 7 5" xfId="24079"/>
    <cellStyle name="40% - Accent1 2 4 8" xfId="24080"/>
    <cellStyle name="40% - Accent1 2 4 8 2" xfId="24081"/>
    <cellStyle name="40% - Accent1 2 4 8 2 2" xfId="24082"/>
    <cellStyle name="40% - Accent1 2 4 8 2 2 2" xfId="24083"/>
    <cellStyle name="40% - Accent1 2 4 8 2 3" xfId="24084"/>
    <cellStyle name="40% - Accent1 2 4 8 3" xfId="24085"/>
    <cellStyle name="40% - Accent1 2 4 8 3 2" xfId="24086"/>
    <cellStyle name="40% - Accent1 2 4 8 4" xfId="24087"/>
    <cellStyle name="40% - Accent1 2 4 9" xfId="24088"/>
    <cellStyle name="40% - Accent1 2 4 9 2" xfId="24089"/>
    <cellStyle name="40% - Accent1 2 4 9 2 2" xfId="24090"/>
    <cellStyle name="40% - Accent1 2 4 9 3" xfId="24091"/>
    <cellStyle name="40% - Accent1 2 5" xfId="24092"/>
    <cellStyle name="40% - Accent1 2 5 10" xfId="24093"/>
    <cellStyle name="40% - Accent1 2 5 10 2" xfId="24094"/>
    <cellStyle name="40% - Accent1 2 5 11" xfId="24095"/>
    <cellStyle name="40% - Accent1 2 5 2" xfId="24096"/>
    <cellStyle name="40% - Accent1 2 5 2 10" xfId="24097"/>
    <cellStyle name="40% - Accent1 2 5 2 2" xfId="24098"/>
    <cellStyle name="40% - Accent1 2 5 2 2 2" xfId="24099"/>
    <cellStyle name="40% - Accent1 2 5 2 2 2 2" xfId="24100"/>
    <cellStyle name="40% - Accent1 2 5 2 2 2 2 2" xfId="24101"/>
    <cellStyle name="40% - Accent1 2 5 2 2 2 2 2 2" xfId="24102"/>
    <cellStyle name="40% - Accent1 2 5 2 2 2 2 3" xfId="24103"/>
    <cellStyle name="40% - Accent1 2 5 2 2 2 3" xfId="24104"/>
    <cellStyle name="40% - Accent1 2 5 2 2 2 3 2" xfId="24105"/>
    <cellStyle name="40% - Accent1 2 5 2 2 2 4" xfId="24106"/>
    <cellStyle name="40% - Accent1 2 5 2 2 3" xfId="24107"/>
    <cellStyle name="40% - Accent1 2 5 2 2 3 2" xfId="24108"/>
    <cellStyle name="40% - Accent1 2 5 2 2 3 2 2" xfId="24109"/>
    <cellStyle name="40% - Accent1 2 5 2 2 3 3" xfId="24110"/>
    <cellStyle name="40% - Accent1 2 5 2 2 4" xfId="24111"/>
    <cellStyle name="40% - Accent1 2 5 2 2 4 2" xfId="24112"/>
    <cellStyle name="40% - Accent1 2 5 2 2 5" xfId="24113"/>
    <cellStyle name="40% - Accent1 2 5 2 3" xfId="24114"/>
    <cellStyle name="40% - Accent1 2 5 2 3 2" xfId="24115"/>
    <cellStyle name="40% - Accent1 2 5 2 3 2 2" xfId="24116"/>
    <cellStyle name="40% - Accent1 2 5 2 3 2 2 2" xfId="24117"/>
    <cellStyle name="40% - Accent1 2 5 2 3 2 2 2 2" xfId="24118"/>
    <cellStyle name="40% - Accent1 2 5 2 3 2 2 3" xfId="24119"/>
    <cellStyle name="40% - Accent1 2 5 2 3 2 3" xfId="24120"/>
    <cellStyle name="40% - Accent1 2 5 2 3 2 3 2" xfId="24121"/>
    <cellStyle name="40% - Accent1 2 5 2 3 2 4" xfId="24122"/>
    <cellStyle name="40% - Accent1 2 5 2 3 3" xfId="24123"/>
    <cellStyle name="40% - Accent1 2 5 2 3 3 2" xfId="24124"/>
    <cellStyle name="40% - Accent1 2 5 2 3 3 2 2" xfId="24125"/>
    <cellStyle name="40% - Accent1 2 5 2 3 3 3" xfId="24126"/>
    <cellStyle name="40% - Accent1 2 5 2 3 4" xfId="24127"/>
    <cellStyle name="40% - Accent1 2 5 2 3 4 2" xfId="24128"/>
    <cellStyle name="40% - Accent1 2 5 2 3 5" xfId="24129"/>
    <cellStyle name="40% - Accent1 2 5 2 4" xfId="24130"/>
    <cellStyle name="40% - Accent1 2 5 2 4 2" xfId="24131"/>
    <cellStyle name="40% - Accent1 2 5 2 4 2 2" xfId="24132"/>
    <cellStyle name="40% - Accent1 2 5 2 4 2 2 2" xfId="24133"/>
    <cellStyle name="40% - Accent1 2 5 2 4 2 2 2 2" xfId="24134"/>
    <cellStyle name="40% - Accent1 2 5 2 4 2 2 3" xfId="24135"/>
    <cellStyle name="40% - Accent1 2 5 2 4 2 3" xfId="24136"/>
    <cellStyle name="40% - Accent1 2 5 2 4 2 3 2" xfId="24137"/>
    <cellStyle name="40% - Accent1 2 5 2 4 2 4" xfId="24138"/>
    <cellStyle name="40% - Accent1 2 5 2 4 3" xfId="24139"/>
    <cellStyle name="40% - Accent1 2 5 2 4 3 2" xfId="24140"/>
    <cellStyle name="40% - Accent1 2 5 2 4 3 2 2" xfId="24141"/>
    <cellStyle name="40% - Accent1 2 5 2 4 3 3" xfId="24142"/>
    <cellStyle name="40% - Accent1 2 5 2 4 4" xfId="24143"/>
    <cellStyle name="40% - Accent1 2 5 2 4 4 2" xfId="24144"/>
    <cellStyle name="40% - Accent1 2 5 2 4 5" xfId="24145"/>
    <cellStyle name="40% - Accent1 2 5 2 5" xfId="24146"/>
    <cellStyle name="40% - Accent1 2 5 2 5 2" xfId="24147"/>
    <cellStyle name="40% - Accent1 2 5 2 5 2 2" xfId="24148"/>
    <cellStyle name="40% - Accent1 2 5 2 5 2 2 2" xfId="24149"/>
    <cellStyle name="40% - Accent1 2 5 2 5 2 2 2 2" xfId="24150"/>
    <cellStyle name="40% - Accent1 2 5 2 5 2 2 3" xfId="24151"/>
    <cellStyle name="40% - Accent1 2 5 2 5 2 3" xfId="24152"/>
    <cellStyle name="40% - Accent1 2 5 2 5 2 3 2" xfId="24153"/>
    <cellStyle name="40% - Accent1 2 5 2 5 2 4" xfId="24154"/>
    <cellStyle name="40% - Accent1 2 5 2 5 3" xfId="24155"/>
    <cellStyle name="40% - Accent1 2 5 2 5 3 2" xfId="24156"/>
    <cellStyle name="40% - Accent1 2 5 2 5 3 2 2" xfId="24157"/>
    <cellStyle name="40% - Accent1 2 5 2 5 3 3" xfId="24158"/>
    <cellStyle name="40% - Accent1 2 5 2 5 4" xfId="24159"/>
    <cellStyle name="40% - Accent1 2 5 2 5 4 2" xfId="24160"/>
    <cellStyle name="40% - Accent1 2 5 2 5 5" xfId="24161"/>
    <cellStyle name="40% - Accent1 2 5 2 6" xfId="24162"/>
    <cellStyle name="40% - Accent1 2 5 2 6 2" xfId="24163"/>
    <cellStyle name="40% - Accent1 2 5 2 6 2 2" xfId="24164"/>
    <cellStyle name="40% - Accent1 2 5 2 6 2 2 2" xfId="24165"/>
    <cellStyle name="40% - Accent1 2 5 2 6 2 2 2 2" xfId="24166"/>
    <cellStyle name="40% - Accent1 2 5 2 6 2 2 3" xfId="24167"/>
    <cellStyle name="40% - Accent1 2 5 2 6 2 3" xfId="24168"/>
    <cellStyle name="40% - Accent1 2 5 2 6 2 3 2" xfId="24169"/>
    <cellStyle name="40% - Accent1 2 5 2 6 2 4" xfId="24170"/>
    <cellStyle name="40% - Accent1 2 5 2 6 3" xfId="24171"/>
    <cellStyle name="40% - Accent1 2 5 2 6 3 2" xfId="24172"/>
    <cellStyle name="40% - Accent1 2 5 2 6 3 2 2" xfId="24173"/>
    <cellStyle name="40% - Accent1 2 5 2 6 3 3" xfId="24174"/>
    <cellStyle name="40% - Accent1 2 5 2 6 4" xfId="24175"/>
    <cellStyle name="40% - Accent1 2 5 2 6 4 2" xfId="24176"/>
    <cellStyle name="40% - Accent1 2 5 2 6 5" xfId="24177"/>
    <cellStyle name="40% - Accent1 2 5 2 7" xfId="24178"/>
    <cellStyle name="40% - Accent1 2 5 2 7 2" xfId="24179"/>
    <cellStyle name="40% - Accent1 2 5 2 7 2 2" xfId="24180"/>
    <cellStyle name="40% - Accent1 2 5 2 7 2 2 2" xfId="24181"/>
    <cellStyle name="40% - Accent1 2 5 2 7 2 3" xfId="24182"/>
    <cellStyle name="40% - Accent1 2 5 2 7 3" xfId="24183"/>
    <cellStyle name="40% - Accent1 2 5 2 7 3 2" xfId="24184"/>
    <cellStyle name="40% - Accent1 2 5 2 7 4" xfId="24185"/>
    <cellStyle name="40% - Accent1 2 5 2 8" xfId="24186"/>
    <cellStyle name="40% - Accent1 2 5 2 8 2" xfId="24187"/>
    <cellStyle name="40% - Accent1 2 5 2 8 2 2" xfId="24188"/>
    <cellStyle name="40% - Accent1 2 5 2 8 3" xfId="24189"/>
    <cellStyle name="40% - Accent1 2 5 2 9" xfId="24190"/>
    <cellStyle name="40% - Accent1 2 5 2 9 2" xfId="24191"/>
    <cellStyle name="40% - Accent1 2 5 3" xfId="24192"/>
    <cellStyle name="40% - Accent1 2 5 3 2" xfId="24193"/>
    <cellStyle name="40% - Accent1 2 5 3 2 2" xfId="24194"/>
    <cellStyle name="40% - Accent1 2 5 3 2 2 2" xfId="24195"/>
    <cellStyle name="40% - Accent1 2 5 3 2 2 2 2" xfId="24196"/>
    <cellStyle name="40% - Accent1 2 5 3 2 2 3" xfId="24197"/>
    <cellStyle name="40% - Accent1 2 5 3 2 3" xfId="24198"/>
    <cellStyle name="40% - Accent1 2 5 3 2 3 2" xfId="24199"/>
    <cellStyle name="40% - Accent1 2 5 3 2 4" xfId="24200"/>
    <cellStyle name="40% - Accent1 2 5 3 3" xfId="24201"/>
    <cellStyle name="40% - Accent1 2 5 3 3 2" xfId="24202"/>
    <cellStyle name="40% - Accent1 2 5 3 3 2 2" xfId="24203"/>
    <cellStyle name="40% - Accent1 2 5 3 3 3" xfId="24204"/>
    <cellStyle name="40% - Accent1 2 5 3 4" xfId="24205"/>
    <cellStyle name="40% - Accent1 2 5 3 4 2" xfId="24206"/>
    <cellStyle name="40% - Accent1 2 5 3 5" xfId="24207"/>
    <cellStyle name="40% - Accent1 2 5 4" xfId="24208"/>
    <cellStyle name="40% - Accent1 2 5 4 2" xfId="24209"/>
    <cellStyle name="40% - Accent1 2 5 4 2 2" xfId="24210"/>
    <cellStyle name="40% - Accent1 2 5 4 2 2 2" xfId="24211"/>
    <cellStyle name="40% - Accent1 2 5 4 2 2 2 2" xfId="24212"/>
    <cellStyle name="40% - Accent1 2 5 4 2 2 3" xfId="24213"/>
    <cellStyle name="40% - Accent1 2 5 4 2 3" xfId="24214"/>
    <cellStyle name="40% - Accent1 2 5 4 2 3 2" xfId="24215"/>
    <cellStyle name="40% - Accent1 2 5 4 2 4" xfId="24216"/>
    <cellStyle name="40% - Accent1 2 5 4 3" xfId="24217"/>
    <cellStyle name="40% - Accent1 2 5 4 3 2" xfId="24218"/>
    <cellStyle name="40% - Accent1 2 5 4 3 2 2" xfId="24219"/>
    <cellStyle name="40% - Accent1 2 5 4 3 3" xfId="24220"/>
    <cellStyle name="40% - Accent1 2 5 4 4" xfId="24221"/>
    <cellStyle name="40% - Accent1 2 5 4 4 2" xfId="24222"/>
    <cellStyle name="40% - Accent1 2 5 4 5" xfId="24223"/>
    <cellStyle name="40% - Accent1 2 5 5" xfId="24224"/>
    <cellStyle name="40% - Accent1 2 5 5 2" xfId="24225"/>
    <cellStyle name="40% - Accent1 2 5 5 2 2" xfId="24226"/>
    <cellStyle name="40% - Accent1 2 5 5 2 2 2" xfId="24227"/>
    <cellStyle name="40% - Accent1 2 5 5 2 2 2 2" xfId="24228"/>
    <cellStyle name="40% - Accent1 2 5 5 2 2 3" xfId="24229"/>
    <cellStyle name="40% - Accent1 2 5 5 2 3" xfId="24230"/>
    <cellStyle name="40% - Accent1 2 5 5 2 3 2" xfId="24231"/>
    <cellStyle name="40% - Accent1 2 5 5 2 4" xfId="24232"/>
    <cellStyle name="40% - Accent1 2 5 5 3" xfId="24233"/>
    <cellStyle name="40% - Accent1 2 5 5 3 2" xfId="24234"/>
    <cellStyle name="40% - Accent1 2 5 5 3 2 2" xfId="24235"/>
    <cellStyle name="40% - Accent1 2 5 5 3 3" xfId="24236"/>
    <cellStyle name="40% - Accent1 2 5 5 4" xfId="24237"/>
    <cellStyle name="40% - Accent1 2 5 5 4 2" xfId="24238"/>
    <cellStyle name="40% - Accent1 2 5 5 5" xfId="24239"/>
    <cellStyle name="40% - Accent1 2 5 6" xfId="24240"/>
    <cellStyle name="40% - Accent1 2 5 6 2" xfId="24241"/>
    <cellStyle name="40% - Accent1 2 5 6 2 2" xfId="24242"/>
    <cellStyle name="40% - Accent1 2 5 6 2 2 2" xfId="24243"/>
    <cellStyle name="40% - Accent1 2 5 6 2 2 2 2" xfId="24244"/>
    <cellStyle name="40% - Accent1 2 5 6 2 2 3" xfId="24245"/>
    <cellStyle name="40% - Accent1 2 5 6 2 3" xfId="24246"/>
    <cellStyle name="40% - Accent1 2 5 6 2 3 2" xfId="24247"/>
    <cellStyle name="40% - Accent1 2 5 6 2 4" xfId="24248"/>
    <cellStyle name="40% - Accent1 2 5 6 3" xfId="24249"/>
    <cellStyle name="40% - Accent1 2 5 6 3 2" xfId="24250"/>
    <cellStyle name="40% - Accent1 2 5 6 3 2 2" xfId="24251"/>
    <cellStyle name="40% - Accent1 2 5 6 3 3" xfId="24252"/>
    <cellStyle name="40% - Accent1 2 5 6 4" xfId="24253"/>
    <cellStyle name="40% - Accent1 2 5 6 4 2" xfId="24254"/>
    <cellStyle name="40% - Accent1 2 5 6 5" xfId="24255"/>
    <cellStyle name="40% - Accent1 2 5 7" xfId="24256"/>
    <cellStyle name="40% - Accent1 2 5 7 2" xfId="24257"/>
    <cellStyle name="40% - Accent1 2 5 7 2 2" xfId="24258"/>
    <cellStyle name="40% - Accent1 2 5 7 2 2 2" xfId="24259"/>
    <cellStyle name="40% - Accent1 2 5 7 2 2 2 2" xfId="24260"/>
    <cellStyle name="40% - Accent1 2 5 7 2 2 3" xfId="24261"/>
    <cellStyle name="40% - Accent1 2 5 7 2 3" xfId="24262"/>
    <cellStyle name="40% - Accent1 2 5 7 2 3 2" xfId="24263"/>
    <cellStyle name="40% - Accent1 2 5 7 2 4" xfId="24264"/>
    <cellStyle name="40% - Accent1 2 5 7 3" xfId="24265"/>
    <cellStyle name="40% - Accent1 2 5 7 3 2" xfId="24266"/>
    <cellStyle name="40% - Accent1 2 5 7 3 2 2" xfId="24267"/>
    <cellStyle name="40% - Accent1 2 5 7 3 3" xfId="24268"/>
    <cellStyle name="40% - Accent1 2 5 7 4" xfId="24269"/>
    <cellStyle name="40% - Accent1 2 5 7 4 2" xfId="24270"/>
    <cellStyle name="40% - Accent1 2 5 7 5" xfId="24271"/>
    <cellStyle name="40% - Accent1 2 5 8" xfId="24272"/>
    <cellStyle name="40% - Accent1 2 5 8 2" xfId="24273"/>
    <cellStyle name="40% - Accent1 2 5 8 2 2" xfId="24274"/>
    <cellStyle name="40% - Accent1 2 5 8 2 2 2" xfId="24275"/>
    <cellStyle name="40% - Accent1 2 5 8 2 3" xfId="24276"/>
    <cellStyle name="40% - Accent1 2 5 8 3" xfId="24277"/>
    <cellStyle name="40% - Accent1 2 5 8 3 2" xfId="24278"/>
    <cellStyle name="40% - Accent1 2 5 8 4" xfId="24279"/>
    <cellStyle name="40% - Accent1 2 5 9" xfId="24280"/>
    <cellStyle name="40% - Accent1 2 5 9 2" xfId="24281"/>
    <cellStyle name="40% - Accent1 2 5 9 2 2" xfId="24282"/>
    <cellStyle name="40% - Accent1 2 5 9 3" xfId="24283"/>
    <cellStyle name="40% - Accent1 2 6" xfId="24284"/>
    <cellStyle name="40% - Accent1 2 6 10" xfId="24285"/>
    <cellStyle name="40% - Accent1 2 6 10 2" xfId="24286"/>
    <cellStyle name="40% - Accent1 2 6 11" xfId="24287"/>
    <cellStyle name="40% - Accent1 2 6 2" xfId="24288"/>
    <cellStyle name="40% - Accent1 2 6 2 10" xfId="24289"/>
    <cellStyle name="40% - Accent1 2 6 2 2" xfId="24290"/>
    <cellStyle name="40% - Accent1 2 6 2 2 2" xfId="24291"/>
    <cellStyle name="40% - Accent1 2 6 2 2 2 2" xfId="24292"/>
    <cellStyle name="40% - Accent1 2 6 2 2 2 2 2" xfId="24293"/>
    <cellStyle name="40% - Accent1 2 6 2 2 2 2 2 2" xfId="24294"/>
    <cellStyle name="40% - Accent1 2 6 2 2 2 2 3" xfId="24295"/>
    <cellStyle name="40% - Accent1 2 6 2 2 2 3" xfId="24296"/>
    <cellStyle name="40% - Accent1 2 6 2 2 2 3 2" xfId="24297"/>
    <cellStyle name="40% - Accent1 2 6 2 2 2 4" xfId="24298"/>
    <cellStyle name="40% - Accent1 2 6 2 2 3" xfId="24299"/>
    <cellStyle name="40% - Accent1 2 6 2 2 3 2" xfId="24300"/>
    <cellStyle name="40% - Accent1 2 6 2 2 3 2 2" xfId="24301"/>
    <cellStyle name="40% - Accent1 2 6 2 2 3 3" xfId="24302"/>
    <cellStyle name="40% - Accent1 2 6 2 2 4" xfId="24303"/>
    <cellStyle name="40% - Accent1 2 6 2 2 4 2" xfId="24304"/>
    <cellStyle name="40% - Accent1 2 6 2 2 5" xfId="24305"/>
    <cellStyle name="40% - Accent1 2 6 2 3" xfId="24306"/>
    <cellStyle name="40% - Accent1 2 6 2 3 2" xfId="24307"/>
    <cellStyle name="40% - Accent1 2 6 2 3 2 2" xfId="24308"/>
    <cellStyle name="40% - Accent1 2 6 2 3 2 2 2" xfId="24309"/>
    <cellStyle name="40% - Accent1 2 6 2 3 2 2 2 2" xfId="24310"/>
    <cellStyle name="40% - Accent1 2 6 2 3 2 2 3" xfId="24311"/>
    <cellStyle name="40% - Accent1 2 6 2 3 2 3" xfId="24312"/>
    <cellStyle name="40% - Accent1 2 6 2 3 2 3 2" xfId="24313"/>
    <cellStyle name="40% - Accent1 2 6 2 3 2 4" xfId="24314"/>
    <cellStyle name="40% - Accent1 2 6 2 3 3" xfId="24315"/>
    <cellStyle name="40% - Accent1 2 6 2 3 3 2" xfId="24316"/>
    <cellStyle name="40% - Accent1 2 6 2 3 3 2 2" xfId="24317"/>
    <cellStyle name="40% - Accent1 2 6 2 3 3 3" xfId="24318"/>
    <cellStyle name="40% - Accent1 2 6 2 3 4" xfId="24319"/>
    <cellStyle name="40% - Accent1 2 6 2 3 4 2" xfId="24320"/>
    <cellStyle name="40% - Accent1 2 6 2 3 5" xfId="24321"/>
    <cellStyle name="40% - Accent1 2 6 2 4" xfId="24322"/>
    <cellStyle name="40% - Accent1 2 6 2 4 2" xfId="24323"/>
    <cellStyle name="40% - Accent1 2 6 2 4 2 2" xfId="24324"/>
    <cellStyle name="40% - Accent1 2 6 2 4 2 2 2" xfId="24325"/>
    <cellStyle name="40% - Accent1 2 6 2 4 2 2 2 2" xfId="24326"/>
    <cellStyle name="40% - Accent1 2 6 2 4 2 2 3" xfId="24327"/>
    <cellStyle name="40% - Accent1 2 6 2 4 2 3" xfId="24328"/>
    <cellStyle name="40% - Accent1 2 6 2 4 2 3 2" xfId="24329"/>
    <cellStyle name="40% - Accent1 2 6 2 4 2 4" xfId="24330"/>
    <cellStyle name="40% - Accent1 2 6 2 4 3" xfId="24331"/>
    <cellStyle name="40% - Accent1 2 6 2 4 3 2" xfId="24332"/>
    <cellStyle name="40% - Accent1 2 6 2 4 3 2 2" xfId="24333"/>
    <cellStyle name="40% - Accent1 2 6 2 4 3 3" xfId="24334"/>
    <cellStyle name="40% - Accent1 2 6 2 4 4" xfId="24335"/>
    <cellStyle name="40% - Accent1 2 6 2 4 4 2" xfId="24336"/>
    <cellStyle name="40% - Accent1 2 6 2 4 5" xfId="24337"/>
    <cellStyle name="40% - Accent1 2 6 2 5" xfId="24338"/>
    <cellStyle name="40% - Accent1 2 6 2 5 2" xfId="24339"/>
    <cellStyle name="40% - Accent1 2 6 2 5 2 2" xfId="24340"/>
    <cellStyle name="40% - Accent1 2 6 2 5 2 2 2" xfId="24341"/>
    <cellStyle name="40% - Accent1 2 6 2 5 2 2 2 2" xfId="24342"/>
    <cellStyle name="40% - Accent1 2 6 2 5 2 2 3" xfId="24343"/>
    <cellStyle name="40% - Accent1 2 6 2 5 2 3" xfId="24344"/>
    <cellStyle name="40% - Accent1 2 6 2 5 2 3 2" xfId="24345"/>
    <cellStyle name="40% - Accent1 2 6 2 5 2 4" xfId="24346"/>
    <cellStyle name="40% - Accent1 2 6 2 5 3" xfId="24347"/>
    <cellStyle name="40% - Accent1 2 6 2 5 3 2" xfId="24348"/>
    <cellStyle name="40% - Accent1 2 6 2 5 3 2 2" xfId="24349"/>
    <cellStyle name="40% - Accent1 2 6 2 5 3 3" xfId="24350"/>
    <cellStyle name="40% - Accent1 2 6 2 5 4" xfId="24351"/>
    <cellStyle name="40% - Accent1 2 6 2 5 4 2" xfId="24352"/>
    <cellStyle name="40% - Accent1 2 6 2 5 5" xfId="24353"/>
    <cellStyle name="40% - Accent1 2 6 2 6" xfId="24354"/>
    <cellStyle name="40% - Accent1 2 6 2 6 2" xfId="24355"/>
    <cellStyle name="40% - Accent1 2 6 2 6 2 2" xfId="24356"/>
    <cellStyle name="40% - Accent1 2 6 2 6 2 2 2" xfId="24357"/>
    <cellStyle name="40% - Accent1 2 6 2 6 2 2 2 2" xfId="24358"/>
    <cellStyle name="40% - Accent1 2 6 2 6 2 2 3" xfId="24359"/>
    <cellStyle name="40% - Accent1 2 6 2 6 2 3" xfId="24360"/>
    <cellStyle name="40% - Accent1 2 6 2 6 2 3 2" xfId="24361"/>
    <cellStyle name="40% - Accent1 2 6 2 6 2 4" xfId="24362"/>
    <cellStyle name="40% - Accent1 2 6 2 6 3" xfId="24363"/>
    <cellStyle name="40% - Accent1 2 6 2 6 3 2" xfId="24364"/>
    <cellStyle name="40% - Accent1 2 6 2 6 3 2 2" xfId="24365"/>
    <cellStyle name="40% - Accent1 2 6 2 6 3 3" xfId="24366"/>
    <cellStyle name="40% - Accent1 2 6 2 6 4" xfId="24367"/>
    <cellStyle name="40% - Accent1 2 6 2 6 4 2" xfId="24368"/>
    <cellStyle name="40% - Accent1 2 6 2 6 5" xfId="24369"/>
    <cellStyle name="40% - Accent1 2 6 2 7" xfId="24370"/>
    <cellStyle name="40% - Accent1 2 6 2 7 2" xfId="24371"/>
    <cellStyle name="40% - Accent1 2 6 2 7 2 2" xfId="24372"/>
    <cellStyle name="40% - Accent1 2 6 2 7 2 2 2" xfId="24373"/>
    <cellStyle name="40% - Accent1 2 6 2 7 2 3" xfId="24374"/>
    <cellStyle name="40% - Accent1 2 6 2 7 3" xfId="24375"/>
    <cellStyle name="40% - Accent1 2 6 2 7 3 2" xfId="24376"/>
    <cellStyle name="40% - Accent1 2 6 2 7 4" xfId="24377"/>
    <cellStyle name="40% - Accent1 2 6 2 8" xfId="24378"/>
    <cellStyle name="40% - Accent1 2 6 2 8 2" xfId="24379"/>
    <cellStyle name="40% - Accent1 2 6 2 8 2 2" xfId="24380"/>
    <cellStyle name="40% - Accent1 2 6 2 8 3" xfId="24381"/>
    <cellStyle name="40% - Accent1 2 6 2 9" xfId="24382"/>
    <cellStyle name="40% - Accent1 2 6 2 9 2" xfId="24383"/>
    <cellStyle name="40% - Accent1 2 6 3" xfId="24384"/>
    <cellStyle name="40% - Accent1 2 6 3 2" xfId="24385"/>
    <cellStyle name="40% - Accent1 2 6 3 2 2" xfId="24386"/>
    <cellStyle name="40% - Accent1 2 6 3 2 2 2" xfId="24387"/>
    <cellStyle name="40% - Accent1 2 6 3 2 2 2 2" xfId="24388"/>
    <cellStyle name="40% - Accent1 2 6 3 2 2 3" xfId="24389"/>
    <cellStyle name="40% - Accent1 2 6 3 2 3" xfId="24390"/>
    <cellStyle name="40% - Accent1 2 6 3 2 3 2" xfId="24391"/>
    <cellStyle name="40% - Accent1 2 6 3 2 4" xfId="24392"/>
    <cellStyle name="40% - Accent1 2 6 3 3" xfId="24393"/>
    <cellStyle name="40% - Accent1 2 6 3 3 2" xfId="24394"/>
    <cellStyle name="40% - Accent1 2 6 3 3 2 2" xfId="24395"/>
    <cellStyle name="40% - Accent1 2 6 3 3 3" xfId="24396"/>
    <cellStyle name="40% - Accent1 2 6 3 4" xfId="24397"/>
    <cellStyle name="40% - Accent1 2 6 3 4 2" xfId="24398"/>
    <cellStyle name="40% - Accent1 2 6 3 5" xfId="24399"/>
    <cellStyle name="40% - Accent1 2 6 4" xfId="24400"/>
    <cellStyle name="40% - Accent1 2 6 4 2" xfId="24401"/>
    <cellStyle name="40% - Accent1 2 6 4 2 2" xfId="24402"/>
    <cellStyle name="40% - Accent1 2 6 4 2 2 2" xfId="24403"/>
    <cellStyle name="40% - Accent1 2 6 4 2 2 2 2" xfId="24404"/>
    <cellStyle name="40% - Accent1 2 6 4 2 2 3" xfId="24405"/>
    <cellStyle name="40% - Accent1 2 6 4 2 3" xfId="24406"/>
    <cellStyle name="40% - Accent1 2 6 4 2 3 2" xfId="24407"/>
    <cellStyle name="40% - Accent1 2 6 4 2 4" xfId="24408"/>
    <cellStyle name="40% - Accent1 2 6 4 3" xfId="24409"/>
    <cellStyle name="40% - Accent1 2 6 4 3 2" xfId="24410"/>
    <cellStyle name="40% - Accent1 2 6 4 3 2 2" xfId="24411"/>
    <cellStyle name="40% - Accent1 2 6 4 3 3" xfId="24412"/>
    <cellStyle name="40% - Accent1 2 6 4 4" xfId="24413"/>
    <cellStyle name="40% - Accent1 2 6 4 4 2" xfId="24414"/>
    <cellStyle name="40% - Accent1 2 6 4 5" xfId="24415"/>
    <cellStyle name="40% - Accent1 2 6 5" xfId="24416"/>
    <cellStyle name="40% - Accent1 2 6 5 2" xfId="24417"/>
    <cellStyle name="40% - Accent1 2 6 5 2 2" xfId="24418"/>
    <cellStyle name="40% - Accent1 2 6 5 2 2 2" xfId="24419"/>
    <cellStyle name="40% - Accent1 2 6 5 2 2 2 2" xfId="24420"/>
    <cellStyle name="40% - Accent1 2 6 5 2 2 3" xfId="24421"/>
    <cellStyle name="40% - Accent1 2 6 5 2 3" xfId="24422"/>
    <cellStyle name="40% - Accent1 2 6 5 2 3 2" xfId="24423"/>
    <cellStyle name="40% - Accent1 2 6 5 2 4" xfId="24424"/>
    <cellStyle name="40% - Accent1 2 6 5 3" xfId="24425"/>
    <cellStyle name="40% - Accent1 2 6 5 3 2" xfId="24426"/>
    <cellStyle name="40% - Accent1 2 6 5 3 2 2" xfId="24427"/>
    <cellStyle name="40% - Accent1 2 6 5 3 3" xfId="24428"/>
    <cellStyle name="40% - Accent1 2 6 5 4" xfId="24429"/>
    <cellStyle name="40% - Accent1 2 6 5 4 2" xfId="24430"/>
    <cellStyle name="40% - Accent1 2 6 5 5" xfId="24431"/>
    <cellStyle name="40% - Accent1 2 6 6" xfId="24432"/>
    <cellStyle name="40% - Accent1 2 6 6 2" xfId="24433"/>
    <cellStyle name="40% - Accent1 2 6 6 2 2" xfId="24434"/>
    <cellStyle name="40% - Accent1 2 6 6 2 2 2" xfId="24435"/>
    <cellStyle name="40% - Accent1 2 6 6 2 2 2 2" xfId="24436"/>
    <cellStyle name="40% - Accent1 2 6 6 2 2 3" xfId="24437"/>
    <cellStyle name="40% - Accent1 2 6 6 2 3" xfId="24438"/>
    <cellStyle name="40% - Accent1 2 6 6 2 3 2" xfId="24439"/>
    <cellStyle name="40% - Accent1 2 6 6 2 4" xfId="24440"/>
    <cellStyle name="40% - Accent1 2 6 6 3" xfId="24441"/>
    <cellStyle name="40% - Accent1 2 6 6 3 2" xfId="24442"/>
    <cellStyle name="40% - Accent1 2 6 6 3 2 2" xfId="24443"/>
    <cellStyle name="40% - Accent1 2 6 6 3 3" xfId="24444"/>
    <cellStyle name="40% - Accent1 2 6 6 4" xfId="24445"/>
    <cellStyle name="40% - Accent1 2 6 6 4 2" xfId="24446"/>
    <cellStyle name="40% - Accent1 2 6 6 5" xfId="24447"/>
    <cellStyle name="40% - Accent1 2 6 7" xfId="24448"/>
    <cellStyle name="40% - Accent1 2 6 7 2" xfId="24449"/>
    <cellStyle name="40% - Accent1 2 6 7 2 2" xfId="24450"/>
    <cellStyle name="40% - Accent1 2 6 7 2 2 2" xfId="24451"/>
    <cellStyle name="40% - Accent1 2 6 7 2 2 2 2" xfId="24452"/>
    <cellStyle name="40% - Accent1 2 6 7 2 2 3" xfId="24453"/>
    <cellStyle name="40% - Accent1 2 6 7 2 3" xfId="24454"/>
    <cellStyle name="40% - Accent1 2 6 7 2 3 2" xfId="24455"/>
    <cellStyle name="40% - Accent1 2 6 7 2 4" xfId="24456"/>
    <cellStyle name="40% - Accent1 2 6 7 3" xfId="24457"/>
    <cellStyle name="40% - Accent1 2 6 7 3 2" xfId="24458"/>
    <cellStyle name="40% - Accent1 2 6 7 3 2 2" xfId="24459"/>
    <cellStyle name="40% - Accent1 2 6 7 3 3" xfId="24460"/>
    <cellStyle name="40% - Accent1 2 6 7 4" xfId="24461"/>
    <cellStyle name="40% - Accent1 2 6 7 4 2" xfId="24462"/>
    <cellStyle name="40% - Accent1 2 6 7 5" xfId="24463"/>
    <cellStyle name="40% - Accent1 2 6 8" xfId="24464"/>
    <cellStyle name="40% - Accent1 2 6 8 2" xfId="24465"/>
    <cellStyle name="40% - Accent1 2 6 8 2 2" xfId="24466"/>
    <cellStyle name="40% - Accent1 2 6 8 2 2 2" xfId="24467"/>
    <cellStyle name="40% - Accent1 2 6 8 2 3" xfId="24468"/>
    <cellStyle name="40% - Accent1 2 6 8 3" xfId="24469"/>
    <cellStyle name="40% - Accent1 2 6 8 3 2" xfId="24470"/>
    <cellStyle name="40% - Accent1 2 6 8 4" xfId="24471"/>
    <cellStyle name="40% - Accent1 2 6 9" xfId="24472"/>
    <cellStyle name="40% - Accent1 2 6 9 2" xfId="24473"/>
    <cellStyle name="40% - Accent1 2 6 9 2 2" xfId="24474"/>
    <cellStyle name="40% - Accent1 2 6 9 3" xfId="24475"/>
    <cellStyle name="40% - Accent1 2 7" xfId="24476"/>
    <cellStyle name="40% - Accent1 2 7 10" xfId="24477"/>
    <cellStyle name="40% - Accent1 2 7 10 2" xfId="24478"/>
    <cellStyle name="40% - Accent1 2 7 11" xfId="24479"/>
    <cellStyle name="40% - Accent1 2 7 2" xfId="24480"/>
    <cellStyle name="40% - Accent1 2 7 2 10" xfId="24481"/>
    <cellStyle name="40% - Accent1 2 7 2 2" xfId="24482"/>
    <cellStyle name="40% - Accent1 2 7 2 2 2" xfId="24483"/>
    <cellStyle name="40% - Accent1 2 7 2 2 2 2" xfId="24484"/>
    <cellStyle name="40% - Accent1 2 7 2 2 2 2 2" xfId="24485"/>
    <cellStyle name="40% - Accent1 2 7 2 2 2 2 2 2" xfId="24486"/>
    <cellStyle name="40% - Accent1 2 7 2 2 2 2 3" xfId="24487"/>
    <cellStyle name="40% - Accent1 2 7 2 2 2 3" xfId="24488"/>
    <cellStyle name="40% - Accent1 2 7 2 2 2 3 2" xfId="24489"/>
    <cellStyle name="40% - Accent1 2 7 2 2 2 4" xfId="24490"/>
    <cellStyle name="40% - Accent1 2 7 2 2 3" xfId="24491"/>
    <cellStyle name="40% - Accent1 2 7 2 2 3 2" xfId="24492"/>
    <cellStyle name="40% - Accent1 2 7 2 2 3 2 2" xfId="24493"/>
    <cellStyle name="40% - Accent1 2 7 2 2 3 3" xfId="24494"/>
    <cellStyle name="40% - Accent1 2 7 2 2 4" xfId="24495"/>
    <cellStyle name="40% - Accent1 2 7 2 2 4 2" xfId="24496"/>
    <cellStyle name="40% - Accent1 2 7 2 2 5" xfId="24497"/>
    <cellStyle name="40% - Accent1 2 7 2 3" xfId="24498"/>
    <cellStyle name="40% - Accent1 2 7 2 3 2" xfId="24499"/>
    <cellStyle name="40% - Accent1 2 7 2 3 2 2" xfId="24500"/>
    <cellStyle name="40% - Accent1 2 7 2 3 2 2 2" xfId="24501"/>
    <cellStyle name="40% - Accent1 2 7 2 3 2 2 2 2" xfId="24502"/>
    <cellStyle name="40% - Accent1 2 7 2 3 2 2 3" xfId="24503"/>
    <cellStyle name="40% - Accent1 2 7 2 3 2 3" xfId="24504"/>
    <cellStyle name="40% - Accent1 2 7 2 3 2 3 2" xfId="24505"/>
    <cellStyle name="40% - Accent1 2 7 2 3 2 4" xfId="24506"/>
    <cellStyle name="40% - Accent1 2 7 2 3 3" xfId="24507"/>
    <cellStyle name="40% - Accent1 2 7 2 3 3 2" xfId="24508"/>
    <cellStyle name="40% - Accent1 2 7 2 3 3 2 2" xfId="24509"/>
    <cellStyle name="40% - Accent1 2 7 2 3 3 3" xfId="24510"/>
    <cellStyle name="40% - Accent1 2 7 2 3 4" xfId="24511"/>
    <cellStyle name="40% - Accent1 2 7 2 3 4 2" xfId="24512"/>
    <cellStyle name="40% - Accent1 2 7 2 3 5" xfId="24513"/>
    <cellStyle name="40% - Accent1 2 7 2 4" xfId="24514"/>
    <cellStyle name="40% - Accent1 2 7 2 4 2" xfId="24515"/>
    <cellStyle name="40% - Accent1 2 7 2 4 2 2" xfId="24516"/>
    <cellStyle name="40% - Accent1 2 7 2 4 2 2 2" xfId="24517"/>
    <cellStyle name="40% - Accent1 2 7 2 4 2 2 2 2" xfId="24518"/>
    <cellStyle name="40% - Accent1 2 7 2 4 2 2 3" xfId="24519"/>
    <cellStyle name="40% - Accent1 2 7 2 4 2 3" xfId="24520"/>
    <cellStyle name="40% - Accent1 2 7 2 4 2 3 2" xfId="24521"/>
    <cellStyle name="40% - Accent1 2 7 2 4 2 4" xfId="24522"/>
    <cellStyle name="40% - Accent1 2 7 2 4 3" xfId="24523"/>
    <cellStyle name="40% - Accent1 2 7 2 4 3 2" xfId="24524"/>
    <cellStyle name="40% - Accent1 2 7 2 4 3 2 2" xfId="24525"/>
    <cellStyle name="40% - Accent1 2 7 2 4 3 3" xfId="24526"/>
    <cellStyle name="40% - Accent1 2 7 2 4 4" xfId="24527"/>
    <cellStyle name="40% - Accent1 2 7 2 4 4 2" xfId="24528"/>
    <cellStyle name="40% - Accent1 2 7 2 4 5" xfId="24529"/>
    <cellStyle name="40% - Accent1 2 7 2 5" xfId="24530"/>
    <cellStyle name="40% - Accent1 2 7 2 5 2" xfId="24531"/>
    <cellStyle name="40% - Accent1 2 7 2 5 2 2" xfId="24532"/>
    <cellStyle name="40% - Accent1 2 7 2 5 2 2 2" xfId="24533"/>
    <cellStyle name="40% - Accent1 2 7 2 5 2 2 2 2" xfId="24534"/>
    <cellStyle name="40% - Accent1 2 7 2 5 2 2 3" xfId="24535"/>
    <cellStyle name="40% - Accent1 2 7 2 5 2 3" xfId="24536"/>
    <cellStyle name="40% - Accent1 2 7 2 5 2 3 2" xfId="24537"/>
    <cellStyle name="40% - Accent1 2 7 2 5 2 4" xfId="24538"/>
    <cellStyle name="40% - Accent1 2 7 2 5 3" xfId="24539"/>
    <cellStyle name="40% - Accent1 2 7 2 5 3 2" xfId="24540"/>
    <cellStyle name="40% - Accent1 2 7 2 5 3 2 2" xfId="24541"/>
    <cellStyle name="40% - Accent1 2 7 2 5 3 3" xfId="24542"/>
    <cellStyle name="40% - Accent1 2 7 2 5 4" xfId="24543"/>
    <cellStyle name="40% - Accent1 2 7 2 5 4 2" xfId="24544"/>
    <cellStyle name="40% - Accent1 2 7 2 5 5" xfId="24545"/>
    <cellStyle name="40% - Accent1 2 7 2 6" xfId="24546"/>
    <cellStyle name="40% - Accent1 2 7 2 6 2" xfId="24547"/>
    <cellStyle name="40% - Accent1 2 7 2 6 2 2" xfId="24548"/>
    <cellStyle name="40% - Accent1 2 7 2 6 2 2 2" xfId="24549"/>
    <cellStyle name="40% - Accent1 2 7 2 6 2 2 2 2" xfId="24550"/>
    <cellStyle name="40% - Accent1 2 7 2 6 2 2 3" xfId="24551"/>
    <cellStyle name="40% - Accent1 2 7 2 6 2 3" xfId="24552"/>
    <cellStyle name="40% - Accent1 2 7 2 6 2 3 2" xfId="24553"/>
    <cellStyle name="40% - Accent1 2 7 2 6 2 4" xfId="24554"/>
    <cellStyle name="40% - Accent1 2 7 2 6 3" xfId="24555"/>
    <cellStyle name="40% - Accent1 2 7 2 6 3 2" xfId="24556"/>
    <cellStyle name="40% - Accent1 2 7 2 6 3 2 2" xfId="24557"/>
    <cellStyle name="40% - Accent1 2 7 2 6 3 3" xfId="24558"/>
    <cellStyle name="40% - Accent1 2 7 2 6 4" xfId="24559"/>
    <cellStyle name="40% - Accent1 2 7 2 6 4 2" xfId="24560"/>
    <cellStyle name="40% - Accent1 2 7 2 6 5" xfId="24561"/>
    <cellStyle name="40% - Accent1 2 7 2 7" xfId="24562"/>
    <cellStyle name="40% - Accent1 2 7 2 7 2" xfId="24563"/>
    <cellStyle name="40% - Accent1 2 7 2 7 2 2" xfId="24564"/>
    <cellStyle name="40% - Accent1 2 7 2 7 2 2 2" xfId="24565"/>
    <cellStyle name="40% - Accent1 2 7 2 7 2 3" xfId="24566"/>
    <cellStyle name="40% - Accent1 2 7 2 7 3" xfId="24567"/>
    <cellStyle name="40% - Accent1 2 7 2 7 3 2" xfId="24568"/>
    <cellStyle name="40% - Accent1 2 7 2 7 4" xfId="24569"/>
    <cellStyle name="40% - Accent1 2 7 2 8" xfId="24570"/>
    <cellStyle name="40% - Accent1 2 7 2 8 2" xfId="24571"/>
    <cellStyle name="40% - Accent1 2 7 2 8 2 2" xfId="24572"/>
    <cellStyle name="40% - Accent1 2 7 2 8 3" xfId="24573"/>
    <cellStyle name="40% - Accent1 2 7 2 9" xfId="24574"/>
    <cellStyle name="40% - Accent1 2 7 2 9 2" xfId="24575"/>
    <cellStyle name="40% - Accent1 2 7 3" xfId="24576"/>
    <cellStyle name="40% - Accent1 2 7 3 2" xfId="24577"/>
    <cellStyle name="40% - Accent1 2 7 3 2 2" xfId="24578"/>
    <cellStyle name="40% - Accent1 2 7 3 2 2 2" xfId="24579"/>
    <cellStyle name="40% - Accent1 2 7 3 2 2 2 2" xfId="24580"/>
    <cellStyle name="40% - Accent1 2 7 3 2 2 3" xfId="24581"/>
    <cellStyle name="40% - Accent1 2 7 3 2 3" xfId="24582"/>
    <cellStyle name="40% - Accent1 2 7 3 2 3 2" xfId="24583"/>
    <cellStyle name="40% - Accent1 2 7 3 2 4" xfId="24584"/>
    <cellStyle name="40% - Accent1 2 7 3 3" xfId="24585"/>
    <cellStyle name="40% - Accent1 2 7 3 3 2" xfId="24586"/>
    <cellStyle name="40% - Accent1 2 7 3 3 2 2" xfId="24587"/>
    <cellStyle name="40% - Accent1 2 7 3 3 3" xfId="24588"/>
    <cellStyle name="40% - Accent1 2 7 3 4" xfId="24589"/>
    <cellStyle name="40% - Accent1 2 7 3 4 2" xfId="24590"/>
    <cellStyle name="40% - Accent1 2 7 3 5" xfId="24591"/>
    <cellStyle name="40% - Accent1 2 7 4" xfId="24592"/>
    <cellStyle name="40% - Accent1 2 7 4 2" xfId="24593"/>
    <cellStyle name="40% - Accent1 2 7 4 2 2" xfId="24594"/>
    <cellStyle name="40% - Accent1 2 7 4 2 2 2" xfId="24595"/>
    <cellStyle name="40% - Accent1 2 7 4 2 2 2 2" xfId="24596"/>
    <cellStyle name="40% - Accent1 2 7 4 2 2 3" xfId="24597"/>
    <cellStyle name="40% - Accent1 2 7 4 2 3" xfId="24598"/>
    <cellStyle name="40% - Accent1 2 7 4 2 3 2" xfId="24599"/>
    <cellStyle name="40% - Accent1 2 7 4 2 4" xfId="24600"/>
    <cellStyle name="40% - Accent1 2 7 4 3" xfId="24601"/>
    <cellStyle name="40% - Accent1 2 7 4 3 2" xfId="24602"/>
    <cellStyle name="40% - Accent1 2 7 4 3 2 2" xfId="24603"/>
    <cellStyle name="40% - Accent1 2 7 4 3 3" xfId="24604"/>
    <cellStyle name="40% - Accent1 2 7 4 4" xfId="24605"/>
    <cellStyle name="40% - Accent1 2 7 4 4 2" xfId="24606"/>
    <cellStyle name="40% - Accent1 2 7 4 5" xfId="24607"/>
    <cellStyle name="40% - Accent1 2 7 5" xfId="24608"/>
    <cellStyle name="40% - Accent1 2 7 5 2" xfId="24609"/>
    <cellStyle name="40% - Accent1 2 7 5 2 2" xfId="24610"/>
    <cellStyle name="40% - Accent1 2 7 5 2 2 2" xfId="24611"/>
    <cellStyle name="40% - Accent1 2 7 5 2 2 2 2" xfId="24612"/>
    <cellStyle name="40% - Accent1 2 7 5 2 2 3" xfId="24613"/>
    <cellStyle name="40% - Accent1 2 7 5 2 3" xfId="24614"/>
    <cellStyle name="40% - Accent1 2 7 5 2 3 2" xfId="24615"/>
    <cellStyle name="40% - Accent1 2 7 5 2 4" xfId="24616"/>
    <cellStyle name="40% - Accent1 2 7 5 3" xfId="24617"/>
    <cellStyle name="40% - Accent1 2 7 5 3 2" xfId="24618"/>
    <cellStyle name="40% - Accent1 2 7 5 3 2 2" xfId="24619"/>
    <cellStyle name="40% - Accent1 2 7 5 3 3" xfId="24620"/>
    <cellStyle name="40% - Accent1 2 7 5 4" xfId="24621"/>
    <cellStyle name="40% - Accent1 2 7 5 4 2" xfId="24622"/>
    <cellStyle name="40% - Accent1 2 7 5 5" xfId="24623"/>
    <cellStyle name="40% - Accent1 2 7 6" xfId="24624"/>
    <cellStyle name="40% - Accent1 2 7 6 2" xfId="24625"/>
    <cellStyle name="40% - Accent1 2 7 6 2 2" xfId="24626"/>
    <cellStyle name="40% - Accent1 2 7 6 2 2 2" xfId="24627"/>
    <cellStyle name="40% - Accent1 2 7 6 2 2 2 2" xfId="24628"/>
    <cellStyle name="40% - Accent1 2 7 6 2 2 3" xfId="24629"/>
    <cellStyle name="40% - Accent1 2 7 6 2 3" xfId="24630"/>
    <cellStyle name="40% - Accent1 2 7 6 2 3 2" xfId="24631"/>
    <cellStyle name="40% - Accent1 2 7 6 2 4" xfId="24632"/>
    <cellStyle name="40% - Accent1 2 7 6 3" xfId="24633"/>
    <cellStyle name="40% - Accent1 2 7 6 3 2" xfId="24634"/>
    <cellStyle name="40% - Accent1 2 7 6 3 2 2" xfId="24635"/>
    <cellStyle name="40% - Accent1 2 7 6 3 3" xfId="24636"/>
    <cellStyle name="40% - Accent1 2 7 6 4" xfId="24637"/>
    <cellStyle name="40% - Accent1 2 7 6 4 2" xfId="24638"/>
    <cellStyle name="40% - Accent1 2 7 6 5" xfId="24639"/>
    <cellStyle name="40% - Accent1 2 7 7" xfId="24640"/>
    <cellStyle name="40% - Accent1 2 7 7 2" xfId="24641"/>
    <cellStyle name="40% - Accent1 2 7 7 2 2" xfId="24642"/>
    <cellStyle name="40% - Accent1 2 7 7 2 2 2" xfId="24643"/>
    <cellStyle name="40% - Accent1 2 7 7 2 2 2 2" xfId="24644"/>
    <cellStyle name="40% - Accent1 2 7 7 2 2 3" xfId="24645"/>
    <cellStyle name="40% - Accent1 2 7 7 2 3" xfId="24646"/>
    <cellStyle name="40% - Accent1 2 7 7 2 3 2" xfId="24647"/>
    <cellStyle name="40% - Accent1 2 7 7 2 4" xfId="24648"/>
    <cellStyle name="40% - Accent1 2 7 7 3" xfId="24649"/>
    <cellStyle name="40% - Accent1 2 7 7 3 2" xfId="24650"/>
    <cellStyle name="40% - Accent1 2 7 7 3 2 2" xfId="24651"/>
    <cellStyle name="40% - Accent1 2 7 7 3 3" xfId="24652"/>
    <cellStyle name="40% - Accent1 2 7 7 4" xfId="24653"/>
    <cellStyle name="40% - Accent1 2 7 7 4 2" xfId="24654"/>
    <cellStyle name="40% - Accent1 2 7 7 5" xfId="24655"/>
    <cellStyle name="40% - Accent1 2 7 8" xfId="24656"/>
    <cellStyle name="40% - Accent1 2 7 8 2" xfId="24657"/>
    <cellStyle name="40% - Accent1 2 7 8 2 2" xfId="24658"/>
    <cellStyle name="40% - Accent1 2 7 8 2 2 2" xfId="24659"/>
    <cellStyle name="40% - Accent1 2 7 8 2 3" xfId="24660"/>
    <cellStyle name="40% - Accent1 2 7 8 3" xfId="24661"/>
    <cellStyle name="40% - Accent1 2 7 8 3 2" xfId="24662"/>
    <cellStyle name="40% - Accent1 2 7 8 4" xfId="24663"/>
    <cellStyle name="40% - Accent1 2 7 9" xfId="24664"/>
    <cellStyle name="40% - Accent1 2 7 9 2" xfId="24665"/>
    <cellStyle name="40% - Accent1 2 7 9 2 2" xfId="24666"/>
    <cellStyle name="40% - Accent1 2 7 9 3" xfId="24667"/>
    <cellStyle name="40% - Accent1 2 8" xfId="24668"/>
    <cellStyle name="40% - Accent1 2 8 10" xfId="24669"/>
    <cellStyle name="40% - Accent1 2 8 10 2" xfId="24670"/>
    <cellStyle name="40% - Accent1 2 8 11" xfId="24671"/>
    <cellStyle name="40% - Accent1 2 8 2" xfId="24672"/>
    <cellStyle name="40% - Accent1 2 8 2 10" xfId="24673"/>
    <cellStyle name="40% - Accent1 2 8 2 2" xfId="24674"/>
    <cellStyle name="40% - Accent1 2 8 2 2 2" xfId="24675"/>
    <cellStyle name="40% - Accent1 2 8 2 2 2 2" xfId="24676"/>
    <cellStyle name="40% - Accent1 2 8 2 2 2 2 2" xfId="24677"/>
    <cellStyle name="40% - Accent1 2 8 2 2 2 2 2 2" xfId="24678"/>
    <cellStyle name="40% - Accent1 2 8 2 2 2 2 3" xfId="24679"/>
    <cellStyle name="40% - Accent1 2 8 2 2 2 3" xfId="24680"/>
    <cellStyle name="40% - Accent1 2 8 2 2 2 3 2" xfId="24681"/>
    <cellStyle name="40% - Accent1 2 8 2 2 2 4" xfId="24682"/>
    <cellStyle name="40% - Accent1 2 8 2 2 3" xfId="24683"/>
    <cellStyle name="40% - Accent1 2 8 2 2 3 2" xfId="24684"/>
    <cellStyle name="40% - Accent1 2 8 2 2 3 2 2" xfId="24685"/>
    <cellStyle name="40% - Accent1 2 8 2 2 3 3" xfId="24686"/>
    <cellStyle name="40% - Accent1 2 8 2 2 4" xfId="24687"/>
    <cellStyle name="40% - Accent1 2 8 2 2 4 2" xfId="24688"/>
    <cellStyle name="40% - Accent1 2 8 2 2 5" xfId="24689"/>
    <cellStyle name="40% - Accent1 2 8 2 3" xfId="24690"/>
    <cellStyle name="40% - Accent1 2 8 2 3 2" xfId="24691"/>
    <cellStyle name="40% - Accent1 2 8 2 3 2 2" xfId="24692"/>
    <cellStyle name="40% - Accent1 2 8 2 3 2 2 2" xfId="24693"/>
    <cellStyle name="40% - Accent1 2 8 2 3 2 2 2 2" xfId="24694"/>
    <cellStyle name="40% - Accent1 2 8 2 3 2 2 3" xfId="24695"/>
    <cellStyle name="40% - Accent1 2 8 2 3 2 3" xfId="24696"/>
    <cellStyle name="40% - Accent1 2 8 2 3 2 3 2" xfId="24697"/>
    <cellStyle name="40% - Accent1 2 8 2 3 2 4" xfId="24698"/>
    <cellStyle name="40% - Accent1 2 8 2 3 3" xfId="24699"/>
    <cellStyle name="40% - Accent1 2 8 2 3 3 2" xfId="24700"/>
    <cellStyle name="40% - Accent1 2 8 2 3 3 2 2" xfId="24701"/>
    <cellStyle name="40% - Accent1 2 8 2 3 3 3" xfId="24702"/>
    <cellStyle name="40% - Accent1 2 8 2 3 4" xfId="24703"/>
    <cellStyle name="40% - Accent1 2 8 2 3 4 2" xfId="24704"/>
    <cellStyle name="40% - Accent1 2 8 2 3 5" xfId="24705"/>
    <cellStyle name="40% - Accent1 2 8 2 4" xfId="24706"/>
    <cellStyle name="40% - Accent1 2 8 2 4 2" xfId="24707"/>
    <cellStyle name="40% - Accent1 2 8 2 4 2 2" xfId="24708"/>
    <cellStyle name="40% - Accent1 2 8 2 4 2 2 2" xfId="24709"/>
    <cellStyle name="40% - Accent1 2 8 2 4 2 2 2 2" xfId="24710"/>
    <cellStyle name="40% - Accent1 2 8 2 4 2 2 3" xfId="24711"/>
    <cellStyle name="40% - Accent1 2 8 2 4 2 3" xfId="24712"/>
    <cellStyle name="40% - Accent1 2 8 2 4 2 3 2" xfId="24713"/>
    <cellStyle name="40% - Accent1 2 8 2 4 2 4" xfId="24714"/>
    <cellStyle name="40% - Accent1 2 8 2 4 3" xfId="24715"/>
    <cellStyle name="40% - Accent1 2 8 2 4 3 2" xfId="24716"/>
    <cellStyle name="40% - Accent1 2 8 2 4 3 2 2" xfId="24717"/>
    <cellStyle name="40% - Accent1 2 8 2 4 3 3" xfId="24718"/>
    <cellStyle name="40% - Accent1 2 8 2 4 4" xfId="24719"/>
    <cellStyle name="40% - Accent1 2 8 2 4 4 2" xfId="24720"/>
    <cellStyle name="40% - Accent1 2 8 2 4 5" xfId="24721"/>
    <cellStyle name="40% - Accent1 2 8 2 5" xfId="24722"/>
    <cellStyle name="40% - Accent1 2 8 2 5 2" xfId="24723"/>
    <cellStyle name="40% - Accent1 2 8 2 5 2 2" xfId="24724"/>
    <cellStyle name="40% - Accent1 2 8 2 5 2 2 2" xfId="24725"/>
    <cellStyle name="40% - Accent1 2 8 2 5 2 2 2 2" xfId="24726"/>
    <cellStyle name="40% - Accent1 2 8 2 5 2 2 3" xfId="24727"/>
    <cellStyle name="40% - Accent1 2 8 2 5 2 3" xfId="24728"/>
    <cellStyle name="40% - Accent1 2 8 2 5 2 3 2" xfId="24729"/>
    <cellStyle name="40% - Accent1 2 8 2 5 2 4" xfId="24730"/>
    <cellStyle name="40% - Accent1 2 8 2 5 3" xfId="24731"/>
    <cellStyle name="40% - Accent1 2 8 2 5 3 2" xfId="24732"/>
    <cellStyle name="40% - Accent1 2 8 2 5 3 2 2" xfId="24733"/>
    <cellStyle name="40% - Accent1 2 8 2 5 3 3" xfId="24734"/>
    <cellStyle name="40% - Accent1 2 8 2 5 4" xfId="24735"/>
    <cellStyle name="40% - Accent1 2 8 2 5 4 2" xfId="24736"/>
    <cellStyle name="40% - Accent1 2 8 2 5 5" xfId="24737"/>
    <cellStyle name="40% - Accent1 2 8 2 6" xfId="24738"/>
    <cellStyle name="40% - Accent1 2 8 2 6 2" xfId="24739"/>
    <cellStyle name="40% - Accent1 2 8 2 6 2 2" xfId="24740"/>
    <cellStyle name="40% - Accent1 2 8 2 6 2 2 2" xfId="24741"/>
    <cellStyle name="40% - Accent1 2 8 2 6 2 2 2 2" xfId="24742"/>
    <cellStyle name="40% - Accent1 2 8 2 6 2 2 3" xfId="24743"/>
    <cellStyle name="40% - Accent1 2 8 2 6 2 3" xfId="24744"/>
    <cellStyle name="40% - Accent1 2 8 2 6 2 3 2" xfId="24745"/>
    <cellStyle name="40% - Accent1 2 8 2 6 2 4" xfId="24746"/>
    <cellStyle name="40% - Accent1 2 8 2 6 3" xfId="24747"/>
    <cellStyle name="40% - Accent1 2 8 2 6 3 2" xfId="24748"/>
    <cellStyle name="40% - Accent1 2 8 2 6 3 2 2" xfId="24749"/>
    <cellStyle name="40% - Accent1 2 8 2 6 3 3" xfId="24750"/>
    <cellStyle name="40% - Accent1 2 8 2 6 4" xfId="24751"/>
    <cellStyle name="40% - Accent1 2 8 2 6 4 2" xfId="24752"/>
    <cellStyle name="40% - Accent1 2 8 2 6 5" xfId="24753"/>
    <cellStyle name="40% - Accent1 2 8 2 7" xfId="24754"/>
    <cellStyle name="40% - Accent1 2 8 2 7 2" xfId="24755"/>
    <cellStyle name="40% - Accent1 2 8 2 7 2 2" xfId="24756"/>
    <cellStyle name="40% - Accent1 2 8 2 7 2 2 2" xfId="24757"/>
    <cellStyle name="40% - Accent1 2 8 2 7 2 3" xfId="24758"/>
    <cellStyle name="40% - Accent1 2 8 2 7 3" xfId="24759"/>
    <cellStyle name="40% - Accent1 2 8 2 7 3 2" xfId="24760"/>
    <cellStyle name="40% - Accent1 2 8 2 7 4" xfId="24761"/>
    <cellStyle name="40% - Accent1 2 8 2 8" xfId="24762"/>
    <cellStyle name="40% - Accent1 2 8 2 8 2" xfId="24763"/>
    <cellStyle name="40% - Accent1 2 8 2 8 2 2" xfId="24764"/>
    <cellStyle name="40% - Accent1 2 8 2 8 3" xfId="24765"/>
    <cellStyle name="40% - Accent1 2 8 2 9" xfId="24766"/>
    <cellStyle name="40% - Accent1 2 8 2 9 2" xfId="24767"/>
    <cellStyle name="40% - Accent1 2 8 3" xfId="24768"/>
    <cellStyle name="40% - Accent1 2 8 3 2" xfId="24769"/>
    <cellStyle name="40% - Accent1 2 8 3 2 2" xfId="24770"/>
    <cellStyle name="40% - Accent1 2 8 3 2 2 2" xfId="24771"/>
    <cellStyle name="40% - Accent1 2 8 3 2 2 2 2" xfId="24772"/>
    <cellStyle name="40% - Accent1 2 8 3 2 2 3" xfId="24773"/>
    <cellStyle name="40% - Accent1 2 8 3 2 3" xfId="24774"/>
    <cellStyle name="40% - Accent1 2 8 3 2 3 2" xfId="24775"/>
    <cellStyle name="40% - Accent1 2 8 3 2 4" xfId="24776"/>
    <cellStyle name="40% - Accent1 2 8 3 3" xfId="24777"/>
    <cellStyle name="40% - Accent1 2 8 3 3 2" xfId="24778"/>
    <cellStyle name="40% - Accent1 2 8 3 3 2 2" xfId="24779"/>
    <cellStyle name="40% - Accent1 2 8 3 3 3" xfId="24780"/>
    <cellStyle name="40% - Accent1 2 8 3 4" xfId="24781"/>
    <cellStyle name="40% - Accent1 2 8 3 4 2" xfId="24782"/>
    <cellStyle name="40% - Accent1 2 8 3 5" xfId="24783"/>
    <cellStyle name="40% - Accent1 2 8 4" xfId="24784"/>
    <cellStyle name="40% - Accent1 2 8 4 2" xfId="24785"/>
    <cellStyle name="40% - Accent1 2 8 4 2 2" xfId="24786"/>
    <cellStyle name="40% - Accent1 2 8 4 2 2 2" xfId="24787"/>
    <cellStyle name="40% - Accent1 2 8 4 2 2 2 2" xfId="24788"/>
    <cellStyle name="40% - Accent1 2 8 4 2 2 3" xfId="24789"/>
    <cellStyle name="40% - Accent1 2 8 4 2 3" xfId="24790"/>
    <cellStyle name="40% - Accent1 2 8 4 2 3 2" xfId="24791"/>
    <cellStyle name="40% - Accent1 2 8 4 2 4" xfId="24792"/>
    <cellStyle name="40% - Accent1 2 8 4 3" xfId="24793"/>
    <cellStyle name="40% - Accent1 2 8 4 3 2" xfId="24794"/>
    <cellStyle name="40% - Accent1 2 8 4 3 2 2" xfId="24795"/>
    <cellStyle name="40% - Accent1 2 8 4 3 3" xfId="24796"/>
    <cellStyle name="40% - Accent1 2 8 4 4" xfId="24797"/>
    <cellStyle name="40% - Accent1 2 8 4 4 2" xfId="24798"/>
    <cellStyle name="40% - Accent1 2 8 4 5" xfId="24799"/>
    <cellStyle name="40% - Accent1 2 8 5" xfId="24800"/>
    <cellStyle name="40% - Accent1 2 8 5 2" xfId="24801"/>
    <cellStyle name="40% - Accent1 2 8 5 2 2" xfId="24802"/>
    <cellStyle name="40% - Accent1 2 8 5 2 2 2" xfId="24803"/>
    <cellStyle name="40% - Accent1 2 8 5 2 2 2 2" xfId="24804"/>
    <cellStyle name="40% - Accent1 2 8 5 2 2 3" xfId="24805"/>
    <cellStyle name="40% - Accent1 2 8 5 2 3" xfId="24806"/>
    <cellStyle name="40% - Accent1 2 8 5 2 3 2" xfId="24807"/>
    <cellStyle name="40% - Accent1 2 8 5 2 4" xfId="24808"/>
    <cellStyle name="40% - Accent1 2 8 5 3" xfId="24809"/>
    <cellStyle name="40% - Accent1 2 8 5 3 2" xfId="24810"/>
    <cellStyle name="40% - Accent1 2 8 5 3 2 2" xfId="24811"/>
    <cellStyle name="40% - Accent1 2 8 5 3 3" xfId="24812"/>
    <cellStyle name="40% - Accent1 2 8 5 4" xfId="24813"/>
    <cellStyle name="40% - Accent1 2 8 5 4 2" xfId="24814"/>
    <cellStyle name="40% - Accent1 2 8 5 5" xfId="24815"/>
    <cellStyle name="40% - Accent1 2 8 6" xfId="24816"/>
    <cellStyle name="40% - Accent1 2 8 6 2" xfId="24817"/>
    <cellStyle name="40% - Accent1 2 8 6 2 2" xfId="24818"/>
    <cellStyle name="40% - Accent1 2 8 6 2 2 2" xfId="24819"/>
    <cellStyle name="40% - Accent1 2 8 6 2 2 2 2" xfId="24820"/>
    <cellStyle name="40% - Accent1 2 8 6 2 2 3" xfId="24821"/>
    <cellStyle name="40% - Accent1 2 8 6 2 3" xfId="24822"/>
    <cellStyle name="40% - Accent1 2 8 6 2 3 2" xfId="24823"/>
    <cellStyle name="40% - Accent1 2 8 6 2 4" xfId="24824"/>
    <cellStyle name="40% - Accent1 2 8 6 3" xfId="24825"/>
    <cellStyle name="40% - Accent1 2 8 6 3 2" xfId="24826"/>
    <cellStyle name="40% - Accent1 2 8 6 3 2 2" xfId="24827"/>
    <cellStyle name="40% - Accent1 2 8 6 3 3" xfId="24828"/>
    <cellStyle name="40% - Accent1 2 8 6 4" xfId="24829"/>
    <cellStyle name="40% - Accent1 2 8 6 4 2" xfId="24830"/>
    <cellStyle name="40% - Accent1 2 8 6 5" xfId="24831"/>
    <cellStyle name="40% - Accent1 2 8 7" xfId="24832"/>
    <cellStyle name="40% - Accent1 2 8 7 2" xfId="24833"/>
    <cellStyle name="40% - Accent1 2 8 7 2 2" xfId="24834"/>
    <cellStyle name="40% - Accent1 2 8 7 2 2 2" xfId="24835"/>
    <cellStyle name="40% - Accent1 2 8 7 2 2 2 2" xfId="24836"/>
    <cellStyle name="40% - Accent1 2 8 7 2 2 3" xfId="24837"/>
    <cellStyle name="40% - Accent1 2 8 7 2 3" xfId="24838"/>
    <cellStyle name="40% - Accent1 2 8 7 2 3 2" xfId="24839"/>
    <cellStyle name="40% - Accent1 2 8 7 2 4" xfId="24840"/>
    <cellStyle name="40% - Accent1 2 8 7 3" xfId="24841"/>
    <cellStyle name="40% - Accent1 2 8 7 3 2" xfId="24842"/>
    <cellStyle name="40% - Accent1 2 8 7 3 2 2" xfId="24843"/>
    <cellStyle name="40% - Accent1 2 8 7 3 3" xfId="24844"/>
    <cellStyle name="40% - Accent1 2 8 7 4" xfId="24845"/>
    <cellStyle name="40% - Accent1 2 8 7 4 2" xfId="24846"/>
    <cellStyle name="40% - Accent1 2 8 7 5" xfId="24847"/>
    <cellStyle name="40% - Accent1 2 8 8" xfId="24848"/>
    <cellStyle name="40% - Accent1 2 8 8 2" xfId="24849"/>
    <cellStyle name="40% - Accent1 2 8 8 2 2" xfId="24850"/>
    <cellStyle name="40% - Accent1 2 8 8 2 2 2" xfId="24851"/>
    <cellStyle name="40% - Accent1 2 8 8 2 3" xfId="24852"/>
    <cellStyle name="40% - Accent1 2 8 8 3" xfId="24853"/>
    <cellStyle name="40% - Accent1 2 8 8 3 2" xfId="24854"/>
    <cellStyle name="40% - Accent1 2 8 8 4" xfId="24855"/>
    <cellStyle name="40% - Accent1 2 8 9" xfId="24856"/>
    <cellStyle name="40% - Accent1 2 8 9 2" xfId="24857"/>
    <cellStyle name="40% - Accent1 2 8 9 2 2" xfId="24858"/>
    <cellStyle name="40% - Accent1 2 8 9 3" xfId="24859"/>
    <cellStyle name="40% - Accent1 2 9" xfId="24860"/>
    <cellStyle name="40% - Accent1 2 9 10" xfId="24861"/>
    <cellStyle name="40% - Accent1 2 9 10 2" xfId="24862"/>
    <cellStyle name="40% - Accent1 2 9 11" xfId="24863"/>
    <cellStyle name="40% - Accent1 2 9 2" xfId="24864"/>
    <cellStyle name="40% - Accent1 2 9 2 10" xfId="24865"/>
    <cellStyle name="40% - Accent1 2 9 2 2" xfId="24866"/>
    <cellStyle name="40% - Accent1 2 9 2 2 2" xfId="24867"/>
    <cellStyle name="40% - Accent1 2 9 2 2 2 2" xfId="24868"/>
    <cellStyle name="40% - Accent1 2 9 2 2 2 2 2" xfId="24869"/>
    <cellStyle name="40% - Accent1 2 9 2 2 2 2 2 2" xfId="24870"/>
    <cellStyle name="40% - Accent1 2 9 2 2 2 2 3" xfId="24871"/>
    <cellStyle name="40% - Accent1 2 9 2 2 2 3" xfId="24872"/>
    <cellStyle name="40% - Accent1 2 9 2 2 2 3 2" xfId="24873"/>
    <cellStyle name="40% - Accent1 2 9 2 2 2 4" xfId="24874"/>
    <cellStyle name="40% - Accent1 2 9 2 2 3" xfId="24875"/>
    <cellStyle name="40% - Accent1 2 9 2 2 3 2" xfId="24876"/>
    <cellStyle name="40% - Accent1 2 9 2 2 3 2 2" xfId="24877"/>
    <cellStyle name="40% - Accent1 2 9 2 2 3 3" xfId="24878"/>
    <cellStyle name="40% - Accent1 2 9 2 2 4" xfId="24879"/>
    <cellStyle name="40% - Accent1 2 9 2 2 4 2" xfId="24880"/>
    <cellStyle name="40% - Accent1 2 9 2 2 5" xfId="24881"/>
    <cellStyle name="40% - Accent1 2 9 2 3" xfId="24882"/>
    <cellStyle name="40% - Accent1 2 9 2 3 2" xfId="24883"/>
    <cellStyle name="40% - Accent1 2 9 2 3 2 2" xfId="24884"/>
    <cellStyle name="40% - Accent1 2 9 2 3 2 2 2" xfId="24885"/>
    <cellStyle name="40% - Accent1 2 9 2 3 2 2 2 2" xfId="24886"/>
    <cellStyle name="40% - Accent1 2 9 2 3 2 2 3" xfId="24887"/>
    <cellStyle name="40% - Accent1 2 9 2 3 2 3" xfId="24888"/>
    <cellStyle name="40% - Accent1 2 9 2 3 2 3 2" xfId="24889"/>
    <cellStyle name="40% - Accent1 2 9 2 3 2 4" xfId="24890"/>
    <cellStyle name="40% - Accent1 2 9 2 3 3" xfId="24891"/>
    <cellStyle name="40% - Accent1 2 9 2 3 3 2" xfId="24892"/>
    <cellStyle name="40% - Accent1 2 9 2 3 3 2 2" xfId="24893"/>
    <cellStyle name="40% - Accent1 2 9 2 3 3 3" xfId="24894"/>
    <cellStyle name="40% - Accent1 2 9 2 3 4" xfId="24895"/>
    <cellStyle name="40% - Accent1 2 9 2 3 4 2" xfId="24896"/>
    <cellStyle name="40% - Accent1 2 9 2 3 5" xfId="24897"/>
    <cellStyle name="40% - Accent1 2 9 2 4" xfId="24898"/>
    <cellStyle name="40% - Accent1 2 9 2 4 2" xfId="24899"/>
    <cellStyle name="40% - Accent1 2 9 2 4 2 2" xfId="24900"/>
    <cellStyle name="40% - Accent1 2 9 2 4 2 2 2" xfId="24901"/>
    <cellStyle name="40% - Accent1 2 9 2 4 2 2 2 2" xfId="24902"/>
    <cellStyle name="40% - Accent1 2 9 2 4 2 2 3" xfId="24903"/>
    <cellStyle name="40% - Accent1 2 9 2 4 2 3" xfId="24904"/>
    <cellStyle name="40% - Accent1 2 9 2 4 2 3 2" xfId="24905"/>
    <cellStyle name="40% - Accent1 2 9 2 4 2 4" xfId="24906"/>
    <cellStyle name="40% - Accent1 2 9 2 4 3" xfId="24907"/>
    <cellStyle name="40% - Accent1 2 9 2 4 3 2" xfId="24908"/>
    <cellStyle name="40% - Accent1 2 9 2 4 3 2 2" xfId="24909"/>
    <cellStyle name="40% - Accent1 2 9 2 4 3 3" xfId="24910"/>
    <cellStyle name="40% - Accent1 2 9 2 4 4" xfId="24911"/>
    <cellStyle name="40% - Accent1 2 9 2 4 4 2" xfId="24912"/>
    <cellStyle name="40% - Accent1 2 9 2 4 5" xfId="24913"/>
    <cellStyle name="40% - Accent1 2 9 2 5" xfId="24914"/>
    <cellStyle name="40% - Accent1 2 9 2 5 2" xfId="24915"/>
    <cellStyle name="40% - Accent1 2 9 2 5 2 2" xfId="24916"/>
    <cellStyle name="40% - Accent1 2 9 2 5 2 2 2" xfId="24917"/>
    <cellStyle name="40% - Accent1 2 9 2 5 2 2 2 2" xfId="24918"/>
    <cellStyle name="40% - Accent1 2 9 2 5 2 2 3" xfId="24919"/>
    <cellStyle name="40% - Accent1 2 9 2 5 2 3" xfId="24920"/>
    <cellStyle name="40% - Accent1 2 9 2 5 2 3 2" xfId="24921"/>
    <cellStyle name="40% - Accent1 2 9 2 5 2 4" xfId="24922"/>
    <cellStyle name="40% - Accent1 2 9 2 5 3" xfId="24923"/>
    <cellStyle name="40% - Accent1 2 9 2 5 3 2" xfId="24924"/>
    <cellStyle name="40% - Accent1 2 9 2 5 3 2 2" xfId="24925"/>
    <cellStyle name="40% - Accent1 2 9 2 5 3 3" xfId="24926"/>
    <cellStyle name="40% - Accent1 2 9 2 5 4" xfId="24927"/>
    <cellStyle name="40% - Accent1 2 9 2 5 4 2" xfId="24928"/>
    <cellStyle name="40% - Accent1 2 9 2 5 5" xfId="24929"/>
    <cellStyle name="40% - Accent1 2 9 2 6" xfId="24930"/>
    <cellStyle name="40% - Accent1 2 9 2 6 2" xfId="24931"/>
    <cellStyle name="40% - Accent1 2 9 2 6 2 2" xfId="24932"/>
    <cellStyle name="40% - Accent1 2 9 2 6 2 2 2" xfId="24933"/>
    <cellStyle name="40% - Accent1 2 9 2 6 2 2 2 2" xfId="24934"/>
    <cellStyle name="40% - Accent1 2 9 2 6 2 2 3" xfId="24935"/>
    <cellStyle name="40% - Accent1 2 9 2 6 2 3" xfId="24936"/>
    <cellStyle name="40% - Accent1 2 9 2 6 2 3 2" xfId="24937"/>
    <cellStyle name="40% - Accent1 2 9 2 6 2 4" xfId="24938"/>
    <cellStyle name="40% - Accent1 2 9 2 6 3" xfId="24939"/>
    <cellStyle name="40% - Accent1 2 9 2 6 3 2" xfId="24940"/>
    <cellStyle name="40% - Accent1 2 9 2 6 3 2 2" xfId="24941"/>
    <cellStyle name="40% - Accent1 2 9 2 6 3 3" xfId="24942"/>
    <cellStyle name="40% - Accent1 2 9 2 6 4" xfId="24943"/>
    <cellStyle name="40% - Accent1 2 9 2 6 4 2" xfId="24944"/>
    <cellStyle name="40% - Accent1 2 9 2 6 5" xfId="24945"/>
    <cellStyle name="40% - Accent1 2 9 2 7" xfId="24946"/>
    <cellStyle name="40% - Accent1 2 9 2 7 2" xfId="24947"/>
    <cellStyle name="40% - Accent1 2 9 2 7 2 2" xfId="24948"/>
    <cellStyle name="40% - Accent1 2 9 2 7 2 2 2" xfId="24949"/>
    <cellStyle name="40% - Accent1 2 9 2 7 2 3" xfId="24950"/>
    <cellStyle name="40% - Accent1 2 9 2 7 3" xfId="24951"/>
    <cellStyle name="40% - Accent1 2 9 2 7 3 2" xfId="24952"/>
    <cellStyle name="40% - Accent1 2 9 2 7 4" xfId="24953"/>
    <cellStyle name="40% - Accent1 2 9 2 8" xfId="24954"/>
    <cellStyle name="40% - Accent1 2 9 2 8 2" xfId="24955"/>
    <cellStyle name="40% - Accent1 2 9 2 8 2 2" xfId="24956"/>
    <cellStyle name="40% - Accent1 2 9 2 8 3" xfId="24957"/>
    <cellStyle name="40% - Accent1 2 9 2 9" xfId="24958"/>
    <cellStyle name="40% - Accent1 2 9 2 9 2" xfId="24959"/>
    <cellStyle name="40% - Accent1 2 9 3" xfId="24960"/>
    <cellStyle name="40% - Accent1 2 9 3 2" xfId="24961"/>
    <cellStyle name="40% - Accent1 2 9 3 2 2" xfId="24962"/>
    <cellStyle name="40% - Accent1 2 9 3 2 2 2" xfId="24963"/>
    <cellStyle name="40% - Accent1 2 9 3 2 2 2 2" xfId="24964"/>
    <cellStyle name="40% - Accent1 2 9 3 2 2 3" xfId="24965"/>
    <cellStyle name="40% - Accent1 2 9 3 2 3" xfId="24966"/>
    <cellStyle name="40% - Accent1 2 9 3 2 3 2" xfId="24967"/>
    <cellStyle name="40% - Accent1 2 9 3 2 4" xfId="24968"/>
    <cellStyle name="40% - Accent1 2 9 3 3" xfId="24969"/>
    <cellStyle name="40% - Accent1 2 9 3 3 2" xfId="24970"/>
    <cellStyle name="40% - Accent1 2 9 3 3 2 2" xfId="24971"/>
    <cellStyle name="40% - Accent1 2 9 3 3 3" xfId="24972"/>
    <cellStyle name="40% - Accent1 2 9 3 4" xfId="24973"/>
    <cellStyle name="40% - Accent1 2 9 3 4 2" xfId="24974"/>
    <cellStyle name="40% - Accent1 2 9 3 5" xfId="24975"/>
    <cellStyle name="40% - Accent1 2 9 4" xfId="24976"/>
    <cellStyle name="40% - Accent1 2 9 4 2" xfId="24977"/>
    <cellStyle name="40% - Accent1 2 9 4 2 2" xfId="24978"/>
    <cellStyle name="40% - Accent1 2 9 4 2 2 2" xfId="24979"/>
    <cellStyle name="40% - Accent1 2 9 4 2 2 2 2" xfId="24980"/>
    <cellStyle name="40% - Accent1 2 9 4 2 2 3" xfId="24981"/>
    <cellStyle name="40% - Accent1 2 9 4 2 3" xfId="24982"/>
    <cellStyle name="40% - Accent1 2 9 4 2 3 2" xfId="24983"/>
    <cellStyle name="40% - Accent1 2 9 4 2 4" xfId="24984"/>
    <cellStyle name="40% - Accent1 2 9 4 3" xfId="24985"/>
    <cellStyle name="40% - Accent1 2 9 4 3 2" xfId="24986"/>
    <cellStyle name="40% - Accent1 2 9 4 3 2 2" xfId="24987"/>
    <cellStyle name="40% - Accent1 2 9 4 3 3" xfId="24988"/>
    <cellStyle name="40% - Accent1 2 9 4 4" xfId="24989"/>
    <cellStyle name="40% - Accent1 2 9 4 4 2" xfId="24990"/>
    <cellStyle name="40% - Accent1 2 9 4 5" xfId="24991"/>
    <cellStyle name="40% - Accent1 2 9 5" xfId="24992"/>
    <cellStyle name="40% - Accent1 2 9 5 2" xfId="24993"/>
    <cellStyle name="40% - Accent1 2 9 5 2 2" xfId="24994"/>
    <cellStyle name="40% - Accent1 2 9 5 2 2 2" xfId="24995"/>
    <cellStyle name="40% - Accent1 2 9 5 2 2 2 2" xfId="24996"/>
    <cellStyle name="40% - Accent1 2 9 5 2 2 3" xfId="24997"/>
    <cellStyle name="40% - Accent1 2 9 5 2 3" xfId="24998"/>
    <cellStyle name="40% - Accent1 2 9 5 2 3 2" xfId="24999"/>
    <cellStyle name="40% - Accent1 2 9 5 2 4" xfId="25000"/>
    <cellStyle name="40% - Accent1 2 9 5 3" xfId="25001"/>
    <cellStyle name="40% - Accent1 2 9 5 3 2" xfId="25002"/>
    <cellStyle name="40% - Accent1 2 9 5 3 2 2" xfId="25003"/>
    <cellStyle name="40% - Accent1 2 9 5 3 3" xfId="25004"/>
    <cellStyle name="40% - Accent1 2 9 5 4" xfId="25005"/>
    <cellStyle name="40% - Accent1 2 9 5 4 2" xfId="25006"/>
    <cellStyle name="40% - Accent1 2 9 5 5" xfId="25007"/>
    <cellStyle name="40% - Accent1 2 9 6" xfId="25008"/>
    <cellStyle name="40% - Accent1 2 9 6 2" xfId="25009"/>
    <cellStyle name="40% - Accent1 2 9 6 2 2" xfId="25010"/>
    <cellStyle name="40% - Accent1 2 9 6 2 2 2" xfId="25011"/>
    <cellStyle name="40% - Accent1 2 9 6 2 2 2 2" xfId="25012"/>
    <cellStyle name="40% - Accent1 2 9 6 2 2 3" xfId="25013"/>
    <cellStyle name="40% - Accent1 2 9 6 2 3" xfId="25014"/>
    <cellStyle name="40% - Accent1 2 9 6 2 3 2" xfId="25015"/>
    <cellStyle name="40% - Accent1 2 9 6 2 4" xfId="25016"/>
    <cellStyle name="40% - Accent1 2 9 6 3" xfId="25017"/>
    <cellStyle name="40% - Accent1 2 9 6 3 2" xfId="25018"/>
    <cellStyle name="40% - Accent1 2 9 6 3 2 2" xfId="25019"/>
    <cellStyle name="40% - Accent1 2 9 6 3 3" xfId="25020"/>
    <cellStyle name="40% - Accent1 2 9 6 4" xfId="25021"/>
    <cellStyle name="40% - Accent1 2 9 6 4 2" xfId="25022"/>
    <cellStyle name="40% - Accent1 2 9 6 5" xfId="25023"/>
    <cellStyle name="40% - Accent1 2 9 7" xfId="25024"/>
    <cellStyle name="40% - Accent1 2 9 7 2" xfId="25025"/>
    <cellStyle name="40% - Accent1 2 9 7 2 2" xfId="25026"/>
    <cellStyle name="40% - Accent1 2 9 7 2 2 2" xfId="25027"/>
    <cellStyle name="40% - Accent1 2 9 7 2 2 2 2" xfId="25028"/>
    <cellStyle name="40% - Accent1 2 9 7 2 2 3" xfId="25029"/>
    <cellStyle name="40% - Accent1 2 9 7 2 3" xfId="25030"/>
    <cellStyle name="40% - Accent1 2 9 7 2 3 2" xfId="25031"/>
    <cellStyle name="40% - Accent1 2 9 7 2 4" xfId="25032"/>
    <cellStyle name="40% - Accent1 2 9 7 3" xfId="25033"/>
    <cellStyle name="40% - Accent1 2 9 7 3 2" xfId="25034"/>
    <cellStyle name="40% - Accent1 2 9 7 3 2 2" xfId="25035"/>
    <cellStyle name="40% - Accent1 2 9 7 3 3" xfId="25036"/>
    <cellStyle name="40% - Accent1 2 9 7 4" xfId="25037"/>
    <cellStyle name="40% - Accent1 2 9 7 4 2" xfId="25038"/>
    <cellStyle name="40% - Accent1 2 9 7 5" xfId="25039"/>
    <cellStyle name="40% - Accent1 2 9 8" xfId="25040"/>
    <cellStyle name="40% - Accent1 2 9 8 2" xfId="25041"/>
    <cellStyle name="40% - Accent1 2 9 8 2 2" xfId="25042"/>
    <cellStyle name="40% - Accent1 2 9 8 2 2 2" xfId="25043"/>
    <cellStyle name="40% - Accent1 2 9 8 2 3" xfId="25044"/>
    <cellStyle name="40% - Accent1 2 9 8 3" xfId="25045"/>
    <cellStyle name="40% - Accent1 2 9 8 3 2" xfId="25046"/>
    <cellStyle name="40% - Accent1 2 9 8 4" xfId="25047"/>
    <cellStyle name="40% - Accent1 2 9 9" xfId="25048"/>
    <cellStyle name="40% - Accent1 2 9 9 2" xfId="25049"/>
    <cellStyle name="40% - Accent1 2 9 9 2 2" xfId="25050"/>
    <cellStyle name="40% - Accent1 2 9 9 3" xfId="25051"/>
    <cellStyle name="40% - Accent1 20" xfId="25052"/>
    <cellStyle name="40% - Accent1 20 2" xfId="25053"/>
    <cellStyle name="40% - Accent1 20 2 2" xfId="25054"/>
    <cellStyle name="40% - Accent1 20 2 2 2" xfId="25055"/>
    <cellStyle name="40% - Accent1 20 2 2 2 2" xfId="25056"/>
    <cellStyle name="40% - Accent1 20 2 2 3" xfId="25057"/>
    <cellStyle name="40% - Accent1 20 2 3" xfId="25058"/>
    <cellStyle name="40% - Accent1 20 2 3 2" xfId="25059"/>
    <cellStyle name="40% - Accent1 20 2 4" xfId="25060"/>
    <cellStyle name="40% - Accent1 20 3" xfId="25061"/>
    <cellStyle name="40% - Accent1 20 3 2" xfId="25062"/>
    <cellStyle name="40% - Accent1 20 3 2 2" xfId="25063"/>
    <cellStyle name="40% - Accent1 20 3 3" xfId="25064"/>
    <cellStyle name="40% - Accent1 20 4" xfId="25065"/>
    <cellStyle name="40% - Accent1 20 4 2" xfId="25066"/>
    <cellStyle name="40% - Accent1 20 5" xfId="25067"/>
    <cellStyle name="40% - Accent1 21" xfId="25068"/>
    <cellStyle name="40% - Accent1 21 2" xfId="25069"/>
    <cellStyle name="40% - Accent1 21 2 2" xfId="25070"/>
    <cellStyle name="40% - Accent1 21 2 2 2" xfId="25071"/>
    <cellStyle name="40% - Accent1 21 2 3" xfId="25072"/>
    <cellStyle name="40% - Accent1 21 3" xfId="25073"/>
    <cellStyle name="40% - Accent1 21 3 2" xfId="25074"/>
    <cellStyle name="40% - Accent1 21 4" xfId="25075"/>
    <cellStyle name="40% - Accent1 22" xfId="25076"/>
    <cellStyle name="40% - Accent1 22 2" xfId="25077"/>
    <cellStyle name="40% - Accent1 22 2 2" xfId="25078"/>
    <cellStyle name="40% - Accent1 22 3" xfId="25079"/>
    <cellStyle name="40% - Accent1 23" xfId="25080"/>
    <cellStyle name="40% - Accent1 23 2" xfId="25081"/>
    <cellStyle name="40% - Accent1 24" xfId="25082"/>
    <cellStyle name="40% - Accent1 3" xfId="25083"/>
    <cellStyle name="40% - Accent1 3 10" xfId="25084"/>
    <cellStyle name="40% - Accent1 3 10 2" xfId="25085"/>
    <cellStyle name="40% - Accent1 3 11" xfId="25086"/>
    <cellStyle name="40% - Accent1 3 2" xfId="25087"/>
    <cellStyle name="40% - Accent1 3 2 10" xfId="25088"/>
    <cellStyle name="40% - Accent1 3 2 2" xfId="25089"/>
    <cellStyle name="40% - Accent1 3 2 2 2" xfId="25090"/>
    <cellStyle name="40% - Accent1 3 2 2 2 2" xfId="25091"/>
    <cellStyle name="40% - Accent1 3 2 2 2 2 2" xfId="25092"/>
    <cellStyle name="40% - Accent1 3 2 2 2 2 2 2" xfId="25093"/>
    <cellStyle name="40% - Accent1 3 2 2 2 2 3" xfId="25094"/>
    <cellStyle name="40% - Accent1 3 2 2 2 3" xfId="25095"/>
    <cellStyle name="40% - Accent1 3 2 2 2 3 2" xfId="25096"/>
    <cellStyle name="40% - Accent1 3 2 2 2 4" xfId="25097"/>
    <cellStyle name="40% - Accent1 3 2 2 3" xfId="25098"/>
    <cellStyle name="40% - Accent1 3 2 2 3 2" xfId="25099"/>
    <cellStyle name="40% - Accent1 3 2 2 3 2 2" xfId="25100"/>
    <cellStyle name="40% - Accent1 3 2 2 3 3" xfId="25101"/>
    <cellStyle name="40% - Accent1 3 2 2 4" xfId="25102"/>
    <cellStyle name="40% - Accent1 3 2 2 4 2" xfId="25103"/>
    <cellStyle name="40% - Accent1 3 2 2 5" xfId="25104"/>
    <cellStyle name="40% - Accent1 3 2 3" xfId="25105"/>
    <cellStyle name="40% - Accent1 3 2 3 2" xfId="25106"/>
    <cellStyle name="40% - Accent1 3 2 3 2 2" xfId="25107"/>
    <cellStyle name="40% - Accent1 3 2 3 2 2 2" xfId="25108"/>
    <cellStyle name="40% - Accent1 3 2 3 2 2 2 2" xfId="25109"/>
    <cellStyle name="40% - Accent1 3 2 3 2 2 3" xfId="25110"/>
    <cellStyle name="40% - Accent1 3 2 3 2 3" xfId="25111"/>
    <cellStyle name="40% - Accent1 3 2 3 2 3 2" xfId="25112"/>
    <cellStyle name="40% - Accent1 3 2 3 2 4" xfId="25113"/>
    <cellStyle name="40% - Accent1 3 2 3 3" xfId="25114"/>
    <cellStyle name="40% - Accent1 3 2 3 3 2" xfId="25115"/>
    <cellStyle name="40% - Accent1 3 2 3 3 2 2" xfId="25116"/>
    <cellStyle name="40% - Accent1 3 2 3 3 3" xfId="25117"/>
    <cellStyle name="40% - Accent1 3 2 3 4" xfId="25118"/>
    <cellStyle name="40% - Accent1 3 2 3 4 2" xfId="25119"/>
    <cellStyle name="40% - Accent1 3 2 3 5" xfId="25120"/>
    <cellStyle name="40% - Accent1 3 2 4" xfId="25121"/>
    <cellStyle name="40% - Accent1 3 2 4 2" xfId="25122"/>
    <cellStyle name="40% - Accent1 3 2 4 2 2" xfId="25123"/>
    <cellStyle name="40% - Accent1 3 2 4 2 2 2" xfId="25124"/>
    <cellStyle name="40% - Accent1 3 2 4 2 2 2 2" xfId="25125"/>
    <cellStyle name="40% - Accent1 3 2 4 2 2 3" xfId="25126"/>
    <cellStyle name="40% - Accent1 3 2 4 2 3" xfId="25127"/>
    <cellStyle name="40% - Accent1 3 2 4 2 3 2" xfId="25128"/>
    <cellStyle name="40% - Accent1 3 2 4 2 4" xfId="25129"/>
    <cellStyle name="40% - Accent1 3 2 4 3" xfId="25130"/>
    <cellStyle name="40% - Accent1 3 2 4 3 2" xfId="25131"/>
    <cellStyle name="40% - Accent1 3 2 4 3 2 2" xfId="25132"/>
    <cellStyle name="40% - Accent1 3 2 4 3 3" xfId="25133"/>
    <cellStyle name="40% - Accent1 3 2 4 4" xfId="25134"/>
    <cellStyle name="40% - Accent1 3 2 4 4 2" xfId="25135"/>
    <cellStyle name="40% - Accent1 3 2 4 5" xfId="25136"/>
    <cellStyle name="40% - Accent1 3 2 5" xfId="25137"/>
    <cellStyle name="40% - Accent1 3 2 5 2" xfId="25138"/>
    <cellStyle name="40% - Accent1 3 2 5 2 2" xfId="25139"/>
    <cellStyle name="40% - Accent1 3 2 5 2 2 2" xfId="25140"/>
    <cellStyle name="40% - Accent1 3 2 5 2 2 2 2" xfId="25141"/>
    <cellStyle name="40% - Accent1 3 2 5 2 2 3" xfId="25142"/>
    <cellStyle name="40% - Accent1 3 2 5 2 3" xfId="25143"/>
    <cellStyle name="40% - Accent1 3 2 5 2 3 2" xfId="25144"/>
    <cellStyle name="40% - Accent1 3 2 5 2 4" xfId="25145"/>
    <cellStyle name="40% - Accent1 3 2 5 3" xfId="25146"/>
    <cellStyle name="40% - Accent1 3 2 5 3 2" xfId="25147"/>
    <cellStyle name="40% - Accent1 3 2 5 3 2 2" xfId="25148"/>
    <cellStyle name="40% - Accent1 3 2 5 3 3" xfId="25149"/>
    <cellStyle name="40% - Accent1 3 2 5 4" xfId="25150"/>
    <cellStyle name="40% - Accent1 3 2 5 4 2" xfId="25151"/>
    <cellStyle name="40% - Accent1 3 2 5 5" xfId="25152"/>
    <cellStyle name="40% - Accent1 3 2 6" xfId="25153"/>
    <cellStyle name="40% - Accent1 3 2 6 2" xfId="25154"/>
    <cellStyle name="40% - Accent1 3 2 6 2 2" xfId="25155"/>
    <cellStyle name="40% - Accent1 3 2 6 2 2 2" xfId="25156"/>
    <cellStyle name="40% - Accent1 3 2 6 2 2 2 2" xfId="25157"/>
    <cellStyle name="40% - Accent1 3 2 6 2 2 3" xfId="25158"/>
    <cellStyle name="40% - Accent1 3 2 6 2 3" xfId="25159"/>
    <cellStyle name="40% - Accent1 3 2 6 2 3 2" xfId="25160"/>
    <cellStyle name="40% - Accent1 3 2 6 2 4" xfId="25161"/>
    <cellStyle name="40% - Accent1 3 2 6 3" xfId="25162"/>
    <cellStyle name="40% - Accent1 3 2 6 3 2" xfId="25163"/>
    <cellStyle name="40% - Accent1 3 2 6 3 2 2" xfId="25164"/>
    <cellStyle name="40% - Accent1 3 2 6 3 3" xfId="25165"/>
    <cellStyle name="40% - Accent1 3 2 6 4" xfId="25166"/>
    <cellStyle name="40% - Accent1 3 2 6 4 2" xfId="25167"/>
    <cellStyle name="40% - Accent1 3 2 6 5" xfId="25168"/>
    <cellStyle name="40% - Accent1 3 2 7" xfId="25169"/>
    <cellStyle name="40% - Accent1 3 2 7 2" xfId="25170"/>
    <cellStyle name="40% - Accent1 3 2 7 2 2" xfId="25171"/>
    <cellStyle name="40% - Accent1 3 2 7 2 2 2" xfId="25172"/>
    <cellStyle name="40% - Accent1 3 2 7 2 3" xfId="25173"/>
    <cellStyle name="40% - Accent1 3 2 7 3" xfId="25174"/>
    <cellStyle name="40% - Accent1 3 2 7 3 2" xfId="25175"/>
    <cellStyle name="40% - Accent1 3 2 7 4" xfId="25176"/>
    <cellStyle name="40% - Accent1 3 2 8" xfId="25177"/>
    <cellStyle name="40% - Accent1 3 2 8 2" xfId="25178"/>
    <cellStyle name="40% - Accent1 3 2 8 2 2" xfId="25179"/>
    <cellStyle name="40% - Accent1 3 2 8 3" xfId="25180"/>
    <cellStyle name="40% - Accent1 3 2 9" xfId="25181"/>
    <cellStyle name="40% - Accent1 3 2 9 2" xfId="25182"/>
    <cellStyle name="40% - Accent1 3 3" xfId="25183"/>
    <cellStyle name="40% - Accent1 3 3 2" xfId="25184"/>
    <cellStyle name="40% - Accent1 3 3 2 2" xfId="25185"/>
    <cellStyle name="40% - Accent1 3 3 2 2 2" xfId="25186"/>
    <cellStyle name="40% - Accent1 3 3 2 2 2 2" xfId="25187"/>
    <cellStyle name="40% - Accent1 3 3 2 2 3" xfId="25188"/>
    <cellStyle name="40% - Accent1 3 3 2 3" xfId="25189"/>
    <cellStyle name="40% - Accent1 3 3 2 3 2" xfId="25190"/>
    <cellStyle name="40% - Accent1 3 3 2 4" xfId="25191"/>
    <cellStyle name="40% - Accent1 3 3 3" xfId="25192"/>
    <cellStyle name="40% - Accent1 3 3 3 2" xfId="25193"/>
    <cellStyle name="40% - Accent1 3 3 3 2 2" xfId="25194"/>
    <cellStyle name="40% - Accent1 3 3 3 3" xfId="25195"/>
    <cellStyle name="40% - Accent1 3 3 4" xfId="25196"/>
    <cellStyle name="40% - Accent1 3 3 4 2" xfId="25197"/>
    <cellStyle name="40% - Accent1 3 3 5" xfId="25198"/>
    <cellStyle name="40% - Accent1 3 4" xfId="25199"/>
    <cellStyle name="40% - Accent1 3 4 2" xfId="25200"/>
    <cellStyle name="40% - Accent1 3 4 2 2" xfId="25201"/>
    <cellStyle name="40% - Accent1 3 4 2 2 2" xfId="25202"/>
    <cellStyle name="40% - Accent1 3 4 2 2 2 2" xfId="25203"/>
    <cellStyle name="40% - Accent1 3 4 2 2 3" xfId="25204"/>
    <cellStyle name="40% - Accent1 3 4 2 3" xfId="25205"/>
    <cellStyle name="40% - Accent1 3 4 2 3 2" xfId="25206"/>
    <cellStyle name="40% - Accent1 3 4 2 4" xfId="25207"/>
    <cellStyle name="40% - Accent1 3 4 3" xfId="25208"/>
    <cellStyle name="40% - Accent1 3 4 3 2" xfId="25209"/>
    <cellStyle name="40% - Accent1 3 4 3 2 2" xfId="25210"/>
    <cellStyle name="40% - Accent1 3 4 3 3" xfId="25211"/>
    <cellStyle name="40% - Accent1 3 4 4" xfId="25212"/>
    <cellStyle name="40% - Accent1 3 4 4 2" xfId="25213"/>
    <cellStyle name="40% - Accent1 3 4 5" xfId="25214"/>
    <cellStyle name="40% - Accent1 3 5" xfId="25215"/>
    <cellStyle name="40% - Accent1 3 5 2" xfId="25216"/>
    <cellStyle name="40% - Accent1 3 5 2 2" xfId="25217"/>
    <cellStyle name="40% - Accent1 3 5 2 2 2" xfId="25218"/>
    <cellStyle name="40% - Accent1 3 5 2 2 2 2" xfId="25219"/>
    <cellStyle name="40% - Accent1 3 5 2 2 3" xfId="25220"/>
    <cellStyle name="40% - Accent1 3 5 2 3" xfId="25221"/>
    <cellStyle name="40% - Accent1 3 5 2 3 2" xfId="25222"/>
    <cellStyle name="40% - Accent1 3 5 2 4" xfId="25223"/>
    <cellStyle name="40% - Accent1 3 5 3" xfId="25224"/>
    <cellStyle name="40% - Accent1 3 5 3 2" xfId="25225"/>
    <cellStyle name="40% - Accent1 3 5 3 2 2" xfId="25226"/>
    <cellStyle name="40% - Accent1 3 5 3 3" xfId="25227"/>
    <cellStyle name="40% - Accent1 3 5 4" xfId="25228"/>
    <cellStyle name="40% - Accent1 3 5 4 2" xfId="25229"/>
    <cellStyle name="40% - Accent1 3 5 5" xfId="25230"/>
    <cellStyle name="40% - Accent1 3 6" xfId="25231"/>
    <cellStyle name="40% - Accent1 3 6 2" xfId="25232"/>
    <cellStyle name="40% - Accent1 3 6 2 2" xfId="25233"/>
    <cellStyle name="40% - Accent1 3 6 2 2 2" xfId="25234"/>
    <cellStyle name="40% - Accent1 3 6 2 2 2 2" xfId="25235"/>
    <cellStyle name="40% - Accent1 3 6 2 2 3" xfId="25236"/>
    <cellStyle name="40% - Accent1 3 6 2 3" xfId="25237"/>
    <cellStyle name="40% - Accent1 3 6 2 3 2" xfId="25238"/>
    <cellStyle name="40% - Accent1 3 6 2 4" xfId="25239"/>
    <cellStyle name="40% - Accent1 3 6 3" xfId="25240"/>
    <cellStyle name="40% - Accent1 3 6 3 2" xfId="25241"/>
    <cellStyle name="40% - Accent1 3 6 3 2 2" xfId="25242"/>
    <cellStyle name="40% - Accent1 3 6 3 3" xfId="25243"/>
    <cellStyle name="40% - Accent1 3 6 4" xfId="25244"/>
    <cellStyle name="40% - Accent1 3 6 4 2" xfId="25245"/>
    <cellStyle name="40% - Accent1 3 6 5" xfId="25246"/>
    <cellStyle name="40% - Accent1 3 7" xfId="25247"/>
    <cellStyle name="40% - Accent1 3 7 2" xfId="25248"/>
    <cellStyle name="40% - Accent1 3 7 2 2" xfId="25249"/>
    <cellStyle name="40% - Accent1 3 7 2 2 2" xfId="25250"/>
    <cellStyle name="40% - Accent1 3 7 2 2 2 2" xfId="25251"/>
    <cellStyle name="40% - Accent1 3 7 2 2 3" xfId="25252"/>
    <cellStyle name="40% - Accent1 3 7 2 3" xfId="25253"/>
    <cellStyle name="40% - Accent1 3 7 2 3 2" xfId="25254"/>
    <cellStyle name="40% - Accent1 3 7 2 4" xfId="25255"/>
    <cellStyle name="40% - Accent1 3 7 3" xfId="25256"/>
    <cellStyle name="40% - Accent1 3 7 3 2" xfId="25257"/>
    <cellStyle name="40% - Accent1 3 7 3 2 2" xfId="25258"/>
    <cellStyle name="40% - Accent1 3 7 3 3" xfId="25259"/>
    <cellStyle name="40% - Accent1 3 7 4" xfId="25260"/>
    <cellStyle name="40% - Accent1 3 7 4 2" xfId="25261"/>
    <cellStyle name="40% - Accent1 3 7 5" xfId="25262"/>
    <cellStyle name="40% - Accent1 3 8" xfId="25263"/>
    <cellStyle name="40% - Accent1 3 8 2" xfId="25264"/>
    <cellStyle name="40% - Accent1 3 8 2 2" xfId="25265"/>
    <cellStyle name="40% - Accent1 3 8 2 2 2" xfId="25266"/>
    <cellStyle name="40% - Accent1 3 8 2 3" xfId="25267"/>
    <cellStyle name="40% - Accent1 3 8 3" xfId="25268"/>
    <cellStyle name="40% - Accent1 3 8 3 2" xfId="25269"/>
    <cellStyle name="40% - Accent1 3 8 4" xfId="25270"/>
    <cellStyle name="40% - Accent1 3 9" xfId="25271"/>
    <cellStyle name="40% - Accent1 3 9 2" xfId="25272"/>
    <cellStyle name="40% - Accent1 3 9 2 2" xfId="25273"/>
    <cellStyle name="40% - Accent1 3 9 3" xfId="25274"/>
    <cellStyle name="40% - Accent1 4" xfId="25275"/>
    <cellStyle name="40% - Accent1 4 10" xfId="25276"/>
    <cellStyle name="40% - Accent1 4 10 2" xfId="25277"/>
    <cellStyle name="40% - Accent1 4 11" xfId="25278"/>
    <cellStyle name="40% - Accent1 4 2" xfId="25279"/>
    <cellStyle name="40% - Accent1 4 2 10" xfId="25280"/>
    <cellStyle name="40% - Accent1 4 2 2" xfId="25281"/>
    <cellStyle name="40% - Accent1 4 2 2 2" xfId="25282"/>
    <cellStyle name="40% - Accent1 4 2 2 2 2" xfId="25283"/>
    <cellStyle name="40% - Accent1 4 2 2 2 2 2" xfId="25284"/>
    <cellStyle name="40% - Accent1 4 2 2 2 2 2 2" xfId="25285"/>
    <cellStyle name="40% - Accent1 4 2 2 2 2 3" xfId="25286"/>
    <cellStyle name="40% - Accent1 4 2 2 2 3" xfId="25287"/>
    <cellStyle name="40% - Accent1 4 2 2 2 3 2" xfId="25288"/>
    <cellStyle name="40% - Accent1 4 2 2 2 4" xfId="25289"/>
    <cellStyle name="40% - Accent1 4 2 2 3" xfId="25290"/>
    <cellStyle name="40% - Accent1 4 2 2 3 2" xfId="25291"/>
    <cellStyle name="40% - Accent1 4 2 2 3 2 2" xfId="25292"/>
    <cellStyle name="40% - Accent1 4 2 2 3 3" xfId="25293"/>
    <cellStyle name="40% - Accent1 4 2 2 4" xfId="25294"/>
    <cellStyle name="40% - Accent1 4 2 2 4 2" xfId="25295"/>
    <cellStyle name="40% - Accent1 4 2 2 5" xfId="25296"/>
    <cellStyle name="40% - Accent1 4 2 3" xfId="25297"/>
    <cellStyle name="40% - Accent1 4 2 3 2" xfId="25298"/>
    <cellStyle name="40% - Accent1 4 2 3 2 2" xfId="25299"/>
    <cellStyle name="40% - Accent1 4 2 3 2 2 2" xfId="25300"/>
    <cellStyle name="40% - Accent1 4 2 3 2 2 2 2" xfId="25301"/>
    <cellStyle name="40% - Accent1 4 2 3 2 2 3" xfId="25302"/>
    <cellStyle name="40% - Accent1 4 2 3 2 3" xfId="25303"/>
    <cellStyle name="40% - Accent1 4 2 3 2 3 2" xfId="25304"/>
    <cellStyle name="40% - Accent1 4 2 3 2 4" xfId="25305"/>
    <cellStyle name="40% - Accent1 4 2 3 3" xfId="25306"/>
    <cellStyle name="40% - Accent1 4 2 3 3 2" xfId="25307"/>
    <cellStyle name="40% - Accent1 4 2 3 3 2 2" xfId="25308"/>
    <cellStyle name="40% - Accent1 4 2 3 3 3" xfId="25309"/>
    <cellStyle name="40% - Accent1 4 2 3 4" xfId="25310"/>
    <cellStyle name="40% - Accent1 4 2 3 4 2" xfId="25311"/>
    <cellStyle name="40% - Accent1 4 2 3 5" xfId="25312"/>
    <cellStyle name="40% - Accent1 4 2 4" xfId="25313"/>
    <cellStyle name="40% - Accent1 4 2 4 2" xfId="25314"/>
    <cellStyle name="40% - Accent1 4 2 4 2 2" xfId="25315"/>
    <cellStyle name="40% - Accent1 4 2 4 2 2 2" xfId="25316"/>
    <cellStyle name="40% - Accent1 4 2 4 2 2 2 2" xfId="25317"/>
    <cellStyle name="40% - Accent1 4 2 4 2 2 3" xfId="25318"/>
    <cellStyle name="40% - Accent1 4 2 4 2 3" xfId="25319"/>
    <cellStyle name="40% - Accent1 4 2 4 2 3 2" xfId="25320"/>
    <cellStyle name="40% - Accent1 4 2 4 2 4" xfId="25321"/>
    <cellStyle name="40% - Accent1 4 2 4 3" xfId="25322"/>
    <cellStyle name="40% - Accent1 4 2 4 3 2" xfId="25323"/>
    <cellStyle name="40% - Accent1 4 2 4 3 2 2" xfId="25324"/>
    <cellStyle name="40% - Accent1 4 2 4 3 3" xfId="25325"/>
    <cellStyle name="40% - Accent1 4 2 4 4" xfId="25326"/>
    <cellStyle name="40% - Accent1 4 2 4 4 2" xfId="25327"/>
    <cellStyle name="40% - Accent1 4 2 4 5" xfId="25328"/>
    <cellStyle name="40% - Accent1 4 2 5" xfId="25329"/>
    <cellStyle name="40% - Accent1 4 2 5 2" xfId="25330"/>
    <cellStyle name="40% - Accent1 4 2 5 2 2" xfId="25331"/>
    <cellStyle name="40% - Accent1 4 2 5 2 2 2" xfId="25332"/>
    <cellStyle name="40% - Accent1 4 2 5 2 2 2 2" xfId="25333"/>
    <cellStyle name="40% - Accent1 4 2 5 2 2 3" xfId="25334"/>
    <cellStyle name="40% - Accent1 4 2 5 2 3" xfId="25335"/>
    <cellStyle name="40% - Accent1 4 2 5 2 3 2" xfId="25336"/>
    <cellStyle name="40% - Accent1 4 2 5 2 4" xfId="25337"/>
    <cellStyle name="40% - Accent1 4 2 5 3" xfId="25338"/>
    <cellStyle name="40% - Accent1 4 2 5 3 2" xfId="25339"/>
    <cellStyle name="40% - Accent1 4 2 5 3 2 2" xfId="25340"/>
    <cellStyle name="40% - Accent1 4 2 5 3 3" xfId="25341"/>
    <cellStyle name="40% - Accent1 4 2 5 4" xfId="25342"/>
    <cellStyle name="40% - Accent1 4 2 5 4 2" xfId="25343"/>
    <cellStyle name="40% - Accent1 4 2 5 5" xfId="25344"/>
    <cellStyle name="40% - Accent1 4 2 6" xfId="25345"/>
    <cellStyle name="40% - Accent1 4 2 6 2" xfId="25346"/>
    <cellStyle name="40% - Accent1 4 2 6 2 2" xfId="25347"/>
    <cellStyle name="40% - Accent1 4 2 6 2 2 2" xfId="25348"/>
    <cellStyle name="40% - Accent1 4 2 6 2 2 2 2" xfId="25349"/>
    <cellStyle name="40% - Accent1 4 2 6 2 2 3" xfId="25350"/>
    <cellStyle name="40% - Accent1 4 2 6 2 3" xfId="25351"/>
    <cellStyle name="40% - Accent1 4 2 6 2 3 2" xfId="25352"/>
    <cellStyle name="40% - Accent1 4 2 6 2 4" xfId="25353"/>
    <cellStyle name="40% - Accent1 4 2 6 3" xfId="25354"/>
    <cellStyle name="40% - Accent1 4 2 6 3 2" xfId="25355"/>
    <cellStyle name="40% - Accent1 4 2 6 3 2 2" xfId="25356"/>
    <cellStyle name="40% - Accent1 4 2 6 3 3" xfId="25357"/>
    <cellStyle name="40% - Accent1 4 2 6 4" xfId="25358"/>
    <cellStyle name="40% - Accent1 4 2 6 4 2" xfId="25359"/>
    <cellStyle name="40% - Accent1 4 2 6 5" xfId="25360"/>
    <cellStyle name="40% - Accent1 4 2 7" xfId="25361"/>
    <cellStyle name="40% - Accent1 4 2 7 2" xfId="25362"/>
    <cellStyle name="40% - Accent1 4 2 7 2 2" xfId="25363"/>
    <cellStyle name="40% - Accent1 4 2 7 2 2 2" xfId="25364"/>
    <cellStyle name="40% - Accent1 4 2 7 2 3" xfId="25365"/>
    <cellStyle name="40% - Accent1 4 2 7 3" xfId="25366"/>
    <cellStyle name="40% - Accent1 4 2 7 3 2" xfId="25367"/>
    <cellStyle name="40% - Accent1 4 2 7 4" xfId="25368"/>
    <cellStyle name="40% - Accent1 4 2 8" xfId="25369"/>
    <cellStyle name="40% - Accent1 4 2 8 2" xfId="25370"/>
    <cellStyle name="40% - Accent1 4 2 8 2 2" xfId="25371"/>
    <cellStyle name="40% - Accent1 4 2 8 3" xfId="25372"/>
    <cellStyle name="40% - Accent1 4 2 9" xfId="25373"/>
    <cellStyle name="40% - Accent1 4 2 9 2" xfId="25374"/>
    <cellStyle name="40% - Accent1 4 3" xfId="25375"/>
    <cellStyle name="40% - Accent1 4 3 2" xfId="25376"/>
    <cellStyle name="40% - Accent1 4 3 2 2" xfId="25377"/>
    <cellStyle name="40% - Accent1 4 3 2 2 2" xfId="25378"/>
    <cellStyle name="40% - Accent1 4 3 2 2 2 2" xfId="25379"/>
    <cellStyle name="40% - Accent1 4 3 2 2 3" xfId="25380"/>
    <cellStyle name="40% - Accent1 4 3 2 3" xfId="25381"/>
    <cellStyle name="40% - Accent1 4 3 2 3 2" xfId="25382"/>
    <cellStyle name="40% - Accent1 4 3 2 4" xfId="25383"/>
    <cellStyle name="40% - Accent1 4 3 3" xfId="25384"/>
    <cellStyle name="40% - Accent1 4 3 3 2" xfId="25385"/>
    <cellStyle name="40% - Accent1 4 3 3 2 2" xfId="25386"/>
    <cellStyle name="40% - Accent1 4 3 3 3" xfId="25387"/>
    <cellStyle name="40% - Accent1 4 3 4" xfId="25388"/>
    <cellStyle name="40% - Accent1 4 3 4 2" xfId="25389"/>
    <cellStyle name="40% - Accent1 4 3 5" xfId="25390"/>
    <cellStyle name="40% - Accent1 4 4" xfId="25391"/>
    <cellStyle name="40% - Accent1 4 4 2" xfId="25392"/>
    <cellStyle name="40% - Accent1 4 4 2 2" xfId="25393"/>
    <cellStyle name="40% - Accent1 4 4 2 2 2" xfId="25394"/>
    <cellStyle name="40% - Accent1 4 4 2 2 2 2" xfId="25395"/>
    <cellStyle name="40% - Accent1 4 4 2 2 3" xfId="25396"/>
    <cellStyle name="40% - Accent1 4 4 2 3" xfId="25397"/>
    <cellStyle name="40% - Accent1 4 4 2 3 2" xfId="25398"/>
    <cellStyle name="40% - Accent1 4 4 2 4" xfId="25399"/>
    <cellStyle name="40% - Accent1 4 4 3" xfId="25400"/>
    <cellStyle name="40% - Accent1 4 4 3 2" xfId="25401"/>
    <cellStyle name="40% - Accent1 4 4 3 2 2" xfId="25402"/>
    <cellStyle name="40% - Accent1 4 4 3 3" xfId="25403"/>
    <cellStyle name="40% - Accent1 4 4 4" xfId="25404"/>
    <cellStyle name="40% - Accent1 4 4 4 2" xfId="25405"/>
    <cellStyle name="40% - Accent1 4 4 5" xfId="25406"/>
    <cellStyle name="40% - Accent1 4 5" xfId="25407"/>
    <cellStyle name="40% - Accent1 4 5 2" xfId="25408"/>
    <cellStyle name="40% - Accent1 4 5 2 2" xfId="25409"/>
    <cellStyle name="40% - Accent1 4 5 2 2 2" xfId="25410"/>
    <cellStyle name="40% - Accent1 4 5 2 2 2 2" xfId="25411"/>
    <cellStyle name="40% - Accent1 4 5 2 2 3" xfId="25412"/>
    <cellStyle name="40% - Accent1 4 5 2 3" xfId="25413"/>
    <cellStyle name="40% - Accent1 4 5 2 3 2" xfId="25414"/>
    <cellStyle name="40% - Accent1 4 5 2 4" xfId="25415"/>
    <cellStyle name="40% - Accent1 4 5 3" xfId="25416"/>
    <cellStyle name="40% - Accent1 4 5 3 2" xfId="25417"/>
    <cellStyle name="40% - Accent1 4 5 3 2 2" xfId="25418"/>
    <cellStyle name="40% - Accent1 4 5 3 3" xfId="25419"/>
    <cellStyle name="40% - Accent1 4 5 4" xfId="25420"/>
    <cellStyle name="40% - Accent1 4 5 4 2" xfId="25421"/>
    <cellStyle name="40% - Accent1 4 5 5" xfId="25422"/>
    <cellStyle name="40% - Accent1 4 6" xfId="25423"/>
    <cellStyle name="40% - Accent1 4 6 2" xfId="25424"/>
    <cellStyle name="40% - Accent1 4 6 2 2" xfId="25425"/>
    <cellStyle name="40% - Accent1 4 6 2 2 2" xfId="25426"/>
    <cellStyle name="40% - Accent1 4 6 2 2 2 2" xfId="25427"/>
    <cellStyle name="40% - Accent1 4 6 2 2 3" xfId="25428"/>
    <cellStyle name="40% - Accent1 4 6 2 3" xfId="25429"/>
    <cellStyle name="40% - Accent1 4 6 2 3 2" xfId="25430"/>
    <cellStyle name="40% - Accent1 4 6 2 4" xfId="25431"/>
    <cellStyle name="40% - Accent1 4 6 3" xfId="25432"/>
    <cellStyle name="40% - Accent1 4 6 3 2" xfId="25433"/>
    <cellStyle name="40% - Accent1 4 6 3 2 2" xfId="25434"/>
    <cellStyle name="40% - Accent1 4 6 3 3" xfId="25435"/>
    <cellStyle name="40% - Accent1 4 6 4" xfId="25436"/>
    <cellStyle name="40% - Accent1 4 6 4 2" xfId="25437"/>
    <cellStyle name="40% - Accent1 4 6 5" xfId="25438"/>
    <cellStyle name="40% - Accent1 4 7" xfId="25439"/>
    <cellStyle name="40% - Accent1 4 7 2" xfId="25440"/>
    <cellStyle name="40% - Accent1 4 7 2 2" xfId="25441"/>
    <cellStyle name="40% - Accent1 4 7 2 2 2" xfId="25442"/>
    <cellStyle name="40% - Accent1 4 7 2 2 2 2" xfId="25443"/>
    <cellStyle name="40% - Accent1 4 7 2 2 3" xfId="25444"/>
    <cellStyle name="40% - Accent1 4 7 2 3" xfId="25445"/>
    <cellStyle name="40% - Accent1 4 7 2 3 2" xfId="25446"/>
    <cellStyle name="40% - Accent1 4 7 2 4" xfId="25447"/>
    <cellStyle name="40% - Accent1 4 7 3" xfId="25448"/>
    <cellStyle name="40% - Accent1 4 7 3 2" xfId="25449"/>
    <cellStyle name="40% - Accent1 4 7 3 2 2" xfId="25450"/>
    <cellStyle name="40% - Accent1 4 7 3 3" xfId="25451"/>
    <cellStyle name="40% - Accent1 4 7 4" xfId="25452"/>
    <cellStyle name="40% - Accent1 4 7 4 2" xfId="25453"/>
    <cellStyle name="40% - Accent1 4 7 5" xfId="25454"/>
    <cellStyle name="40% - Accent1 4 8" xfId="25455"/>
    <cellStyle name="40% - Accent1 4 8 2" xfId="25456"/>
    <cellStyle name="40% - Accent1 4 8 2 2" xfId="25457"/>
    <cellStyle name="40% - Accent1 4 8 2 2 2" xfId="25458"/>
    <cellStyle name="40% - Accent1 4 8 2 3" xfId="25459"/>
    <cellStyle name="40% - Accent1 4 8 3" xfId="25460"/>
    <cellStyle name="40% - Accent1 4 8 3 2" xfId="25461"/>
    <cellStyle name="40% - Accent1 4 8 4" xfId="25462"/>
    <cellStyle name="40% - Accent1 4 9" xfId="25463"/>
    <cellStyle name="40% - Accent1 4 9 2" xfId="25464"/>
    <cellStyle name="40% - Accent1 4 9 2 2" xfId="25465"/>
    <cellStyle name="40% - Accent1 4 9 3" xfId="25466"/>
    <cellStyle name="40% - Accent1 5" xfId="25467"/>
    <cellStyle name="40% - Accent1 5 10" xfId="25468"/>
    <cellStyle name="40% - Accent1 5 10 2" xfId="25469"/>
    <cellStyle name="40% - Accent1 5 11" xfId="25470"/>
    <cellStyle name="40% - Accent1 5 2" xfId="25471"/>
    <cellStyle name="40% - Accent1 5 2 10" xfId="25472"/>
    <cellStyle name="40% - Accent1 5 2 2" xfId="25473"/>
    <cellStyle name="40% - Accent1 5 2 2 2" xfId="25474"/>
    <cellStyle name="40% - Accent1 5 2 2 2 2" xfId="25475"/>
    <cellStyle name="40% - Accent1 5 2 2 2 2 2" xfId="25476"/>
    <cellStyle name="40% - Accent1 5 2 2 2 2 2 2" xfId="25477"/>
    <cellStyle name="40% - Accent1 5 2 2 2 2 3" xfId="25478"/>
    <cellStyle name="40% - Accent1 5 2 2 2 3" xfId="25479"/>
    <cellStyle name="40% - Accent1 5 2 2 2 3 2" xfId="25480"/>
    <cellStyle name="40% - Accent1 5 2 2 2 4" xfId="25481"/>
    <cellStyle name="40% - Accent1 5 2 2 3" xfId="25482"/>
    <cellStyle name="40% - Accent1 5 2 2 3 2" xfId="25483"/>
    <cellStyle name="40% - Accent1 5 2 2 3 2 2" xfId="25484"/>
    <cellStyle name="40% - Accent1 5 2 2 3 3" xfId="25485"/>
    <cellStyle name="40% - Accent1 5 2 2 4" xfId="25486"/>
    <cellStyle name="40% - Accent1 5 2 2 4 2" xfId="25487"/>
    <cellStyle name="40% - Accent1 5 2 2 5" xfId="25488"/>
    <cellStyle name="40% - Accent1 5 2 3" xfId="25489"/>
    <cellStyle name="40% - Accent1 5 2 3 2" xfId="25490"/>
    <cellStyle name="40% - Accent1 5 2 3 2 2" xfId="25491"/>
    <cellStyle name="40% - Accent1 5 2 3 2 2 2" xfId="25492"/>
    <cellStyle name="40% - Accent1 5 2 3 2 2 2 2" xfId="25493"/>
    <cellStyle name="40% - Accent1 5 2 3 2 2 3" xfId="25494"/>
    <cellStyle name="40% - Accent1 5 2 3 2 3" xfId="25495"/>
    <cellStyle name="40% - Accent1 5 2 3 2 3 2" xfId="25496"/>
    <cellStyle name="40% - Accent1 5 2 3 2 4" xfId="25497"/>
    <cellStyle name="40% - Accent1 5 2 3 3" xfId="25498"/>
    <cellStyle name="40% - Accent1 5 2 3 3 2" xfId="25499"/>
    <cellStyle name="40% - Accent1 5 2 3 3 2 2" xfId="25500"/>
    <cellStyle name="40% - Accent1 5 2 3 3 3" xfId="25501"/>
    <cellStyle name="40% - Accent1 5 2 3 4" xfId="25502"/>
    <cellStyle name="40% - Accent1 5 2 3 4 2" xfId="25503"/>
    <cellStyle name="40% - Accent1 5 2 3 5" xfId="25504"/>
    <cellStyle name="40% - Accent1 5 2 4" xfId="25505"/>
    <cellStyle name="40% - Accent1 5 2 4 2" xfId="25506"/>
    <cellStyle name="40% - Accent1 5 2 4 2 2" xfId="25507"/>
    <cellStyle name="40% - Accent1 5 2 4 2 2 2" xfId="25508"/>
    <cellStyle name="40% - Accent1 5 2 4 2 2 2 2" xfId="25509"/>
    <cellStyle name="40% - Accent1 5 2 4 2 2 3" xfId="25510"/>
    <cellStyle name="40% - Accent1 5 2 4 2 3" xfId="25511"/>
    <cellStyle name="40% - Accent1 5 2 4 2 3 2" xfId="25512"/>
    <cellStyle name="40% - Accent1 5 2 4 2 4" xfId="25513"/>
    <cellStyle name="40% - Accent1 5 2 4 3" xfId="25514"/>
    <cellStyle name="40% - Accent1 5 2 4 3 2" xfId="25515"/>
    <cellStyle name="40% - Accent1 5 2 4 3 2 2" xfId="25516"/>
    <cellStyle name="40% - Accent1 5 2 4 3 3" xfId="25517"/>
    <cellStyle name="40% - Accent1 5 2 4 4" xfId="25518"/>
    <cellStyle name="40% - Accent1 5 2 4 4 2" xfId="25519"/>
    <cellStyle name="40% - Accent1 5 2 4 5" xfId="25520"/>
    <cellStyle name="40% - Accent1 5 2 5" xfId="25521"/>
    <cellStyle name="40% - Accent1 5 2 5 2" xfId="25522"/>
    <cellStyle name="40% - Accent1 5 2 5 2 2" xfId="25523"/>
    <cellStyle name="40% - Accent1 5 2 5 2 2 2" xfId="25524"/>
    <cellStyle name="40% - Accent1 5 2 5 2 2 2 2" xfId="25525"/>
    <cellStyle name="40% - Accent1 5 2 5 2 2 3" xfId="25526"/>
    <cellStyle name="40% - Accent1 5 2 5 2 3" xfId="25527"/>
    <cellStyle name="40% - Accent1 5 2 5 2 3 2" xfId="25528"/>
    <cellStyle name="40% - Accent1 5 2 5 2 4" xfId="25529"/>
    <cellStyle name="40% - Accent1 5 2 5 3" xfId="25530"/>
    <cellStyle name="40% - Accent1 5 2 5 3 2" xfId="25531"/>
    <cellStyle name="40% - Accent1 5 2 5 3 2 2" xfId="25532"/>
    <cellStyle name="40% - Accent1 5 2 5 3 3" xfId="25533"/>
    <cellStyle name="40% - Accent1 5 2 5 4" xfId="25534"/>
    <cellStyle name="40% - Accent1 5 2 5 4 2" xfId="25535"/>
    <cellStyle name="40% - Accent1 5 2 5 5" xfId="25536"/>
    <cellStyle name="40% - Accent1 5 2 6" xfId="25537"/>
    <cellStyle name="40% - Accent1 5 2 6 2" xfId="25538"/>
    <cellStyle name="40% - Accent1 5 2 6 2 2" xfId="25539"/>
    <cellStyle name="40% - Accent1 5 2 6 2 2 2" xfId="25540"/>
    <cellStyle name="40% - Accent1 5 2 6 2 2 2 2" xfId="25541"/>
    <cellStyle name="40% - Accent1 5 2 6 2 2 3" xfId="25542"/>
    <cellStyle name="40% - Accent1 5 2 6 2 3" xfId="25543"/>
    <cellStyle name="40% - Accent1 5 2 6 2 3 2" xfId="25544"/>
    <cellStyle name="40% - Accent1 5 2 6 2 4" xfId="25545"/>
    <cellStyle name="40% - Accent1 5 2 6 3" xfId="25546"/>
    <cellStyle name="40% - Accent1 5 2 6 3 2" xfId="25547"/>
    <cellStyle name="40% - Accent1 5 2 6 3 2 2" xfId="25548"/>
    <cellStyle name="40% - Accent1 5 2 6 3 3" xfId="25549"/>
    <cellStyle name="40% - Accent1 5 2 6 4" xfId="25550"/>
    <cellStyle name="40% - Accent1 5 2 6 4 2" xfId="25551"/>
    <cellStyle name="40% - Accent1 5 2 6 5" xfId="25552"/>
    <cellStyle name="40% - Accent1 5 2 7" xfId="25553"/>
    <cellStyle name="40% - Accent1 5 2 7 2" xfId="25554"/>
    <cellStyle name="40% - Accent1 5 2 7 2 2" xfId="25555"/>
    <cellStyle name="40% - Accent1 5 2 7 2 2 2" xfId="25556"/>
    <cellStyle name="40% - Accent1 5 2 7 2 3" xfId="25557"/>
    <cellStyle name="40% - Accent1 5 2 7 3" xfId="25558"/>
    <cellStyle name="40% - Accent1 5 2 7 3 2" xfId="25559"/>
    <cellStyle name="40% - Accent1 5 2 7 4" xfId="25560"/>
    <cellStyle name="40% - Accent1 5 2 8" xfId="25561"/>
    <cellStyle name="40% - Accent1 5 2 8 2" xfId="25562"/>
    <cellStyle name="40% - Accent1 5 2 8 2 2" xfId="25563"/>
    <cellStyle name="40% - Accent1 5 2 8 3" xfId="25564"/>
    <cellStyle name="40% - Accent1 5 2 9" xfId="25565"/>
    <cellStyle name="40% - Accent1 5 2 9 2" xfId="25566"/>
    <cellStyle name="40% - Accent1 5 3" xfId="25567"/>
    <cellStyle name="40% - Accent1 5 3 2" xfId="25568"/>
    <cellStyle name="40% - Accent1 5 3 2 2" xfId="25569"/>
    <cellStyle name="40% - Accent1 5 3 2 2 2" xfId="25570"/>
    <cellStyle name="40% - Accent1 5 3 2 2 2 2" xfId="25571"/>
    <cellStyle name="40% - Accent1 5 3 2 2 3" xfId="25572"/>
    <cellStyle name="40% - Accent1 5 3 2 3" xfId="25573"/>
    <cellStyle name="40% - Accent1 5 3 2 3 2" xfId="25574"/>
    <cellStyle name="40% - Accent1 5 3 2 4" xfId="25575"/>
    <cellStyle name="40% - Accent1 5 3 3" xfId="25576"/>
    <cellStyle name="40% - Accent1 5 3 3 2" xfId="25577"/>
    <cellStyle name="40% - Accent1 5 3 3 2 2" xfId="25578"/>
    <cellStyle name="40% - Accent1 5 3 3 3" xfId="25579"/>
    <cellStyle name="40% - Accent1 5 3 4" xfId="25580"/>
    <cellStyle name="40% - Accent1 5 3 4 2" xfId="25581"/>
    <cellStyle name="40% - Accent1 5 3 5" xfId="25582"/>
    <cellStyle name="40% - Accent1 5 4" xfId="25583"/>
    <cellStyle name="40% - Accent1 5 4 2" xfId="25584"/>
    <cellStyle name="40% - Accent1 5 4 2 2" xfId="25585"/>
    <cellStyle name="40% - Accent1 5 4 2 2 2" xfId="25586"/>
    <cellStyle name="40% - Accent1 5 4 2 2 2 2" xfId="25587"/>
    <cellStyle name="40% - Accent1 5 4 2 2 3" xfId="25588"/>
    <cellStyle name="40% - Accent1 5 4 2 3" xfId="25589"/>
    <cellStyle name="40% - Accent1 5 4 2 3 2" xfId="25590"/>
    <cellStyle name="40% - Accent1 5 4 2 4" xfId="25591"/>
    <cellStyle name="40% - Accent1 5 4 3" xfId="25592"/>
    <cellStyle name="40% - Accent1 5 4 3 2" xfId="25593"/>
    <cellStyle name="40% - Accent1 5 4 3 2 2" xfId="25594"/>
    <cellStyle name="40% - Accent1 5 4 3 3" xfId="25595"/>
    <cellStyle name="40% - Accent1 5 4 4" xfId="25596"/>
    <cellStyle name="40% - Accent1 5 4 4 2" xfId="25597"/>
    <cellStyle name="40% - Accent1 5 4 5" xfId="25598"/>
    <cellStyle name="40% - Accent1 5 5" xfId="25599"/>
    <cellStyle name="40% - Accent1 5 5 2" xfId="25600"/>
    <cellStyle name="40% - Accent1 5 5 2 2" xfId="25601"/>
    <cellStyle name="40% - Accent1 5 5 2 2 2" xfId="25602"/>
    <cellStyle name="40% - Accent1 5 5 2 2 2 2" xfId="25603"/>
    <cellStyle name="40% - Accent1 5 5 2 2 3" xfId="25604"/>
    <cellStyle name="40% - Accent1 5 5 2 3" xfId="25605"/>
    <cellStyle name="40% - Accent1 5 5 2 3 2" xfId="25606"/>
    <cellStyle name="40% - Accent1 5 5 2 4" xfId="25607"/>
    <cellStyle name="40% - Accent1 5 5 3" xfId="25608"/>
    <cellStyle name="40% - Accent1 5 5 3 2" xfId="25609"/>
    <cellStyle name="40% - Accent1 5 5 3 2 2" xfId="25610"/>
    <cellStyle name="40% - Accent1 5 5 3 3" xfId="25611"/>
    <cellStyle name="40% - Accent1 5 5 4" xfId="25612"/>
    <cellStyle name="40% - Accent1 5 5 4 2" xfId="25613"/>
    <cellStyle name="40% - Accent1 5 5 5" xfId="25614"/>
    <cellStyle name="40% - Accent1 5 6" xfId="25615"/>
    <cellStyle name="40% - Accent1 5 6 2" xfId="25616"/>
    <cellStyle name="40% - Accent1 5 6 2 2" xfId="25617"/>
    <cellStyle name="40% - Accent1 5 6 2 2 2" xfId="25618"/>
    <cellStyle name="40% - Accent1 5 6 2 2 2 2" xfId="25619"/>
    <cellStyle name="40% - Accent1 5 6 2 2 3" xfId="25620"/>
    <cellStyle name="40% - Accent1 5 6 2 3" xfId="25621"/>
    <cellStyle name="40% - Accent1 5 6 2 3 2" xfId="25622"/>
    <cellStyle name="40% - Accent1 5 6 2 4" xfId="25623"/>
    <cellStyle name="40% - Accent1 5 6 3" xfId="25624"/>
    <cellStyle name="40% - Accent1 5 6 3 2" xfId="25625"/>
    <cellStyle name="40% - Accent1 5 6 3 2 2" xfId="25626"/>
    <cellStyle name="40% - Accent1 5 6 3 3" xfId="25627"/>
    <cellStyle name="40% - Accent1 5 6 4" xfId="25628"/>
    <cellStyle name="40% - Accent1 5 6 4 2" xfId="25629"/>
    <cellStyle name="40% - Accent1 5 6 5" xfId="25630"/>
    <cellStyle name="40% - Accent1 5 7" xfId="25631"/>
    <cellStyle name="40% - Accent1 5 7 2" xfId="25632"/>
    <cellStyle name="40% - Accent1 5 7 2 2" xfId="25633"/>
    <cellStyle name="40% - Accent1 5 7 2 2 2" xfId="25634"/>
    <cellStyle name="40% - Accent1 5 7 2 2 2 2" xfId="25635"/>
    <cellStyle name="40% - Accent1 5 7 2 2 3" xfId="25636"/>
    <cellStyle name="40% - Accent1 5 7 2 3" xfId="25637"/>
    <cellStyle name="40% - Accent1 5 7 2 3 2" xfId="25638"/>
    <cellStyle name="40% - Accent1 5 7 2 4" xfId="25639"/>
    <cellStyle name="40% - Accent1 5 7 3" xfId="25640"/>
    <cellStyle name="40% - Accent1 5 7 3 2" xfId="25641"/>
    <cellStyle name="40% - Accent1 5 7 3 2 2" xfId="25642"/>
    <cellStyle name="40% - Accent1 5 7 3 3" xfId="25643"/>
    <cellStyle name="40% - Accent1 5 7 4" xfId="25644"/>
    <cellStyle name="40% - Accent1 5 7 4 2" xfId="25645"/>
    <cellStyle name="40% - Accent1 5 7 5" xfId="25646"/>
    <cellStyle name="40% - Accent1 5 8" xfId="25647"/>
    <cellStyle name="40% - Accent1 5 8 2" xfId="25648"/>
    <cellStyle name="40% - Accent1 5 8 2 2" xfId="25649"/>
    <cellStyle name="40% - Accent1 5 8 2 2 2" xfId="25650"/>
    <cellStyle name="40% - Accent1 5 8 2 3" xfId="25651"/>
    <cellStyle name="40% - Accent1 5 8 3" xfId="25652"/>
    <cellStyle name="40% - Accent1 5 8 3 2" xfId="25653"/>
    <cellStyle name="40% - Accent1 5 8 4" xfId="25654"/>
    <cellStyle name="40% - Accent1 5 9" xfId="25655"/>
    <cellStyle name="40% - Accent1 5 9 2" xfId="25656"/>
    <cellStyle name="40% - Accent1 5 9 2 2" xfId="25657"/>
    <cellStyle name="40% - Accent1 5 9 3" xfId="25658"/>
    <cellStyle name="40% - Accent1 6" xfId="25659"/>
    <cellStyle name="40% - Accent1 6 10" xfId="25660"/>
    <cellStyle name="40% - Accent1 6 10 2" xfId="25661"/>
    <cellStyle name="40% - Accent1 6 11" xfId="25662"/>
    <cellStyle name="40% - Accent1 6 2" xfId="25663"/>
    <cellStyle name="40% - Accent1 6 2 10" xfId="25664"/>
    <cellStyle name="40% - Accent1 6 2 2" xfId="25665"/>
    <cellStyle name="40% - Accent1 6 2 2 2" xfId="25666"/>
    <cellStyle name="40% - Accent1 6 2 2 2 2" xfId="25667"/>
    <cellStyle name="40% - Accent1 6 2 2 2 2 2" xfId="25668"/>
    <cellStyle name="40% - Accent1 6 2 2 2 2 2 2" xfId="25669"/>
    <cellStyle name="40% - Accent1 6 2 2 2 2 3" xfId="25670"/>
    <cellStyle name="40% - Accent1 6 2 2 2 3" xfId="25671"/>
    <cellStyle name="40% - Accent1 6 2 2 2 3 2" xfId="25672"/>
    <cellStyle name="40% - Accent1 6 2 2 2 4" xfId="25673"/>
    <cellStyle name="40% - Accent1 6 2 2 3" xfId="25674"/>
    <cellStyle name="40% - Accent1 6 2 2 3 2" xfId="25675"/>
    <cellStyle name="40% - Accent1 6 2 2 3 2 2" xfId="25676"/>
    <cellStyle name="40% - Accent1 6 2 2 3 3" xfId="25677"/>
    <cellStyle name="40% - Accent1 6 2 2 4" xfId="25678"/>
    <cellStyle name="40% - Accent1 6 2 2 4 2" xfId="25679"/>
    <cellStyle name="40% - Accent1 6 2 2 5" xfId="25680"/>
    <cellStyle name="40% - Accent1 6 2 3" xfId="25681"/>
    <cellStyle name="40% - Accent1 6 2 3 2" xfId="25682"/>
    <cellStyle name="40% - Accent1 6 2 3 2 2" xfId="25683"/>
    <cellStyle name="40% - Accent1 6 2 3 2 2 2" xfId="25684"/>
    <cellStyle name="40% - Accent1 6 2 3 2 2 2 2" xfId="25685"/>
    <cellStyle name="40% - Accent1 6 2 3 2 2 3" xfId="25686"/>
    <cellStyle name="40% - Accent1 6 2 3 2 3" xfId="25687"/>
    <cellStyle name="40% - Accent1 6 2 3 2 3 2" xfId="25688"/>
    <cellStyle name="40% - Accent1 6 2 3 2 4" xfId="25689"/>
    <cellStyle name="40% - Accent1 6 2 3 3" xfId="25690"/>
    <cellStyle name="40% - Accent1 6 2 3 3 2" xfId="25691"/>
    <cellStyle name="40% - Accent1 6 2 3 3 2 2" xfId="25692"/>
    <cellStyle name="40% - Accent1 6 2 3 3 3" xfId="25693"/>
    <cellStyle name="40% - Accent1 6 2 3 4" xfId="25694"/>
    <cellStyle name="40% - Accent1 6 2 3 4 2" xfId="25695"/>
    <cellStyle name="40% - Accent1 6 2 3 5" xfId="25696"/>
    <cellStyle name="40% - Accent1 6 2 4" xfId="25697"/>
    <cellStyle name="40% - Accent1 6 2 4 2" xfId="25698"/>
    <cellStyle name="40% - Accent1 6 2 4 2 2" xfId="25699"/>
    <cellStyle name="40% - Accent1 6 2 4 2 2 2" xfId="25700"/>
    <cellStyle name="40% - Accent1 6 2 4 2 2 2 2" xfId="25701"/>
    <cellStyle name="40% - Accent1 6 2 4 2 2 3" xfId="25702"/>
    <cellStyle name="40% - Accent1 6 2 4 2 3" xfId="25703"/>
    <cellStyle name="40% - Accent1 6 2 4 2 3 2" xfId="25704"/>
    <cellStyle name="40% - Accent1 6 2 4 2 4" xfId="25705"/>
    <cellStyle name="40% - Accent1 6 2 4 3" xfId="25706"/>
    <cellStyle name="40% - Accent1 6 2 4 3 2" xfId="25707"/>
    <cellStyle name="40% - Accent1 6 2 4 3 2 2" xfId="25708"/>
    <cellStyle name="40% - Accent1 6 2 4 3 3" xfId="25709"/>
    <cellStyle name="40% - Accent1 6 2 4 4" xfId="25710"/>
    <cellStyle name="40% - Accent1 6 2 4 4 2" xfId="25711"/>
    <cellStyle name="40% - Accent1 6 2 4 5" xfId="25712"/>
    <cellStyle name="40% - Accent1 6 2 5" xfId="25713"/>
    <cellStyle name="40% - Accent1 6 2 5 2" xfId="25714"/>
    <cellStyle name="40% - Accent1 6 2 5 2 2" xfId="25715"/>
    <cellStyle name="40% - Accent1 6 2 5 2 2 2" xfId="25716"/>
    <cellStyle name="40% - Accent1 6 2 5 2 2 2 2" xfId="25717"/>
    <cellStyle name="40% - Accent1 6 2 5 2 2 3" xfId="25718"/>
    <cellStyle name="40% - Accent1 6 2 5 2 3" xfId="25719"/>
    <cellStyle name="40% - Accent1 6 2 5 2 3 2" xfId="25720"/>
    <cellStyle name="40% - Accent1 6 2 5 2 4" xfId="25721"/>
    <cellStyle name="40% - Accent1 6 2 5 3" xfId="25722"/>
    <cellStyle name="40% - Accent1 6 2 5 3 2" xfId="25723"/>
    <cellStyle name="40% - Accent1 6 2 5 3 2 2" xfId="25724"/>
    <cellStyle name="40% - Accent1 6 2 5 3 3" xfId="25725"/>
    <cellStyle name="40% - Accent1 6 2 5 4" xfId="25726"/>
    <cellStyle name="40% - Accent1 6 2 5 4 2" xfId="25727"/>
    <cellStyle name="40% - Accent1 6 2 5 5" xfId="25728"/>
    <cellStyle name="40% - Accent1 6 2 6" xfId="25729"/>
    <cellStyle name="40% - Accent1 6 2 6 2" xfId="25730"/>
    <cellStyle name="40% - Accent1 6 2 6 2 2" xfId="25731"/>
    <cellStyle name="40% - Accent1 6 2 6 2 2 2" xfId="25732"/>
    <cellStyle name="40% - Accent1 6 2 6 2 2 2 2" xfId="25733"/>
    <cellStyle name="40% - Accent1 6 2 6 2 2 3" xfId="25734"/>
    <cellStyle name="40% - Accent1 6 2 6 2 3" xfId="25735"/>
    <cellStyle name="40% - Accent1 6 2 6 2 3 2" xfId="25736"/>
    <cellStyle name="40% - Accent1 6 2 6 2 4" xfId="25737"/>
    <cellStyle name="40% - Accent1 6 2 6 3" xfId="25738"/>
    <cellStyle name="40% - Accent1 6 2 6 3 2" xfId="25739"/>
    <cellStyle name="40% - Accent1 6 2 6 3 2 2" xfId="25740"/>
    <cellStyle name="40% - Accent1 6 2 6 3 3" xfId="25741"/>
    <cellStyle name="40% - Accent1 6 2 6 4" xfId="25742"/>
    <cellStyle name="40% - Accent1 6 2 6 4 2" xfId="25743"/>
    <cellStyle name="40% - Accent1 6 2 6 5" xfId="25744"/>
    <cellStyle name="40% - Accent1 6 2 7" xfId="25745"/>
    <cellStyle name="40% - Accent1 6 2 7 2" xfId="25746"/>
    <cellStyle name="40% - Accent1 6 2 7 2 2" xfId="25747"/>
    <cellStyle name="40% - Accent1 6 2 7 2 2 2" xfId="25748"/>
    <cellStyle name="40% - Accent1 6 2 7 2 3" xfId="25749"/>
    <cellStyle name="40% - Accent1 6 2 7 3" xfId="25750"/>
    <cellStyle name="40% - Accent1 6 2 7 3 2" xfId="25751"/>
    <cellStyle name="40% - Accent1 6 2 7 4" xfId="25752"/>
    <cellStyle name="40% - Accent1 6 2 8" xfId="25753"/>
    <cellStyle name="40% - Accent1 6 2 8 2" xfId="25754"/>
    <cellStyle name="40% - Accent1 6 2 8 2 2" xfId="25755"/>
    <cellStyle name="40% - Accent1 6 2 8 3" xfId="25756"/>
    <cellStyle name="40% - Accent1 6 2 9" xfId="25757"/>
    <cellStyle name="40% - Accent1 6 2 9 2" xfId="25758"/>
    <cellStyle name="40% - Accent1 6 3" xfId="25759"/>
    <cellStyle name="40% - Accent1 6 3 2" xfId="25760"/>
    <cellStyle name="40% - Accent1 6 3 2 2" xfId="25761"/>
    <cellStyle name="40% - Accent1 6 3 2 2 2" xfId="25762"/>
    <cellStyle name="40% - Accent1 6 3 2 2 2 2" xfId="25763"/>
    <cellStyle name="40% - Accent1 6 3 2 2 3" xfId="25764"/>
    <cellStyle name="40% - Accent1 6 3 2 3" xfId="25765"/>
    <cellStyle name="40% - Accent1 6 3 2 3 2" xfId="25766"/>
    <cellStyle name="40% - Accent1 6 3 2 4" xfId="25767"/>
    <cellStyle name="40% - Accent1 6 3 3" xfId="25768"/>
    <cellStyle name="40% - Accent1 6 3 3 2" xfId="25769"/>
    <cellStyle name="40% - Accent1 6 3 3 2 2" xfId="25770"/>
    <cellStyle name="40% - Accent1 6 3 3 3" xfId="25771"/>
    <cellStyle name="40% - Accent1 6 3 4" xfId="25772"/>
    <cellStyle name="40% - Accent1 6 3 4 2" xfId="25773"/>
    <cellStyle name="40% - Accent1 6 3 5" xfId="25774"/>
    <cellStyle name="40% - Accent1 6 4" xfId="25775"/>
    <cellStyle name="40% - Accent1 6 4 2" xfId="25776"/>
    <cellStyle name="40% - Accent1 6 4 2 2" xfId="25777"/>
    <cellStyle name="40% - Accent1 6 4 2 2 2" xfId="25778"/>
    <cellStyle name="40% - Accent1 6 4 2 2 2 2" xfId="25779"/>
    <cellStyle name="40% - Accent1 6 4 2 2 3" xfId="25780"/>
    <cellStyle name="40% - Accent1 6 4 2 3" xfId="25781"/>
    <cellStyle name="40% - Accent1 6 4 2 3 2" xfId="25782"/>
    <cellStyle name="40% - Accent1 6 4 2 4" xfId="25783"/>
    <cellStyle name="40% - Accent1 6 4 3" xfId="25784"/>
    <cellStyle name="40% - Accent1 6 4 3 2" xfId="25785"/>
    <cellStyle name="40% - Accent1 6 4 3 2 2" xfId="25786"/>
    <cellStyle name="40% - Accent1 6 4 3 3" xfId="25787"/>
    <cellStyle name="40% - Accent1 6 4 4" xfId="25788"/>
    <cellStyle name="40% - Accent1 6 4 4 2" xfId="25789"/>
    <cellStyle name="40% - Accent1 6 4 5" xfId="25790"/>
    <cellStyle name="40% - Accent1 6 5" xfId="25791"/>
    <cellStyle name="40% - Accent1 6 5 2" xfId="25792"/>
    <cellStyle name="40% - Accent1 6 5 2 2" xfId="25793"/>
    <cellStyle name="40% - Accent1 6 5 2 2 2" xfId="25794"/>
    <cellStyle name="40% - Accent1 6 5 2 2 2 2" xfId="25795"/>
    <cellStyle name="40% - Accent1 6 5 2 2 3" xfId="25796"/>
    <cellStyle name="40% - Accent1 6 5 2 3" xfId="25797"/>
    <cellStyle name="40% - Accent1 6 5 2 3 2" xfId="25798"/>
    <cellStyle name="40% - Accent1 6 5 2 4" xfId="25799"/>
    <cellStyle name="40% - Accent1 6 5 3" xfId="25800"/>
    <cellStyle name="40% - Accent1 6 5 3 2" xfId="25801"/>
    <cellStyle name="40% - Accent1 6 5 3 2 2" xfId="25802"/>
    <cellStyle name="40% - Accent1 6 5 3 3" xfId="25803"/>
    <cellStyle name="40% - Accent1 6 5 4" xfId="25804"/>
    <cellStyle name="40% - Accent1 6 5 4 2" xfId="25805"/>
    <cellStyle name="40% - Accent1 6 5 5" xfId="25806"/>
    <cellStyle name="40% - Accent1 6 6" xfId="25807"/>
    <cellStyle name="40% - Accent1 6 6 2" xfId="25808"/>
    <cellStyle name="40% - Accent1 6 6 2 2" xfId="25809"/>
    <cellStyle name="40% - Accent1 6 6 2 2 2" xfId="25810"/>
    <cellStyle name="40% - Accent1 6 6 2 2 2 2" xfId="25811"/>
    <cellStyle name="40% - Accent1 6 6 2 2 3" xfId="25812"/>
    <cellStyle name="40% - Accent1 6 6 2 3" xfId="25813"/>
    <cellStyle name="40% - Accent1 6 6 2 3 2" xfId="25814"/>
    <cellStyle name="40% - Accent1 6 6 2 4" xfId="25815"/>
    <cellStyle name="40% - Accent1 6 6 3" xfId="25816"/>
    <cellStyle name="40% - Accent1 6 6 3 2" xfId="25817"/>
    <cellStyle name="40% - Accent1 6 6 3 2 2" xfId="25818"/>
    <cellStyle name="40% - Accent1 6 6 3 3" xfId="25819"/>
    <cellStyle name="40% - Accent1 6 6 4" xfId="25820"/>
    <cellStyle name="40% - Accent1 6 6 4 2" xfId="25821"/>
    <cellStyle name="40% - Accent1 6 6 5" xfId="25822"/>
    <cellStyle name="40% - Accent1 6 7" xfId="25823"/>
    <cellStyle name="40% - Accent1 6 7 2" xfId="25824"/>
    <cellStyle name="40% - Accent1 6 7 2 2" xfId="25825"/>
    <cellStyle name="40% - Accent1 6 7 2 2 2" xfId="25826"/>
    <cellStyle name="40% - Accent1 6 7 2 2 2 2" xfId="25827"/>
    <cellStyle name="40% - Accent1 6 7 2 2 3" xfId="25828"/>
    <cellStyle name="40% - Accent1 6 7 2 3" xfId="25829"/>
    <cellStyle name="40% - Accent1 6 7 2 3 2" xfId="25830"/>
    <cellStyle name="40% - Accent1 6 7 2 4" xfId="25831"/>
    <cellStyle name="40% - Accent1 6 7 3" xfId="25832"/>
    <cellStyle name="40% - Accent1 6 7 3 2" xfId="25833"/>
    <cellStyle name="40% - Accent1 6 7 3 2 2" xfId="25834"/>
    <cellStyle name="40% - Accent1 6 7 3 3" xfId="25835"/>
    <cellStyle name="40% - Accent1 6 7 4" xfId="25836"/>
    <cellStyle name="40% - Accent1 6 7 4 2" xfId="25837"/>
    <cellStyle name="40% - Accent1 6 7 5" xfId="25838"/>
    <cellStyle name="40% - Accent1 6 8" xfId="25839"/>
    <cellStyle name="40% - Accent1 6 8 2" xfId="25840"/>
    <cellStyle name="40% - Accent1 6 8 2 2" xfId="25841"/>
    <cellStyle name="40% - Accent1 6 8 2 2 2" xfId="25842"/>
    <cellStyle name="40% - Accent1 6 8 2 3" xfId="25843"/>
    <cellStyle name="40% - Accent1 6 8 3" xfId="25844"/>
    <cellStyle name="40% - Accent1 6 8 3 2" xfId="25845"/>
    <cellStyle name="40% - Accent1 6 8 4" xfId="25846"/>
    <cellStyle name="40% - Accent1 6 9" xfId="25847"/>
    <cellStyle name="40% - Accent1 6 9 2" xfId="25848"/>
    <cellStyle name="40% - Accent1 6 9 2 2" xfId="25849"/>
    <cellStyle name="40% - Accent1 6 9 3" xfId="25850"/>
    <cellStyle name="40% - Accent1 7" xfId="25851"/>
    <cellStyle name="40% - Accent1 7 10" xfId="25852"/>
    <cellStyle name="40% - Accent1 7 10 2" xfId="25853"/>
    <cellStyle name="40% - Accent1 7 11" xfId="25854"/>
    <cellStyle name="40% - Accent1 7 2" xfId="25855"/>
    <cellStyle name="40% - Accent1 7 2 10" xfId="25856"/>
    <cellStyle name="40% - Accent1 7 2 2" xfId="25857"/>
    <cellStyle name="40% - Accent1 7 2 2 2" xfId="25858"/>
    <cellStyle name="40% - Accent1 7 2 2 2 2" xfId="25859"/>
    <cellStyle name="40% - Accent1 7 2 2 2 2 2" xfId="25860"/>
    <cellStyle name="40% - Accent1 7 2 2 2 2 2 2" xfId="25861"/>
    <cellStyle name="40% - Accent1 7 2 2 2 2 3" xfId="25862"/>
    <cellStyle name="40% - Accent1 7 2 2 2 3" xfId="25863"/>
    <cellStyle name="40% - Accent1 7 2 2 2 3 2" xfId="25864"/>
    <cellStyle name="40% - Accent1 7 2 2 2 4" xfId="25865"/>
    <cellStyle name="40% - Accent1 7 2 2 3" xfId="25866"/>
    <cellStyle name="40% - Accent1 7 2 2 3 2" xfId="25867"/>
    <cellStyle name="40% - Accent1 7 2 2 3 2 2" xfId="25868"/>
    <cellStyle name="40% - Accent1 7 2 2 3 3" xfId="25869"/>
    <cellStyle name="40% - Accent1 7 2 2 4" xfId="25870"/>
    <cellStyle name="40% - Accent1 7 2 2 4 2" xfId="25871"/>
    <cellStyle name="40% - Accent1 7 2 2 5" xfId="25872"/>
    <cellStyle name="40% - Accent1 7 2 3" xfId="25873"/>
    <cellStyle name="40% - Accent1 7 2 3 2" xfId="25874"/>
    <cellStyle name="40% - Accent1 7 2 3 2 2" xfId="25875"/>
    <cellStyle name="40% - Accent1 7 2 3 2 2 2" xfId="25876"/>
    <cellStyle name="40% - Accent1 7 2 3 2 2 2 2" xfId="25877"/>
    <cellStyle name="40% - Accent1 7 2 3 2 2 3" xfId="25878"/>
    <cellStyle name="40% - Accent1 7 2 3 2 3" xfId="25879"/>
    <cellStyle name="40% - Accent1 7 2 3 2 3 2" xfId="25880"/>
    <cellStyle name="40% - Accent1 7 2 3 2 4" xfId="25881"/>
    <cellStyle name="40% - Accent1 7 2 3 3" xfId="25882"/>
    <cellStyle name="40% - Accent1 7 2 3 3 2" xfId="25883"/>
    <cellStyle name="40% - Accent1 7 2 3 3 2 2" xfId="25884"/>
    <cellStyle name="40% - Accent1 7 2 3 3 3" xfId="25885"/>
    <cellStyle name="40% - Accent1 7 2 3 4" xfId="25886"/>
    <cellStyle name="40% - Accent1 7 2 3 4 2" xfId="25887"/>
    <cellStyle name="40% - Accent1 7 2 3 5" xfId="25888"/>
    <cellStyle name="40% - Accent1 7 2 4" xfId="25889"/>
    <cellStyle name="40% - Accent1 7 2 4 2" xfId="25890"/>
    <cellStyle name="40% - Accent1 7 2 4 2 2" xfId="25891"/>
    <cellStyle name="40% - Accent1 7 2 4 2 2 2" xfId="25892"/>
    <cellStyle name="40% - Accent1 7 2 4 2 2 2 2" xfId="25893"/>
    <cellStyle name="40% - Accent1 7 2 4 2 2 3" xfId="25894"/>
    <cellStyle name="40% - Accent1 7 2 4 2 3" xfId="25895"/>
    <cellStyle name="40% - Accent1 7 2 4 2 3 2" xfId="25896"/>
    <cellStyle name="40% - Accent1 7 2 4 2 4" xfId="25897"/>
    <cellStyle name="40% - Accent1 7 2 4 3" xfId="25898"/>
    <cellStyle name="40% - Accent1 7 2 4 3 2" xfId="25899"/>
    <cellStyle name="40% - Accent1 7 2 4 3 2 2" xfId="25900"/>
    <cellStyle name="40% - Accent1 7 2 4 3 3" xfId="25901"/>
    <cellStyle name="40% - Accent1 7 2 4 4" xfId="25902"/>
    <cellStyle name="40% - Accent1 7 2 4 4 2" xfId="25903"/>
    <cellStyle name="40% - Accent1 7 2 4 5" xfId="25904"/>
    <cellStyle name="40% - Accent1 7 2 5" xfId="25905"/>
    <cellStyle name="40% - Accent1 7 2 5 2" xfId="25906"/>
    <cellStyle name="40% - Accent1 7 2 5 2 2" xfId="25907"/>
    <cellStyle name="40% - Accent1 7 2 5 2 2 2" xfId="25908"/>
    <cellStyle name="40% - Accent1 7 2 5 2 2 2 2" xfId="25909"/>
    <cellStyle name="40% - Accent1 7 2 5 2 2 3" xfId="25910"/>
    <cellStyle name="40% - Accent1 7 2 5 2 3" xfId="25911"/>
    <cellStyle name="40% - Accent1 7 2 5 2 3 2" xfId="25912"/>
    <cellStyle name="40% - Accent1 7 2 5 2 4" xfId="25913"/>
    <cellStyle name="40% - Accent1 7 2 5 3" xfId="25914"/>
    <cellStyle name="40% - Accent1 7 2 5 3 2" xfId="25915"/>
    <cellStyle name="40% - Accent1 7 2 5 3 2 2" xfId="25916"/>
    <cellStyle name="40% - Accent1 7 2 5 3 3" xfId="25917"/>
    <cellStyle name="40% - Accent1 7 2 5 4" xfId="25918"/>
    <cellStyle name="40% - Accent1 7 2 5 4 2" xfId="25919"/>
    <cellStyle name="40% - Accent1 7 2 5 5" xfId="25920"/>
    <cellStyle name="40% - Accent1 7 2 6" xfId="25921"/>
    <cellStyle name="40% - Accent1 7 2 6 2" xfId="25922"/>
    <cellStyle name="40% - Accent1 7 2 6 2 2" xfId="25923"/>
    <cellStyle name="40% - Accent1 7 2 6 2 2 2" xfId="25924"/>
    <cellStyle name="40% - Accent1 7 2 6 2 2 2 2" xfId="25925"/>
    <cellStyle name="40% - Accent1 7 2 6 2 2 3" xfId="25926"/>
    <cellStyle name="40% - Accent1 7 2 6 2 3" xfId="25927"/>
    <cellStyle name="40% - Accent1 7 2 6 2 3 2" xfId="25928"/>
    <cellStyle name="40% - Accent1 7 2 6 2 4" xfId="25929"/>
    <cellStyle name="40% - Accent1 7 2 6 3" xfId="25930"/>
    <cellStyle name="40% - Accent1 7 2 6 3 2" xfId="25931"/>
    <cellStyle name="40% - Accent1 7 2 6 3 2 2" xfId="25932"/>
    <cellStyle name="40% - Accent1 7 2 6 3 3" xfId="25933"/>
    <cellStyle name="40% - Accent1 7 2 6 4" xfId="25934"/>
    <cellStyle name="40% - Accent1 7 2 6 4 2" xfId="25935"/>
    <cellStyle name="40% - Accent1 7 2 6 5" xfId="25936"/>
    <cellStyle name="40% - Accent1 7 2 7" xfId="25937"/>
    <cellStyle name="40% - Accent1 7 2 7 2" xfId="25938"/>
    <cellStyle name="40% - Accent1 7 2 7 2 2" xfId="25939"/>
    <cellStyle name="40% - Accent1 7 2 7 2 2 2" xfId="25940"/>
    <cellStyle name="40% - Accent1 7 2 7 2 3" xfId="25941"/>
    <cellStyle name="40% - Accent1 7 2 7 3" xfId="25942"/>
    <cellStyle name="40% - Accent1 7 2 7 3 2" xfId="25943"/>
    <cellStyle name="40% - Accent1 7 2 7 4" xfId="25944"/>
    <cellStyle name="40% - Accent1 7 2 8" xfId="25945"/>
    <cellStyle name="40% - Accent1 7 2 8 2" xfId="25946"/>
    <cellStyle name="40% - Accent1 7 2 8 2 2" xfId="25947"/>
    <cellStyle name="40% - Accent1 7 2 8 3" xfId="25948"/>
    <cellStyle name="40% - Accent1 7 2 9" xfId="25949"/>
    <cellStyle name="40% - Accent1 7 2 9 2" xfId="25950"/>
    <cellStyle name="40% - Accent1 7 3" xfId="25951"/>
    <cellStyle name="40% - Accent1 7 3 2" xfId="25952"/>
    <cellStyle name="40% - Accent1 7 3 2 2" xfId="25953"/>
    <cellStyle name="40% - Accent1 7 3 2 2 2" xfId="25954"/>
    <cellStyle name="40% - Accent1 7 3 2 2 2 2" xfId="25955"/>
    <cellStyle name="40% - Accent1 7 3 2 2 3" xfId="25956"/>
    <cellStyle name="40% - Accent1 7 3 2 3" xfId="25957"/>
    <cellStyle name="40% - Accent1 7 3 2 3 2" xfId="25958"/>
    <cellStyle name="40% - Accent1 7 3 2 4" xfId="25959"/>
    <cellStyle name="40% - Accent1 7 3 3" xfId="25960"/>
    <cellStyle name="40% - Accent1 7 3 3 2" xfId="25961"/>
    <cellStyle name="40% - Accent1 7 3 3 2 2" xfId="25962"/>
    <cellStyle name="40% - Accent1 7 3 3 3" xfId="25963"/>
    <cellStyle name="40% - Accent1 7 3 4" xfId="25964"/>
    <cellStyle name="40% - Accent1 7 3 4 2" xfId="25965"/>
    <cellStyle name="40% - Accent1 7 3 5" xfId="25966"/>
    <cellStyle name="40% - Accent1 7 4" xfId="25967"/>
    <cellStyle name="40% - Accent1 7 4 2" xfId="25968"/>
    <cellStyle name="40% - Accent1 7 4 2 2" xfId="25969"/>
    <cellStyle name="40% - Accent1 7 4 2 2 2" xfId="25970"/>
    <cellStyle name="40% - Accent1 7 4 2 2 2 2" xfId="25971"/>
    <cellStyle name="40% - Accent1 7 4 2 2 3" xfId="25972"/>
    <cellStyle name="40% - Accent1 7 4 2 3" xfId="25973"/>
    <cellStyle name="40% - Accent1 7 4 2 3 2" xfId="25974"/>
    <cellStyle name="40% - Accent1 7 4 2 4" xfId="25975"/>
    <cellStyle name="40% - Accent1 7 4 3" xfId="25976"/>
    <cellStyle name="40% - Accent1 7 4 3 2" xfId="25977"/>
    <cellStyle name="40% - Accent1 7 4 3 2 2" xfId="25978"/>
    <cellStyle name="40% - Accent1 7 4 3 3" xfId="25979"/>
    <cellStyle name="40% - Accent1 7 4 4" xfId="25980"/>
    <cellStyle name="40% - Accent1 7 4 4 2" xfId="25981"/>
    <cellStyle name="40% - Accent1 7 4 5" xfId="25982"/>
    <cellStyle name="40% - Accent1 7 5" xfId="25983"/>
    <cellStyle name="40% - Accent1 7 5 2" xfId="25984"/>
    <cellStyle name="40% - Accent1 7 5 2 2" xfId="25985"/>
    <cellStyle name="40% - Accent1 7 5 2 2 2" xfId="25986"/>
    <cellStyle name="40% - Accent1 7 5 2 2 2 2" xfId="25987"/>
    <cellStyle name="40% - Accent1 7 5 2 2 3" xfId="25988"/>
    <cellStyle name="40% - Accent1 7 5 2 3" xfId="25989"/>
    <cellStyle name="40% - Accent1 7 5 2 3 2" xfId="25990"/>
    <cellStyle name="40% - Accent1 7 5 2 4" xfId="25991"/>
    <cellStyle name="40% - Accent1 7 5 3" xfId="25992"/>
    <cellStyle name="40% - Accent1 7 5 3 2" xfId="25993"/>
    <cellStyle name="40% - Accent1 7 5 3 2 2" xfId="25994"/>
    <cellStyle name="40% - Accent1 7 5 3 3" xfId="25995"/>
    <cellStyle name="40% - Accent1 7 5 4" xfId="25996"/>
    <cellStyle name="40% - Accent1 7 5 4 2" xfId="25997"/>
    <cellStyle name="40% - Accent1 7 5 5" xfId="25998"/>
    <cellStyle name="40% - Accent1 7 6" xfId="25999"/>
    <cellStyle name="40% - Accent1 7 6 2" xfId="26000"/>
    <cellStyle name="40% - Accent1 7 6 2 2" xfId="26001"/>
    <cellStyle name="40% - Accent1 7 6 2 2 2" xfId="26002"/>
    <cellStyle name="40% - Accent1 7 6 2 2 2 2" xfId="26003"/>
    <cellStyle name="40% - Accent1 7 6 2 2 3" xfId="26004"/>
    <cellStyle name="40% - Accent1 7 6 2 3" xfId="26005"/>
    <cellStyle name="40% - Accent1 7 6 2 3 2" xfId="26006"/>
    <cellStyle name="40% - Accent1 7 6 2 4" xfId="26007"/>
    <cellStyle name="40% - Accent1 7 6 3" xfId="26008"/>
    <cellStyle name="40% - Accent1 7 6 3 2" xfId="26009"/>
    <cellStyle name="40% - Accent1 7 6 3 2 2" xfId="26010"/>
    <cellStyle name="40% - Accent1 7 6 3 3" xfId="26011"/>
    <cellStyle name="40% - Accent1 7 6 4" xfId="26012"/>
    <cellStyle name="40% - Accent1 7 6 4 2" xfId="26013"/>
    <cellStyle name="40% - Accent1 7 6 5" xfId="26014"/>
    <cellStyle name="40% - Accent1 7 7" xfId="26015"/>
    <cellStyle name="40% - Accent1 7 7 2" xfId="26016"/>
    <cellStyle name="40% - Accent1 7 7 2 2" xfId="26017"/>
    <cellStyle name="40% - Accent1 7 7 2 2 2" xfId="26018"/>
    <cellStyle name="40% - Accent1 7 7 2 2 2 2" xfId="26019"/>
    <cellStyle name="40% - Accent1 7 7 2 2 3" xfId="26020"/>
    <cellStyle name="40% - Accent1 7 7 2 3" xfId="26021"/>
    <cellStyle name="40% - Accent1 7 7 2 3 2" xfId="26022"/>
    <cellStyle name="40% - Accent1 7 7 2 4" xfId="26023"/>
    <cellStyle name="40% - Accent1 7 7 3" xfId="26024"/>
    <cellStyle name="40% - Accent1 7 7 3 2" xfId="26025"/>
    <cellStyle name="40% - Accent1 7 7 3 2 2" xfId="26026"/>
    <cellStyle name="40% - Accent1 7 7 3 3" xfId="26027"/>
    <cellStyle name="40% - Accent1 7 7 4" xfId="26028"/>
    <cellStyle name="40% - Accent1 7 7 4 2" xfId="26029"/>
    <cellStyle name="40% - Accent1 7 7 5" xfId="26030"/>
    <cellStyle name="40% - Accent1 7 8" xfId="26031"/>
    <cellStyle name="40% - Accent1 7 8 2" xfId="26032"/>
    <cellStyle name="40% - Accent1 7 8 2 2" xfId="26033"/>
    <cellStyle name="40% - Accent1 7 8 2 2 2" xfId="26034"/>
    <cellStyle name="40% - Accent1 7 8 2 3" xfId="26035"/>
    <cellStyle name="40% - Accent1 7 8 3" xfId="26036"/>
    <cellStyle name="40% - Accent1 7 8 3 2" xfId="26037"/>
    <cellStyle name="40% - Accent1 7 8 4" xfId="26038"/>
    <cellStyle name="40% - Accent1 7 9" xfId="26039"/>
    <cellStyle name="40% - Accent1 7 9 2" xfId="26040"/>
    <cellStyle name="40% - Accent1 7 9 2 2" xfId="26041"/>
    <cellStyle name="40% - Accent1 7 9 3" xfId="26042"/>
    <cellStyle name="40% - Accent1 8" xfId="26043"/>
    <cellStyle name="40% - Accent1 8 10" xfId="26044"/>
    <cellStyle name="40% - Accent1 8 10 2" xfId="26045"/>
    <cellStyle name="40% - Accent1 8 11" xfId="26046"/>
    <cellStyle name="40% - Accent1 8 2" xfId="26047"/>
    <cellStyle name="40% - Accent1 8 2 10" xfId="26048"/>
    <cellStyle name="40% - Accent1 8 2 2" xfId="26049"/>
    <cellStyle name="40% - Accent1 8 2 2 2" xfId="26050"/>
    <cellStyle name="40% - Accent1 8 2 2 2 2" xfId="26051"/>
    <cellStyle name="40% - Accent1 8 2 2 2 2 2" xfId="26052"/>
    <cellStyle name="40% - Accent1 8 2 2 2 2 2 2" xfId="26053"/>
    <cellStyle name="40% - Accent1 8 2 2 2 2 3" xfId="26054"/>
    <cellStyle name="40% - Accent1 8 2 2 2 3" xfId="26055"/>
    <cellStyle name="40% - Accent1 8 2 2 2 3 2" xfId="26056"/>
    <cellStyle name="40% - Accent1 8 2 2 2 4" xfId="26057"/>
    <cellStyle name="40% - Accent1 8 2 2 3" xfId="26058"/>
    <cellStyle name="40% - Accent1 8 2 2 3 2" xfId="26059"/>
    <cellStyle name="40% - Accent1 8 2 2 3 2 2" xfId="26060"/>
    <cellStyle name="40% - Accent1 8 2 2 3 3" xfId="26061"/>
    <cellStyle name="40% - Accent1 8 2 2 4" xfId="26062"/>
    <cellStyle name="40% - Accent1 8 2 2 4 2" xfId="26063"/>
    <cellStyle name="40% - Accent1 8 2 2 5" xfId="26064"/>
    <cellStyle name="40% - Accent1 8 2 3" xfId="26065"/>
    <cellStyle name="40% - Accent1 8 2 3 2" xfId="26066"/>
    <cellStyle name="40% - Accent1 8 2 3 2 2" xfId="26067"/>
    <cellStyle name="40% - Accent1 8 2 3 2 2 2" xfId="26068"/>
    <cellStyle name="40% - Accent1 8 2 3 2 2 2 2" xfId="26069"/>
    <cellStyle name="40% - Accent1 8 2 3 2 2 3" xfId="26070"/>
    <cellStyle name="40% - Accent1 8 2 3 2 3" xfId="26071"/>
    <cellStyle name="40% - Accent1 8 2 3 2 3 2" xfId="26072"/>
    <cellStyle name="40% - Accent1 8 2 3 2 4" xfId="26073"/>
    <cellStyle name="40% - Accent1 8 2 3 3" xfId="26074"/>
    <cellStyle name="40% - Accent1 8 2 3 3 2" xfId="26075"/>
    <cellStyle name="40% - Accent1 8 2 3 3 2 2" xfId="26076"/>
    <cellStyle name="40% - Accent1 8 2 3 3 3" xfId="26077"/>
    <cellStyle name="40% - Accent1 8 2 3 4" xfId="26078"/>
    <cellStyle name="40% - Accent1 8 2 3 4 2" xfId="26079"/>
    <cellStyle name="40% - Accent1 8 2 3 5" xfId="26080"/>
    <cellStyle name="40% - Accent1 8 2 4" xfId="26081"/>
    <cellStyle name="40% - Accent1 8 2 4 2" xfId="26082"/>
    <cellStyle name="40% - Accent1 8 2 4 2 2" xfId="26083"/>
    <cellStyle name="40% - Accent1 8 2 4 2 2 2" xfId="26084"/>
    <cellStyle name="40% - Accent1 8 2 4 2 2 2 2" xfId="26085"/>
    <cellStyle name="40% - Accent1 8 2 4 2 2 3" xfId="26086"/>
    <cellStyle name="40% - Accent1 8 2 4 2 3" xfId="26087"/>
    <cellStyle name="40% - Accent1 8 2 4 2 3 2" xfId="26088"/>
    <cellStyle name="40% - Accent1 8 2 4 2 4" xfId="26089"/>
    <cellStyle name="40% - Accent1 8 2 4 3" xfId="26090"/>
    <cellStyle name="40% - Accent1 8 2 4 3 2" xfId="26091"/>
    <cellStyle name="40% - Accent1 8 2 4 3 2 2" xfId="26092"/>
    <cellStyle name="40% - Accent1 8 2 4 3 3" xfId="26093"/>
    <cellStyle name="40% - Accent1 8 2 4 4" xfId="26094"/>
    <cellStyle name="40% - Accent1 8 2 4 4 2" xfId="26095"/>
    <cellStyle name="40% - Accent1 8 2 4 5" xfId="26096"/>
    <cellStyle name="40% - Accent1 8 2 5" xfId="26097"/>
    <cellStyle name="40% - Accent1 8 2 5 2" xfId="26098"/>
    <cellStyle name="40% - Accent1 8 2 5 2 2" xfId="26099"/>
    <cellStyle name="40% - Accent1 8 2 5 2 2 2" xfId="26100"/>
    <cellStyle name="40% - Accent1 8 2 5 2 2 2 2" xfId="26101"/>
    <cellStyle name="40% - Accent1 8 2 5 2 2 3" xfId="26102"/>
    <cellStyle name="40% - Accent1 8 2 5 2 3" xfId="26103"/>
    <cellStyle name="40% - Accent1 8 2 5 2 3 2" xfId="26104"/>
    <cellStyle name="40% - Accent1 8 2 5 2 4" xfId="26105"/>
    <cellStyle name="40% - Accent1 8 2 5 3" xfId="26106"/>
    <cellStyle name="40% - Accent1 8 2 5 3 2" xfId="26107"/>
    <cellStyle name="40% - Accent1 8 2 5 3 2 2" xfId="26108"/>
    <cellStyle name="40% - Accent1 8 2 5 3 3" xfId="26109"/>
    <cellStyle name="40% - Accent1 8 2 5 4" xfId="26110"/>
    <cellStyle name="40% - Accent1 8 2 5 4 2" xfId="26111"/>
    <cellStyle name="40% - Accent1 8 2 5 5" xfId="26112"/>
    <cellStyle name="40% - Accent1 8 2 6" xfId="26113"/>
    <cellStyle name="40% - Accent1 8 2 6 2" xfId="26114"/>
    <cellStyle name="40% - Accent1 8 2 6 2 2" xfId="26115"/>
    <cellStyle name="40% - Accent1 8 2 6 2 2 2" xfId="26116"/>
    <cellStyle name="40% - Accent1 8 2 6 2 2 2 2" xfId="26117"/>
    <cellStyle name="40% - Accent1 8 2 6 2 2 3" xfId="26118"/>
    <cellStyle name="40% - Accent1 8 2 6 2 3" xfId="26119"/>
    <cellStyle name="40% - Accent1 8 2 6 2 3 2" xfId="26120"/>
    <cellStyle name="40% - Accent1 8 2 6 2 4" xfId="26121"/>
    <cellStyle name="40% - Accent1 8 2 6 3" xfId="26122"/>
    <cellStyle name="40% - Accent1 8 2 6 3 2" xfId="26123"/>
    <cellStyle name="40% - Accent1 8 2 6 3 2 2" xfId="26124"/>
    <cellStyle name="40% - Accent1 8 2 6 3 3" xfId="26125"/>
    <cellStyle name="40% - Accent1 8 2 6 4" xfId="26126"/>
    <cellStyle name="40% - Accent1 8 2 6 4 2" xfId="26127"/>
    <cellStyle name="40% - Accent1 8 2 6 5" xfId="26128"/>
    <cellStyle name="40% - Accent1 8 2 7" xfId="26129"/>
    <cellStyle name="40% - Accent1 8 2 7 2" xfId="26130"/>
    <cellStyle name="40% - Accent1 8 2 7 2 2" xfId="26131"/>
    <cellStyle name="40% - Accent1 8 2 7 2 2 2" xfId="26132"/>
    <cellStyle name="40% - Accent1 8 2 7 2 3" xfId="26133"/>
    <cellStyle name="40% - Accent1 8 2 7 3" xfId="26134"/>
    <cellStyle name="40% - Accent1 8 2 7 3 2" xfId="26135"/>
    <cellStyle name="40% - Accent1 8 2 7 4" xfId="26136"/>
    <cellStyle name="40% - Accent1 8 2 8" xfId="26137"/>
    <cellStyle name="40% - Accent1 8 2 8 2" xfId="26138"/>
    <cellStyle name="40% - Accent1 8 2 8 2 2" xfId="26139"/>
    <cellStyle name="40% - Accent1 8 2 8 3" xfId="26140"/>
    <cellStyle name="40% - Accent1 8 2 9" xfId="26141"/>
    <cellStyle name="40% - Accent1 8 2 9 2" xfId="26142"/>
    <cellStyle name="40% - Accent1 8 3" xfId="26143"/>
    <cellStyle name="40% - Accent1 8 3 2" xfId="26144"/>
    <cellStyle name="40% - Accent1 8 3 2 2" xfId="26145"/>
    <cellStyle name="40% - Accent1 8 3 2 2 2" xfId="26146"/>
    <cellStyle name="40% - Accent1 8 3 2 2 2 2" xfId="26147"/>
    <cellStyle name="40% - Accent1 8 3 2 2 3" xfId="26148"/>
    <cellStyle name="40% - Accent1 8 3 2 3" xfId="26149"/>
    <cellStyle name="40% - Accent1 8 3 2 3 2" xfId="26150"/>
    <cellStyle name="40% - Accent1 8 3 2 4" xfId="26151"/>
    <cellStyle name="40% - Accent1 8 3 3" xfId="26152"/>
    <cellStyle name="40% - Accent1 8 3 3 2" xfId="26153"/>
    <cellStyle name="40% - Accent1 8 3 3 2 2" xfId="26154"/>
    <cellStyle name="40% - Accent1 8 3 3 3" xfId="26155"/>
    <cellStyle name="40% - Accent1 8 3 4" xfId="26156"/>
    <cellStyle name="40% - Accent1 8 3 4 2" xfId="26157"/>
    <cellStyle name="40% - Accent1 8 3 5" xfId="26158"/>
    <cellStyle name="40% - Accent1 8 4" xfId="26159"/>
    <cellStyle name="40% - Accent1 8 4 2" xfId="26160"/>
    <cellStyle name="40% - Accent1 8 4 2 2" xfId="26161"/>
    <cellStyle name="40% - Accent1 8 4 2 2 2" xfId="26162"/>
    <cellStyle name="40% - Accent1 8 4 2 2 2 2" xfId="26163"/>
    <cellStyle name="40% - Accent1 8 4 2 2 3" xfId="26164"/>
    <cellStyle name="40% - Accent1 8 4 2 3" xfId="26165"/>
    <cellStyle name="40% - Accent1 8 4 2 3 2" xfId="26166"/>
    <cellStyle name="40% - Accent1 8 4 2 4" xfId="26167"/>
    <cellStyle name="40% - Accent1 8 4 3" xfId="26168"/>
    <cellStyle name="40% - Accent1 8 4 3 2" xfId="26169"/>
    <cellStyle name="40% - Accent1 8 4 3 2 2" xfId="26170"/>
    <cellStyle name="40% - Accent1 8 4 3 3" xfId="26171"/>
    <cellStyle name="40% - Accent1 8 4 4" xfId="26172"/>
    <cellStyle name="40% - Accent1 8 4 4 2" xfId="26173"/>
    <cellStyle name="40% - Accent1 8 4 5" xfId="26174"/>
    <cellStyle name="40% - Accent1 8 5" xfId="26175"/>
    <cellStyle name="40% - Accent1 8 5 2" xfId="26176"/>
    <cellStyle name="40% - Accent1 8 5 2 2" xfId="26177"/>
    <cellStyle name="40% - Accent1 8 5 2 2 2" xfId="26178"/>
    <cellStyle name="40% - Accent1 8 5 2 2 2 2" xfId="26179"/>
    <cellStyle name="40% - Accent1 8 5 2 2 3" xfId="26180"/>
    <cellStyle name="40% - Accent1 8 5 2 3" xfId="26181"/>
    <cellStyle name="40% - Accent1 8 5 2 3 2" xfId="26182"/>
    <cellStyle name="40% - Accent1 8 5 2 4" xfId="26183"/>
    <cellStyle name="40% - Accent1 8 5 3" xfId="26184"/>
    <cellStyle name="40% - Accent1 8 5 3 2" xfId="26185"/>
    <cellStyle name="40% - Accent1 8 5 3 2 2" xfId="26186"/>
    <cellStyle name="40% - Accent1 8 5 3 3" xfId="26187"/>
    <cellStyle name="40% - Accent1 8 5 4" xfId="26188"/>
    <cellStyle name="40% - Accent1 8 5 4 2" xfId="26189"/>
    <cellStyle name="40% - Accent1 8 5 5" xfId="26190"/>
    <cellStyle name="40% - Accent1 8 6" xfId="26191"/>
    <cellStyle name="40% - Accent1 8 6 2" xfId="26192"/>
    <cellStyle name="40% - Accent1 8 6 2 2" xfId="26193"/>
    <cellStyle name="40% - Accent1 8 6 2 2 2" xfId="26194"/>
    <cellStyle name="40% - Accent1 8 6 2 2 2 2" xfId="26195"/>
    <cellStyle name="40% - Accent1 8 6 2 2 3" xfId="26196"/>
    <cellStyle name="40% - Accent1 8 6 2 3" xfId="26197"/>
    <cellStyle name="40% - Accent1 8 6 2 3 2" xfId="26198"/>
    <cellStyle name="40% - Accent1 8 6 2 4" xfId="26199"/>
    <cellStyle name="40% - Accent1 8 6 3" xfId="26200"/>
    <cellStyle name="40% - Accent1 8 6 3 2" xfId="26201"/>
    <cellStyle name="40% - Accent1 8 6 3 2 2" xfId="26202"/>
    <cellStyle name="40% - Accent1 8 6 3 3" xfId="26203"/>
    <cellStyle name="40% - Accent1 8 6 4" xfId="26204"/>
    <cellStyle name="40% - Accent1 8 6 4 2" xfId="26205"/>
    <cellStyle name="40% - Accent1 8 6 5" xfId="26206"/>
    <cellStyle name="40% - Accent1 8 7" xfId="26207"/>
    <cellStyle name="40% - Accent1 8 7 2" xfId="26208"/>
    <cellStyle name="40% - Accent1 8 7 2 2" xfId="26209"/>
    <cellStyle name="40% - Accent1 8 7 2 2 2" xfId="26210"/>
    <cellStyle name="40% - Accent1 8 7 2 2 2 2" xfId="26211"/>
    <cellStyle name="40% - Accent1 8 7 2 2 3" xfId="26212"/>
    <cellStyle name="40% - Accent1 8 7 2 3" xfId="26213"/>
    <cellStyle name="40% - Accent1 8 7 2 3 2" xfId="26214"/>
    <cellStyle name="40% - Accent1 8 7 2 4" xfId="26215"/>
    <cellStyle name="40% - Accent1 8 7 3" xfId="26216"/>
    <cellStyle name="40% - Accent1 8 7 3 2" xfId="26217"/>
    <cellStyle name="40% - Accent1 8 7 3 2 2" xfId="26218"/>
    <cellStyle name="40% - Accent1 8 7 3 3" xfId="26219"/>
    <cellStyle name="40% - Accent1 8 7 4" xfId="26220"/>
    <cellStyle name="40% - Accent1 8 7 4 2" xfId="26221"/>
    <cellStyle name="40% - Accent1 8 7 5" xfId="26222"/>
    <cellStyle name="40% - Accent1 8 8" xfId="26223"/>
    <cellStyle name="40% - Accent1 8 8 2" xfId="26224"/>
    <cellStyle name="40% - Accent1 8 8 2 2" xfId="26225"/>
    <cellStyle name="40% - Accent1 8 8 2 2 2" xfId="26226"/>
    <cellStyle name="40% - Accent1 8 8 2 3" xfId="26227"/>
    <cellStyle name="40% - Accent1 8 8 3" xfId="26228"/>
    <cellStyle name="40% - Accent1 8 8 3 2" xfId="26229"/>
    <cellStyle name="40% - Accent1 8 8 4" xfId="26230"/>
    <cellStyle name="40% - Accent1 8 9" xfId="26231"/>
    <cellStyle name="40% - Accent1 8 9 2" xfId="26232"/>
    <cellStyle name="40% - Accent1 8 9 2 2" xfId="26233"/>
    <cellStyle name="40% - Accent1 8 9 3" xfId="26234"/>
    <cellStyle name="40% - Accent1 9" xfId="26235"/>
    <cellStyle name="40% - Accent1 9 10" xfId="26236"/>
    <cellStyle name="40% - Accent1 9 10 2" xfId="26237"/>
    <cellStyle name="40% - Accent1 9 11" xfId="26238"/>
    <cellStyle name="40% - Accent1 9 2" xfId="26239"/>
    <cellStyle name="40% - Accent1 9 2 10" xfId="26240"/>
    <cellStyle name="40% - Accent1 9 2 2" xfId="26241"/>
    <cellStyle name="40% - Accent1 9 2 2 2" xfId="26242"/>
    <cellStyle name="40% - Accent1 9 2 2 2 2" xfId="26243"/>
    <cellStyle name="40% - Accent1 9 2 2 2 2 2" xfId="26244"/>
    <cellStyle name="40% - Accent1 9 2 2 2 2 2 2" xfId="26245"/>
    <cellStyle name="40% - Accent1 9 2 2 2 2 3" xfId="26246"/>
    <cellStyle name="40% - Accent1 9 2 2 2 3" xfId="26247"/>
    <cellStyle name="40% - Accent1 9 2 2 2 3 2" xfId="26248"/>
    <cellStyle name="40% - Accent1 9 2 2 2 4" xfId="26249"/>
    <cellStyle name="40% - Accent1 9 2 2 3" xfId="26250"/>
    <cellStyle name="40% - Accent1 9 2 2 3 2" xfId="26251"/>
    <cellStyle name="40% - Accent1 9 2 2 3 2 2" xfId="26252"/>
    <cellStyle name="40% - Accent1 9 2 2 3 3" xfId="26253"/>
    <cellStyle name="40% - Accent1 9 2 2 4" xfId="26254"/>
    <cellStyle name="40% - Accent1 9 2 2 4 2" xfId="26255"/>
    <cellStyle name="40% - Accent1 9 2 2 5" xfId="26256"/>
    <cellStyle name="40% - Accent1 9 2 3" xfId="26257"/>
    <cellStyle name="40% - Accent1 9 2 3 2" xfId="26258"/>
    <cellStyle name="40% - Accent1 9 2 3 2 2" xfId="26259"/>
    <cellStyle name="40% - Accent1 9 2 3 2 2 2" xfId="26260"/>
    <cellStyle name="40% - Accent1 9 2 3 2 2 2 2" xfId="26261"/>
    <cellStyle name="40% - Accent1 9 2 3 2 2 3" xfId="26262"/>
    <cellStyle name="40% - Accent1 9 2 3 2 3" xfId="26263"/>
    <cellStyle name="40% - Accent1 9 2 3 2 3 2" xfId="26264"/>
    <cellStyle name="40% - Accent1 9 2 3 2 4" xfId="26265"/>
    <cellStyle name="40% - Accent1 9 2 3 3" xfId="26266"/>
    <cellStyle name="40% - Accent1 9 2 3 3 2" xfId="26267"/>
    <cellStyle name="40% - Accent1 9 2 3 3 2 2" xfId="26268"/>
    <cellStyle name="40% - Accent1 9 2 3 3 3" xfId="26269"/>
    <cellStyle name="40% - Accent1 9 2 3 4" xfId="26270"/>
    <cellStyle name="40% - Accent1 9 2 3 4 2" xfId="26271"/>
    <cellStyle name="40% - Accent1 9 2 3 5" xfId="26272"/>
    <cellStyle name="40% - Accent1 9 2 4" xfId="26273"/>
    <cellStyle name="40% - Accent1 9 2 4 2" xfId="26274"/>
    <cellStyle name="40% - Accent1 9 2 4 2 2" xfId="26275"/>
    <cellStyle name="40% - Accent1 9 2 4 2 2 2" xfId="26276"/>
    <cellStyle name="40% - Accent1 9 2 4 2 2 2 2" xfId="26277"/>
    <cellStyle name="40% - Accent1 9 2 4 2 2 3" xfId="26278"/>
    <cellStyle name="40% - Accent1 9 2 4 2 3" xfId="26279"/>
    <cellStyle name="40% - Accent1 9 2 4 2 3 2" xfId="26280"/>
    <cellStyle name="40% - Accent1 9 2 4 2 4" xfId="26281"/>
    <cellStyle name="40% - Accent1 9 2 4 3" xfId="26282"/>
    <cellStyle name="40% - Accent1 9 2 4 3 2" xfId="26283"/>
    <cellStyle name="40% - Accent1 9 2 4 3 2 2" xfId="26284"/>
    <cellStyle name="40% - Accent1 9 2 4 3 3" xfId="26285"/>
    <cellStyle name="40% - Accent1 9 2 4 4" xfId="26286"/>
    <cellStyle name="40% - Accent1 9 2 4 4 2" xfId="26287"/>
    <cellStyle name="40% - Accent1 9 2 4 5" xfId="26288"/>
    <cellStyle name="40% - Accent1 9 2 5" xfId="26289"/>
    <cellStyle name="40% - Accent1 9 2 5 2" xfId="26290"/>
    <cellStyle name="40% - Accent1 9 2 5 2 2" xfId="26291"/>
    <cellStyle name="40% - Accent1 9 2 5 2 2 2" xfId="26292"/>
    <cellStyle name="40% - Accent1 9 2 5 2 2 2 2" xfId="26293"/>
    <cellStyle name="40% - Accent1 9 2 5 2 2 3" xfId="26294"/>
    <cellStyle name="40% - Accent1 9 2 5 2 3" xfId="26295"/>
    <cellStyle name="40% - Accent1 9 2 5 2 3 2" xfId="26296"/>
    <cellStyle name="40% - Accent1 9 2 5 2 4" xfId="26297"/>
    <cellStyle name="40% - Accent1 9 2 5 3" xfId="26298"/>
    <cellStyle name="40% - Accent1 9 2 5 3 2" xfId="26299"/>
    <cellStyle name="40% - Accent1 9 2 5 3 2 2" xfId="26300"/>
    <cellStyle name="40% - Accent1 9 2 5 3 3" xfId="26301"/>
    <cellStyle name="40% - Accent1 9 2 5 4" xfId="26302"/>
    <cellStyle name="40% - Accent1 9 2 5 4 2" xfId="26303"/>
    <cellStyle name="40% - Accent1 9 2 5 5" xfId="26304"/>
    <cellStyle name="40% - Accent1 9 2 6" xfId="26305"/>
    <cellStyle name="40% - Accent1 9 2 6 2" xfId="26306"/>
    <cellStyle name="40% - Accent1 9 2 6 2 2" xfId="26307"/>
    <cellStyle name="40% - Accent1 9 2 6 2 2 2" xfId="26308"/>
    <cellStyle name="40% - Accent1 9 2 6 2 2 2 2" xfId="26309"/>
    <cellStyle name="40% - Accent1 9 2 6 2 2 3" xfId="26310"/>
    <cellStyle name="40% - Accent1 9 2 6 2 3" xfId="26311"/>
    <cellStyle name="40% - Accent1 9 2 6 2 3 2" xfId="26312"/>
    <cellStyle name="40% - Accent1 9 2 6 2 4" xfId="26313"/>
    <cellStyle name="40% - Accent1 9 2 6 3" xfId="26314"/>
    <cellStyle name="40% - Accent1 9 2 6 3 2" xfId="26315"/>
    <cellStyle name="40% - Accent1 9 2 6 3 2 2" xfId="26316"/>
    <cellStyle name="40% - Accent1 9 2 6 3 3" xfId="26317"/>
    <cellStyle name="40% - Accent1 9 2 6 4" xfId="26318"/>
    <cellStyle name="40% - Accent1 9 2 6 4 2" xfId="26319"/>
    <cellStyle name="40% - Accent1 9 2 6 5" xfId="26320"/>
    <cellStyle name="40% - Accent1 9 2 7" xfId="26321"/>
    <cellStyle name="40% - Accent1 9 2 7 2" xfId="26322"/>
    <cellStyle name="40% - Accent1 9 2 7 2 2" xfId="26323"/>
    <cellStyle name="40% - Accent1 9 2 7 2 2 2" xfId="26324"/>
    <cellStyle name="40% - Accent1 9 2 7 2 3" xfId="26325"/>
    <cellStyle name="40% - Accent1 9 2 7 3" xfId="26326"/>
    <cellStyle name="40% - Accent1 9 2 7 3 2" xfId="26327"/>
    <cellStyle name="40% - Accent1 9 2 7 4" xfId="26328"/>
    <cellStyle name="40% - Accent1 9 2 8" xfId="26329"/>
    <cellStyle name="40% - Accent1 9 2 8 2" xfId="26330"/>
    <cellStyle name="40% - Accent1 9 2 8 2 2" xfId="26331"/>
    <cellStyle name="40% - Accent1 9 2 8 3" xfId="26332"/>
    <cellStyle name="40% - Accent1 9 2 9" xfId="26333"/>
    <cellStyle name="40% - Accent1 9 2 9 2" xfId="26334"/>
    <cellStyle name="40% - Accent1 9 3" xfId="26335"/>
    <cellStyle name="40% - Accent1 9 3 2" xfId="26336"/>
    <cellStyle name="40% - Accent1 9 3 2 2" xfId="26337"/>
    <cellStyle name="40% - Accent1 9 3 2 2 2" xfId="26338"/>
    <cellStyle name="40% - Accent1 9 3 2 2 2 2" xfId="26339"/>
    <cellStyle name="40% - Accent1 9 3 2 2 3" xfId="26340"/>
    <cellStyle name="40% - Accent1 9 3 2 3" xfId="26341"/>
    <cellStyle name="40% - Accent1 9 3 2 3 2" xfId="26342"/>
    <cellStyle name="40% - Accent1 9 3 2 4" xfId="26343"/>
    <cellStyle name="40% - Accent1 9 3 3" xfId="26344"/>
    <cellStyle name="40% - Accent1 9 3 3 2" xfId="26345"/>
    <cellStyle name="40% - Accent1 9 3 3 2 2" xfId="26346"/>
    <cellStyle name="40% - Accent1 9 3 3 3" xfId="26347"/>
    <cellStyle name="40% - Accent1 9 3 4" xfId="26348"/>
    <cellStyle name="40% - Accent1 9 3 4 2" xfId="26349"/>
    <cellStyle name="40% - Accent1 9 3 5" xfId="26350"/>
    <cellStyle name="40% - Accent1 9 4" xfId="26351"/>
    <cellStyle name="40% - Accent1 9 4 2" xfId="26352"/>
    <cellStyle name="40% - Accent1 9 4 2 2" xfId="26353"/>
    <cellStyle name="40% - Accent1 9 4 2 2 2" xfId="26354"/>
    <cellStyle name="40% - Accent1 9 4 2 2 2 2" xfId="26355"/>
    <cellStyle name="40% - Accent1 9 4 2 2 3" xfId="26356"/>
    <cellStyle name="40% - Accent1 9 4 2 3" xfId="26357"/>
    <cellStyle name="40% - Accent1 9 4 2 3 2" xfId="26358"/>
    <cellStyle name="40% - Accent1 9 4 2 4" xfId="26359"/>
    <cellStyle name="40% - Accent1 9 4 3" xfId="26360"/>
    <cellStyle name="40% - Accent1 9 4 3 2" xfId="26361"/>
    <cellStyle name="40% - Accent1 9 4 3 2 2" xfId="26362"/>
    <cellStyle name="40% - Accent1 9 4 3 3" xfId="26363"/>
    <cellStyle name="40% - Accent1 9 4 4" xfId="26364"/>
    <cellStyle name="40% - Accent1 9 4 4 2" xfId="26365"/>
    <cellStyle name="40% - Accent1 9 4 5" xfId="26366"/>
    <cellStyle name="40% - Accent1 9 5" xfId="26367"/>
    <cellStyle name="40% - Accent1 9 5 2" xfId="26368"/>
    <cellStyle name="40% - Accent1 9 5 2 2" xfId="26369"/>
    <cellStyle name="40% - Accent1 9 5 2 2 2" xfId="26370"/>
    <cellStyle name="40% - Accent1 9 5 2 2 2 2" xfId="26371"/>
    <cellStyle name="40% - Accent1 9 5 2 2 3" xfId="26372"/>
    <cellStyle name="40% - Accent1 9 5 2 3" xfId="26373"/>
    <cellStyle name="40% - Accent1 9 5 2 3 2" xfId="26374"/>
    <cellStyle name="40% - Accent1 9 5 2 4" xfId="26375"/>
    <cellStyle name="40% - Accent1 9 5 3" xfId="26376"/>
    <cellStyle name="40% - Accent1 9 5 3 2" xfId="26377"/>
    <cellStyle name="40% - Accent1 9 5 3 2 2" xfId="26378"/>
    <cellStyle name="40% - Accent1 9 5 3 3" xfId="26379"/>
    <cellStyle name="40% - Accent1 9 5 4" xfId="26380"/>
    <cellStyle name="40% - Accent1 9 5 4 2" xfId="26381"/>
    <cellStyle name="40% - Accent1 9 5 5" xfId="26382"/>
    <cellStyle name="40% - Accent1 9 6" xfId="26383"/>
    <cellStyle name="40% - Accent1 9 6 2" xfId="26384"/>
    <cellStyle name="40% - Accent1 9 6 2 2" xfId="26385"/>
    <cellStyle name="40% - Accent1 9 6 2 2 2" xfId="26386"/>
    <cellStyle name="40% - Accent1 9 6 2 2 2 2" xfId="26387"/>
    <cellStyle name="40% - Accent1 9 6 2 2 3" xfId="26388"/>
    <cellStyle name="40% - Accent1 9 6 2 3" xfId="26389"/>
    <cellStyle name="40% - Accent1 9 6 2 3 2" xfId="26390"/>
    <cellStyle name="40% - Accent1 9 6 2 4" xfId="26391"/>
    <cellStyle name="40% - Accent1 9 6 3" xfId="26392"/>
    <cellStyle name="40% - Accent1 9 6 3 2" xfId="26393"/>
    <cellStyle name="40% - Accent1 9 6 3 2 2" xfId="26394"/>
    <cellStyle name="40% - Accent1 9 6 3 3" xfId="26395"/>
    <cellStyle name="40% - Accent1 9 6 4" xfId="26396"/>
    <cellStyle name="40% - Accent1 9 6 4 2" xfId="26397"/>
    <cellStyle name="40% - Accent1 9 6 5" xfId="26398"/>
    <cellStyle name="40% - Accent1 9 7" xfId="26399"/>
    <cellStyle name="40% - Accent1 9 7 2" xfId="26400"/>
    <cellStyle name="40% - Accent1 9 7 2 2" xfId="26401"/>
    <cellStyle name="40% - Accent1 9 7 2 2 2" xfId="26402"/>
    <cellStyle name="40% - Accent1 9 7 2 2 2 2" xfId="26403"/>
    <cellStyle name="40% - Accent1 9 7 2 2 3" xfId="26404"/>
    <cellStyle name="40% - Accent1 9 7 2 3" xfId="26405"/>
    <cellStyle name="40% - Accent1 9 7 2 3 2" xfId="26406"/>
    <cellStyle name="40% - Accent1 9 7 2 4" xfId="26407"/>
    <cellStyle name="40% - Accent1 9 7 3" xfId="26408"/>
    <cellStyle name="40% - Accent1 9 7 3 2" xfId="26409"/>
    <cellStyle name="40% - Accent1 9 7 3 2 2" xfId="26410"/>
    <cellStyle name="40% - Accent1 9 7 3 3" xfId="26411"/>
    <cellStyle name="40% - Accent1 9 7 4" xfId="26412"/>
    <cellStyle name="40% - Accent1 9 7 4 2" xfId="26413"/>
    <cellStyle name="40% - Accent1 9 7 5" xfId="26414"/>
    <cellStyle name="40% - Accent1 9 8" xfId="26415"/>
    <cellStyle name="40% - Accent1 9 8 2" xfId="26416"/>
    <cellStyle name="40% - Accent1 9 8 2 2" xfId="26417"/>
    <cellStyle name="40% - Accent1 9 8 2 2 2" xfId="26418"/>
    <cellStyle name="40% - Accent1 9 8 2 3" xfId="26419"/>
    <cellStyle name="40% - Accent1 9 8 3" xfId="26420"/>
    <cellStyle name="40% - Accent1 9 8 3 2" xfId="26421"/>
    <cellStyle name="40% - Accent1 9 8 4" xfId="26422"/>
    <cellStyle name="40% - Accent1 9 9" xfId="26423"/>
    <cellStyle name="40% - Accent1 9 9 2" xfId="26424"/>
    <cellStyle name="40% - Accent1 9 9 2 2" xfId="26425"/>
    <cellStyle name="40% - Accent1 9 9 3" xfId="26426"/>
    <cellStyle name="40% - Accent2" xfId="52854" builtinId="35" customBuiltin="1"/>
    <cellStyle name="40% - Accent2 10" xfId="26427"/>
    <cellStyle name="40% - Accent2 10 10" xfId="26428"/>
    <cellStyle name="40% - Accent2 10 10 2" xfId="26429"/>
    <cellStyle name="40% - Accent2 10 11" xfId="26430"/>
    <cellStyle name="40% - Accent2 10 2" xfId="26431"/>
    <cellStyle name="40% - Accent2 10 2 10" xfId="26432"/>
    <cellStyle name="40% - Accent2 10 2 2" xfId="26433"/>
    <cellStyle name="40% - Accent2 10 2 2 2" xfId="26434"/>
    <cellStyle name="40% - Accent2 10 2 2 2 2" xfId="26435"/>
    <cellStyle name="40% - Accent2 10 2 2 2 2 2" xfId="26436"/>
    <cellStyle name="40% - Accent2 10 2 2 2 2 2 2" xfId="26437"/>
    <cellStyle name="40% - Accent2 10 2 2 2 2 3" xfId="26438"/>
    <cellStyle name="40% - Accent2 10 2 2 2 3" xfId="26439"/>
    <cellStyle name="40% - Accent2 10 2 2 2 3 2" xfId="26440"/>
    <cellStyle name="40% - Accent2 10 2 2 2 4" xfId="26441"/>
    <cellStyle name="40% - Accent2 10 2 2 3" xfId="26442"/>
    <cellStyle name="40% - Accent2 10 2 2 3 2" xfId="26443"/>
    <cellStyle name="40% - Accent2 10 2 2 3 2 2" xfId="26444"/>
    <cellStyle name="40% - Accent2 10 2 2 3 3" xfId="26445"/>
    <cellStyle name="40% - Accent2 10 2 2 4" xfId="26446"/>
    <cellStyle name="40% - Accent2 10 2 2 4 2" xfId="26447"/>
    <cellStyle name="40% - Accent2 10 2 2 5" xfId="26448"/>
    <cellStyle name="40% - Accent2 10 2 3" xfId="26449"/>
    <cellStyle name="40% - Accent2 10 2 3 2" xfId="26450"/>
    <cellStyle name="40% - Accent2 10 2 3 2 2" xfId="26451"/>
    <cellStyle name="40% - Accent2 10 2 3 2 2 2" xfId="26452"/>
    <cellStyle name="40% - Accent2 10 2 3 2 2 2 2" xfId="26453"/>
    <cellStyle name="40% - Accent2 10 2 3 2 2 3" xfId="26454"/>
    <cellStyle name="40% - Accent2 10 2 3 2 3" xfId="26455"/>
    <cellStyle name="40% - Accent2 10 2 3 2 3 2" xfId="26456"/>
    <cellStyle name="40% - Accent2 10 2 3 2 4" xfId="26457"/>
    <cellStyle name="40% - Accent2 10 2 3 3" xfId="26458"/>
    <cellStyle name="40% - Accent2 10 2 3 3 2" xfId="26459"/>
    <cellStyle name="40% - Accent2 10 2 3 3 2 2" xfId="26460"/>
    <cellStyle name="40% - Accent2 10 2 3 3 3" xfId="26461"/>
    <cellStyle name="40% - Accent2 10 2 3 4" xfId="26462"/>
    <cellStyle name="40% - Accent2 10 2 3 4 2" xfId="26463"/>
    <cellStyle name="40% - Accent2 10 2 3 5" xfId="26464"/>
    <cellStyle name="40% - Accent2 10 2 4" xfId="26465"/>
    <cellStyle name="40% - Accent2 10 2 4 2" xfId="26466"/>
    <cellStyle name="40% - Accent2 10 2 4 2 2" xfId="26467"/>
    <cellStyle name="40% - Accent2 10 2 4 2 2 2" xfId="26468"/>
    <cellStyle name="40% - Accent2 10 2 4 2 2 2 2" xfId="26469"/>
    <cellStyle name="40% - Accent2 10 2 4 2 2 3" xfId="26470"/>
    <cellStyle name="40% - Accent2 10 2 4 2 3" xfId="26471"/>
    <cellStyle name="40% - Accent2 10 2 4 2 3 2" xfId="26472"/>
    <cellStyle name="40% - Accent2 10 2 4 2 4" xfId="26473"/>
    <cellStyle name="40% - Accent2 10 2 4 3" xfId="26474"/>
    <cellStyle name="40% - Accent2 10 2 4 3 2" xfId="26475"/>
    <cellStyle name="40% - Accent2 10 2 4 3 2 2" xfId="26476"/>
    <cellStyle name="40% - Accent2 10 2 4 3 3" xfId="26477"/>
    <cellStyle name="40% - Accent2 10 2 4 4" xfId="26478"/>
    <cellStyle name="40% - Accent2 10 2 4 4 2" xfId="26479"/>
    <cellStyle name="40% - Accent2 10 2 4 5" xfId="26480"/>
    <cellStyle name="40% - Accent2 10 2 5" xfId="26481"/>
    <cellStyle name="40% - Accent2 10 2 5 2" xfId="26482"/>
    <cellStyle name="40% - Accent2 10 2 5 2 2" xfId="26483"/>
    <cellStyle name="40% - Accent2 10 2 5 2 2 2" xfId="26484"/>
    <cellStyle name="40% - Accent2 10 2 5 2 2 2 2" xfId="26485"/>
    <cellStyle name="40% - Accent2 10 2 5 2 2 3" xfId="26486"/>
    <cellStyle name="40% - Accent2 10 2 5 2 3" xfId="26487"/>
    <cellStyle name="40% - Accent2 10 2 5 2 3 2" xfId="26488"/>
    <cellStyle name="40% - Accent2 10 2 5 2 4" xfId="26489"/>
    <cellStyle name="40% - Accent2 10 2 5 3" xfId="26490"/>
    <cellStyle name="40% - Accent2 10 2 5 3 2" xfId="26491"/>
    <cellStyle name="40% - Accent2 10 2 5 3 2 2" xfId="26492"/>
    <cellStyle name="40% - Accent2 10 2 5 3 3" xfId="26493"/>
    <cellStyle name="40% - Accent2 10 2 5 4" xfId="26494"/>
    <cellStyle name="40% - Accent2 10 2 5 4 2" xfId="26495"/>
    <cellStyle name="40% - Accent2 10 2 5 5" xfId="26496"/>
    <cellStyle name="40% - Accent2 10 2 6" xfId="26497"/>
    <cellStyle name="40% - Accent2 10 2 6 2" xfId="26498"/>
    <cellStyle name="40% - Accent2 10 2 6 2 2" xfId="26499"/>
    <cellStyle name="40% - Accent2 10 2 6 2 2 2" xfId="26500"/>
    <cellStyle name="40% - Accent2 10 2 6 2 2 2 2" xfId="26501"/>
    <cellStyle name="40% - Accent2 10 2 6 2 2 3" xfId="26502"/>
    <cellStyle name="40% - Accent2 10 2 6 2 3" xfId="26503"/>
    <cellStyle name="40% - Accent2 10 2 6 2 3 2" xfId="26504"/>
    <cellStyle name="40% - Accent2 10 2 6 2 4" xfId="26505"/>
    <cellStyle name="40% - Accent2 10 2 6 3" xfId="26506"/>
    <cellStyle name="40% - Accent2 10 2 6 3 2" xfId="26507"/>
    <cellStyle name="40% - Accent2 10 2 6 3 2 2" xfId="26508"/>
    <cellStyle name="40% - Accent2 10 2 6 3 3" xfId="26509"/>
    <cellStyle name="40% - Accent2 10 2 6 4" xfId="26510"/>
    <cellStyle name="40% - Accent2 10 2 6 4 2" xfId="26511"/>
    <cellStyle name="40% - Accent2 10 2 6 5" xfId="26512"/>
    <cellStyle name="40% - Accent2 10 2 7" xfId="26513"/>
    <cellStyle name="40% - Accent2 10 2 7 2" xfId="26514"/>
    <cellStyle name="40% - Accent2 10 2 7 2 2" xfId="26515"/>
    <cellStyle name="40% - Accent2 10 2 7 2 2 2" xfId="26516"/>
    <cellStyle name="40% - Accent2 10 2 7 2 3" xfId="26517"/>
    <cellStyle name="40% - Accent2 10 2 7 3" xfId="26518"/>
    <cellStyle name="40% - Accent2 10 2 7 3 2" xfId="26519"/>
    <cellStyle name="40% - Accent2 10 2 7 4" xfId="26520"/>
    <cellStyle name="40% - Accent2 10 2 8" xfId="26521"/>
    <cellStyle name="40% - Accent2 10 2 8 2" xfId="26522"/>
    <cellStyle name="40% - Accent2 10 2 8 2 2" xfId="26523"/>
    <cellStyle name="40% - Accent2 10 2 8 3" xfId="26524"/>
    <cellStyle name="40% - Accent2 10 2 9" xfId="26525"/>
    <cellStyle name="40% - Accent2 10 2 9 2" xfId="26526"/>
    <cellStyle name="40% - Accent2 10 3" xfId="26527"/>
    <cellStyle name="40% - Accent2 10 3 2" xfId="26528"/>
    <cellStyle name="40% - Accent2 10 3 2 2" xfId="26529"/>
    <cellStyle name="40% - Accent2 10 3 2 2 2" xfId="26530"/>
    <cellStyle name="40% - Accent2 10 3 2 2 2 2" xfId="26531"/>
    <cellStyle name="40% - Accent2 10 3 2 2 3" xfId="26532"/>
    <cellStyle name="40% - Accent2 10 3 2 3" xfId="26533"/>
    <cellStyle name="40% - Accent2 10 3 2 3 2" xfId="26534"/>
    <cellStyle name="40% - Accent2 10 3 2 4" xfId="26535"/>
    <cellStyle name="40% - Accent2 10 3 3" xfId="26536"/>
    <cellStyle name="40% - Accent2 10 3 3 2" xfId="26537"/>
    <cellStyle name="40% - Accent2 10 3 3 2 2" xfId="26538"/>
    <cellStyle name="40% - Accent2 10 3 3 3" xfId="26539"/>
    <cellStyle name="40% - Accent2 10 3 4" xfId="26540"/>
    <cellStyle name="40% - Accent2 10 3 4 2" xfId="26541"/>
    <cellStyle name="40% - Accent2 10 3 5" xfId="26542"/>
    <cellStyle name="40% - Accent2 10 4" xfId="26543"/>
    <cellStyle name="40% - Accent2 10 4 2" xfId="26544"/>
    <cellStyle name="40% - Accent2 10 4 2 2" xfId="26545"/>
    <cellStyle name="40% - Accent2 10 4 2 2 2" xfId="26546"/>
    <cellStyle name="40% - Accent2 10 4 2 2 2 2" xfId="26547"/>
    <cellStyle name="40% - Accent2 10 4 2 2 3" xfId="26548"/>
    <cellStyle name="40% - Accent2 10 4 2 3" xfId="26549"/>
    <cellStyle name="40% - Accent2 10 4 2 3 2" xfId="26550"/>
    <cellStyle name="40% - Accent2 10 4 2 4" xfId="26551"/>
    <cellStyle name="40% - Accent2 10 4 3" xfId="26552"/>
    <cellStyle name="40% - Accent2 10 4 3 2" xfId="26553"/>
    <cellStyle name="40% - Accent2 10 4 3 2 2" xfId="26554"/>
    <cellStyle name="40% - Accent2 10 4 3 3" xfId="26555"/>
    <cellStyle name="40% - Accent2 10 4 4" xfId="26556"/>
    <cellStyle name="40% - Accent2 10 4 4 2" xfId="26557"/>
    <cellStyle name="40% - Accent2 10 4 5" xfId="26558"/>
    <cellStyle name="40% - Accent2 10 5" xfId="26559"/>
    <cellStyle name="40% - Accent2 10 5 2" xfId="26560"/>
    <cellStyle name="40% - Accent2 10 5 2 2" xfId="26561"/>
    <cellStyle name="40% - Accent2 10 5 2 2 2" xfId="26562"/>
    <cellStyle name="40% - Accent2 10 5 2 2 2 2" xfId="26563"/>
    <cellStyle name="40% - Accent2 10 5 2 2 3" xfId="26564"/>
    <cellStyle name="40% - Accent2 10 5 2 3" xfId="26565"/>
    <cellStyle name="40% - Accent2 10 5 2 3 2" xfId="26566"/>
    <cellStyle name="40% - Accent2 10 5 2 4" xfId="26567"/>
    <cellStyle name="40% - Accent2 10 5 3" xfId="26568"/>
    <cellStyle name="40% - Accent2 10 5 3 2" xfId="26569"/>
    <cellStyle name="40% - Accent2 10 5 3 2 2" xfId="26570"/>
    <cellStyle name="40% - Accent2 10 5 3 3" xfId="26571"/>
    <cellStyle name="40% - Accent2 10 5 4" xfId="26572"/>
    <cellStyle name="40% - Accent2 10 5 4 2" xfId="26573"/>
    <cellStyle name="40% - Accent2 10 5 5" xfId="26574"/>
    <cellStyle name="40% - Accent2 10 6" xfId="26575"/>
    <cellStyle name="40% - Accent2 10 6 2" xfId="26576"/>
    <cellStyle name="40% - Accent2 10 6 2 2" xfId="26577"/>
    <cellStyle name="40% - Accent2 10 6 2 2 2" xfId="26578"/>
    <cellStyle name="40% - Accent2 10 6 2 2 2 2" xfId="26579"/>
    <cellStyle name="40% - Accent2 10 6 2 2 3" xfId="26580"/>
    <cellStyle name="40% - Accent2 10 6 2 3" xfId="26581"/>
    <cellStyle name="40% - Accent2 10 6 2 3 2" xfId="26582"/>
    <cellStyle name="40% - Accent2 10 6 2 4" xfId="26583"/>
    <cellStyle name="40% - Accent2 10 6 3" xfId="26584"/>
    <cellStyle name="40% - Accent2 10 6 3 2" xfId="26585"/>
    <cellStyle name="40% - Accent2 10 6 3 2 2" xfId="26586"/>
    <cellStyle name="40% - Accent2 10 6 3 3" xfId="26587"/>
    <cellStyle name="40% - Accent2 10 6 4" xfId="26588"/>
    <cellStyle name="40% - Accent2 10 6 4 2" xfId="26589"/>
    <cellStyle name="40% - Accent2 10 6 5" xfId="26590"/>
    <cellStyle name="40% - Accent2 10 7" xfId="26591"/>
    <cellStyle name="40% - Accent2 10 7 2" xfId="26592"/>
    <cellStyle name="40% - Accent2 10 7 2 2" xfId="26593"/>
    <cellStyle name="40% - Accent2 10 7 2 2 2" xfId="26594"/>
    <cellStyle name="40% - Accent2 10 7 2 2 2 2" xfId="26595"/>
    <cellStyle name="40% - Accent2 10 7 2 2 3" xfId="26596"/>
    <cellStyle name="40% - Accent2 10 7 2 3" xfId="26597"/>
    <cellStyle name="40% - Accent2 10 7 2 3 2" xfId="26598"/>
    <cellStyle name="40% - Accent2 10 7 2 4" xfId="26599"/>
    <cellStyle name="40% - Accent2 10 7 3" xfId="26600"/>
    <cellStyle name="40% - Accent2 10 7 3 2" xfId="26601"/>
    <cellStyle name="40% - Accent2 10 7 3 2 2" xfId="26602"/>
    <cellStyle name="40% - Accent2 10 7 3 3" xfId="26603"/>
    <cellStyle name="40% - Accent2 10 7 4" xfId="26604"/>
    <cellStyle name="40% - Accent2 10 7 4 2" xfId="26605"/>
    <cellStyle name="40% - Accent2 10 7 5" xfId="26606"/>
    <cellStyle name="40% - Accent2 10 8" xfId="26607"/>
    <cellStyle name="40% - Accent2 10 8 2" xfId="26608"/>
    <cellStyle name="40% - Accent2 10 8 2 2" xfId="26609"/>
    <cellStyle name="40% - Accent2 10 8 2 2 2" xfId="26610"/>
    <cellStyle name="40% - Accent2 10 8 2 3" xfId="26611"/>
    <cellStyle name="40% - Accent2 10 8 3" xfId="26612"/>
    <cellStyle name="40% - Accent2 10 8 3 2" xfId="26613"/>
    <cellStyle name="40% - Accent2 10 8 4" xfId="26614"/>
    <cellStyle name="40% - Accent2 10 9" xfId="26615"/>
    <cellStyle name="40% - Accent2 10 9 2" xfId="26616"/>
    <cellStyle name="40% - Accent2 10 9 2 2" xfId="26617"/>
    <cellStyle name="40% - Accent2 10 9 3" xfId="26618"/>
    <cellStyle name="40% - Accent2 11" xfId="26619"/>
    <cellStyle name="40% - Accent2 11 10" xfId="26620"/>
    <cellStyle name="40% - Accent2 11 10 2" xfId="26621"/>
    <cellStyle name="40% - Accent2 11 11" xfId="26622"/>
    <cellStyle name="40% - Accent2 11 2" xfId="26623"/>
    <cellStyle name="40% - Accent2 11 2 10" xfId="26624"/>
    <cellStyle name="40% - Accent2 11 2 2" xfId="26625"/>
    <cellStyle name="40% - Accent2 11 2 2 2" xfId="26626"/>
    <cellStyle name="40% - Accent2 11 2 2 2 2" xfId="26627"/>
    <cellStyle name="40% - Accent2 11 2 2 2 2 2" xfId="26628"/>
    <cellStyle name="40% - Accent2 11 2 2 2 2 2 2" xfId="26629"/>
    <cellStyle name="40% - Accent2 11 2 2 2 2 3" xfId="26630"/>
    <cellStyle name="40% - Accent2 11 2 2 2 3" xfId="26631"/>
    <cellStyle name="40% - Accent2 11 2 2 2 3 2" xfId="26632"/>
    <cellStyle name="40% - Accent2 11 2 2 2 4" xfId="26633"/>
    <cellStyle name="40% - Accent2 11 2 2 3" xfId="26634"/>
    <cellStyle name="40% - Accent2 11 2 2 3 2" xfId="26635"/>
    <cellStyle name="40% - Accent2 11 2 2 3 2 2" xfId="26636"/>
    <cellStyle name="40% - Accent2 11 2 2 3 3" xfId="26637"/>
    <cellStyle name="40% - Accent2 11 2 2 4" xfId="26638"/>
    <cellStyle name="40% - Accent2 11 2 2 4 2" xfId="26639"/>
    <cellStyle name="40% - Accent2 11 2 2 5" xfId="26640"/>
    <cellStyle name="40% - Accent2 11 2 3" xfId="26641"/>
    <cellStyle name="40% - Accent2 11 2 3 2" xfId="26642"/>
    <cellStyle name="40% - Accent2 11 2 3 2 2" xfId="26643"/>
    <cellStyle name="40% - Accent2 11 2 3 2 2 2" xfId="26644"/>
    <cellStyle name="40% - Accent2 11 2 3 2 2 2 2" xfId="26645"/>
    <cellStyle name="40% - Accent2 11 2 3 2 2 3" xfId="26646"/>
    <cellStyle name="40% - Accent2 11 2 3 2 3" xfId="26647"/>
    <cellStyle name="40% - Accent2 11 2 3 2 3 2" xfId="26648"/>
    <cellStyle name="40% - Accent2 11 2 3 2 4" xfId="26649"/>
    <cellStyle name="40% - Accent2 11 2 3 3" xfId="26650"/>
    <cellStyle name="40% - Accent2 11 2 3 3 2" xfId="26651"/>
    <cellStyle name="40% - Accent2 11 2 3 3 2 2" xfId="26652"/>
    <cellStyle name="40% - Accent2 11 2 3 3 3" xfId="26653"/>
    <cellStyle name="40% - Accent2 11 2 3 4" xfId="26654"/>
    <cellStyle name="40% - Accent2 11 2 3 4 2" xfId="26655"/>
    <cellStyle name="40% - Accent2 11 2 3 5" xfId="26656"/>
    <cellStyle name="40% - Accent2 11 2 4" xfId="26657"/>
    <cellStyle name="40% - Accent2 11 2 4 2" xfId="26658"/>
    <cellStyle name="40% - Accent2 11 2 4 2 2" xfId="26659"/>
    <cellStyle name="40% - Accent2 11 2 4 2 2 2" xfId="26660"/>
    <cellStyle name="40% - Accent2 11 2 4 2 2 2 2" xfId="26661"/>
    <cellStyle name="40% - Accent2 11 2 4 2 2 3" xfId="26662"/>
    <cellStyle name="40% - Accent2 11 2 4 2 3" xfId="26663"/>
    <cellStyle name="40% - Accent2 11 2 4 2 3 2" xfId="26664"/>
    <cellStyle name="40% - Accent2 11 2 4 2 4" xfId="26665"/>
    <cellStyle name="40% - Accent2 11 2 4 3" xfId="26666"/>
    <cellStyle name="40% - Accent2 11 2 4 3 2" xfId="26667"/>
    <cellStyle name="40% - Accent2 11 2 4 3 2 2" xfId="26668"/>
    <cellStyle name="40% - Accent2 11 2 4 3 3" xfId="26669"/>
    <cellStyle name="40% - Accent2 11 2 4 4" xfId="26670"/>
    <cellStyle name="40% - Accent2 11 2 4 4 2" xfId="26671"/>
    <cellStyle name="40% - Accent2 11 2 4 5" xfId="26672"/>
    <cellStyle name="40% - Accent2 11 2 5" xfId="26673"/>
    <cellStyle name="40% - Accent2 11 2 5 2" xfId="26674"/>
    <cellStyle name="40% - Accent2 11 2 5 2 2" xfId="26675"/>
    <cellStyle name="40% - Accent2 11 2 5 2 2 2" xfId="26676"/>
    <cellStyle name="40% - Accent2 11 2 5 2 2 2 2" xfId="26677"/>
    <cellStyle name="40% - Accent2 11 2 5 2 2 3" xfId="26678"/>
    <cellStyle name="40% - Accent2 11 2 5 2 3" xfId="26679"/>
    <cellStyle name="40% - Accent2 11 2 5 2 3 2" xfId="26680"/>
    <cellStyle name="40% - Accent2 11 2 5 2 4" xfId="26681"/>
    <cellStyle name="40% - Accent2 11 2 5 3" xfId="26682"/>
    <cellStyle name="40% - Accent2 11 2 5 3 2" xfId="26683"/>
    <cellStyle name="40% - Accent2 11 2 5 3 2 2" xfId="26684"/>
    <cellStyle name="40% - Accent2 11 2 5 3 3" xfId="26685"/>
    <cellStyle name="40% - Accent2 11 2 5 4" xfId="26686"/>
    <cellStyle name="40% - Accent2 11 2 5 4 2" xfId="26687"/>
    <cellStyle name="40% - Accent2 11 2 5 5" xfId="26688"/>
    <cellStyle name="40% - Accent2 11 2 6" xfId="26689"/>
    <cellStyle name="40% - Accent2 11 2 6 2" xfId="26690"/>
    <cellStyle name="40% - Accent2 11 2 6 2 2" xfId="26691"/>
    <cellStyle name="40% - Accent2 11 2 6 2 2 2" xfId="26692"/>
    <cellStyle name="40% - Accent2 11 2 6 2 2 2 2" xfId="26693"/>
    <cellStyle name="40% - Accent2 11 2 6 2 2 3" xfId="26694"/>
    <cellStyle name="40% - Accent2 11 2 6 2 3" xfId="26695"/>
    <cellStyle name="40% - Accent2 11 2 6 2 3 2" xfId="26696"/>
    <cellStyle name="40% - Accent2 11 2 6 2 4" xfId="26697"/>
    <cellStyle name="40% - Accent2 11 2 6 3" xfId="26698"/>
    <cellStyle name="40% - Accent2 11 2 6 3 2" xfId="26699"/>
    <cellStyle name="40% - Accent2 11 2 6 3 2 2" xfId="26700"/>
    <cellStyle name="40% - Accent2 11 2 6 3 3" xfId="26701"/>
    <cellStyle name="40% - Accent2 11 2 6 4" xfId="26702"/>
    <cellStyle name="40% - Accent2 11 2 6 4 2" xfId="26703"/>
    <cellStyle name="40% - Accent2 11 2 6 5" xfId="26704"/>
    <cellStyle name="40% - Accent2 11 2 7" xfId="26705"/>
    <cellStyle name="40% - Accent2 11 2 7 2" xfId="26706"/>
    <cellStyle name="40% - Accent2 11 2 7 2 2" xfId="26707"/>
    <cellStyle name="40% - Accent2 11 2 7 2 2 2" xfId="26708"/>
    <cellStyle name="40% - Accent2 11 2 7 2 3" xfId="26709"/>
    <cellStyle name="40% - Accent2 11 2 7 3" xfId="26710"/>
    <cellStyle name="40% - Accent2 11 2 7 3 2" xfId="26711"/>
    <cellStyle name="40% - Accent2 11 2 7 4" xfId="26712"/>
    <cellStyle name="40% - Accent2 11 2 8" xfId="26713"/>
    <cellStyle name="40% - Accent2 11 2 8 2" xfId="26714"/>
    <cellStyle name="40% - Accent2 11 2 8 2 2" xfId="26715"/>
    <cellStyle name="40% - Accent2 11 2 8 3" xfId="26716"/>
    <cellStyle name="40% - Accent2 11 2 9" xfId="26717"/>
    <cellStyle name="40% - Accent2 11 2 9 2" xfId="26718"/>
    <cellStyle name="40% - Accent2 11 3" xfId="26719"/>
    <cellStyle name="40% - Accent2 11 3 2" xfId="26720"/>
    <cellStyle name="40% - Accent2 11 3 2 2" xfId="26721"/>
    <cellStyle name="40% - Accent2 11 3 2 2 2" xfId="26722"/>
    <cellStyle name="40% - Accent2 11 3 2 2 2 2" xfId="26723"/>
    <cellStyle name="40% - Accent2 11 3 2 2 3" xfId="26724"/>
    <cellStyle name="40% - Accent2 11 3 2 3" xfId="26725"/>
    <cellStyle name="40% - Accent2 11 3 2 3 2" xfId="26726"/>
    <cellStyle name="40% - Accent2 11 3 2 4" xfId="26727"/>
    <cellStyle name="40% - Accent2 11 3 3" xfId="26728"/>
    <cellStyle name="40% - Accent2 11 3 3 2" xfId="26729"/>
    <cellStyle name="40% - Accent2 11 3 3 2 2" xfId="26730"/>
    <cellStyle name="40% - Accent2 11 3 3 3" xfId="26731"/>
    <cellStyle name="40% - Accent2 11 3 4" xfId="26732"/>
    <cellStyle name="40% - Accent2 11 3 4 2" xfId="26733"/>
    <cellStyle name="40% - Accent2 11 3 5" xfId="26734"/>
    <cellStyle name="40% - Accent2 11 4" xfId="26735"/>
    <cellStyle name="40% - Accent2 11 4 2" xfId="26736"/>
    <cellStyle name="40% - Accent2 11 4 2 2" xfId="26737"/>
    <cellStyle name="40% - Accent2 11 4 2 2 2" xfId="26738"/>
    <cellStyle name="40% - Accent2 11 4 2 2 2 2" xfId="26739"/>
    <cellStyle name="40% - Accent2 11 4 2 2 3" xfId="26740"/>
    <cellStyle name="40% - Accent2 11 4 2 3" xfId="26741"/>
    <cellStyle name="40% - Accent2 11 4 2 3 2" xfId="26742"/>
    <cellStyle name="40% - Accent2 11 4 2 4" xfId="26743"/>
    <cellStyle name="40% - Accent2 11 4 3" xfId="26744"/>
    <cellStyle name="40% - Accent2 11 4 3 2" xfId="26745"/>
    <cellStyle name="40% - Accent2 11 4 3 2 2" xfId="26746"/>
    <cellStyle name="40% - Accent2 11 4 3 3" xfId="26747"/>
    <cellStyle name="40% - Accent2 11 4 4" xfId="26748"/>
    <cellStyle name="40% - Accent2 11 4 4 2" xfId="26749"/>
    <cellStyle name="40% - Accent2 11 4 5" xfId="26750"/>
    <cellStyle name="40% - Accent2 11 5" xfId="26751"/>
    <cellStyle name="40% - Accent2 11 5 2" xfId="26752"/>
    <cellStyle name="40% - Accent2 11 5 2 2" xfId="26753"/>
    <cellStyle name="40% - Accent2 11 5 2 2 2" xfId="26754"/>
    <cellStyle name="40% - Accent2 11 5 2 2 2 2" xfId="26755"/>
    <cellStyle name="40% - Accent2 11 5 2 2 3" xfId="26756"/>
    <cellStyle name="40% - Accent2 11 5 2 3" xfId="26757"/>
    <cellStyle name="40% - Accent2 11 5 2 3 2" xfId="26758"/>
    <cellStyle name="40% - Accent2 11 5 2 4" xfId="26759"/>
    <cellStyle name="40% - Accent2 11 5 3" xfId="26760"/>
    <cellStyle name="40% - Accent2 11 5 3 2" xfId="26761"/>
    <cellStyle name="40% - Accent2 11 5 3 2 2" xfId="26762"/>
    <cellStyle name="40% - Accent2 11 5 3 3" xfId="26763"/>
    <cellStyle name="40% - Accent2 11 5 4" xfId="26764"/>
    <cellStyle name="40% - Accent2 11 5 4 2" xfId="26765"/>
    <cellStyle name="40% - Accent2 11 5 5" xfId="26766"/>
    <cellStyle name="40% - Accent2 11 6" xfId="26767"/>
    <cellStyle name="40% - Accent2 11 6 2" xfId="26768"/>
    <cellStyle name="40% - Accent2 11 6 2 2" xfId="26769"/>
    <cellStyle name="40% - Accent2 11 6 2 2 2" xfId="26770"/>
    <cellStyle name="40% - Accent2 11 6 2 2 2 2" xfId="26771"/>
    <cellStyle name="40% - Accent2 11 6 2 2 3" xfId="26772"/>
    <cellStyle name="40% - Accent2 11 6 2 3" xfId="26773"/>
    <cellStyle name="40% - Accent2 11 6 2 3 2" xfId="26774"/>
    <cellStyle name="40% - Accent2 11 6 2 4" xfId="26775"/>
    <cellStyle name="40% - Accent2 11 6 3" xfId="26776"/>
    <cellStyle name="40% - Accent2 11 6 3 2" xfId="26777"/>
    <cellStyle name="40% - Accent2 11 6 3 2 2" xfId="26778"/>
    <cellStyle name="40% - Accent2 11 6 3 3" xfId="26779"/>
    <cellStyle name="40% - Accent2 11 6 4" xfId="26780"/>
    <cellStyle name="40% - Accent2 11 6 4 2" xfId="26781"/>
    <cellStyle name="40% - Accent2 11 6 5" xfId="26782"/>
    <cellStyle name="40% - Accent2 11 7" xfId="26783"/>
    <cellStyle name="40% - Accent2 11 7 2" xfId="26784"/>
    <cellStyle name="40% - Accent2 11 7 2 2" xfId="26785"/>
    <cellStyle name="40% - Accent2 11 7 2 2 2" xfId="26786"/>
    <cellStyle name="40% - Accent2 11 7 2 2 2 2" xfId="26787"/>
    <cellStyle name="40% - Accent2 11 7 2 2 3" xfId="26788"/>
    <cellStyle name="40% - Accent2 11 7 2 3" xfId="26789"/>
    <cellStyle name="40% - Accent2 11 7 2 3 2" xfId="26790"/>
    <cellStyle name="40% - Accent2 11 7 2 4" xfId="26791"/>
    <cellStyle name="40% - Accent2 11 7 3" xfId="26792"/>
    <cellStyle name="40% - Accent2 11 7 3 2" xfId="26793"/>
    <cellStyle name="40% - Accent2 11 7 3 2 2" xfId="26794"/>
    <cellStyle name="40% - Accent2 11 7 3 3" xfId="26795"/>
    <cellStyle name="40% - Accent2 11 7 4" xfId="26796"/>
    <cellStyle name="40% - Accent2 11 7 4 2" xfId="26797"/>
    <cellStyle name="40% - Accent2 11 7 5" xfId="26798"/>
    <cellStyle name="40% - Accent2 11 8" xfId="26799"/>
    <cellStyle name="40% - Accent2 11 8 2" xfId="26800"/>
    <cellStyle name="40% - Accent2 11 8 2 2" xfId="26801"/>
    <cellStyle name="40% - Accent2 11 8 2 2 2" xfId="26802"/>
    <cellStyle name="40% - Accent2 11 8 2 3" xfId="26803"/>
    <cellStyle name="40% - Accent2 11 8 3" xfId="26804"/>
    <cellStyle name="40% - Accent2 11 8 3 2" xfId="26805"/>
    <cellStyle name="40% - Accent2 11 8 4" xfId="26806"/>
    <cellStyle name="40% - Accent2 11 9" xfId="26807"/>
    <cellStyle name="40% - Accent2 11 9 2" xfId="26808"/>
    <cellStyle name="40% - Accent2 11 9 2 2" xfId="26809"/>
    <cellStyle name="40% - Accent2 11 9 3" xfId="26810"/>
    <cellStyle name="40% - Accent2 12" xfId="26811"/>
    <cellStyle name="40% - Accent2 12 10" xfId="26812"/>
    <cellStyle name="40% - Accent2 12 2" xfId="26813"/>
    <cellStyle name="40% - Accent2 12 2 2" xfId="26814"/>
    <cellStyle name="40% - Accent2 12 2 2 2" xfId="26815"/>
    <cellStyle name="40% - Accent2 12 2 2 2 2" xfId="26816"/>
    <cellStyle name="40% - Accent2 12 2 2 2 2 2" xfId="26817"/>
    <cellStyle name="40% - Accent2 12 2 2 2 3" xfId="26818"/>
    <cellStyle name="40% - Accent2 12 2 2 3" xfId="26819"/>
    <cellStyle name="40% - Accent2 12 2 2 3 2" xfId="26820"/>
    <cellStyle name="40% - Accent2 12 2 2 4" xfId="26821"/>
    <cellStyle name="40% - Accent2 12 2 3" xfId="26822"/>
    <cellStyle name="40% - Accent2 12 2 3 2" xfId="26823"/>
    <cellStyle name="40% - Accent2 12 2 3 2 2" xfId="26824"/>
    <cellStyle name="40% - Accent2 12 2 3 3" xfId="26825"/>
    <cellStyle name="40% - Accent2 12 2 4" xfId="26826"/>
    <cellStyle name="40% - Accent2 12 2 4 2" xfId="26827"/>
    <cellStyle name="40% - Accent2 12 2 5" xfId="26828"/>
    <cellStyle name="40% - Accent2 12 3" xfId="26829"/>
    <cellStyle name="40% - Accent2 12 3 2" xfId="26830"/>
    <cellStyle name="40% - Accent2 12 3 2 2" xfId="26831"/>
    <cellStyle name="40% - Accent2 12 3 2 2 2" xfId="26832"/>
    <cellStyle name="40% - Accent2 12 3 2 2 2 2" xfId="26833"/>
    <cellStyle name="40% - Accent2 12 3 2 2 3" xfId="26834"/>
    <cellStyle name="40% - Accent2 12 3 2 3" xfId="26835"/>
    <cellStyle name="40% - Accent2 12 3 2 3 2" xfId="26836"/>
    <cellStyle name="40% - Accent2 12 3 2 4" xfId="26837"/>
    <cellStyle name="40% - Accent2 12 3 3" xfId="26838"/>
    <cellStyle name="40% - Accent2 12 3 3 2" xfId="26839"/>
    <cellStyle name="40% - Accent2 12 3 3 2 2" xfId="26840"/>
    <cellStyle name="40% - Accent2 12 3 3 3" xfId="26841"/>
    <cellStyle name="40% - Accent2 12 3 4" xfId="26842"/>
    <cellStyle name="40% - Accent2 12 3 4 2" xfId="26843"/>
    <cellStyle name="40% - Accent2 12 3 5" xfId="26844"/>
    <cellStyle name="40% - Accent2 12 4" xfId="26845"/>
    <cellStyle name="40% - Accent2 12 4 2" xfId="26846"/>
    <cellStyle name="40% - Accent2 12 4 2 2" xfId="26847"/>
    <cellStyle name="40% - Accent2 12 4 2 2 2" xfId="26848"/>
    <cellStyle name="40% - Accent2 12 4 2 2 2 2" xfId="26849"/>
    <cellStyle name="40% - Accent2 12 4 2 2 3" xfId="26850"/>
    <cellStyle name="40% - Accent2 12 4 2 3" xfId="26851"/>
    <cellStyle name="40% - Accent2 12 4 2 3 2" xfId="26852"/>
    <cellStyle name="40% - Accent2 12 4 2 4" xfId="26853"/>
    <cellStyle name="40% - Accent2 12 4 3" xfId="26854"/>
    <cellStyle name="40% - Accent2 12 4 3 2" xfId="26855"/>
    <cellStyle name="40% - Accent2 12 4 3 2 2" xfId="26856"/>
    <cellStyle name="40% - Accent2 12 4 3 3" xfId="26857"/>
    <cellStyle name="40% - Accent2 12 4 4" xfId="26858"/>
    <cellStyle name="40% - Accent2 12 4 4 2" xfId="26859"/>
    <cellStyle name="40% - Accent2 12 4 5" xfId="26860"/>
    <cellStyle name="40% - Accent2 12 5" xfId="26861"/>
    <cellStyle name="40% - Accent2 12 5 2" xfId="26862"/>
    <cellStyle name="40% - Accent2 12 5 2 2" xfId="26863"/>
    <cellStyle name="40% - Accent2 12 5 2 2 2" xfId="26864"/>
    <cellStyle name="40% - Accent2 12 5 2 2 2 2" xfId="26865"/>
    <cellStyle name="40% - Accent2 12 5 2 2 3" xfId="26866"/>
    <cellStyle name="40% - Accent2 12 5 2 3" xfId="26867"/>
    <cellStyle name="40% - Accent2 12 5 2 3 2" xfId="26868"/>
    <cellStyle name="40% - Accent2 12 5 2 4" xfId="26869"/>
    <cellStyle name="40% - Accent2 12 5 3" xfId="26870"/>
    <cellStyle name="40% - Accent2 12 5 3 2" xfId="26871"/>
    <cellStyle name="40% - Accent2 12 5 3 2 2" xfId="26872"/>
    <cellStyle name="40% - Accent2 12 5 3 3" xfId="26873"/>
    <cellStyle name="40% - Accent2 12 5 4" xfId="26874"/>
    <cellStyle name="40% - Accent2 12 5 4 2" xfId="26875"/>
    <cellStyle name="40% - Accent2 12 5 5" xfId="26876"/>
    <cellStyle name="40% - Accent2 12 6" xfId="26877"/>
    <cellStyle name="40% - Accent2 12 6 2" xfId="26878"/>
    <cellStyle name="40% - Accent2 12 6 2 2" xfId="26879"/>
    <cellStyle name="40% - Accent2 12 6 2 2 2" xfId="26880"/>
    <cellStyle name="40% - Accent2 12 6 2 2 2 2" xfId="26881"/>
    <cellStyle name="40% - Accent2 12 6 2 2 3" xfId="26882"/>
    <cellStyle name="40% - Accent2 12 6 2 3" xfId="26883"/>
    <cellStyle name="40% - Accent2 12 6 2 3 2" xfId="26884"/>
    <cellStyle name="40% - Accent2 12 6 2 4" xfId="26885"/>
    <cellStyle name="40% - Accent2 12 6 3" xfId="26886"/>
    <cellStyle name="40% - Accent2 12 6 3 2" xfId="26887"/>
    <cellStyle name="40% - Accent2 12 6 3 2 2" xfId="26888"/>
    <cellStyle name="40% - Accent2 12 6 3 3" xfId="26889"/>
    <cellStyle name="40% - Accent2 12 6 4" xfId="26890"/>
    <cellStyle name="40% - Accent2 12 6 4 2" xfId="26891"/>
    <cellStyle name="40% - Accent2 12 6 5" xfId="26892"/>
    <cellStyle name="40% - Accent2 12 7" xfId="26893"/>
    <cellStyle name="40% - Accent2 12 7 2" xfId="26894"/>
    <cellStyle name="40% - Accent2 12 7 2 2" xfId="26895"/>
    <cellStyle name="40% - Accent2 12 7 2 2 2" xfId="26896"/>
    <cellStyle name="40% - Accent2 12 7 2 3" xfId="26897"/>
    <cellStyle name="40% - Accent2 12 7 3" xfId="26898"/>
    <cellStyle name="40% - Accent2 12 7 3 2" xfId="26899"/>
    <cellStyle name="40% - Accent2 12 7 4" xfId="26900"/>
    <cellStyle name="40% - Accent2 12 8" xfId="26901"/>
    <cellStyle name="40% - Accent2 12 8 2" xfId="26902"/>
    <cellStyle name="40% - Accent2 12 8 2 2" xfId="26903"/>
    <cellStyle name="40% - Accent2 12 8 3" xfId="26904"/>
    <cellStyle name="40% - Accent2 12 9" xfId="26905"/>
    <cellStyle name="40% - Accent2 12 9 2" xfId="26906"/>
    <cellStyle name="40% - Accent2 13" xfId="26907"/>
    <cellStyle name="40% - Accent2 13 10" xfId="26908"/>
    <cellStyle name="40% - Accent2 13 2" xfId="26909"/>
    <cellStyle name="40% - Accent2 13 2 2" xfId="26910"/>
    <cellStyle name="40% - Accent2 13 2 2 2" xfId="26911"/>
    <cellStyle name="40% - Accent2 13 2 2 2 2" xfId="26912"/>
    <cellStyle name="40% - Accent2 13 2 2 2 2 2" xfId="26913"/>
    <cellStyle name="40% - Accent2 13 2 2 2 3" xfId="26914"/>
    <cellStyle name="40% - Accent2 13 2 2 3" xfId="26915"/>
    <cellStyle name="40% - Accent2 13 2 2 3 2" xfId="26916"/>
    <cellStyle name="40% - Accent2 13 2 2 4" xfId="26917"/>
    <cellStyle name="40% - Accent2 13 2 3" xfId="26918"/>
    <cellStyle name="40% - Accent2 13 2 3 2" xfId="26919"/>
    <cellStyle name="40% - Accent2 13 2 3 2 2" xfId="26920"/>
    <cellStyle name="40% - Accent2 13 2 3 3" xfId="26921"/>
    <cellStyle name="40% - Accent2 13 2 4" xfId="26922"/>
    <cellStyle name="40% - Accent2 13 2 4 2" xfId="26923"/>
    <cellStyle name="40% - Accent2 13 2 5" xfId="26924"/>
    <cellStyle name="40% - Accent2 13 3" xfId="26925"/>
    <cellStyle name="40% - Accent2 13 3 2" xfId="26926"/>
    <cellStyle name="40% - Accent2 13 3 2 2" xfId="26927"/>
    <cellStyle name="40% - Accent2 13 3 2 2 2" xfId="26928"/>
    <cellStyle name="40% - Accent2 13 3 2 2 2 2" xfId="26929"/>
    <cellStyle name="40% - Accent2 13 3 2 2 3" xfId="26930"/>
    <cellStyle name="40% - Accent2 13 3 2 3" xfId="26931"/>
    <cellStyle name="40% - Accent2 13 3 2 3 2" xfId="26932"/>
    <cellStyle name="40% - Accent2 13 3 2 4" xfId="26933"/>
    <cellStyle name="40% - Accent2 13 3 3" xfId="26934"/>
    <cellStyle name="40% - Accent2 13 3 3 2" xfId="26935"/>
    <cellStyle name="40% - Accent2 13 3 3 2 2" xfId="26936"/>
    <cellStyle name="40% - Accent2 13 3 3 3" xfId="26937"/>
    <cellStyle name="40% - Accent2 13 3 4" xfId="26938"/>
    <cellStyle name="40% - Accent2 13 3 4 2" xfId="26939"/>
    <cellStyle name="40% - Accent2 13 3 5" xfId="26940"/>
    <cellStyle name="40% - Accent2 13 4" xfId="26941"/>
    <cellStyle name="40% - Accent2 13 4 2" xfId="26942"/>
    <cellStyle name="40% - Accent2 13 4 2 2" xfId="26943"/>
    <cellStyle name="40% - Accent2 13 4 2 2 2" xfId="26944"/>
    <cellStyle name="40% - Accent2 13 4 2 2 2 2" xfId="26945"/>
    <cellStyle name="40% - Accent2 13 4 2 2 3" xfId="26946"/>
    <cellStyle name="40% - Accent2 13 4 2 3" xfId="26947"/>
    <cellStyle name="40% - Accent2 13 4 2 3 2" xfId="26948"/>
    <cellStyle name="40% - Accent2 13 4 2 4" xfId="26949"/>
    <cellStyle name="40% - Accent2 13 4 3" xfId="26950"/>
    <cellStyle name="40% - Accent2 13 4 3 2" xfId="26951"/>
    <cellStyle name="40% - Accent2 13 4 3 2 2" xfId="26952"/>
    <cellStyle name="40% - Accent2 13 4 3 3" xfId="26953"/>
    <cellStyle name="40% - Accent2 13 4 4" xfId="26954"/>
    <cellStyle name="40% - Accent2 13 4 4 2" xfId="26955"/>
    <cellStyle name="40% - Accent2 13 4 5" xfId="26956"/>
    <cellStyle name="40% - Accent2 13 5" xfId="26957"/>
    <cellStyle name="40% - Accent2 13 5 2" xfId="26958"/>
    <cellStyle name="40% - Accent2 13 5 2 2" xfId="26959"/>
    <cellStyle name="40% - Accent2 13 5 2 2 2" xfId="26960"/>
    <cellStyle name="40% - Accent2 13 5 2 2 2 2" xfId="26961"/>
    <cellStyle name="40% - Accent2 13 5 2 2 3" xfId="26962"/>
    <cellStyle name="40% - Accent2 13 5 2 3" xfId="26963"/>
    <cellStyle name="40% - Accent2 13 5 2 3 2" xfId="26964"/>
    <cellStyle name="40% - Accent2 13 5 2 4" xfId="26965"/>
    <cellStyle name="40% - Accent2 13 5 3" xfId="26966"/>
    <cellStyle name="40% - Accent2 13 5 3 2" xfId="26967"/>
    <cellStyle name="40% - Accent2 13 5 3 2 2" xfId="26968"/>
    <cellStyle name="40% - Accent2 13 5 3 3" xfId="26969"/>
    <cellStyle name="40% - Accent2 13 5 4" xfId="26970"/>
    <cellStyle name="40% - Accent2 13 5 4 2" xfId="26971"/>
    <cellStyle name="40% - Accent2 13 5 5" xfId="26972"/>
    <cellStyle name="40% - Accent2 13 6" xfId="26973"/>
    <cellStyle name="40% - Accent2 13 6 2" xfId="26974"/>
    <cellStyle name="40% - Accent2 13 6 2 2" xfId="26975"/>
    <cellStyle name="40% - Accent2 13 6 2 2 2" xfId="26976"/>
    <cellStyle name="40% - Accent2 13 6 2 2 2 2" xfId="26977"/>
    <cellStyle name="40% - Accent2 13 6 2 2 3" xfId="26978"/>
    <cellStyle name="40% - Accent2 13 6 2 3" xfId="26979"/>
    <cellStyle name="40% - Accent2 13 6 2 3 2" xfId="26980"/>
    <cellStyle name="40% - Accent2 13 6 2 4" xfId="26981"/>
    <cellStyle name="40% - Accent2 13 6 3" xfId="26982"/>
    <cellStyle name="40% - Accent2 13 6 3 2" xfId="26983"/>
    <cellStyle name="40% - Accent2 13 6 3 2 2" xfId="26984"/>
    <cellStyle name="40% - Accent2 13 6 3 3" xfId="26985"/>
    <cellStyle name="40% - Accent2 13 6 4" xfId="26986"/>
    <cellStyle name="40% - Accent2 13 6 4 2" xfId="26987"/>
    <cellStyle name="40% - Accent2 13 6 5" xfId="26988"/>
    <cellStyle name="40% - Accent2 13 7" xfId="26989"/>
    <cellStyle name="40% - Accent2 13 7 2" xfId="26990"/>
    <cellStyle name="40% - Accent2 13 7 2 2" xfId="26991"/>
    <cellStyle name="40% - Accent2 13 7 2 2 2" xfId="26992"/>
    <cellStyle name="40% - Accent2 13 7 2 3" xfId="26993"/>
    <cellStyle name="40% - Accent2 13 7 3" xfId="26994"/>
    <cellStyle name="40% - Accent2 13 7 3 2" xfId="26995"/>
    <cellStyle name="40% - Accent2 13 7 4" xfId="26996"/>
    <cellStyle name="40% - Accent2 13 8" xfId="26997"/>
    <cellStyle name="40% - Accent2 13 8 2" xfId="26998"/>
    <cellStyle name="40% - Accent2 13 8 2 2" xfId="26999"/>
    <cellStyle name="40% - Accent2 13 8 3" xfId="27000"/>
    <cellStyle name="40% - Accent2 13 9" xfId="27001"/>
    <cellStyle name="40% - Accent2 13 9 2" xfId="27002"/>
    <cellStyle name="40% - Accent2 14" xfId="27003"/>
    <cellStyle name="40% - Accent2 14 2" xfId="27004"/>
    <cellStyle name="40% - Accent2 14 2 2" xfId="27005"/>
    <cellStyle name="40% - Accent2 14 2 2 2" xfId="27006"/>
    <cellStyle name="40% - Accent2 14 2 2 2 2" xfId="27007"/>
    <cellStyle name="40% - Accent2 14 2 2 3" xfId="27008"/>
    <cellStyle name="40% - Accent2 14 2 3" xfId="27009"/>
    <cellStyle name="40% - Accent2 14 2 3 2" xfId="27010"/>
    <cellStyle name="40% - Accent2 14 2 4" xfId="27011"/>
    <cellStyle name="40% - Accent2 14 3" xfId="27012"/>
    <cellStyle name="40% - Accent2 14 3 2" xfId="27013"/>
    <cellStyle name="40% - Accent2 14 3 2 2" xfId="27014"/>
    <cellStyle name="40% - Accent2 14 3 3" xfId="27015"/>
    <cellStyle name="40% - Accent2 14 4" xfId="27016"/>
    <cellStyle name="40% - Accent2 14 4 2" xfId="27017"/>
    <cellStyle name="40% - Accent2 14 5" xfId="27018"/>
    <cellStyle name="40% - Accent2 15" xfId="27019"/>
    <cellStyle name="40% - Accent2 15 2" xfId="27020"/>
    <cellStyle name="40% - Accent2 15 2 2" xfId="27021"/>
    <cellStyle name="40% - Accent2 15 2 2 2" xfId="27022"/>
    <cellStyle name="40% - Accent2 15 2 2 2 2" xfId="27023"/>
    <cellStyle name="40% - Accent2 15 2 2 3" xfId="27024"/>
    <cellStyle name="40% - Accent2 15 2 3" xfId="27025"/>
    <cellStyle name="40% - Accent2 15 2 3 2" xfId="27026"/>
    <cellStyle name="40% - Accent2 15 2 4" xfId="27027"/>
    <cellStyle name="40% - Accent2 15 3" xfId="27028"/>
    <cellStyle name="40% - Accent2 15 3 2" xfId="27029"/>
    <cellStyle name="40% - Accent2 15 3 2 2" xfId="27030"/>
    <cellStyle name="40% - Accent2 15 3 3" xfId="27031"/>
    <cellStyle name="40% - Accent2 15 4" xfId="27032"/>
    <cellStyle name="40% - Accent2 15 4 2" xfId="27033"/>
    <cellStyle name="40% - Accent2 15 5" xfId="27034"/>
    <cellStyle name="40% - Accent2 16" xfId="27035"/>
    <cellStyle name="40% - Accent2 16 2" xfId="27036"/>
    <cellStyle name="40% - Accent2 16 2 2" xfId="27037"/>
    <cellStyle name="40% - Accent2 16 2 2 2" xfId="27038"/>
    <cellStyle name="40% - Accent2 16 2 2 2 2" xfId="27039"/>
    <cellStyle name="40% - Accent2 16 2 2 3" xfId="27040"/>
    <cellStyle name="40% - Accent2 16 2 3" xfId="27041"/>
    <cellStyle name="40% - Accent2 16 2 3 2" xfId="27042"/>
    <cellStyle name="40% - Accent2 16 2 4" xfId="27043"/>
    <cellStyle name="40% - Accent2 16 3" xfId="27044"/>
    <cellStyle name="40% - Accent2 16 3 2" xfId="27045"/>
    <cellStyle name="40% - Accent2 16 3 2 2" xfId="27046"/>
    <cellStyle name="40% - Accent2 16 3 3" xfId="27047"/>
    <cellStyle name="40% - Accent2 16 4" xfId="27048"/>
    <cellStyle name="40% - Accent2 16 4 2" xfId="27049"/>
    <cellStyle name="40% - Accent2 16 5" xfId="27050"/>
    <cellStyle name="40% - Accent2 17" xfId="27051"/>
    <cellStyle name="40% - Accent2 17 2" xfId="27052"/>
    <cellStyle name="40% - Accent2 17 2 2" xfId="27053"/>
    <cellStyle name="40% - Accent2 17 2 2 2" xfId="27054"/>
    <cellStyle name="40% - Accent2 17 2 2 2 2" xfId="27055"/>
    <cellStyle name="40% - Accent2 17 2 2 3" xfId="27056"/>
    <cellStyle name="40% - Accent2 17 2 3" xfId="27057"/>
    <cellStyle name="40% - Accent2 17 2 3 2" xfId="27058"/>
    <cellStyle name="40% - Accent2 17 2 4" xfId="27059"/>
    <cellStyle name="40% - Accent2 17 3" xfId="27060"/>
    <cellStyle name="40% - Accent2 17 3 2" xfId="27061"/>
    <cellStyle name="40% - Accent2 17 3 2 2" xfId="27062"/>
    <cellStyle name="40% - Accent2 17 3 3" xfId="27063"/>
    <cellStyle name="40% - Accent2 17 4" xfId="27064"/>
    <cellStyle name="40% - Accent2 17 4 2" xfId="27065"/>
    <cellStyle name="40% - Accent2 17 5" xfId="27066"/>
    <cellStyle name="40% - Accent2 18" xfId="27067"/>
    <cellStyle name="40% - Accent2 18 2" xfId="27068"/>
    <cellStyle name="40% - Accent2 18 2 2" xfId="27069"/>
    <cellStyle name="40% - Accent2 18 2 2 2" xfId="27070"/>
    <cellStyle name="40% - Accent2 18 2 2 2 2" xfId="27071"/>
    <cellStyle name="40% - Accent2 18 2 2 3" xfId="27072"/>
    <cellStyle name="40% - Accent2 18 2 3" xfId="27073"/>
    <cellStyle name="40% - Accent2 18 2 3 2" xfId="27074"/>
    <cellStyle name="40% - Accent2 18 2 4" xfId="27075"/>
    <cellStyle name="40% - Accent2 18 3" xfId="27076"/>
    <cellStyle name="40% - Accent2 18 3 2" xfId="27077"/>
    <cellStyle name="40% - Accent2 18 3 2 2" xfId="27078"/>
    <cellStyle name="40% - Accent2 18 3 3" xfId="27079"/>
    <cellStyle name="40% - Accent2 18 4" xfId="27080"/>
    <cellStyle name="40% - Accent2 18 4 2" xfId="27081"/>
    <cellStyle name="40% - Accent2 18 5" xfId="27082"/>
    <cellStyle name="40% - Accent2 19" xfId="27083"/>
    <cellStyle name="40% - Accent2 19 2" xfId="27084"/>
    <cellStyle name="40% - Accent2 19 2 2" xfId="27085"/>
    <cellStyle name="40% - Accent2 19 2 2 2" xfId="27086"/>
    <cellStyle name="40% - Accent2 19 2 2 2 2" xfId="27087"/>
    <cellStyle name="40% - Accent2 19 2 2 3" xfId="27088"/>
    <cellStyle name="40% - Accent2 19 2 3" xfId="27089"/>
    <cellStyle name="40% - Accent2 19 2 3 2" xfId="27090"/>
    <cellStyle name="40% - Accent2 19 2 4" xfId="27091"/>
    <cellStyle name="40% - Accent2 19 3" xfId="27092"/>
    <cellStyle name="40% - Accent2 19 3 2" xfId="27093"/>
    <cellStyle name="40% - Accent2 19 3 2 2" xfId="27094"/>
    <cellStyle name="40% - Accent2 19 3 3" xfId="27095"/>
    <cellStyle name="40% - Accent2 19 4" xfId="27096"/>
    <cellStyle name="40% - Accent2 19 4 2" xfId="27097"/>
    <cellStyle name="40% - Accent2 19 5" xfId="27098"/>
    <cellStyle name="40% - Accent2 2" xfId="27099"/>
    <cellStyle name="40% - Accent2 2 10" xfId="27100"/>
    <cellStyle name="40% - Accent2 2 10 10" xfId="27101"/>
    <cellStyle name="40% - Accent2 2 10 2" xfId="27102"/>
    <cellStyle name="40% - Accent2 2 10 2 2" xfId="27103"/>
    <cellStyle name="40% - Accent2 2 10 2 2 2" xfId="27104"/>
    <cellStyle name="40% - Accent2 2 10 2 2 2 2" xfId="27105"/>
    <cellStyle name="40% - Accent2 2 10 2 2 2 2 2" xfId="27106"/>
    <cellStyle name="40% - Accent2 2 10 2 2 2 3" xfId="27107"/>
    <cellStyle name="40% - Accent2 2 10 2 2 3" xfId="27108"/>
    <cellStyle name="40% - Accent2 2 10 2 2 3 2" xfId="27109"/>
    <cellStyle name="40% - Accent2 2 10 2 2 4" xfId="27110"/>
    <cellStyle name="40% - Accent2 2 10 2 3" xfId="27111"/>
    <cellStyle name="40% - Accent2 2 10 2 3 2" xfId="27112"/>
    <cellStyle name="40% - Accent2 2 10 2 3 2 2" xfId="27113"/>
    <cellStyle name="40% - Accent2 2 10 2 3 3" xfId="27114"/>
    <cellStyle name="40% - Accent2 2 10 2 4" xfId="27115"/>
    <cellStyle name="40% - Accent2 2 10 2 4 2" xfId="27116"/>
    <cellStyle name="40% - Accent2 2 10 2 5" xfId="27117"/>
    <cellStyle name="40% - Accent2 2 10 3" xfId="27118"/>
    <cellStyle name="40% - Accent2 2 10 3 2" xfId="27119"/>
    <cellStyle name="40% - Accent2 2 10 3 2 2" xfId="27120"/>
    <cellStyle name="40% - Accent2 2 10 3 2 2 2" xfId="27121"/>
    <cellStyle name="40% - Accent2 2 10 3 2 2 2 2" xfId="27122"/>
    <cellStyle name="40% - Accent2 2 10 3 2 2 3" xfId="27123"/>
    <cellStyle name="40% - Accent2 2 10 3 2 3" xfId="27124"/>
    <cellStyle name="40% - Accent2 2 10 3 2 3 2" xfId="27125"/>
    <cellStyle name="40% - Accent2 2 10 3 2 4" xfId="27126"/>
    <cellStyle name="40% - Accent2 2 10 3 3" xfId="27127"/>
    <cellStyle name="40% - Accent2 2 10 3 3 2" xfId="27128"/>
    <cellStyle name="40% - Accent2 2 10 3 3 2 2" xfId="27129"/>
    <cellStyle name="40% - Accent2 2 10 3 3 3" xfId="27130"/>
    <cellStyle name="40% - Accent2 2 10 3 4" xfId="27131"/>
    <cellStyle name="40% - Accent2 2 10 3 4 2" xfId="27132"/>
    <cellStyle name="40% - Accent2 2 10 3 5" xfId="27133"/>
    <cellStyle name="40% - Accent2 2 10 4" xfId="27134"/>
    <cellStyle name="40% - Accent2 2 10 4 2" xfId="27135"/>
    <cellStyle name="40% - Accent2 2 10 4 2 2" xfId="27136"/>
    <cellStyle name="40% - Accent2 2 10 4 2 2 2" xfId="27137"/>
    <cellStyle name="40% - Accent2 2 10 4 2 2 2 2" xfId="27138"/>
    <cellStyle name="40% - Accent2 2 10 4 2 2 3" xfId="27139"/>
    <cellStyle name="40% - Accent2 2 10 4 2 3" xfId="27140"/>
    <cellStyle name="40% - Accent2 2 10 4 2 3 2" xfId="27141"/>
    <cellStyle name="40% - Accent2 2 10 4 2 4" xfId="27142"/>
    <cellStyle name="40% - Accent2 2 10 4 3" xfId="27143"/>
    <cellStyle name="40% - Accent2 2 10 4 3 2" xfId="27144"/>
    <cellStyle name="40% - Accent2 2 10 4 3 2 2" xfId="27145"/>
    <cellStyle name="40% - Accent2 2 10 4 3 3" xfId="27146"/>
    <cellStyle name="40% - Accent2 2 10 4 4" xfId="27147"/>
    <cellStyle name="40% - Accent2 2 10 4 4 2" xfId="27148"/>
    <cellStyle name="40% - Accent2 2 10 4 5" xfId="27149"/>
    <cellStyle name="40% - Accent2 2 10 5" xfId="27150"/>
    <cellStyle name="40% - Accent2 2 10 5 2" xfId="27151"/>
    <cellStyle name="40% - Accent2 2 10 5 2 2" xfId="27152"/>
    <cellStyle name="40% - Accent2 2 10 5 2 2 2" xfId="27153"/>
    <cellStyle name="40% - Accent2 2 10 5 2 2 2 2" xfId="27154"/>
    <cellStyle name="40% - Accent2 2 10 5 2 2 3" xfId="27155"/>
    <cellStyle name="40% - Accent2 2 10 5 2 3" xfId="27156"/>
    <cellStyle name="40% - Accent2 2 10 5 2 3 2" xfId="27157"/>
    <cellStyle name="40% - Accent2 2 10 5 2 4" xfId="27158"/>
    <cellStyle name="40% - Accent2 2 10 5 3" xfId="27159"/>
    <cellStyle name="40% - Accent2 2 10 5 3 2" xfId="27160"/>
    <cellStyle name="40% - Accent2 2 10 5 3 2 2" xfId="27161"/>
    <cellStyle name="40% - Accent2 2 10 5 3 3" xfId="27162"/>
    <cellStyle name="40% - Accent2 2 10 5 4" xfId="27163"/>
    <cellStyle name="40% - Accent2 2 10 5 4 2" xfId="27164"/>
    <cellStyle name="40% - Accent2 2 10 5 5" xfId="27165"/>
    <cellStyle name="40% - Accent2 2 10 6" xfId="27166"/>
    <cellStyle name="40% - Accent2 2 10 6 2" xfId="27167"/>
    <cellStyle name="40% - Accent2 2 10 6 2 2" xfId="27168"/>
    <cellStyle name="40% - Accent2 2 10 6 2 2 2" xfId="27169"/>
    <cellStyle name="40% - Accent2 2 10 6 2 2 2 2" xfId="27170"/>
    <cellStyle name="40% - Accent2 2 10 6 2 2 3" xfId="27171"/>
    <cellStyle name="40% - Accent2 2 10 6 2 3" xfId="27172"/>
    <cellStyle name="40% - Accent2 2 10 6 2 3 2" xfId="27173"/>
    <cellStyle name="40% - Accent2 2 10 6 2 4" xfId="27174"/>
    <cellStyle name="40% - Accent2 2 10 6 3" xfId="27175"/>
    <cellStyle name="40% - Accent2 2 10 6 3 2" xfId="27176"/>
    <cellStyle name="40% - Accent2 2 10 6 3 2 2" xfId="27177"/>
    <cellStyle name="40% - Accent2 2 10 6 3 3" xfId="27178"/>
    <cellStyle name="40% - Accent2 2 10 6 4" xfId="27179"/>
    <cellStyle name="40% - Accent2 2 10 6 4 2" xfId="27180"/>
    <cellStyle name="40% - Accent2 2 10 6 5" xfId="27181"/>
    <cellStyle name="40% - Accent2 2 10 7" xfId="27182"/>
    <cellStyle name="40% - Accent2 2 10 7 2" xfId="27183"/>
    <cellStyle name="40% - Accent2 2 10 7 2 2" xfId="27184"/>
    <cellStyle name="40% - Accent2 2 10 7 2 2 2" xfId="27185"/>
    <cellStyle name="40% - Accent2 2 10 7 2 3" xfId="27186"/>
    <cellStyle name="40% - Accent2 2 10 7 3" xfId="27187"/>
    <cellStyle name="40% - Accent2 2 10 7 3 2" xfId="27188"/>
    <cellStyle name="40% - Accent2 2 10 7 4" xfId="27189"/>
    <cellStyle name="40% - Accent2 2 10 8" xfId="27190"/>
    <cellStyle name="40% - Accent2 2 10 8 2" xfId="27191"/>
    <cellStyle name="40% - Accent2 2 10 8 2 2" xfId="27192"/>
    <cellStyle name="40% - Accent2 2 10 8 3" xfId="27193"/>
    <cellStyle name="40% - Accent2 2 10 9" xfId="27194"/>
    <cellStyle name="40% - Accent2 2 10 9 2" xfId="27195"/>
    <cellStyle name="40% - Accent2 2 11" xfId="27196"/>
    <cellStyle name="40% - Accent2 2 11 2" xfId="27197"/>
    <cellStyle name="40% - Accent2 2 11 2 2" xfId="27198"/>
    <cellStyle name="40% - Accent2 2 11 2 2 2" xfId="27199"/>
    <cellStyle name="40% - Accent2 2 11 2 2 2 2" xfId="27200"/>
    <cellStyle name="40% - Accent2 2 11 2 2 3" xfId="27201"/>
    <cellStyle name="40% - Accent2 2 11 2 3" xfId="27202"/>
    <cellStyle name="40% - Accent2 2 11 2 3 2" xfId="27203"/>
    <cellStyle name="40% - Accent2 2 11 2 4" xfId="27204"/>
    <cellStyle name="40% - Accent2 2 11 3" xfId="27205"/>
    <cellStyle name="40% - Accent2 2 11 3 2" xfId="27206"/>
    <cellStyle name="40% - Accent2 2 11 3 2 2" xfId="27207"/>
    <cellStyle name="40% - Accent2 2 11 3 3" xfId="27208"/>
    <cellStyle name="40% - Accent2 2 11 4" xfId="27209"/>
    <cellStyle name="40% - Accent2 2 11 4 2" xfId="27210"/>
    <cellStyle name="40% - Accent2 2 11 5" xfId="27211"/>
    <cellStyle name="40% - Accent2 2 12" xfId="27212"/>
    <cellStyle name="40% - Accent2 2 12 2" xfId="27213"/>
    <cellStyle name="40% - Accent2 2 12 2 2" xfId="27214"/>
    <cellStyle name="40% - Accent2 2 12 2 2 2" xfId="27215"/>
    <cellStyle name="40% - Accent2 2 12 2 2 2 2" xfId="27216"/>
    <cellStyle name="40% - Accent2 2 12 2 2 3" xfId="27217"/>
    <cellStyle name="40% - Accent2 2 12 2 3" xfId="27218"/>
    <cellStyle name="40% - Accent2 2 12 2 3 2" xfId="27219"/>
    <cellStyle name="40% - Accent2 2 12 2 4" xfId="27220"/>
    <cellStyle name="40% - Accent2 2 12 3" xfId="27221"/>
    <cellStyle name="40% - Accent2 2 12 3 2" xfId="27222"/>
    <cellStyle name="40% - Accent2 2 12 3 2 2" xfId="27223"/>
    <cellStyle name="40% - Accent2 2 12 3 3" xfId="27224"/>
    <cellStyle name="40% - Accent2 2 12 4" xfId="27225"/>
    <cellStyle name="40% - Accent2 2 12 4 2" xfId="27226"/>
    <cellStyle name="40% - Accent2 2 12 5" xfId="27227"/>
    <cellStyle name="40% - Accent2 2 13" xfId="27228"/>
    <cellStyle name="40% - Accent2 2 13 2" xfId="27229"/>
    <cellStyle name="40% - Accent2 2 13 2 2" xfId="27230"/>
    <cellStyle name="40% - Accent2 2 13 2 2 2" xfId="27231"/>
    <cellStyle name="40% - Accent2 2 13 2 2 2 2" xfId="27232"/>
    <cellStyle name="40% - Accent2 2 13 2 2 3" xfId="27233"/>
    <cellStyle name="40% - Accent2 2 13 2 3" xfId="27234"/>
    <cellStyle name="40% - Accent2 2 13 2 3 2" xfId="27235"/>
    <cellStyle name="40% - Accent2 2 13 2 4" xfId="27236"/>
    <cellStyle name="40% - Accent2 2 13 3" xfId="27237"/>
    <cellStyle name="40% - Accent2 2 13 3 2" xfId="27238"/>
    <cellStyle name="40% - Accent2 2 13 3 2 2" xfId="27239"/>
    <cellStyle name="40% - Accent2 2 13 3 3" xfId="27240"/>
    <cellStyle name="40% - Accent2 2 13 4" xfId="27241"/>
    <cellStyle name="40% - Accent2 2 13 4 2" xfId="27242"/>
    <cellStyle name="40% - Accent2 2 13 5" xfId="27243"/>
    <cellStyle name="40% - Accent2 2 14" xfId="27244"/>
    <cellStyle name="40% - Accent2 2 14 2" xfId="27245"/>
    <cellStyle name="40% - Accent2 2 14 2 2" xfId="27246"/>
    <cellStyle name="40% - Accent2 2 14 2 2 2" xfId="27247"/>
    <cellStyle name="40% - Accent2 2 14 2 2 2 2" xfId="27248"/>
    <cellStyle name="40% - Accent2 2 14 2 2 3" xfId="27249"/>
    <cellStyle name="40% - Accent2 2 14 2 3" xfId="27250"/>
    <cellStyle name="40% - Accent2 2 14 2 3 2" xfId="27251"/>
    <cellStyle name="40% - Accent2 2 14 2 4" xfId="27252"/>
    <cellStyle name="40% - Accent2 2 14 3" xfId="27253"/>
    <cellStyle name="40% - Accent2 2 14 3 2" xfId="27254"/>
    <cellStyle name="40% - Accent2 2 14 3 2 2" xfId="27255"/>
    <cellStyle name="40% - Accent2 2 14 3 3" xfId="27256"/>
    <cellStyle name="40% - Accent2 2 14 4" xfId="27257"/>
    <cellStyle name="40% - Accent2 2 14 4 2" xfId="27258"/>
    <cellStyle name="40% - Accent2 2 14 5" xfId="27259"/>
    <cellStyle name="40% - Accent2 2 15" xfId="27260"/>
    <cellStyle name="40% - Accent2 2 15 2" xfId="27261"/>
    <cellStyle name="40% - Accent2 2 15 2 2" xfId="27262"/>
    <cellStyle name="40% - Accent2 2 15 2 2 2" xfId="27263"/>
    <cellStyle name="40% - Accent2 2 15 2 2 2 2" xfId="27264"/>
    <cellStyle name="40% - Accent2 2 15 2 2 3" xfId="27265"/>
    <cellStyle name="40% - Accent2 2 15 2 3" xfId="27266"/>
    <cellStyle name="40% - Accent2 2 15 2 3 2" xfId="27267"/>
    <cellStyle name="40% - Accent2 2 15 2 4" xfId="27268"/>
    <cellStyle name="40% - Accent2 2 15 3" xfId="27269"/>
    <cellStyle name="40% - Accent2 2 15 3 2" xfId="27270"/>
    <cellStyle name="40% - Accent2 2 15 3 2 2" xfId="27271"/>
    <cellStyle name="40% - Accent2 2 15 3 3" xfId="27272"/>
    <cellStyle name="40% - Accent2 2 15 4" xfId="27273"/>
    <cellStyle name="40% - Accent2 2 15 4 2" xfId="27274"/>
    <cellStyle name="40% - Accent2 2 15 5" xfId="27275"/>
    <cellStyle name="40% - Accent2 2 16" xfId="27276"/>
    <cellStyle name="40% - Accent2 2 16 2" xfId="27277"/>
    <cellStyle name="40% - Accent2 2 16 2 2" xfId="27278"/>
    <cellStyle name="40% - Accent2 2 16 2 2 2" xfId="27279"/>
    <cellStyle name="40% - Accent2 2 16 2 3" xfId="27280"/>
    <cellStyle name="40% - Accent2 2 16 3" xfId="27281"/>
    <cellStyle name="40% - Accent2 2 16 3 2" xfId="27282"/>
    <cellStyle name="40% - Accent2 2 16 4" xfId="27283"/>
    <cellStyle name="40% - Accent2 2 17" xfId="27284"/>
    <cellStyle name="40% - Accent2 2 17 2" xfId="27285"/>
    <cellStyle name="40% - Accent2 2 17 2 2" xfId="27286"/>
    <cellStyle name="40% - Accent2 2 17 3" xfId="27287"/>
    <cellStyle name="40% - Accent2 2 18" xfId="27288"/>
    <cellStyle name="40% - Accent2 2 18 2" xfId="27289"/>
    <cellStyle name="40% - Accent2 2 19" xfId="27290"/>
    <cellStyle name="40% - Accent2 2 2" xfId="27291"/>
    <cellStyle name="40% - Accent2 2 2 10" xfId="27292"/>
    <cellStyle name="40% - Accent2 2 2 10 2" xfId="27293"/>
    <cellStyle name="40% - Accent2 2 2 11" xfId="27294"/>
    <cellStyle name="40% - Accent2 2 2 2" xfId="27295"/>
    <cellStyle name="40% - Accent2 2 2 2 10" xfId="27296"/>
    <cellStyle name="40% - Accent2 2 2 2 2" xfId="27297"/>
    <cellStyle name="40% - Accent2 2 2 2 2 2" xfId="27298"/>
    <cellStyle name="40% - Accent2 2 2 2 2 2 2" xfId="27299"/>
    <cellStyle name="40% - Accent2 2 2 2 2 2 2 2" xfId="27300"/>
    <cellStyle name="40% - Accent2 2 2 2 2 2 2 2 2" xfId="27301"/>
    <cellStyle name="40% - Accent2 2 2 2 2 2 2 3" xfId="27302"/>
    <cellStyle name="40% - Accent2 2 2 2 2 2 3" xfId="27303"/>
    <cellStyle name="40% - Accent2 2 2 2 2 2 3 2" xfId="27304"/>
    <cellStyle name="40% - Accent2 2 2 2 2 2 4" xfId="27305"/>
    <cellStyle name="40% - Accent2 2 2 2 2 3" xfId="27306"/>
    <cellStyle name="40% - Accent2 2 2 2 2 3 2" xfId="27307"/>
    <cellStyle name="40% - Accent2 2 2 2 2 3 2 2" xfId="27308"/>
    <cellStyle name="40% - Accent2 2 2 2 2 3 3" xfId="27309"/>
    <cellStyle name="40% - Accent2 2 2 2 2 4" xfId="27310"/>
    <cellStyle name="40% - Accent2 2 2 2 2 4 2" xfId="27311"/>
    <cellStyle name="40% - Accent2 2 2 2 2 5" xfId="27312"/>
    <cellStyle name="40% - Accent2 2 2 2 3" xfId="27313"/>
    <cellStyle name="40% - Accent2 2 2 2 3 2" xfId="27314"/>
    <cellStyle name="40% - Accent2 2 2 2 3 2 2" xfId="27315"/>
    <cellStyle name="40% - Accent2 2 2 2 3 2 2 2" xfId="27316"/>
    <cellStyle name="40% - Accent2 2 2 2 3 2 2 2 2" xfId="27317"/>
    <cellStyle name="40% - Accent2 2 2 2 3 2 2 3" xfId="27318"/>
    <cellStyle name="40% - Accent2 2 2 2 3 2 3" xfId="27319"/>
    <cellStyle name="40% - Accent2 2 2 2 3 2 3 2" xfId="27320"/>
    <cellStyle name="40% - Accent2 2 2 2 3 2 4" xfId="27321"/>
    <cellStyle name="40% - Accent2 2 2 2 3 3" xfId="27322"/>
    <cellStyle name="40% - Accent2 2 2 2 3 3 2" xfId="27323"/>
    <cellStyle name="40% - Accent2 2 2 2 3 3 2 2" xfId="27324"/>
    <cellStyle name="40% - Accent2 2 2 2 3 3 3" xfId="27325"/>
    <cellStyle name="40% - Accent2 2 2 2 3 4" xfId="27326"/>
    <cellStyle name="40% - Accent2 2 2 2 3 4 2" xfId="27327"/>
    <cellStyle name="40% - Accent2 2 2 2 3 5" xfId="27328"/>
    <cellStyle name="40% - Accent2 2 2 2 4" xfId="27329"/>
    <cellStyle name="40% - Accent2 2 2 2 4 2" xfId="27330"/>
    <cellStyle name="40% - Accent2 2 2 2 4 2 2" xfId="27331"/>
    <cellStyle name="40% - Accent2 2 2 2 4 2 2 2" xfId="27332"/>
    <cellStyle name="40% - Accent2 2 2 2 4 2 2 2 2" xfId="27333"/>
    <cellStyle name="40% - Accent2 2 2 2 4 2 2 3" xfId="27334"/>
    <cellStyle name="40% - Accent2 2 2 2 4 2 3" xfId="27335"/>
    <cellStyle name="40% - Accent2 2 2 2 4 2 3 2" xfId="27336"/>
    <cellStyle name="40% - Accent2 2 2 2 4 2 4" xfId="27337"/>
    <cellStyle name="40% - Accent2 2 2 2 4 3" xfId="27338"/>
    <cellStyle name="40% - Accent2 2 2 2 4 3 2" xfId="27339"/>
    <cellStyle name="40% - Accent2 2 2 2 4 3 2 2" xfId="27340"/>
    <cellStyle name="40% - Accent2 2 2 2 4 3 3" xfId="27341"/>
    <cellStyle name="40% - Accent2 2 2 2 4 4" xfId="27342"/>
    <cellStyle name="40% - Accent2 2 2 2 4 4 2" xfId="27343"/>
    <cellStyle name="40% - Accent2 2 2 2 4 5" xfId="27344"/>
    <cellStyle name="40% - Accent2 2 2 2 5" xfId="27345"/>
    <cellStyle name="40% - Accent2 2 2 2 5 2" xfId="27346"/>
    <cellStyle name="40% - Accent2 2 2 2 5 2 2" xfId="27347"/>
    <cellStyle name="40% - Accent2 2 2 2 5 2 2 2" xfId="27348"/>
    <cellStyle name="40% - Accent2 2 2 2 5 2 2 2 2" xfId="27349"/>
    <cellStyle name="40% - Accent2 2 2 2 5 2 2 3" xfId="27350"/>
    <cellStyle name="40% - Accent2 2 2 2 5 2 3" xfId="27351"/>
    <cellStyle name="40% - Accent2 2 2 2 5 2 3 2" xfId="27352"/>
    <cellStyle name="40% - Accent2 2 2 2 5 2 4" xfId="27353"/>
    <cellStyle name="40% - Accent2 2 2 2 5 3" xfId="27354"/>
    <cellStyle name="40% - Accent2 2 2 2 5 3 2" xfId="27355"/>
    <cellStyle name="40% - Accent2 2 2 2 5 3 2 2" xfId="27356"/>
    <cellStyle name="40% - Accent2 2 2 2 5 3 3" xfId="27357"/>
    <cellStyle name="40% - Accent2 2 2 2 5 4" xfId="27358"/>
    <cellStyle name="40% - Accent2 2 2 2 5 4 2" xfId="27359"/>
    <cellStyle name="40% - Accent2 2 2 2 5 5" xfId="27360"/>
    <cellStyle name="40% - Accent2 2 2 2 6" xfId="27361"/>
    <cellStyle name="40% - Accent2 2 2 2 6 2" xfId="27362"/>
    <cellStyle name="40% - Accent2 2 2 2 6 2 2" xfId="27363"/>
    <cellStyle name="40% - Accent2 2 2 2 6 2 2 2" xfId="27364"/>
    <cellStyle name="40% - Accent2 2 2 2 6 2 2 2 2" xfId="27365"/>
    <cellStyle name="40% - Accent2 2 2 2 6 2 2 3" xfId="27366"/>
    <cellStyle name="40% - Accent2 2 2 2 6 2 3" xfId="27367"/>
    <cellStyle name="40% - Accent2 2 2 2 6 2 3 2" xfId="27368"/>
    <cellStyle name="40% - Accent2 2 2 2 6 2 4" xfId="27369"/>
    <cellStyle name="40% - Accent2 2 2 2 6 3" xfId="27370"/>
    <cellStyle name="40% - Accent2 2 2 2 6 3 2" xfId="27371"/>
    <cellStyle name="40% - Accent2 2 2 2 6 3 2 2" xfId="27372"/>
    <cellStyle name="40% - Accent2 2 2 2 6 3 3" xfId="27373"/>
    <cellStyle name="40% - Accent2 2 2 2 6 4" xfId="27374"/>
    <cellStyle name="40% - Accent2 2 2 2 6 4 2" xfId="27375"/>
    <cellStyle name="40% - Accent2 2 2 2 6 5" xfId="27376"/>
    <cellStyle name="40% - Accent2 2 2 2 7" xfId="27377"/>
    <cellStyle name="40% - Accent2 2 2 2 7 2" xfId="27378"/>
    <cellStyle name="40% - Accent2 2 2 2 7 2 2" xfId="27379"/>
    <cellStyle name="40% - Accent2 2 2 2 7 2 2 2" xfId="27380"/>
    <cellStyle name="40% - Accent2 2 2 2 7 2 3" xfId="27381"/>
    <cellStyle name="40% - Accent2 2 2 2 7 3" xfId="27382"/>
    <cellStyle name="40% - Accent2 2 2 2 7 3 2" xfId="27383"/>
    <cellStyle name="40% - Accent2 2 2 2 7 4" xfId="27384"/>
    <cellStyle name="40% - Accent2 2 2 2 8" xfId="27385"/>
    <cellStyle name="40% - Accent2 2 2 2 8 2" xfId="27386"/>
    <cellStyle name="40% - Accent2 2 2 2 8 2 2" xfId="27387"/>
    <cellStyle name="40% - Accent2 2 2 2 8 3" xfId="27388"/>
    <cellStyle name="40% - Accent2 2 2 2 9" xfId="27389"/>
    <cellStyle name="40% - Accent2 2 2 2 9 2" xfId="27390"/>
    <cellStyle name="40% - Accent2 2 2 3" xfId="27391"/>
    <cellStyle name="40% - Accent2 2 2 3 2" xfId="27392"/>
    <cellStyle name="40% - Accent2 2 2 3 2 2" xfId="27393"/>
    <cellStyle name="40% - Accent2 2 2 3 2 2 2" xfId="27394"/>
    <cellStyle name="40% - Accent2 2 2 3 2 2 2 2" xfId="27395"/>
    <cellStyle name="40% - Accent2 2 2 3 2 2 3" xfId="27396"/>
    <cellStyle name="40% - Accent2 2 2 3 2 3" xfId="27397"/>
    <cellStyle name="40% - Accent2 2 2 3 2 3 2" xfId="27398"/>
    <cellStyle name="40% - Accent2 2 2 3 2 4" xfId="27399"/>
    <cellStyle name="40% - Accent2 2 2 3 3" xfId="27400"/>
    <cellStyle name="40% - Accent2 2 2 3 3 2" xfId="27401"/>
    <cellStyle name="40% - Accent2 2 2 3 3 2 2" xfId="27402"/>
    <cellStyle name="40% - Accent2 2 2 3 3 3" xfId="27403"/>
    <cellStyle name="40% - Accent2 2 2 3 4" xfId="27404"/>
    <cellStyle name="40% - Accent2 2 2 3 4 2" xfId="27405"/>
    <cellStyle name="40% - Accent2 2 2 3 5" xfId="27406"/>
    <cellStyle name="40% - Accent2 2 2 4" xfId="27407"/>
    <cellStyle name="40% - Accent2 2 2 4 2" xfId="27408"/>
    <cellStyle name="40% - Accent2 2 2 4 2 2" xfId="27409"/>
    <cellStyle name="40% - Accent2 2 2 4 2 2 2" xfId="27410"/>
    <cellStyle name="40% - Accent2 2 2 4 2 2 2 2" xfId="27411"/>
    <cellStyle name="40% - Accent2 2 2 4 2 2 3" xfId="27412"/>
    <cellStyle name="40% - Accent2 2 2 4 2 3" xfId="27413"/>
    <cellStyle name="40% - Accent2 2 2 4 2 3 2" xfId="27414"/>
    <cellStyle name="40% - Accent2 2 2 4 2 4" xfId="27415"/>
    <cellStyle name="40% - Accent2 2 2 4 3" xfId="27416"/>
    <cellStyle name="40% - Accent2 2 2 4 3 2" xfId="27417"/>
    <cellStyle name="40% - Accent2 2 2 4 3 2 2" xfId="27418"/>
    <cellStyle name="40% - Accent2 2 2 4 3 3" xfId="27419"/>
    <cellStyle name="40% - Accent2 2 2 4 4" xfId="27420"/>
    <cellStyle name="40% - Accent2 2 2 4 4 2" xfId="27421"/>
    <cellStyle name="40% - Accent2 2 2 4 5" xfId="27422"/>
    <cellStyle name="40% - Accent2 2 2 5" xfId="27423"/>
    <cellStyle name="40% - Accent2 2 2 5 2" xfId="27424"/>
    <cellStyle name="40% - Accent2 2 2 5 2 2" xfId="27425"/>
    <cellStyle name="40% - Accent2 2 2 5 2 2 2" xfId="27426"/>
    <cellStyle name="40% - Accent2 2 2 5 2 2 2 2" xfId="27427"/>
    <cellStyle name="40% - Accent2 2 2 5 2 2 3" xfId="27428"/>
    <cellStyle name="40% - Accent2 2 2 5 2 3" xfId="27429"/>
    <cellStyle name="40% - Accent2 2 2 5 2 3 2" xfId="27430"/>
    <cellStyle name="40% - Accent2 2 2 5 2 4" xfId="27431"/>
    <cellStyle name="40% - Accent2 2 2 5 3" xfId="27432"/>
    <cellStyle name="40% - Accent2 2 2 5 3 2" xfId="27433"/>
    <cellStyle name="40% - Accent2 2 2 5 3 2 2" xfId="27434"/>
    <cellStyle name="40% - Accent2 2 2 5 3 3" xfId="27435"/>
    <cellStyle name="40% - Accent2 2 2 5 4" xfId="27436"/>
    <cellStyle name="40% - Accent2 2 2 5 4 2" xfId="27437"/>
    <cellStyle name="40% - Accent2 2 2 5 5" xfId="27438"/>
    <cellStyle name="40% - Accent2 2 2 6" xfId="27439"/>
    <cellStyle name="40% - Accent2 2 2 6 2" xfId="27440"/>
    <cellStyle name="40% - Accent2 2 2 6 2 2" xfId="27441"/>
    <cellStyle name="40% - Accent2 2 2 6 2 2 2" xfId="27442"/>
    <cellStyle name="40% - Accent2 2 2 6 2 2 2 2" xfId="27443"/>
    <cellStyle name="40% - Accent2 2 2 6 2 2 3" xfId="27444"/>
    <cellStyle name="40% - Accent2 2 2 6 2 3" xfId="27445"/>
    <cellStyle name="40% - Accent2 2 2 6 2 3 2" xfId="27446"/>
    <cellStyle name="40% - Accent2 2 2 6 2 4" xfId="27447"/>
    <cellStyle name="40% - Accent2 2 2 6 3" xfId="27448"/>
    <cellStyle name="40% - Accent2 2 2 6 3 2" xfId="27449"/>
    <cellStyle name="40% - Accent2 2 2 6 3 2 2" xfId="27450"/>
    <cellStyle name="40% - Accent2 2 2 6 3 3" xfId="27451"/>
    <cellStyle name="40% - Accent2 2 2 6 4" xfId="27452"/>
    <cellStyle name="40% - Accent2 2 2 6 4 2" xfId="27453"/>
    <cellStyle name="40% - Accent2 2 2 6 5" xfId="27454"/>
    <cellStyle name="40% - Accent2 2 2 7" xfId="27455"/>
    <cellStyle name="40% - Accent2 2 2 7 2" xfId="27456"/>
    <cellStyle name="40% - Accent2 2 2 7 2 2" xfId="27457"/>
    <cellStyle name="40% - Accent2 2 2 7 2 2 2" xfId="27458"/>
    <cellStyle name="40% - Accent2 2 2 7 2 2 2 2" xfId="27459"/>
    <cellStyle name="40% - Accent2 2 2 7 2 2 3" xfId="27460"/>
    <cellStyle name="40% - Accent2 2 2 7 2 3" xfId="27461"/>
    <cellStyle name="40% - Accent2 2 2 7 2 3 2" xfId="27462"/>
    <cellStyle name="40% - Accent2 2 2 7 2 4" xfId="27463"/>
    <cellStyle name="40% - Accent2 2 2 7 3" xfId="27464"/>
    <cellStyle name="40% - Accent2 2 2 7 3 2" xfId="27465"/>
    <cellStyle name="40% - Accent2 2 2 7 3 2 2" xfId="27466"/>
    <cellStyle name="40% - Accent2 2 2 7 3 3" xfId="27467"/>
    <cellStyle name="40% - Accent2 2 2 7 4" xfId="27468"/>
    <cellStyle name="40% - Accent2 2 2 7 4 2" xfId="27469"/>
    <cellStyle name="40% - Accent2 2 2 7 5" xfId="27470"/>
    <cellStyle name="40% - Accent2 2 2 8" xfId="27471"/>
    <cellStyle name="40% - Accent2 2 2 8 2" xfId="27472"/>
    <cellStyle name="40% - Accent2 2 2 8 2 2" xfId="27473"/>
    <cellStyle name="40% - Accent2 2 2 8 2 2 2" xfId="27474"/>
    <cellStyle name="40% - Accent2 2 2 8 2 3" xfId="27475"/>
    <cellStyle name="40% - Accent2 2 2 8 3" xfId="27476"/>
    <cellStyle name="40% - Accent2 2 2 8 3 2" xfId="27477"/>
    <cellStyle name="40% - Accent2 2 2 8 4" xfId="27478"/>
    <cellStyle name="40% - Accent2 2 2 9" xfId="27479"/>
    <cellStyle name="40% - Accent2 2 2 9 2" xfId="27480"/>
    <cellStyle name="40% - Accent2 2 2 9 2 2" xfId="27481"/>
    <cellStyle name="40% - Accent2 2 2 9 3" xfId="27482"/>
    <cellStyle name="40% - Accent2 2 3" xfId="27483"/>
    <cellStyle name="40% - Accent2 2 3 10" xfId="27484"/>
    <cellStyle name="40% - Accent2 2 3 10 2" xfId="27485"/>
    <cellStyle name="40% - Accent2 2 3 11" xfId="27486"/>
    <cellStyle name="40% - Accent2 2 3 2" xfId="27487"/>
    <cellStyle name="40% - Accent2 2 3 2 10" xfId="27488"/>
    <cellStyle name="40% - Accent2 2 3 2 2" xfId="27489"/>
    <cellStyle name="40% - Accent2 2 3 2 2 2" xfId="27490"/>
    <cellStyle name="40% - Accent2 2 3 2 2 2 2" xfId="27491"/>
    <cellStyle name="40% - Accent2 2 3 2 2 2 2 2" xfId="27492"/>
    <cellStyle name="40% - Accent2 2 3 2 2 2 2 2 2" xfId="27493"/>
    <cellStyle name="40% - Accent2 2 3 2 2 2 2 3" xfId="27494"/>
    <cellStyle name="40% - Accent2 2 3 2 2 2 3" xfId="27495"/>
    <cellStyle name="40% - Accent2 2 3 2 2 2 3 2" xfId="27496"/>
    <cellStyle name="40% - Accent2 2 3 2 2 2 4" xfId="27497"/>
    <cellStyle name="40% - Accent2 2 3 2 2 3" xfId="27498"/>
    <cellStyle name="40% - Accent2 2 3 2 2 3 2" xfId="27499"/>
    <cellStyle name="40% - Accent2 2 3 2 2 3 2 2" xfId="27500"/>
    <cellStyle name="40% - Accent2 2 3 2 2 3 3" xfId="27501"/>
    <cellStyle name="40% - Accent2 2 3 2 2 4" xfId="27502"/>
    <cellStyle name="40% - Accent2 2 3 2 2 4 2" xfId="27503"/>
    <cellStyle name="40% - Accent2 2 3 2 2 5" xfId="27504"/>
    <cellStyle name="40% - Accent2 2 3 2 3" xfId="27505"/>
    <cellStyle name="40% - Accent2 2 3 2 3 2" xfId="27506"/>
    <cellStyle name="40% - Accent2 2 3 2 3 2 2" xfId="27507"/>
    <cellStyle name="40% - Accent2 2 3 2 3 2 2 2" xfId="27508"/>
    <cellStyle name="40% - Accent2 2 3 2 3 2 2 2 2" xfId="27509"/>
    <cellStyle name="40% - Accent2 2 3 2 3 2 2 3" xfId="27510"/>
    <cellStyle name="40% - Accent2 2 3 2 3 2 3" xfId="27511"/>
    <cellStyle name="40% - Accent2 2 3 2 3 2 3 2" xfId="27512"/>
    <cellStyle name="40% - Accent2 2 3 2 3 2 4" xfId="27513"/>
    <cellStyle name="40% - Accent2 2 3 2 3 3" xfId="27514"/>
    <cellStyle name="40% - Accent2 2 3 2 3 3 2" xfId="27515"/>
    <cellStyle name="40% - Accent2 2 3 2 3 3 2 2" xfId="27516"/>
    <cellStyle name="40% - Accent2 2 3 2 3 3 3" xfId="27517"/>
    <cellStyle name="40% - Accent2 2 3 2 3 4" xfId="27518"/>
    <cellStyle name="40% - Accent2 2 3 2 3 4 2" xfId="27519"/>
    <cellStyle name="40% - Accent2 2 3 2 3 5" xfId="27520"/>
    <cellStyle name="40% - Accent2 2 3 2 4" xfId="27521"/>
    <cellStyle name="40% - Accent2 2 3 2 4 2" xfId="27522"/>
    <cellStyle name="40% - Accent2 2 3 2 4 2 2" xfId="27523"/>
    <cellStyle name="40% - Accent2 2 3 2 4 2 2 2" xfId="27524"/>
    <cellStyle name="40% - Accent2 2 3 2 4 2 2 2 2" xfId="27525"/>
    <cellStyle name="40% - Accent2 2 3 2 4 2 2 3" xfId="27526"/>
    <cellStyle name="40% - Accent2 2 3 2 4 2 3" xfId="27527"/>
    <cellStyle name="40% - Accent2 2 3 2 4 2 3 2" xfId="27528"/>
    <cellStyle name="40% - Accent2 2 3 2 4 2 4" xfId="27529"/>
    <cellStyle name="40% - Accent2 2 3 2 4 3" xfId="27530"/>
    <cellStyle name="40% - Accent2 2 3 2 4 3 2" xfId="27531"/>
    <cellStyle name="40% - Accent2 2 3 2 4 3 2 2" xfId="27532"/>
    <cellStyle name="40% - Accent2 2 3 2 4 3 3" xfId="27533"/>
    <cellStyle name="40% - Accent2 2 3 2 4 4" xfId="27534"/>
    <cellStyle name="40% - Accent2 2 3 2 4 4 2" xfId="27535"/>
    <cellStyle name="40% - Accent2 2 3 2 4 5" xfId="27536"/>
    <cellStyle name="40% - Accent2 2 3 2 5" xfId="27537"/>
    <cellStyle name="40% - Accent2 2 3 2 5 2" xfId="27538"/>
    <cellStyle name="40% - Accent2 2 3 2 5 2 2" xfId="27539"/>
    <cellStyle name="40% - Accent2 2 3 2 5 2 2 2" xfId="27540"/>
    <cellStyle name="40% - Accent2 2 3 2 5 2 2 2 2" xfId="27541"/>
    <cellStyle name="40% - Accent2 2 3 2 5 2 2 3" xfId="27542"/>
    <cellStyle name="40% - Accent2 2 3 2 5 2 3" xfId="27543"/>
    <cellStyle name="40% - Accent2 2 3 2 5 2 3 2" xfId="27544"/>
    <cellStyle name="40% - Accent2 2 3 2 5 2 4" xfId="27545"/>
    <cellStyle name="40% - Accent2 2 3 2 5 3" xfId="27546"/>
    <cellStyle name="40% - Accent2 2 3 2 5 3 2" xfId="27547"/>
    <cellStyle name="40% - Accent2 2 3 2 5 3 2 2" xfId="27548"/>
    <cellStyle name="40% - Accent2 2 3 2 5 3 3" xfId="27549"/>
    <cellStyle name="40% - Accent2 2 3 2 5 4" xfId="27550"/>
    <cellStyle name="40% - Accent2 2 3 2 5 4 2" xfId="27551"/>
    <cellStyle name="40% - Accent2 2 3 2 5 5" xfId="27552"/>
    <cellStyle name="40% - Accent2 2 3 2 6" xfId="27553"/>
    <cellStyle name="40% - Accent2 2 3 2 6 2" xfId="27554"/>
    <cellStyle name="40% - Accent2 2 3 2 6 2 2" xfId="27555"/>
    <cellStyle name="40% - Accent2 2 3 2 6 2 2 2" xfId="27556"/>
    <cellStyle name="40% - Accent2 2 3 2 6 2 2 2 2" xfId="27557"/>
    <cellStyle name="40% - Accent2 2 3 2 6 2 2 3" xfId="27558"/>
    <cellStyle name="40% - Accent2 2 3 2 6 2 3" xfId="27559"/>
    <cellStyle name="40% - Accent2 2 3 2 6 2 3 2" xfId="27560"/>
    <cellStyle name="40% - Accent2 2 3 2 6 2 4" xfId="27561"/>
    <cellStyle name="40% - Accent2 2 3 2 6 3" xfId="27562"/>
    <cellStyle name="40% - Accent2 2 3 2 6 3 2" xfId="27563"/>
    <cellStyle name="40% - Accent2 2 3 2 6 3 2 2" xfId="27564"/>
    <cellStyle name="40% - Accent2 2 3 2 6 3 3" xfId="27565"/>
    <cellStyle name="40% - Accent2 2 3 2 6 4" xfId="27566"/>
    <cellStyle name="40% - Accent2 2 3 2 6 4 2" xfId="27567"/>
    <cellStyle name="40% - Accent2 2 3 2 6 5" xfId="27568"/>
    <cellStyle name="40% - Accent2 2 3 2 7" xfId="27569"/>
    <cellStyle name="40% - Accent2 2 3 2 7 2" xfId="27570"/>
    <cellStyle name="40% - Accent2 2 3 2 7 2 2" xfId="27571"/>
    <cellStyle name="40% - Accent2 2 3 2 7 2 2 2" xfId="27572"/>
    <cellStyle name="40% - Accent2 2 3 2 7 2 3" xfId="27573"/>
    <cellStyle name="40% - Accent2 2 3 2 7 3" xfId="27574"/>
    <cellStyle name="40% - Accent2 2 3 2 7 3 2" xfId="27575"/>
    <cellStyle name="40% - Accent2 2 3 2 7 4" xfId="27576"/>
    <cellStyle name="40% - Accent2 2 3 2 8" xfId="27577"/>
    <cellStyle name="40% - Accent2 2 3 2 8 2" xfId="27578"/>
    <cellStyle name="40% - Accent2 2 3 2 8 2 2" xfId="27579"/>
    <cellStyle name="40% - Accent2 2 3 2 8 3" xfId="27580"/>
    <cellStyle name="40% - Accent2 2 3 2 9" xfId="27581"/>
    <cellStyle name="40% - Accent2 2 3 2 9 2" xfId="27582"/>
    <cellStyle name="40% - Accent2 2 3 3" xfId="27583"/>
    <cellStyle name="40% - Accent2 2 3 3 2" xfId="27584"/>
    <cellStyle name="40% - Accent2 2 3 3 2 2" xfId="27585"/>
    <cellStyle name="40% - Accent2 2 3 3 2 2 2" xfId="27586"/>
    <cellStyle name="40% - Accent2 2 3 3 2 2 2 2" xfId="27587"/>
    <cellStyle name="40% - Accent2 2 3 3 2 2 3" xfId="27588"/>
    <cellStyle name="40% - Accent2 2 3 3 2 3" xfId="27589"/>
    <cellStyle name="40% - Accent2 2 3 3 2 3 2" xfId="27590"/>
    <cellStyle name="40% - Accent2 2 3 3 2 4" xfId="27591"/>
    <cellStyle name="40% - Accent2 2 3 3 3" xfId="27592"/>
    <cellStyle name="40% - Accent2 2 3 3 3 2" xfId="27593"/>
    <cellStyle name="40% - Accent2 2 3 3 3 2 2" xfId="27594"/>
    <cellStyle name="40% - Accent2 2 3 3 3 3" xfId="27595"/>
    <cellStyle name="40% - Accent2 2 3 3 4" xfId="27596"/>
    <cellStyle name="40% - Accent2 2 3 3 4 2" xfId="27597"/>
    <cellStyle name="40% - Accent2 2 3 3 5" xfId="27598"/>
    <cellStyle name="40% - Accent2 2 3 4" xfId="27599"/>
    <cellStyle name="40% - Accent2 2 3 4 2" xfId="27600"/>
    <cellStyle name="40% - Accent2 2 3 4 2 2" xfId="27601"/>
    <cellStyle name="40% - Accent2 2 3 4 2 2 2" xfId="27602"/>
    <cellStyle name="40% - Accent2 2 3 4 2 2 2 2" xfId="27603"/>
    <cellStyle name="40% - Accent2 2 3 4 2 2 3" xfId="27604"/>
    <cellStyle name="40% - Accent2 2 3 4 2 3" xfId="27605"/>
    <cellStyle name="40% - Accent2 2 3 4 2 3 2" xfId="27606"/>
    <cellStyle name="40% - Accent2 2 3 4 2 4" xfId="27607"/>
    <cellStyle name="40% - Accent2 2 3 4 3" xfId="27608"/>
    <cellStyle name="40% - Accent2 2 3 4 3 2" xfId="27609"/>
    <cellStyle name="40% - Accent2 2 3 4 3 2 2" xfId="27610"/>
    <cellStyle name="40% - Accent2 2 3 4 3 3" xfId="27611"/>
    <cellStyle name="40% - Accent2 2 3 4 4" xfId="27612"/>
    <cellStyle name="40% - Accent2 2 3 4 4 2" xfId="27613"/>
    <cellStyle name="40% - Accent2 2 3 4 5" xfId="27614"/>
    <cellStyle name="40% - Accent2 2 3 5" xfId="27615"/>
    <cellStyle name="40% - Accent2 2 3 5 2" xfId="27616"/>
    <cellStyle name="40% - Accent2 2 3 5 2 2" xfId="27617"/>
    <cellStyle name="40% - Accent2 2 3 5 2 2 2" xfId="27618"/>
    <cellStyle name="40% - Accent2 2 3 5 2 2 2 2" xfId="27619"/>
    <cellStyle name="40% - Accent2 2 3 5 2 2 3" xfId="27620"/>
    <cellStyle name="40% - Accent2 2 3 5 2 3" xfId="27621"/>
    <cellStyle name="40% - Accent2 2 3 5 2 3 2" xfId="27622"/>
    <cellStyle name="40% - Accent2 2 3 5 2 4" xfId="27623"/>
    <cellStyle name="40% - Accent2 2 3 5 3" xfId="27624"/>
    <cellStyle name="40% - Accent2 2 3 5 3 2" xfId="27625"/>
    <cellStyle name="40% - Accent2 2 3 5 3 2 2" xfId="27626"/>
    <cellStyle name="40% - Accent2 2 3 5 3 3" xfId="27627"/>
    <cellStyle name="40% - Accent2 2 3 5 4" xfId="27628"/>
    <cellStyle name="40% - Accent2 2 3 5 4 2" xfId="27629"/>
    <cellStyle name="40% - Accent2 2 3 5 5" xfId="27630"/>
    <cellStyle name="40% - Accent2 2 3 6" xfId="27631"/>
    <cellStyle name="40% - Accent2 2 3 6 2" xfId="27632"/>
    <cellStyle name="40% - Accent2 2 3 6 2 2" xfId="27633"/>
    <cellStyle name="40% - Accent2 2 3 6 2 2 2" xfId="27634"/>
    <cellStyle name="40% - Accent2 2 3 6 2 2 2 2" xfId="27635"/>
    <cellStyle name="40% - Accent2 2 3 6 2 2 3" xfId="27636"/>
    <cellStyle name="40% - Accent2 2 3 6 2 3" xfId="27637"/>
    <cellStyle name="40% - Accent2 2 3 6 2 3 2" xfId="27638"/>
    <cellStyle name="40% - Accent2 2 3 6 2 4" xfId="27639"/>
    <cellStyle name="40% - Accent2 2 3 6 3" xfId="27640"/>
    <cellStyle name="40% - Accent2 2 3 6 3 2" xfId="27641"/>
    <cellStyle name="40% - Accent2 2 3 6 3 2 2" xfId="27642"/>
    <cellStyle name="40% - Accent2 2 3 6 3 3" xfId="27643"/>
    <cellStyle name="40% - Accent2 2 3 6 4" xfId="27644"/>
    <cellStyle name="40% - Accent2 2 3 6 4 2" xfId="27645"/>
    <cellStyle name="40% - Accent2 2 3 6 5" xfId="27646"/>
    <cellStyle name="40% - Accent2 2 3 7" xfId="27647"/>
    <cellStyle name="40% - Accent2 2 3 7 2" xfId="27648"/>
    <cellStyle name="40% - Accent2 2 3 7 2 2" xfId="27649"/>
    <cellStyle name="40% - Accent2 2 3 7 2 2 2" xfId="27650"/>
    <cellStyle name="40% - Accent2 2 3 7 2 2 2 2" xfId="27651"/>
    <cellStyle name="40% - Accent2 2 3 7 2 2 3" xfId="27652"/>
    <cellStyle name="40% - Accent2 2 3 7 2 3" xfId="27653"/>
    <cellStyle name="40% - Accent2 2 3 7 2 3 2" xfId="27654"/>
    <cellStyle name="40% - Accent2 2 3 7 2 4" xfId="27655"/>
    <cellStyle name="40% - Accent2 2 3 7 3" xfId="27656"/>
    <cellStyle name="40% - Accent2 2 3 7 3 2" xfId="27657"/>
    <cellStyle name="40% - Accent2 2 3 7 3 2 2" xfId="27658"/>
    <cellStyle name="40% - Accent2 2 3 7 3 3" xfId="27659"/>
    <cellStyle name="40% - Accent2 2 3 7 4" xfId="27660"/>
    <cellStyle name="40% - Accent2 2 3 7 4 2" xfId="27661"/>
    <cellStyle name="40% - Accent2 2 3 7 5" xfId="27662"/>
    <cellStyle name="40% - Accent2 2 3 8" xfId="27663"/>
    <cellStyle name="40% - Accent2 2 3 8 2" xfId="27664"/>
    <cellStyle name="40% - Accent2 2 3 8 2 2" xfId="27665"/>
    <cellStyle name="40% - Accent2 2 3 8 2 2 2" xfId="27666"/>
    <cellStyle name="40% - Accent2 2 3 8 2 3" xfId="27667"/>
    <cellStyle name="40% - Accent2 2 3 8 3" xfId="27668"/>
    <cellStyle name="40% - Accent2 2 3 8 3 2" xfId="27669"/>
    <cellStyle name="40% - Accent2 2 3 8 4" xfId="27670"/>
    <cellStyle name="40% - Accent2 2 3 9" xfId="27671"/>
    <cellStyle name="40% - Accent2 2 3 9 2" xfId="27672"/>
    <cellStyle name="40% - Accent2 2 3 9 2 2" xfId="27673"/>
    <cellStyle name="40% - Accent2 2 3 9 3" xfId="27674"/>
    <cellStyle name="40% - Accent2 2 4" xfId="27675"/>
    <cellStyle name="40% - Accent2 2 4 10" xfId="27676"/>
    <cellStyle name="40% - Accent2 2 4 10 2" xfId="27677"/>
    <cellStyle name="40% - Accent2 2 4 11" xfId="27678"/>
    <cellStyle name="40% - Accent2 2 4 2" xfId="27679"/>
    <cellStyle name="40% - Accent2 2 4 2 10" xfId="27680"/>
    <cellStyle name="40% - Accent2 2 4 2 2" xfId="27681"/>
    <cellStyle name="40% - Accent2 2 4 2 2 2" xfId="27682"/>
    <cellStyle name="40% - Accent2 2 4 2 2 2 2" xfId="27683"/>
    <cellStyle name="40% - Accent2 2 4 2 2 2 2 2" xfId="27684"/>
    <cellStyle name="40% - Accent2 2 4 2 2 2 2 2 2" xfId="27685"/>
    <cellStyle name="40% - Accent2 2 4 2 2 2 2 3" xfId="27686"/>
    <cellStyle name="40% - Accent2 2 4 2 2 2 3" xfId="27687"/>
    <cellStyle name="40% - Accent2 2 4 2 2 2 3 2" xfId="27688"/>
    <cellStyle name="40% - Accent2 2 4 2 2 2 4" xfId="27689"/>
    <cellStyle name="40% - Accent2 2 4 2 2 3" xfId="27690"/>
    <cellStyle name="40% - Accent2 2 4 2 2 3 2" xfId="27691"/>
    <cellStyle name="40% - Accent2 2 4 2 2 3 2 2" xfId="27692"/>
    <cellStyle name="40% - Accent2 2 4 2 2 3 3" xfId="27693"/>
    <cellStyle name="40% - Accent2 2 4 2 2 4" xfId="27694"/>
    <cellStyle name="40% - Accent2 2 4 2 2 4 2" xfId="27695"/>
    <cellStyle name="40% - Accent2 2 4 2 2 5" xfId="27696"/>
    <cellStyle name="40% - Accent2 2 4 2 3" xfId="27697"/>
    <cellStyle name="40% - Accent2 2 4 2 3 2" xfId="27698"/>
    <cellStyle name="40% - Accent2 2 4 2 3 2 2" xfId="27699"/>
    <cellStyle name="40% - Accent2 2 4 2 3 2 2 2" xfId="27700"/>
    <cellStyle name="40% - Accent2 2 4 2 3 2 2 2 2" xfId="27701"/>
    <cellStyle name="40% - Accent2 2 4 2 3 2 2 3" xfId="27702"/>
    <cellStyle name="40% - Accent2 2 4 2 3 2 3" xfId="27703"/>
    <cellStyle name="40% - Accent2 2 4 2 3 2 3 2" xfId="27704"/>
    <cellStyle name="40% - Accent2 2 4 2 3 2 4" xfId="27705"/>
    <cellStyle name="40% - Accent2 2 4 2 3 3" xfId="27706"/>
    <cellStyle name="40% - Accent2 2 4 2 3 3 2" xfId="27707"/>
    <cellStyle name="40% - Accent2 2 4 2 3 3 2 2" xfId="27708"/>
    <cellStyle name="40% - Accent2 2 4 2 3 3 3" xfId="27709"/>
    <cellStyle name="40% - Accent2 2 4 2 3 4" xfId="27710"/>
    <cellStyle name="40% - Accent2 2 4 2 3 4 2" xfId="27711"/>
    <cellStyle name="40% - Accent2 2 4 2 3 5" xfId="27712"/>
    <cellStyle name="40% - Accent2 2 4 2 4" xfId="27713"/>
    <cellStyle name="40% - Accent2 2 4 2 4 2" xfId="27714"/>
    <cellStyle name="40% - Accent2 2 4 2 4 2 2" xfId="27715"/>
    <cellStyle name="40% - Accent2 2 4 2 4 2 2 2" xfId="27716"/>
    <cellStyle name="40% - Accent2 2 4 2 4 2 2 2 2" xfId="27717"/>
    <cellStyle name="40% - Accent2 2 4 2 4 2 2 3" xfId="27718"/>
    <cellStyle name="40% - Accent2 2 4 2 4 2 3" xfId="27719"/>
    <cellStyle name="40% - Accent2 2 4 2 4 2 3 2" xfId="27720"/>
    <cellStyle name="40% - Accent2 2 4 2 4 2 4" xfId="27721"/>
    <cellStyle name="40% - Accent2 2 4 2 4 3" xfId="27722"/>
    <cellStyle name="40% - Accent2 2 4 2 4 3 2" xfId="27723"/>
    <cellStyle name="40% - Accent2 2 4 2 4 3 2 2" xfId="27724"/>
    <cellStyle name="40% - Accent2 2 4 2 4 3 3" xfId="27725"/>
    <cellStyle name="40% - Accent2 2 4 2 4 4" xfId="27726"/>
    <cellStyle name="40% - Accent2 2 4 2 4 4 2" xfId="27727"/>
    <cellStyle name="40% - Accent2 2 4 2 4 5" xfId="27728"/>
    <cellStyle name="40% - Accent2 2 4 2 5" xfId="27729"/>
    <cellStyle name="40% - Accent2 2 4 2 5 2" xfId="27730"/>
    <cellStyle name="40% - Accent2 2 4 2 5 2 2" xfId="27731"/>
    <cellStyle name="40% - Accent2 2 4 2 5 2 2 2" xfId="27732"/>
    <cellStyle name="40% - Accent2 2 4 2 5 2 2 2 2" xfId="27733"/>
    <cellStyle name="40% - Accent2 2 4 2 5 2 2 3" xfId="27734"/>
    <cellStyle name="40% - Accent2 2 4 2 5 2 3" xfId="27735"/>
    <cellStyle name="40% - Accent2 2 4 2 5 2 3 2" xfId="27736"/>
    <cellStyle name="40% - Accent2 2 4 2 5 2 4" xfId="27737"/>
    <cellStyle name="40% - Accent2 2 4 2 5 3" xfId="27738"/>
    <cellStyle name="40% - Accent2 2 4 2 5 3 2" xfId="27739"/>
    <cellStyle name="40% - Accent2 2 4 2 5 3 2 2" xfId="27740"/>
    <cellStyle name="40% - Accent2 2 4 2 5 3 3" xfId="27741"/>
    <cellStyle name="40% - Accent2 2 4 2 5 4" xfId="27742"/>
    <cellStyle name="40% - Accent2 2 4 2 5 4 2" xfId="27743"/>
    <cellStyle name="40% - Accent2 2 4 2 5 5" xfId="27744"/>
    <cellStyle name="40% - Accent2 2 4 2 6" xfId="27745"/>
    <cellStyle name="40% - Accent2 2 4 2 6 2" xfId="27746"/>
    <cellStyle name="40% - Accent2 2 4 2 6 2 2" xfId="27747"/>
    <cellStyle name="40% - Accent2 2 4 2 6 2 2 2" xfId="27748"/>
    <cellStyle name="40% - Accent2 2 4 2 6 2 2 2 2" xfId="27749"/>
    <cellStyle name="40% - Accent2 2 4 2 6 2 2 3" xfId="27750"/>
    <cellStyle name="40% - Accent2 2 4 2 6 2 3" xfId="27751"/>
    <cellStyle name="40% - Accent2 2 4 2 6 2 3 2" xfId="27752"/>
    <cellStyle name="40% - Accent2 2 4 2 6 2 4" xfId="27753"/>
    <cellStyle name="40% - Accent2 2 4 2 6 3" xfId="27754"/>
    <cellStyle name="40% - Accent2 2 4 2 6 3 2" xfId="27755"/>
    <cellStyle name="40% - Accent2 2 4 2 6 3 2 2" xfId="27756"/>
    <cellStyle name="40% - Accent2 2 4 2 6 3 3" xfId="27757"/>
    <cellStyle name="40% - Accent2 2 4 2 6 4" xfId="27758"/>
    <cellStyle name="40% - Accent2 2 4 2 6 4 2" xfId="27759"/>
    <cellStyle name="40% - Accent2 2 4 2 6 5" xfId="27760"/>
    <cellStyle name="40% - Accent2 2 4 2 7" xfId="27761"/>
    <cellStyle name="40% - Accent2 2 4 2 7 2" xfId="27762"/>
    <cellStyle name="40% - Accent2 2 4 2 7 2 2" xfId="27763"/>
    <cellStyle name="40% - Accent2 2 4 2 7 2 2 2" xfId="27764"/>
    <cellStyle name="40% - Accent2 2 4 2 7 2 3" xfId="27765"/>
    <cellStyle name="40% - Accent2 2 4 2 7 3" xfId="27766"/>
    <cellStyle name="40% - Accent2 2 4 2 7 3 2" xfId="27767"/>
    <cellStyle name="40% - Accent2 2 4 2 7 4" xfId="27768"/>
    <cellStyle name="40% - Accent2 2 4 2 8" xfId="27769"/>
    <cellStyle name="40% - Accent2 2 4 2 8 2" xfId="27770"/>
    <cellStyle name="40% - Accent2 2 4 2 8 2 2" xfId="27771"/>
    <cellStyle name="40% - Accent2 2 4 2 8 3" xfId="27772"/>
    <cellStyle name="40% - Accent2 2 4 2 9" xfId="27773"/>
    <cellStyle name="40% - Accent2 2 4 2 9 2" xfId="27774"/>
    <cellStyle name="40% - Accent2 2 4 3" xfId="27775"/>
    <cellStyle name="40% - Accent2 2 4 3 2" xfId="27776"/>
    <cellStyle name="40% - Accent2 2 4 3 2 2" xfId="27777"/>
    <cellStyle name="40% - Accent2 2 4 3 2 2 2" xfId="27778"/>
    <cellStyle name="40% - Accent2 2 4 3 2 2 2 2" xfId="27779"/>
    <cellStyle name="40% - Accent2 2 4 3 2 2 3" xfId="27780"/>
    <cellStyle name="40% - Accent2 2 4 3 2 3" xfId="27781"/>
    <cellStyle name="40% - Accent2 2 4 3 2 3 2" xfId="27782"/>
    <cellStyle name="40% - Accent2 2 4 3 2 4" xfId="27783"/>
    <cellStyle name="40% - Accent2 2 4 3 3" xfId="27784"/>
    <cellStyle name="40% - Accent2 2 4 3 3 2" xfId="27785"/>
    <cellStyle name="40% - Accent2 2 4 3 3 2 2" xfId="27786"/>
    <cellStyle name="40% - Accent2 2 4 3 3 3" xfId="27787"/>
    <cellStyle name="40% - Accent2 2 4 3 4" xfId="27788"/>
    <cellStyle name="40% - Accent2 2 4 3 4 2" xfId="27789"/>
    <cellStyle name="40% - Accent2 2 4 3 5" xfId="27790"/>
    <cellStyle name="40% - Accent2 2 4 4" xfId="27791"/>
    <cellStyle name="40% - Accent2 2 4 4 2" xfId="27792"/>
    <cellStyle name="40% - Accent2 2 4 4 2 2" xfId="27793"/>
    <cellStyle name="40% - Accent2 2 4 4 2 2 2" xfId="27794"/>
    <cellStyle name="40% - Accent2 2 4 4 2 2 2 2" xfId="27795"/>
    <cellStyle name="40% - Accent2 2 4 4 2 2 3" xfId="27796"/>
    <cellStyle name="40% - Accent2 2 4 4 2 3" xfId="27797"/>
    <cellStyle name="40% - Accent2 2 4 4 2 3 2" xfId="27798"/>
    <cellStyle name="40% - Accent2 2 4 4 2 4" xfId="27799"/>
    <cellStyle name="40% - Accent2 2 4 4 3" xfId="27800"/>
    <cellStyle name="40% - Accent2 2 4 4 3 2" xfId="27801"/>
    <cellStyle name="40% - Accent2 2 4 4 3 2 2" xfId="27802"/>
    <cellStyle name="40% - Accent2 2 4 4 3 3" xfId="27803"/>
    <cellStyle name="40% - Accent2 2 4 4 4" xfId="27804"/>
    <cellStyle name="40% - Accent2 2 4 4 4 2" xfId="27805"/>
    <cellStyle name="40% - Accent2 2 4 4 5" xfId="27806"/>
    <cellStyle name="40% - Accent2 2 4 5" xfId="27807"/>
    <cellStyle name="40% - Accent2 2 4 5 2" xfId="27808"/>
    <cellStyle name="40% - Accent2 2 4 5 2 2" xfId="27809"/>
    <cellStyle name="40% - Accent2 2 4 5 2 2 2" xfId="27810"/>
    <cellStyle name="40% - Accent2 2 4 5 2 2 2 2" xfId="27811"/>
    <cellStyle name="40% - Accent2 2 4 5 2 2 3" xfId="27812"/>
    <cellStyle name="40% - Accent2 2 4 5 2 3" xfId="27813"/>
    <cellStyle name="40% - Accent2 2 4 5 2 3 2" xfId="27814"/>
    <cellStyle name="40% - Accent2 2 4 5 2 4" xfId="27815"/>
    <cellStyle name="40% - Accent2 2 4 5 3" xfId="27816"/>
    <cellStyle name="40% - Accent2 2 4 5 3 2" xfId="27817"/>
    <cellStyle name="40% - Accent2 2 4 5 3 2 2" xfId="27818"/>
    <cellStyle name="40% - Accent2 2 4 5 3 3" xfId="27819"/>
    <cellStyle name="40% - Accent2 2 4 5 4" xfId="27820"/>
    <cellStyle name="40% - Accent2 2 4 5 4 2" xfId="27821"/>
    <cellStyle name="40% - Accent2 2 4 5 5" xfId="27822"/>
    <cellStyle name="40% - Accent2 2 4 6" xfId="27823"/>
    <cellStyle name="40% - Accent2 2 4 6 2" xfId="27824"/>
    <cellStyle name="40% - Accent2 2 4 6 2 2" xfId="27825"/>
    <cellStyle name="40% - Accent2 2 4 6 2 2 2" xfId="27826"/>
    <cellStyle name="40% - Accent2 2 4 6 2 2 2 2" xfId="27827"/>
    <cellStyle name="40% - Accent2 2 4 6 2 2 3" xfId="27828"/>
    <cellStyle name="40% - Accent2 2 4 6 2 3" xfId="27829"/>
    <cellStyle name="40% - Accent2 2 4 6 2 3 2" xfId="27830"/>
    <cellStyle name="40% - Accent2 2 4 6 2 4" xfId="27831"/>
    <cellStyle name="40% - Accent2 2 4 6 3" xfId="27832"/>
    <cellStyle name="40% - Accent2 2 4 6 3 2" xfId="27833"/>
    <cellStyle name="40% - Accent2 2 4 6 3 2 2" xfId="27834"/>
    <cellStyle name="40% - Accent2 2 4 6 3 3" xfId="27835"/>
    <cellStyle name="40% - Accent2 2 4 6 4" xfId="27836"/>
    <cellStyle name="40% - Accent2 2 4 6 4 2" xfId="27837"/>
    <cellStyle name="40% - Accent2 2 4 6 5" xfId="27838"/>
    <cellStyle name="40% - Accent2 2 4 7" xfId="27839"/>
    <cellStyle name="40% - Accent2 2 4 7 2" xfId="27840"/>
    <cellStyle name="40% - Accent2 2 4 7 2 2" xfId="27841"/>
    <cellStyle name="40% - Accent2 2 4 7 2 2 2" xfId="27842"/>
    <cellStyle name="40% - Accent2 2 4 7 2 2 2 2" xfId="27843"/>
    <cellStyle name="40% - Accent2 2 4 7 2 2 3" xfId="27844"/>
    <cellStyle name="40% - Accent2 2 4 7 2 3" xfId="27845"/>
    <cellStyle name="40% - Accent2 2 4 7 2 3 2" xfId="27846"/>
    <cellStyle name="40% - Accent2 2 4 7 2 4" xfId="27847"/>
    <cellStyle name="40% - Accent2 2 4 7 3" xfId="27848"/>
    <cellStyle name="40% - Accent2 2 4 7 3 2" xfId="27849"/>
    <cellStyle name="40% - Accent2 2 4 7 3 2 2" xfId="27850"/>
    <cellStyle name="40% - Accent2 2 4 7 3 3" xfId="27851"/>
    <cellStyle name="40% - Accent2 2 4 7 4" xfId="27852"/>
    <cellStyle name="40% - Accent2 2 4 7 4 2" xfId="27853"/>
    <cellStyle name="40% - Accent2 2 4 7 5" xfId="27854"/>
    <cellStyle name="40% - Accent2 2 4 8" xfId="27855"/>
    <cellStyle name="40% - Accent2 2 4 8 2" xfId="27856"/>
    <cellStyle name="40% - Accent2 2 4 8 2 2" xfId="27857"/>
    <cellStyle name="40% - Accent2 2 4 8 2 2 2" xfId="27858"/>
    <cellStyle name="40% - Accent2 2 4 8 2 3" xfId="27859"/>
    <cellStyle name="40% - Accent2 2 4 8 3" xfId="27860"/>
    <cellStyle name="40% - Accent2 2 4 8 3 2" xfId="27861"/>
    <cellStyle name="40% - Accent2 2 4 8 4" xfId="27862"/>
    <cellStyle name="40% - Accent2 2 4 9" xfId="27863"/>
    <cellStyle name="40% - Accent2 2 4 9 2" xfId="27864"/>
    <cellStyle name="40% - Accent2 2 4 9 2 2" xfId="27865"/>
    <cellStyle name="40% - Accent2 2 4 9 3" xfId="27866"/>
    <cellStyle name="40% - Accent2 2 5" xfId="27867"/>
    <cellStyle name="40% - Accent2 2 5 10" xfId="27868"/>
    <cellStyle name="40% - Accent2 2 5 10 2" xfId="27869"/>
    <cellStyle name="40% - Accent2 2 5 11" xfId="27870"/>
    <cellStyle name="40% - Accent2 2 5 2" xfId="27871"/>
    <cellStyle name="40% - Accent2 2 5 2 10" xfId="27872"/>
    <cellStyle name="40% - Accent2 2 5 2 2" xfId="27873"/>
    <cellStyle name="40% - Accent2 2 5 2 2 2" xfId="27874"/>
    <cellStyle name="40% - Accent2 2 5 2 2 2 2" xfId="27875"/>
    <cellStyle name="40% - Accent2 2 5 2 2 2 2 2" xfId="27876"/>
    <cellStyle name="40% - Accent2 2 5 2 2 2 2 2 2" xfId="27877"/>
    <cellStyle name="40% - Accent2 2 5 2 2 2 2 3" xfId="27878"/>
    <cellStyle name="40% - Accent2 2 5 2 2 2 3" xfId="27879"/>
    <cellStyle name="40% - Accent2 2 5 2 2 2 3 2" xfId="27880"/>
    <cellStyle name="40% - Accent2 2 5 2 2 2 4" xfId="27881"/>
    <cellStyle name="40% - Accent2 2 5 2 2 3" xfId="27882"/>
    <cellStyle name="40% - Accent2 2 5 2 2 3 2" xfId="27883"/>
    <cellStyle name="40% - Accent2 2 5 2 2 3 2 2" xfId="27884"/>
    <cellStyle name="40% - Accent2 2 5 2 2 3 3" xfId="27885"/>
    <cellStyle name="40% - Accent2 2 5 2 2 4" xfId="27886"/>
    <cellStyle name="40% - Accent2 2 5 2 2 4 2" xfId="27887"/>
    <cellStyle name="40% - Accent2 2 5 2 2 5" xfId="27888"/>
    <cellStyle name="40% - Accent2 2 5 2 3" xfId="27889"/>
    <cellStyle name="40% - Accent2 2 5 2 3 2" xfId="27890"/>
    <cellStyle name="40% - Accent2 2 5 2 3 2 2" xfId="27891"/>
    <cellStyle name="40% - Accent2 2 5 2 3 2 2 2" xfId="27892"/>
    <cellStyle name="40% - Accent2 2 5 2 3 2 2 2 2" xfId="27893"/>
    <cellStyle name="40% - Accent2 2 5 2 3 2 2 3" xfId="27894"/>
    <cellStyle name="40% - Accent2 2 5 2 3 2 3" xfId="27895"/>
    <cellStyle name="40% - Accent2 2 5 2 3 2 3 2" xfId="27896"/>
    <cellStyle name="40% - Accent2 2 5 2 3 2 4" xfId="27897"/>
    <cellStyle name="40% - Accent2 2 5 2 3 3" xfId="27898"/>
    <cellStyle name="40% - Accent2 2 5 2 3 3 2" xfId="27899"/>
    <cellStyle name="40% - Accent2 2 5 2 3 3 2 2" xfId="27900"/>
    <cellStyle name="40% - Accent2 2 5 2 3 3 3" xfId="27901"/>
    <cellStyle name="40% - Accent2 2 5 2 3 4" xfId="27902"/>
    <cellStyle name="40% - Accent2 2 5 2 3 4 2" xfId="27903"/>
    <cellStyle name="40% - Accent2 2 5 2 3 5" xfId="27904"/>
    <cellStyle name="40% - Accent2 2 5 2 4" xfId="27905"/>
    <cellStyle name="40% - Accent2 2 5 2 4 2" xfId="27906"/>
    <cellStyle name="40% - Accent2 2 5 2 4 2 2" xfId="27907"/>
    <cellStyle name="40% - Accent2 2 5 2 4 2 2 2" xfId="27908"/>
    <cellStyle name="40% - Accent2 2 5 2 4 2 2 2 2" xfId="27909"/>
    <cellStyle name="40% - Accent2 2 5 2 4 2 2 3" xfId="27910"/>
    <cellStyle name="40% - Accent2 2 5 2 4 2 3" xfId="27911"/>
    <cellStyle name="40% - Accent2 2 5 2 4 2 3 2" xfId="27912"/>
    <cellStyle name="40% - Accent2 2 5 2 4 2 4" xfId="27913"/>
    <cellStyle name="40% - Accent2 2 5 2 4 3" xfId="27914"/>
    <cellStyle name="40% - Accent2 2 5 2 4 3 2" xfId="27915"/>
    <cellStyle name="40% - Accent2 2 5 2 4 3 2 2" xfId="27916"/>
    <cellStyle name="40% - Accent2 2 5 2 4 3 3" xfId="27917"/>
    <cellStyle name="40% - Accent2 2 5 2 4 4" xfId="27918"/>
    <cellStyle name="40% - Accent2 2 5 2 4 4 2" xfId="27919"/>
    <cellStyle name="40% - Accent2 2 5 2 4 5" xfId="27920"/>
    <cellStyle name="40% - Accent2 2 5 2 5" xfId="27921"/>
    <cellStyle name="40% - Accent2 2 5 2 5 2" xfId="27922"/>
    <cellStyle name="40% - Accent2 2 5 2 5 2 2" xfId="27923"/>
    <cellStyle name="40% - Accent2 2 5 2 5 2 2 2" xfId="27924"/>
    <cellStyle name="40% - Accent2 2 5 2 5 2 2 2 2" xfId="27925"/>
    <cellStyle name="40% - Accent2 2 5 2 5 2 2 3" xfId="27926"/>
    <cellStyle name="40% - Accent2 2 5 2 5 2 3" xfId="27927"/>
    <cellStyle name="40% - Accent2 2 5 2 5 2 3 2" xfId="27928"/>
    <cellStyle name="40% - Accent2 2 5 2 5 2 4" xfId="27929"/>
    <cellStyle name="40% - Accent2 2 5 2 5 3" xfId="27930"/>
    <cellStyle name="40% - Accent2 2 5 2 5 3 2" xfId="27931"/>
    <cellStyle name="40% - Accent2 2 5 2 5 3 2 2" xfId="27932"/>
    <cellStyle name="40% - Accent2 2 5 2 5 3 3" xfId="27933"/>
    <cellStyle name="40% - Accent2 2 5 2 5 4" xfId="27934"/>
    <cellStyle name="40% - Accent2 2 5 2 5 4 2" xfId="27935"/>
    <cellStyle name="40% - Accent2 2 5 2 5 5" xfId="27936"/>
    <cellStyle name="40% - Accent2 2 5 2 6" xfId="27937"/>
    <cellStyle name="40% - Accent2 2 5 2 6 2" xfId="27938"/>
    <cellStyle name="40% - Accent2 2 5 2 6 2 2" xfId="27939"/>
    <cellStyle name="40% - Accent2 2 5 2 6 2 2 2" xfId="27940"/>
    <cellStyle name="40% - Accent2 2 5 2 6 2 2 2 2" xfId="27941"/>
    <cellStyle name="40% - Accent2 2 5 2 6 2 2 3" xfId="27942"/>
    <cellStyle name="40% - Accent2 2 5 2 6 2 3" xfId="27943"/>
    <cellStyle name="40% - Accent2 2 5 2 6 2 3 2" xfId="27944"/>
    <cellStyle name="40% - Accent2 2 5 2 6 2 4" xfId="27945"/>
    <cellStyle name="40% - Accent2 2 5 2 6 3" xfId="27946"/>
    <cellStyle name="40% - Accent2 2 5 2 6 3 2" xfId="27947"/>
    <cellStyle name="40% - Accent2 2 5 2 6 3 2 2" xfId="27948"/>
    <cellStyle name="40% - Accent2 2 5 2 6 3 3" xfId="27949"/>
    <cellStyle name="40% - Accent2 2 5 2 6 4" xfId="27950"/>
    <cellStyle name="40% - Accent2 2 5 2 6 4 2" xfId="27951"/>
    <cellStyle name="40% - Accent2 2 5 2 6 5" xfId="27952"/>
    <cellStyle name="40% - Accent2 2 5 2 7" xfId="27953"/>
    <cellStyle name="40% - Accent2 2 5 2 7 2" xfId="27954"/>
    <cellStyle name="40% - Accent2 2 5 2 7 2 2" xfId="27955"/>
    <cellStyle name="40% - Accent2 2 5 2 7 2 2 2" xfId="27956"/>
    <cellStyle name="40% - Accent2 2 5 2 7 2 3" xfId="27957"/>
    <cellStyle name="40% - Accent2 2 5 2 7 3" xfId="27958"/>
    <cellStyle name="40% - Accent2 2 5 2 7 3 2" xfId="27959"/>
    <cellStyle name="40% - Accent2 2 5 2 7 4" xfId="27960"/>
    <cellStyle name="40% - Accent2 2 5 2 8" xfId="27961"/>
    <cellStyle name="40% - Accent2 2 5 2 8 2" xfId="27962"/>
    <cellStyle name="40% - Accent2 2 5 2 8 2 2" xfId="27963"/>
    <cellStyle name="40% - Accent2 2 5 2 8 3" xfId="27964"/>
    <cellStyle name="40% - Accent2 2 5 2 9" xfId="27965"/>
    <cellStyle name="40% - Accent2 2 5 2 9 2" xfId="27966"/>
    <cellStyle name="40% - Accent2 2 5 3" xfId="27967"/>
    <cellStyle name="40% - Accent2 2 5 3 2" xfId="27968"/>
    <cellStyle name="40% - Accent2 2 5 3 2 2" xfId="27969"/>
    <cellStyle name="40% - Accent2 2 5 3 2 2 2" xfId="27970"/>
    <cellStyle name="40% - Accent2 2 5 3 2 2 2 2" xfId="27971"/>
    <cellStyle name="40% - Accent2 2 5 3 2 2 3" xfId="27972"/>
    <cellStyle name="40% - Accent2 2 5 3 2 3" xfId="27973"/>
    <cellStyle name="40% - Accent2 2 5 3 2 3 2" xfId="27974"/>
    <cellStyle name="40% - Accent2 2 5 3 2 4" xfId="27975"/>
    <cellStyle name="40% - Accent2 2 5 3 3" xfId="27976"/>
    <cellStyle name="40% - Accent2 2 5 3 3 2" xfId="27977"/>
    <cellStyle name="40% - Accent2 2 5 3 3 2 2" xfId="27978"/>
    <cellStyle name="40% - Accent2 2 5 3 3 3" xfId="27979"/>
    <cellStyle name="40% - Accent2 2 5 3 4" xfId="27980"/>
    <cellStyle name="40% - Accent2 2 5 3 4 2" xfId="27981"/>
    <cellStyle name="40% - Accent2 2 5 3 5" xfId="27982"/>
    <cellStyle name="40% - Accent2 2 5 4" xfId="27983"/>
    <cellStyle name="40% - Accent2 2 5 4 2" xfId="27984"/>
    <cellStyle name="40% - Accent2 2 5 4 2 2" xfId="27985"/>
    <cellStyle name="40% - Accent2 2 5 4 2 2 2" xfId="27986"/>
    <cellStyle name="40% - Accent2 2 5 4 2 2 2 2" xfId="27987"/>
    <cellStyle name="40% - Accent2 2 5 4 2 2 3" xfId="27988"/>
    <cellStyle name="40% - Accent2 2 5 4 2 3" xfId="27989"/>
    <cellStyle name="40% - Accent2 2 5 4 2 3 2" xfId="27990"/>
    <cellStyle name="40% - Accent2 2 5 4 2 4" xfId="27991"/>
    <cellStyle name="40% - Accent2 2 5 4 3" xfId="27992"/>
    <cellStyle name="40% - Accent2 2 5 4 3 2" xfId="27993"/>
    <cellStyle name="40% - Accent2 2 5 4 3 2 2" xfId="27994"/>
    <cellStyle name="40% - Accent2 2 5 4 3 3" xfId="27995"/>
    <cellStyle name="40% - Accent2 2 5 4 4" xfId="27996"/>
    <cellStyle name="40% - Accent2 2 5 4 4 2" xfId="27997"/>
    <cellStyle name="40% - Accent2 2 5 4 5" xfId="27998"/>
    <cellStyle name="40% - Accent2 2 5 5" xfId="27999"/>
    <cellStyle name="40% - Accent2 2 5 5 2" xfId="28000"/>
    <cellStyle name="40% - Accent2 2 5 5 2 2" xfId="28001"/>
    <cellStyle name="40% - Accent2 2 5 5 2 2 2" xfId="28002"/>
    <cellStyle name="40% - Accent2 2 5 5 2 2 2 2" xfId="28003"/>
    <cellStyle name="40% - Accent2 2 5 5 2 2 3" xfId="28004"/>
    <cellStyle name="40% - Accent2 2 5 5 2 3" xfId="28005"/>
    <cellStyle name="40% - Accent2 2 5 5 2 3 2" xfId="28006"/>
    <cellStyle name="40% - Accent2 2 5 5 2 4" xfId="28007"/>
    <cellStyle name="40% - Accent2 2 5 5 3" xfId="28008"/>
    <cellStyle name="40% - Accent2 2 5 5 3 2" xfId="28009"/>
    <cellStyle name="40% - Accent2 2 5 5 3 2 2" xfId="28010"/>
    <cellStyle name="40% - Accent2 2 5 5 3 3" xfId="28011"/>
    <cellStyle name="40% - Accent2 2 5 5 4" xfId="28012"/>
    <cellStyle name="40% - Accent2 2 5 5 4 2" xfId="28013"/>
    <cellStyle name="40% - Accent2 2 5 5 5" xfId="28014"/>
    <cellStyle name="40% - Accent2 2 5 6" xfId="28015"/>
    <cellStyle name="40% - Accent2 2 5 6 2" xfId="28016"/>
    <cellStyle name="40% - Accent2 2 5 6 2 2" xfId="28017"/>
    <cellStyle name="40% - Accent2 2 5 6 2 2 2" xfId="28018"/>
    <cellStyle name="40% - Accent2 2 5 6 2 2 2 2" xfId="28019"/>
    <cellStyle name="40% - Accent2 2 5 6 2 2 3" xfId="28020"/>
    <cellStyle name="40% - Accent2 2 5 6 2 3" xfId="28021"/>
    <cellStyle name="40% - Accent2 2 5 6 2 3 2" xfId="28022"/>
    <cellStyle name="40% - Accent2 2 5 6 2 4" xfId="28023"/>
    <cellStyle name="40% - Accent2 2 5 6 3" xfId="28024"/>
    <cellStyle name="40% - Accent2 2 5 6 3 2" xfId="28025"/>
    <cellStyle name="40% - Accent2 2 5 6 3 2 2" xfId="28026"/>
    <cellStyle name="40% - Accent2 2 5 6 3 3" xfId="28027"/>
    <cellStyle name="40% - Accent2 2 5 6 4" xfId="28028"/>
    <cellStyle name="40% - Accent2 2 5 6 4 2" xfId="28029"/>
    <cellStyle name="40% - Accent2 2 5 6 5" xfId="28030"/>
    <cellStyle name="40% - Accent2 2 5 7" xfId="28031"/>
    <cellStyle name="40% - Accent2 2 5 7 2" xfId="28032"/>
    <cellStyle name="40% - Accent2 2 5 7 2 2" xfId="28033"/>
    <cellStyle name="40% - Accent2 2 5 7 2 2 2" xfId="28034"/>
    <cellStyle name="40% - Accent2 2 5 7 2 2 2 2" xfId="28035"/>
    <cellStyle name="40% - Accent2 2 5 7 2 2 3" xfId="28036"/>
    <cellStyle name="40% - Accent2 2 5 7 2 3" xfId="28037"/>
    <cellStyle name="40% - Accent2 2 5 7 2 3 2" xfId="28038"/>
    <cellStyle name="40% - Accent2 2 5 7 2 4" xfId="28039"/>
    <cellStyle name="40% - Accent2 2 5 7 3" xfId="28040"/>
    <cellStyle name="40% - Accent2 2 5 7 3 2" xfId="28041"/>
    <cellStyle name="40% - Accent2 2 5 7 3 2 2" xfId="28042"/>
    <cellStyle name="40% - Accent2 2 5 7 3 3" xfId="28043"/>
    <cellStyle name="40% - Accent2 2 5 7 4" xfId="28044"/>
    <cellStyle name="40% - Accent2 2 5 7 4 2" xfId="28045"/>
    <cellStyle name="40% - Accent2 2 5 7 5" xfId="28046"/>
    <cellStyle name="40% - Accent2 2 5 8" xfId="28047"/>
    <cellStyle name="40% - Accent2 2 5 8 2" xfId="28048"/>
    <cellStyle name="40% - Accent2 2 5 8 2 2" xfId="28049"/>
    <cellStyle name="40% - Accent2 2 5 8 2 2 2" xfId="28050"/>
    <cellStyle name="40% - Accent2 2 5 8 2 3" xfId="28051"/>
    <cellStyle name="40% - Accent2 2 5 8 3" xfId="28052"/>
    <cellStyle name="40% - Accent2 2 5 8 3 2" xfId="28053"/>
    <cellStyle name="40% - Accent2 2 5 8 4" xfId="28054"/>
    <cellStyle name="40% - Accent2 2 5 9" xfId="28055"/>
    <cellStyle name="40% - Accent2 2 5 9 2" xfId="28056"/>
    <cellStyle name="40% - Accent2 2 5 9 2 2" xfId="28057"/>
    <cellStyle name="40% - Accent2 2 5 9 3" xfId="28058"/>
    <cellStyle name="40% - Accent2 2 6" xfId="28059"/>
    <cellStyle name="40% - Accent2 2 6 10" xfId="28060"/>
    <cellStyle name="40% - Accent2 2 6 10 2" xfId="28061"/>
    <cellStyle name="40% - Accent2 2 6 11" xfId="28062"/>
    <cellStyle name="40% - Accent2 2 6 2" xfId="28063"/>
    <cellStyle name="40% - Accent2 2 6 2 10" xfId="28064"/>
    <cellStyle name="40% - Accent2 2 6 2 2" xfId="28065"/>
    <cellStyle name="40% - Accent2 2 6 2 2 2" xfId="28066"/>
    <cellStyle name="40% - Accent2 2 6 2 2 2 2" xfId="28067"/>
    <cellStyle name="40% - Accent2 2 6 2 2 2 2 2" xfId="28068"/>
    <cellStyle name="40% - Accent2 2 6 2 2 2 2 2 2" xfId="28069"/>
    <cellStyle name="40% - Accent2 2 6 2 2 2 2 3" xfId="28070"/>
    <cellStyle name="40% - Accent2 2 6 2 2 2 3" xfId="28071"/>
    <cellStyle name="40% - Accent2 2 6 2 2 2 3 2" xfId="28072"/>
    <cellStyle name="40% - Accent2 2 6 2 2 2 4" xfId="28073"/>
    <cellStyle name="40% - Accent2 2 6 2 2 3" xfId="28074"/>
    <cellStyle name="40% - Accent2 2 6 2 2 3 2" xfId="28075"/>
    <cellStyle name="40% - Accent2 2 6 2 2 3 2 2" xfId="28076"/>
    <cellStyle name="40% - Accent2 2 6 2 2 3 3" xfId="28077"/>
    <cellStyle name="40% - Accent2 2 6 2 2 4" xfId="28078"/>
    <cellStyle name="40% - Accent2 2 6 2 2 4 2" xfId="28079"/>
    <cellStyle name="40% - Accent2 2 6 2 2 5" xfId="28080"/>
    <cellStyle name="40% - Accent2 2 6 2 3" xfId="28081"/>
    <cellStyle name="40% - Accent2 2 6 2 3 2" xfId="28082"/>
    <cellStyle name="40% - Accent2 2 6 2 3 2 2" xfId="28083"/>
    <cellStyle name="40% - Accent2 2 6 2 3 2 2 2" xfId="28084"/>
    <cellStyle name="40% - Accent2 2 6 2 3 2 2 2 2" xfId="28085"/>
    <cellStyle name="40% - Accent2 2 6 2 3 2 2 3" xfId="28086"/>
    <cellStyle name="40% - Accent2 2 6 2 3 2 3" xfId="28087"/>
    <cellStyle name="40% - Accent2 2 6 2 3 2 3 2" xfId="28088"/>
    <cellStyle name="40% - Accent2 2 6 2 3 2 4" xfId="28089"/>
    <cellStyle name="40% - Accent2 2 6 2 3 3" xfId="28090"/>
    <cellStyle name="40% - Accent2 2 6 2 3 3 2" xfId="28091"/>
    <cellStyle name="40% - Accent2 2 6 2 3 3 2 2" xfId="28092"/>
    <cellStyle name="40% - Accent2 2 6 2 3 3 3" xfId="28093"/>
    <cellStyle name="40% - Accent2 2 6 2 3 4" xfId="28094"/>
    <cellStyle name="40% - Accent2 2 6 2 3 4 2" xfId="28095"/>
    <cellStyle name="40% - Accent2 2 6 2 3 5" xfId="28096"/>
    <cellStyle name="40% - Accent2 2 6 2 4" xfId="28097"/>
    <cellStyle name="40% - Accent2 2 6 2 4 2" xfId="28098"/>
    <cellStyle name="40% - Accent2 2 6 2 4 2 2" xfId="28099"/>
    <cellStyle name="40% - Accent2 2 6 2 4 2 2 2" xfId="28100"/>
    <cellStyle name="40% - Accent2 2 6 2 4 2 2 2 2" xfId="28101"/>
    <cellStyle name="40% - Accent2 2 6 2 4 2 2 3" xfId="28102"/>
    <cellStyle name="40% - Accent2 2 6 2 4 2 3" xfId="28103"/>
    <cellStyle name="40% - Accent2 2 6 2 4 2 3 2" xfId="28104"/>
    <cellStyle name="40% - Accent2 2 6 2 4 2 4" xfId="28105"/>
    <cellStyle name="40% - Accent2 2 6 2 4 3" xfId="28106"/>
    <cellStyle name="40% - Accent2 2 6 2 4 3 2" xfId="28107"/>
    <cellStyle name="40% - Accent2 2 6 2 4 3 2 2" xfId="28108"/>
    <cellStyle name="40% - Accent2 2 6 2 4 3 3" xfId="28109"/>
    <cellStyle name="40% - Accent2 2 6 2 4 4" xfId="28110"/>
    <cellStyle name="40% - Accent2 2 6 2 4 4 2" xfId="28111"/>
    <cellStyle name="40% - Accent2 2 6 2 4 5" xfId="28112"/>
    <cellStyle name="40% - Accent2 2 6 2 5" xfId="28113"/>
    <cellStyle name="40% - Accent2 2 6 2 5 2" xfId="28114"/>
    <cellStyle name="40% - Accent2 2 6 2 5 2 2" xfId="28115"/>
    <cellStyle name="40% - Accent2 2 6 2 5 2 2 2" xfId="28116"/>
    <cellStyle name="40% - Accent2 2 6 2 5 2 2 2 2" xfId="28117"/>
    <cellStyle name="40% - Accent2 2 6 2 5 2 2 3" xfId="28118"/>
    <cellStyle name="40% - Accent2 2 6 2 5 2 3" xfId="28119"/>
    <cellStyle name="40% - Accent2 2 6 2 5 2 3 2" xfId="28120"/>
    <cellStyle name="40% - Accent2 2 6 2 5 2 4" xfId="28121"/>
    <cellStyle name="40% - Accent2 2 6 2 5 3" xfId="28122"/>
    <cellStyle name="40% - Accent2 2 6 2 5 3 2" xfId="28123"/>
    <cellStyle name="40% - Accent2 2 6 2 5 3 2 2" xfId="28124"/>
    <cellStyle name="40% - Accent2 2 6 2 5 3 3" xfId="28125"/>
    <cellStyle name="40% - Accent2 2 6 2 5 4" xfId="28126"/>
    <cellStyle name="40% - Accent2 2 6 2 5 4 2" xfId="28127"/>
    <cellStyle name="40% - Accent2 2 6 2 5 5" xfId="28128"/>
    <cellStyle name="40% - Accent2 2 6 2 6" xfId="28129"/>
    <cellStyle name="40% - Accent2 2 6 2 6 2" xfId="28130"/>
    <cellStyle name="40% - Accent2 2 6 2 6 2 2" xfId="28131"/>
    <cellStyle name="40% - Accent2 2 6 2 6 2 2 2" xfId="28132"/>
    <cellStyle name="40% - Accent2 2 6 2 6 2 2 2 2" xfId="28133"/>
    <cellStyle name="40% - Accent2 2 6 2 6 2 2 3" xfId="28134"/>
    <cellStyle name="40% - Accent2 2 6 2 6 2 3" xfId="28135"/>
    <cellStyle name="40% - Accent2 2 6 2 6 2 3 2" xfId="28136"/>
    <cellStyle name="40% - Accent2 2 6 2 6 2 4" xfId="28137"/>
    <cellStyle name="40% - Accent2 2 6 2 6 3" xfId="28138"/>
    <cellStyle name="40% - Accent2 2 6 2 6 3 2" xfId="28139"/>
    <cellStyle name="40% - Accent2 2 6 2 6 3 2 2" xfId="28140"/>
    <cellStyle name="40% - Accent2 2 6 2 6 3 3" xfId="28141"/>
    <cellStyle name="40% - Accent2 2 6 2 6 4" xfId="28142"/>
    <cellStyle name="40% - Accent2 2 6 2 6 4 2" xfId="28143"/>
    <cellStyle name="40% - Accent2 2 6 2 6 5" xfId="28144"/>
    <cellStyle name="40% - Accent2 2 6 2 7" xfId="28145"/>
    <cellStyle name="40% - Accent2 2 6 2 7 2" xfId="28146"/>
    <cellStyle name="40% - Accent2 2 6 2 7 2 2" xfId="28147"/>
    <cellStyle name="40% - Accent2 2 6 2 7 2 2 2" xfId="28148"/>
    <cellStyle name="40% - Accent2 2 6 2 7 2 3" xfId="28149"/>
    <cellStyle name="40% - Accent2 2 6 2 7 3" xfId="28150"/>
    <cellStyle name="40% - Accent2 2 6 2 7 3 2" xfId="28151"/>
    <cellStyle name="40% - Accent2 2 6 2 7 4" xfId="28152"/>
    <cellStyle name="40% - Accent2 2 6 2 8" xfId="28153"/>
    <cellStyle name="40% - Accent2 2 6 2 8 2" xfId="28154"/>
    <cellStyle name="40% - Accent2 2 6 2 8 2 2" xfId="28155"/>
    <cellStyle name="40% - Accent2 2 6 2 8 3" xfId="28156"/>
    <cellStyle name="40% - Accent2 2 6 2 9" xfId="28157"/>
    <cellStyle name="40% - Accent2 2 6 2 9 2" xfId="28158"/>
    <cellStyle name="40% - Accent2 2 6 3" xfId="28159"/>
    <cellStyle name="40% - Accent2 2 6 3 2" xfId="28160"/>
    <cellStyle name="40% - Accent2 2 6 3 2 2" xfId="28161"/>
    <cellStyle name="40% - Accent2 2 6 3 2 2 2" xfId="28162"/>
    <cellStyle name="40% - Accent2 2 6 3 2 2 2 2" xfId="28163"/>
    <cellStyle name="40% - Accent2 2 6 3 2 2 3" xfId="28164"/>
    <cellStyle name="40% - Accent2 2 6 3 2 3" xfId="28165"/>
    <cellStyle name="40% - Accent2 2 6 3 2 3 2" xfId="28166"/>
    <cellStyle name="40% - Accent2 2 6 3 2 4" xfId="28167"/>
    <cellStyle name="40% - Accent2 2 6 3 3" xfId="28168"/>
    <cellStyle name="40% - Accent2 2 6 3 3 2" xfId="28169"/>
    <cellStyle name="40% - Accent2 2 6 3 3 2 2" xfId="28170"/>
    <cellStyle name="40% - Accent2 2 6 3 3 3" xfId="28171"/>
    <cellStyle name="40% - Accent2 2 6 3 4" xfId="28172"/>
    <cellStyle name="40% - Accent2 2 6 3 4 2" xfId="28173"/>
    <cellStyle name="40% - Accent2 2 6 3 5" xfId="28174"/>
    <cellStyle name="40% - Accent2 2 6 4" xfId="28175"/>
    <cellStyle name="40% - Accent2 2 6 4 2" xfId="28176"/>
    <cellStyle name="40% - Accent2 2 6 4 2 2" xfId="28177"/>
    <cellStyle name="40% - Accent2 2 6 4 2 2 2" xfId="28178"/>
    <cellStyle name="40% - Accent2 2 6 4 2 2 2 2" xfId="28179"/>
    <cellStyle name="40% - Accent2 2 6 4 2 2 3" xfId="28180"/>
    <cellStyle name="40% - Accent2 2 6 4 2 3" xfId="28181"/>
    <cellStyle name="40% - Accent2 2 6 4 2 3 2" xfId="28182"/>
    <cellStyle name="40% - Accent2 2 6 4 2 4" xfId="28183"/>
    <cellStyle name="40% - Accent2 2 6 4 3" xfId="28184"/>
    <cellStyle name="40% - Accent2 2 6 4 3 2" xfId="28185"/>
    <cellStyle name="40% - Accent2 2 6 4 3 2 2" xfId="28186"/>
    <cellStyle name="40% - Accent2 2 6 4 3 3" xfId="28187"/>
    <cellStyle name="40% - Accent2 2 6 4 4" xfId="28188"/>
    <cellStyle name="40% - Accent2 2 6 4 4 2" xfId="28189"/>
    <cellStyle name="40% - Accent2 2 6 4 5" xfId="28190"/>
    <cellStyle name="40% - Accent2 2 6 5" xfId="28191"/>
    <cellStyle name="40% - Accent2 2 6 5 2" xfId="28192"/>
    <cellStyle name="40% - Accent2 2 6 5 2 2" xfId="28193"/>
    <cellStyle name="40% - Accent2 2 6 5 2 2 2" xfId="28194"/>
    <cellStyle name="40% - Accent2 2 6 5 2 2 2 2" xfId="28195"/>
    <cellStyle name="40% - Accent2 2 6 5 2 2 3" xfId="28196"/>
    <cellStyle name="40% - Accent2 2 6 5 2 3" xfId="28197"/>
    <cellStyle name="40% - Accent2 2 6 5 2 3 2" xfId="28198"/>
    <cellStyle name="40% - Accent2 2 6 5 2 4" xfId="28199"/>
    <cellStyle name="40% - Accent2 2 6 5 3" xfId="28200"/>
    <cellStyle name="40% - Accent2 2 6 5 3 2" xfId="28201"/>
    <cellStyle name="40% - Accent2 2 6 5 3 2 2" xfId="28202"/>
    <cellStyle name="40% - Accent2 2 6 5 3 3" xfId="28203"/>
    <cellStyle name="40% - Accent2 2 6 5 4" xfId="28204"/>
    <cellStyle name="40% - Accent2 2 6 5 4 2" xfId="28205"/>
    <cellStyle name="40% - Accent2 2 6 5 5" xfId="28206"/>
    <cellStyle name="40% - Accent2 2 6 6" xfId="28207"/>
    <cellStyle name="40% - Accent2 2 6 6 2" xfId="28208"/>
    <cellStyle name="40% - Accent2 2 6 6 2 2" xfId="28209"/>
    <cellStyle name="40% - Accent2 2 6 6 2 2 2" xfId="28210"/>
    <cellStyle name="40% - Accent2 2 6 6 2 2 2 2" xfId="28211"/>
    <cellStyle name="40% - Accent2 2 6 6 2 2 3" xfId="28212"/>
    <cellStyle name="40% - Accent2 2 6 6 2 3" xfId="28213"/>
    <cellStyle name="40% - Accent2 2 6 6 2 3 2" xfId="28214"/>
    <cellStyle name="40% - Accent2 2 6 6 2 4" xfId="28215"/>
    <cellStyle name="40% - Accent2 2 6 6 3" xfId="28216"/>
    <cellStyle name="40% - Accent2 2 6 6 3 2" xfId="28217"/>
    <cellStyle name="40% - Accent2 2 6 6 3 2 2" xfId="28218"/>
    <cellStyle name="40% - Accent2 2 6 6 3 3" xfId="28219"/>
    <cellStyle name="40% - Accent2 2 6 6 4" xfId="28220"/>
    <cellStyle name="40% - Accent2 2 6 6 4 2" xfId="28221"/>
    <cellStyle name="40% - Accent2 2 6 6 5" xfId="28222"/>
    <cellStyle name="40% - Accent2 2 6 7" xfId="28223"/>
    <cellStyle name="40% - Accent2 2 6 7 2" xfId="28224"/>
    <cellStyle name="40% - Accent2 2 6 7 2 2" xfId="28225"/>
    <cellStyle name="40% - Accent2 2 6 7 2 2 2" xfId="28226"/>
    <cellStyle name="40% - Accent2 2 6 7 2 2 2 2" xfId="28227"/>
    <cellStyle name="40% - Accent2 2 6 7 2 2 3" xfId="28228"/>
    <cellStyle name="40% - Accent2 2 6 7 2 3" xfId="28229"/>
    <cellStyle name="40% - Accent2 2 6 7 2 3 2" xfId="28230"/>
    <cellStyle name="40% - Accent2 2 6 7 2 4" xfId="28231"/>
    <cellStyle name="40% - Accent2 2 6 7 3" xfId="28232"/>
    <cellStyle name="40% - Accent2 2 6 7 3 2" xfId="28233"/>
    <cellStyle name="40% - Accent2 2 6 7 3 2 2" xfId="28234"/>
    <cellStyle name="40% - Accent2 2 6 7 3 3" xfId="28235"/>
    <cellStyle name="40% - Accent2 2 6 7 4" xfId="28236"/>
    <cellStyle name="40% - Accent2 2 6 7 4 2" xfId="28237"/>
    <cellStyle name="40% - Accent2 2 6 7 5" xfId="28238"/>
    <cellStyle name="40% - Accent2 2 6 8" xfId="28239"/>
    <cellStyle name="40% - Accent2 2 6 8 2" xfId="28240"/>
    <cellStyle name="40% - Accent2 2 6 8 2 2" xfId="28241"/>
    <cellStyle name="40% - Accent2 2 6 8 2 2 2" xfId="28242"/>
    <cellStyle name="40% - Accent2 2 6 8 2 3" xfId="28243"/>
    <cellStyle name="40% - Accent2 2 6 8 3" xfId="28244"/>
    <cellStyle name="40% - Accent2 2 6 8 3 2" xfId="28245"/>
    <cellStyle name="40% - Accent2 2 6 8 4" xfId="28246"/>
    <cellStyle name="40% - Accent2 2 6 9" xfId="28247"/>
    <cellStyle name="40% - Accent2 2 6 9 2" xfId="28248"/>
    <cellStyle name="40% - Accent2 2 6 9 2 2" xfId="28249"/>
    <cellStyle name="40% - Accent2 2 6 9 3" xfId="28250"/>
    <cellStyle name="40% - Accent2 2 7" xfId="28251"/>
    <cellStyle name="40% - Accent2 2 7 10" xfId="28252"/>
    <cellStyle name="40% - Accent2 2 7 10 2" xfId="28253"/>
    <cellStyle name="40% - Accent2 2 7 11" xfId="28254"/>
    <cellStyle name="40% - Accent2 2 7 2" xfId="28255"/>
    <cellStyle name="40% - Accent2 2 7 2 10" xfId="28256"/>
    <cellStyle name="40% - Accent2 2 7 2 2" xfId="28257"/>
    <cellStyle name="40% - Accent2 2 7 2 2 2" xfId="28258"/>
    <cellStyle name="40% - Accent2 2 7 2 2 2 2" xfId="28259"/>
    <cellStyle name="40% - Accent2 2 7 2 2 2 2 2" xfId="28260"/>
    <cellStyle name="40% - Accent2 2 7 2 2 2 2 2 2" xfId="28261"/>
    <cellStyle name="40% - Accent2 2 7 2 2 2 2 3" xfId="28262"/>
    <cellStyle name="40% - Accent2 2 7 2 2 2 3" xfId="28263"/>
    <cellStyle name="40% - Accent2 2 7 2 2 2 3 2" xfId="28264"/>
    <cellStyle name="40% - Accent2 2 7 2 2 2 4" xfId="28265"/>
    <cellStyle name="40% - Accent2 2 7 2 2 3" xfId="28266"/>
    <cellStyle name="40% - Accent2 2 7 2 2 3 2" xfId="28267"/>
    <cellStyle name="40% - Accent2 2 7 2 2 3 2 2" xfId="28268"/>
    <cellStyle name="40% - Accent2 2 7 2 2 3 3" xfId="28269"/>
    <cellStyle name="40% - Accent2 2 7 2 2 4" xfId="28270"/>
    <cellStyle name="40% - Accent2 2 7 2 2 4 2" xfId="28271"/>
    <cellStyle name="40% - Accent2 2 7 2 2 5" xfId="28272"/>
    <cellStyle name="40% - Accent2 2 7 2 3" xfId="28273"/>
    <cellStyle name="40% - Accent2 2 7 2 3 2" xfId="28274"/>
    <cellStyle name="40% - Accent2 2 7 2 3 2 2" xfId="28275"/>
    <cellStyle name="40% - Accent2 2 7 2 3 2 2 2" xfId="28276"/>
    <cellStyle name="40% - Accent2 2 7 2 3 2 2 2 2" xfId="28277"/>
    <cellStyle name="40% - Accent2 2 7 2 3 2 2 3" xfId="28278"/>
    <cellStyle name="40% - Accent2 2 7 2 3 2 3" xfId="28279"/>
    <cellStyle name="40% - Accent2 2 7 2 3 2 3 2" xfId="28280"/>
    <cellStyle name="40% - Accent2 2 7 2 3 2 4" xfId="28281"/>
    <cellStyle name="40% - Accent2 2 7 2 3 3" xfId="28282"/>
    <cellStyle name="40% - Accent2 2 7 2 3 3 2" xfId="28283"/>
    <cellStyle name="40% - Accent2 2 7 2 3 3 2 2" xfId="28284"/>
    <cellStyle name="40% - Accent2 2 7 2 3 3 3" xfId="28285"/>
    <cellStyle name="40% - Accent2 2 7 2 3 4" xfId="28286"/>
    <cellStyle name="40% - Accent2 2 7 2 3 4 2" xfId="28287"/>
    <cellStyle name="40% - Accent2 2 7 2 3 5" xfId="28288"/>
    <cellStyle name="40% - Accent2 2 7 2 4" xfId="28289"/>
    <cellStyle name="40% - Accent2 2 7 2 4 2" xfId="28290"/>
    <cellStyle name="40% - Accent2 2 7 2 4 2 2" xfId="28291"/>
    <cellStyle name="40% - Accent2 2 7 2 4 2 2 2" xfId="28292"/>
    <cellStyle name="40% - Accent2 2 7 2 4 2 2 2 2" xfId="28293"/>
    <cellStyle name="40% - Accent2 2 7 2 4 2 2 3" xfId="28294"/>
    <cellStyle name="40% - Accent2 2 7 2 4 2 3" xfId="28295"/>
    <cellStyle name="40% - Accent2 2 7 2 4 2 3 2" xfId="28296"/>
    <cellStyle name="40% - Accent2 2 7 2 4 2 4" xfId="28297"/>
    <cellStyle name="40% - Accent2 2 7 2 4 3" xfId="28298"/>
    <cellStyle name="40% - Accent2 2 7 2 4 3 2" xfId="28299"/>
    <cellStyle name="40% - Accent2 2 7 2 4 3 2 2" xfId="28300"/>
    <cellStyle name="40% - Accent2 2 7 2 4 3 3" xfId="28301"/>
    <cellStyle name="40% - Accent2 2 7 2 4 4" xfId="28302"/>
    <cellStyle name="40% - Accent2 2 7 2 4 4 2" xfId="28303"/>
    <cellStyle name="40% - Accent2 2 7 2 4 5" xfId="28304"/>
    <cellStyle name="40% - Accent2 2 7 2 5" xfId="28305"/>
    <cellStyle name="40% - Accent2 2 7 2 5 2" xfId="28306"/>
    <cellStyle name="40% - Accent2 2 7 2 5 2 2" xfId="28307"/>
    <cellStyle name="40% - Accent2 2 7 2 5 2 2 2" xfId="28308"/>
    <cellStyle name="40% - Accent2 2 7 2 5 2 2 2 2" xfId="28309"/>
    <cellStyle name="40% - Accent2 2 7 2 5 2 2 3" xfId="28310"/>
    <cellStyle name="40% - Accent2 2 7 2 5 2 3" xfId="28311"/>
    <cellStyle name="40% - Accent2 2 7 2 5 2 3 2" xfId="28312"/>
    <cellStyle name="40% - Accent2 2 7 2 5 2 4" xfId="28313"/>
    <cellStyle name="40% - Accent2 2 7 2 5 3" xfId="28314"/>
    <cellStyle name="40% - Accent2 2 7 2 5 3 2" xfId="28315"/>
    <cellStyle name="40% - Accent2 2 7 2 5 3 2 2" xfId="28316"/>
    <cellStyle name="40% - Accent2 2 7 2 5 3 3" xfId="28317"/>
    <cellStyle name="40% - Accent2 2 7 2 5 4" xfId="28318"/>
    <cellStyle name="40% - Accent2 2 7 2 5 4 2" xfId="28319"/>
    <cellStyle name="40% - Accent2 2 7 2 5 5" xfId="28320"/>
    <cellStyle name="40% - Accent2 2 7 2 6" xfId="28321"/>
    <cellStyle name="40% - Accent2 2 7 2 6 2" xfId="28322"/>
    <cellStyle name="40% - Accent2 2 7 2 6 2 2" xfId="28323"/>
    <cellStyle name="40% - Accent2 2 7 2 6 2 2 2" xfId="28324"/>
    <cellStyle name="40% - Accent2 2 7 2 6 2 2 2 2" xfId="28325"/>
    <cellStyle name="40% - Accent2 2 7 2 6 2 2 3" xfId="28326"/>
    <cellStyle name="40% - Accent2 2 7 2 6 2 3" xfId="28327"/>
    <cellStyle name="40% - Accent2 2 7 2 6 2 3 2" xfId="28328"/>
    <cellStyle name="40% - Accent2 2 7 2 6 2 4" xfId="28329"/>
    <cellStyle name="40% - Accent2 2 7 2 6 3" xfId="28330"/>
    <cellStyle name="40% - Accent2 2 7 2 6 3 2" xfId="28331"/>
    <cellStyle name="40% - Accent2 2 7 2 6 3 2 2" xfId="28332"/>
    <cellStyle name="40% - Accent2 2 7 2 6 3 3" xfId="28333"/>
    <cellStyle name="40% - Accent2 2 7 2 6 4" xfId="28334"/>
    <cellStyle name="40% - Accent2 2 7 2 6 4 2" xfId="28335"/>
    <cellStyle name="40% - Accent2 2 7 2 6 5" xfId="28336"/>
    <cellStyle name="40% - Accent2 2 7 2 7" xfId="28337"/>
    <cellStyle name="40% - Accent2 2 7 2 7 2" xfId="28338"/>
    <cellStyle name="40% - Accent2 2 7 2 7 2 2" xfId="28339"/>
    <cellStyle name="40% - Accent2 2 7 2 7 2 2 2" xfId="28340"/>
    <cellStyle name="40% - Accent2 2 7 2 7 2 3" xfId="28341"/>
    <cellStyle name="40% - Accent2 2 7 2 7 3" xfId="28342"/>
    <cellStyle name="40% - Accent2 2 7 2 7 3 2" xfId="28343"/>
    <cellStyle name="40% - Accent2 2 7 2 7 4" xfId="28344"/>
    <cellStyle name="40% - Accent2 2 7 2 8" xfId="28345"/>
    <cellStyle name="40% - Accent2 2 7 2 8 2" xfId="28346"/>
    <cellStyle name="40% - Accent2 2 7 2 8 2 2" xfId="28347"/>
    <cellStyle name="40% - Accent2 2 7 2 8 3" xfId="28348"/>
    <cellStyle name="40% - Accent2 2 7 2 9" xfId="28349"/>
    <cellStyle name="40% - Accent2 2 7 2 9 2" xfId="28350"/>
    <cellStyle name="40% - Accent2 2 7 3" xfId="28351"/>
    <cellStyle name="40% - Accent2 2 7 3 2" xfId="28352"/>
    <cellStyle name="40% - Accent2 2 7 3 2 2" xfId="28353"/>
    <cellStyle name="40% - Accent2 2 7 3 2 2 2" xfId="28354"/>
    <cellStyle name="40% - Accent2 2 7 3 2 2 2 2" xfId="28355"/>
    <cellStyle name="40% - Accent2 2 7 3 2 2 3" xfId="28356"/>
    <cellStyle name="40% - Accent2 2 7 3 2 3" xfId="28357"/>
    <cellStyle name="40% - Accent2 2 7 3 2 3 2" xfId="28358"/>
    <cellStyle name="40% - Accent2 2 7 3 2 4" xfId="28359"/>
    <cellStyle name="40% - Accent2 2 7 3 3" xfId="28360"/>
    <cellStyle name="40% - Accent2 2 7 3 3 2" xfId="28361"/>
    <cellStyle name="40% - Accent2 2 7 3 3 2 2" xfId="28362"/>
    <cellStyle name="40% - Accent2 2 7 3 3 3" xfId="28363"/>
    <cellStyle name="40% - Accent2 2 7 3 4" xfId="28364"/>
    <cellStyle name="40% - Accent2 2 7 3 4 2" xfId="28365"/>
    <cellStyle name="40% - Accent2 2 7 3 5" xfId="28366"/>
    <cellStyle name="40% - Accent2 2 7 4" xfId="28367"/>
    <cellStyle name="40% - Accent2 2 7 4 2" xfId="28368"/>
    <cellStyle name="40% - Accent2 2 7 4 2 2" xfId="28369"/>
    <cellStyle name="40% - Accent2 2 7 4 2 2 2" xfId="28370"/>
    <cellStyle name="40% - Accent2 2 7 4 2 2 2 2" xfId="28371"/>
    <cellStyle name="40% - Accent2 2 7 4 2 2 3" xfId="28372"/>
    <cellStyle name="40% - Accent2 2 7 4 2 3" xfId="28373"/>
    <cellStyle name="40% - Accent2 2 7 4 2 3 2" xfId="28374"/>
    <cellStyle name="40% - Accent2 2 7 4 2 4" xfId="28375"/>
    <cellStyle name="40% - Accent2 2 7 4 3" xfId="28376"/>
    <cellStyle name="40% - Accent2 2 7 4 3 2" xfId="28377"/>
    <cellStyle name="40% - Accent2 2 7 4 3 2 2" xfId="28378"/>
    <cellStyle name="40% - Accent2 2 7 4 3 3" xfId="28379"/>
    <cellStyle name="40% - Accent2 2 7 4 4" xfId="28380"/>
    <cellStyle name="40% - Accent2 2 7 4 4 2" xfId="28381"/>
    <cellStyle name="40% - Accent2 2 7 4 5" xfId="28382"/>
    <cellStyle name="40% - Accent2 2 7 5" xfId="28383"/>
    <cellStyle name="40% - Accent2 2 7 5 2" xfId="28384"/>
    <cellStyle name="40% - Accent2 2 7 5 2 2" xfId="28385"/>
    <cellStyle name="40% - Accent2 2 7 5 2 2 2" xfId="28386"/>
    <cellStyle name="40% - Accent2 2 7 5 2 2 2 2" xfId="28387"/>
    <cellStyle name="40% - Accent2 2 7 5 2 2 3" xfId="28388"/>
    <cellStyle name="40% - Accent2 2 7 5 2 3" xfId="28389"/>
    <cellStyle name="40% - Accent2 2 7 5 2 3 2" xfId="28390"/>
    <cellStyle name="40% - Accent2 2 7 5 2 4" xfId="28391"/>
    <cellStyle name="40% - Accent2 2 7 5 3" xfId="28392"/>
    <cellStyle name="40% - Accent2 2 7 5 3 2" xfId="28393"/>
    <cellStyle name="40% - Accent2 2 7 5 3 2 2" xfId="28394"/>
    <cellStyle name="40% - Accent2 2 7 5 3 3" xfId="28395"/>
    <cellStyle name="40% - Accent2 2 7 5 4" xfId="28396"/>
    <cellStyle name="40% - Accent2 2 7 5 4 2" xfId="28397"/>
    <cellStyle name="40% - Accent2 2 7 5 5" xfId="28398"/>
    <cellStyle name="40% - Accent2 2 7 6" xfId="28399"/>
    <cellStyle name="40% - Accent2 2 7 6 2" xfId="28400"/>
    <cellStyle name="40% - Accent2 2 7 6 2 2" xfId="28401"/>
    <cellStyle name="40% - Accent2 2 7 6 2 2 2" xfId="28402"/>
    <cellStyle name="40% - Accent2 2 7 6 2 2 2 2" xfId="28403"/>
    <cellStyle name="40% - Accent2 2 7 6 2 2 3" xfId="28404"/>
    <cellStyle name="40% - Accent2 2 7 6 2 3" xfId="28405"/>
    <cellStyle name="40% - Accent2 2 7 6 2 3 2" xfId="28406"/>
    <cellStyle name="40% - Accent2 2 7 6 2 4" xfId="28407"/>
    <cellStyle name="40% - Accent2 2 7 6 3" xfId="28408"/>
    <cellStyle name="40% - Accent2 2 7 6 3 2" xfId="28409"/>
    <cellStyle name="40% - Accent2 2 7 6 3 2 2" xfId="28410"/>
    <cellStyle name="40% - Accent2 2 7 6 3 3" xfId="28411"/>
    <cellStyle name="40% - Accent2 2 7 6 4" xfId="28412"/>
    <cellStyle name="40% - Accent2 2 7 6 4 2" xfId="28413"/>
    <cellStyle name="40% - Accent2 2 7 6 5" xfId="28414"/>
    <cellStyle name="40% - Accent2 2 7 7" xfId="28415"/>
    <cellStyle name="40% - Accent2 2 7 7 2" xfId="28416"/>
    <cellStyle name="40% - Accent2 2 7 7 2 2" xfId="28417"/>
    <cellStyle name="40% - Accent2 2 7 7 2 2 2" xfId="28418"/>
    <cellStyle name="40% - Accent2 2 7 7 2 2 2 2" xfId="28419"/>
    <cellStyle name="40% - Accent2 2 7 7 2 2 3" xfId="28420"/>
    <cellStyle name="40% - Accent2 2 7 7 2 3" xfId="28421"/>
    <cellStyle name="40% - Accent2 2 7 7 2 3 2" xfId="28422"/>
    <cellStyle name="40% - Accent2 2 7 7 2 4" xfId="28423"/>
    <cellStyle name="40% - Accent2 2 7 7 3" xfId="28424"/>
    <cellStyle name="40% - Accent2 2 7 7 3 2" xfId="28425"/>
    <cellStyle name="40% - Accent2 2 7 7 3 2 2" xfId="28426"/>
    <cellStyle name="40% - Accent2 2 7 7 3 3" xfId="28427"/>
    <cellStyle name="40% - Accent2 2 7 7 4" xfId="28428"/>
    <cellStyle name="40% - Accent2 2 7 7 4 2" xfId="28429"/>
    <cellStyle name="40% - Accent2 2 7 7 5" xfId="28430"/>
    <cellStyle name="40% - Accent2 2 7 8" xfId="28431"/>
    <cellStyle name="40% - Accent2 2 7 8 2" xfId="28432"/>
    <cellStyle name="40% - Accent2 2 7 8 2 2" xfId="28433"/>
    <cellStyle name="40% - Accent2 2 7 8 2 2 2" xfId="28434"/>
    <cellStyle name="40% - Accent2 2 7 8 2 3" xfId="28435"/>
    <cellStyle name="40% - Accent2 2 7 8 3" xfId="28436"/>
    <cellStyle name="40% - Accent2 2 7 8 3 2" xfId="28437"/>
    <cellStyle name="40% - Accent2 2 7 8 4" xfId="28438"/>
    <cellStyle name="40% - Accent2 2 7 9" xfId="28439"/>
    <cellStyle name="40% - Accent2 2 7 9 2" xfId="28440"/>
    <cellStyle name="40% - Accent2 2 7 9 2 2" xfId="28441"/>
    <cellStyle name="40% - Accent2 2 7 9 3" xfId="28442"/>
    <cellStyle name="40% - Accent2 2 8" xfId="28443"/>
    <cellStyle name="40% - Accent2 2 8 10" xfId="28444"/>
    <cellStyle name="40% - Accent2 2 8 10 2" xfId="28445"/>
    <cellStyle name="40% - Accent2 2 8 11" xfId="28446"/>
    <cellStyle name="40% - Accent2 2 8 2" xfId="28447"/>
    <cellStyle name="40% - Accent2 2 8 2 10" xfId="28448"/>
    <cellStyle name="40% - Accent2 2 8 2 2" xfId="28449"/>
    <cellStyle name="40% - Accent2 2 8 2 2 2" xfId="28450"/>
    <cellStyle name="40% - Accent2 2 8 2 2 2 2" xfId="28451"/>
    <cellStyle name="40% - Accent2 2 8 2 2 2 2 2" xfId="28452"/>
    <cellStyle name="40% - Accent2 2 8 2 2 2 2 2 2" xfId="28453"/>
    <cellStyle name="40% - Accent2 2 8 2 2 2 2 3" xfId="28454"/>
    <cellStyle name="40% - Accent2 2 8 2 2 2 3" xfId="28455"/>
    <cellStyle name="40% - Accent2 2 8 2 2 2 3 2" xfId="28456"/>
    <cellStyle name="40% - Accent2 2 8 2 2 2 4" xfId="28457"/>
    <cellStyle name="40% - Accent2 2 8 2 2 3" xfId="28458"/>
    <cellStyle name="40% - Accent2 2 8 2 2 3 2" xfId="28459"/>
    <cellStyle name="40% - Accent2 2 8 2 2 3 2 2" xfId="28460"/>
    <cellStyle name="40% - Accent2 2 8 2 2 3 3" xfId="28461"/>
    <cellStyle name="40% - Accent2 2 8 2 2 4" xfId="28462"/>
    <cellStyle name="40% - Accent2 2 8 2 2 4 2" xfId="28463"/>
    <cellStyle name="40% - Accent2 2 8 2 2 5" xfId="28464"/>
    <cellStyle name="40% - Accent2 2 8 2 3" xfId="28465"/>
    <cellStyle name="40% - Accent2 2 8 2 3 2" xfId="28466"/>
    <cellStyle name="40% - Accent2 2 8 2 3 2 2" xfId="28467"/>
    <cellStyle name="40% - Accent2 2 8 2 3 2 2 2" xfId="28468"/>
    <cellStyle name="40% - Accent2 2 8 2 3 2 2 2 2" xfId="28469"/>
    <cellStyle name="40% - Accent2 2 8 2 3 2 2 3" xfId="28470"/>
    <cellStyle name="40% - Accent2 2 8 2 3 2 3" xfId="28471"/>
    <cellStyle name="40% - Accent2 2 8 2 3 2 3 2" xfId="28472"/>
    <cellStyle name="40% - Accent2 2 8 2 3 2 4" xfId="28473"/>
    <cellStyle name="40% - Accent2 2 8 2 3 3" xfId="28474"/>
    <cellStyle name="40% - Accent2 2 8 2 3 3 2" xfId="28475"/>
    <cellStyle name="40% - Accent2 2 8 2 3 3 2 2" xfId="28476"/>
    <cellStyle name="40% - Accent2 2 8 2 3 3 3" xfId="28477"/>
    <cellStyle name="40% - Accent2 2 8 2 3 4" xfId="28478"/>
    <cellStyle name="40% - Accent2 2 8 2 3 4 2" xfId="28479"/>
    <cellStyle name="40% - Accent2 2 8 2 3 5" xfId="28480"/>
    <cellStyle name="40% - Accent2 2 8 2 4" xfId="28481"/>
    <cellStyle name="40% - Accent2 2 8 2 4 2" xfId="28482"/>
    <cellStyle name="40% - Accent2 2 8 2 4 2 2" xfId="28483"/>
    <cellStyle name="40% - Accent2 2 8 2 4 2 2 2" xfId="28484"/>
    <cellStyle name="40% - Accent2 2 8 2 4 2 2 2 2" xfId="28485"/>
    <cellStyle name="40% - Accent2 2 8 2 4 2 2 3" xfId="28486"/>
    <cellStyle name="40% - Accent2 2 8 2 4 2 3" xfId="28487"/>
    <cellStyle name="40% - Accent2 2 8 2 4 2 3 2" xfId="28488"/>
    <cellStyle name="40% - Accent2 2 8 2 4 2 4" xfId="28489"/>
    <cellStyle name="40% - Accent2 2 8 2 4 3" xfId="28490"/>
    <cellStyle name="40% - Accent2 2 8 2 4 3 2" xfId="28491"/>
    <cellStyle name="40% - Accent2 2 8 2 4 3 2 2" xfId="28492"/>
    <cellStyle name="40% - Accent2 2 8 2 4 3 3" xfId="28493"/>
    <cellStyle name="40% - Accent2 2 8 2 4 4" xfId="28494"/>
    <cellStyle name="40% - Accent2 2 8 2 4 4 2" xfId="28495"/>
    <cellStyle name="40% - Accent2 2 8 2 4 5" xfId="28496"/>
    <cellStyle name="40% - Accent2 2 8 2 5" xfId="28497"/>
    <cellStyle name="40% - Accent2 2 8 2 5 2" xfId="28498"/>
    <cellStyle name="40% - Accent2 2 8 2 5 2 2" xfId="28499"/>
    <cellStyle name="40% - Accent2 2 8 2 5 2 2 2" xfId="28500"/>
    <cellStyle name="40% - Accent2 2 8 2 5 2 2 2 2" xfId="28501"/>
    <cellStyle name="40% - Accent2 2 8 2 5 2 2 3" xfId="28502"/>
    <cellStyle name="40% - Accent2 2 8 2 5 2 3" xfId="28503"/>
    <cellStyle name="40% - Accent2 2 8 2 5 2 3 2" xfId="28504"/>
    <cellStyle name="40% - Accent2 2 8 2 5 2 4" xfId="28505"/>
    <cellStyle name="40% - Accent2 2 8 2 5 3" xfId="28506"/>
    <cellStyle name="40% - Accent2 2 8 2 5 3 2" xfId="28507"/>
    <cellStyle name="40% - Accent2 2 8 2 5 3 2 2" xfId="28508"/>
    <cellStyle name="40% - Accent2 2 8 2 5 3 3" xfId="28509"/>
    <cellStyle name="40% - Accent2 2 8 2 5 4" xfId="28510"/>
    <cellStyle name="40% - Accent2 2 8 2 5 4 2" xfId="28511"/>
    <cellStyle name="40% - Accent2 2 8 2 5 5" xfId="28512"/>
    <cellStyle name="40% - Accent2 2 8 2 6" xfId="28513"/>
    <cellStyle name="40% - Accent2 2 8 2 6 2" xfId="28514"/>
    <cellStyle name="40% - Accent2 2 8 2 6 2 2" xfId="28515"/>
    <cellStyle name="40% - Accent2 2 8 2 6 2 2 2" xfId="28516"/>
    <cellStyle name="40% - Accent2 2 8 2 6 2 2 2 2" xfId="28517"/>
    <cellStyle name="40% - Accent2 2 8 2 6 2 2 3" xfId="28518"/>
    <cellStyle name="40% - Accent2 2 8 2 6 2 3" xfId="28519"/>
    <cellStyle name="40% - Accent2 2 8 2 6 2 3 2" xfId="28520"/>
    <cellStyle name="40% - Accent2 2 8 2 6 2 4" xfId="28521"/>
    <cellStyle name="40% - Accent2 2 8 2 6 3" xfId="28522"/>
    <cellStyle name="40% - Accent2 2 8 2 6 3 2" xfId="28523"/>
    <cellStyle name="40% - Accent2 2 8 2 6 3 2 2" xfId="28524"/>
    <cellStyle name="40% - Accent2 2 8 2 6 3 3" xfId="28525"/>
    <cellStyle name="40% - Accent2 2 8 2 6 4" xfId="28526"/>
    <cellStyle name="40% - Accent2 2 8 2 6 4 2" xfId="28527"/>
    <cellStyle name="40% - Accent2 2 8 2 6 5" xfId="28528"/>
    <cellStyle name="40% - Accent2 2 8 2 7" xfId="28529"/>
    <cellStyle name="40% - Accent2 2 8 2 7 2" xfId="28530"/>
    <cellStyle name="40% - Accent2 2 8 2 7 2 2" xfId="28531"/>
    <cellStyle name="40% - Accent2 2 8 2 7 2 2 2" xfId="28532"/>
    <cellStyle name="40% - Accent2 2 8 2 7 2 3" xfId="28533"/>
    <cellStyle name="40% - Accent2 2 8 2 7 3" xfId="28534"/>
    <cellStyle name="40% - Accent2 2 8 2 7 3 2" xfId="28535"/>
    <cellStyle name="40% - Accent2 2 8 2 7 4" xfId="28536"/>
    <cellStyle name="40% - Accent2 2 8 2 8" xfId="28537"/>
    <cellStyle name="40% - Accent2 2 8 2 8 2" xfId="28538"/>
    <cellStyle name="40% - Accent2 2 8 2 8 2 2" xfId="28539"/>
    <cellStyle name="40% - Accent2 2 8 2 8 3" xfId="28540"/>
    <cellStyle name="40% - Accent2 2 8 2 9" xfId="28541"/>
    <cellStyle name="40% - Accent2 2 8 2 9 2" xfId="28542"/>
    <cellStyle name="40% - Accent2 2 8 3" xfId="28543"/>
    <cellStyle name="40% - Accent2 2 8 3 2" xfId="28544"/>
    <cellStyle name="40% - Accent2 2 8 3 2 2" xfId="28545"/>
    <cellStyle name="40% - Accent2 2 8 3 2 2 2" xfId="28546"/>
    <cellStyle name="40% - Accent2 2 8 3 2 2 2 2" xfId="28547"/>
    <cellStyle name="40% - Accent2 2 8 3 2 2 3" xfId="28548"/>
    <cellStyle name="40% - Accent2 2 8 3 2 3" xfId="28549"/>
    <cellStyle name="40% - Accent2 2 8 3 2 3 2" xfId="28550"/>
    <cellStyle name="40% - Accent2 2 8 3 2 4" xfId="28551"/>
    <cellStyle name="40% - Accent2 2 8 3 3" xfId="28552"/>
    <cellStyle name="40% - Accent2 2 8 3 3 2" xfId="28553"/>
    <cellStyle name="40% - Accent2 2 8 3 3 2 2" xfId="28554"/>
    <cellStyle name="40% - Accent2 2 8 3 3 3" xfId="28555"/>
    <cellStyle name="40% - Accent2 2 8 3 4" xfId="28556"/>
    <cellStyle name="40% - Accent2 2 8 3 4 2" xfId="28557"/>
    <cellStyle name="40% - Accent2 2 8 3 5" xfId="28558"/>
    <cellStyle name="40% - Accent2 2 8 4" xfId="28559"/>
    <cellStyle name="40% - Accent2 2 8 4 2" xfId="28560"/>
    <cellStyle name="40% - Accent2 2 8 4 2 2" xfId="28561"/>
    <cellStyle name="40% - Accent2 2 8 4 2 2 2" xfId="28562"/>
    <cellStyle name="40% - Accent2 2 8 4 2 2 2 2" xfId="28563"/>
    <cellStyle name="40% - Accent2 2 8 4 2 2 3" xfId="28564"/>
    <cellStyle name="40% - Accent2 2 8 4 2 3" xfId="28565"/>
    <cellStyle name="40% - Accent2 2 8 4 2 3 2" xfId="28566"/>
    <cellStyle name="40% - Accent2 2 8 4 2 4" xfId="28567"/>
    <cellStyle name="40% - Accent2 2 8 4 3" xfId="28568"/>
    <cellStyle name="40% - Accent2 2 8 4 3 2" xfId="28569"/>
    <cellStyle name="40% - Accent2 2 8 4 3 2 2" xfId="28570"/>
    <cellStyle name="40% - Accent2 2 8 4 3 3" xfId="28571"/>
    <cellStyle name="40% - Accent2 2 8 4 4" xfId="28572"/>
    <cellStyle name="40% - Accent2 2 8 4 4 2" xfId="28573"/>
    <cellStyle name="40% - Accent2 2 8 4 5" xfId="28574"/>
    <cellStyle name="40% - Accent2 2 8 5" xfId="28575"/>
    <cellStyle name="40% - Accent2 2 8 5 2" xfId="28576"/>
    <cellStyle name="40% - Accent2 2 8 5 2 2" xfId="28577"/>
    <cellStyle name="40% - Accent2 2 8 5 2 2 2" xfId="28578"/>
    <cellStyle name="40% - Accent2 2 8 5 2 2 2 2" xfId="28579"/>
    <cellStyle name="40% - Accent2 2 8 5 2 2 3" xfId="28580"/>
    <cellStyle name="40% - Accent2 2 8 5 2 3" xfId="28581"/>
    <cellStyle name="40% - Accent2 2 8 5 2 3 2" xfId="28582"/>
    <cellStyle name="40% - Accent2 2 8 5 2 4" xfId="28583"/>
    <cellStyle name="40% - Accent2 2 8 5 3" xfId="28584"/>
    <cellStyle name="40% - Accent2 2 8 5 3 2" xfId="28585"/>
    <cellStyle name="40% - Accent2 2 8 5 3 2 2" xfId="28586"/>
    <cellStyle name="40% - Accent2 2 8 5 3 3" xfId="28587"/>
    <cellStyle name="40% - Accent2 2 8 5 4" xfId="28588"/>
    <cellStyle name="40% - Accent2 2 8 5 4 2" xfId="28589"/>
    <cellStyle name="40% - Accent2 2 8 5 5" xfId="28590"/>
    <cellStyle name="40% - Accent2 2 8 6" xfId="28591"/>
    <cellStyle name="40% - Accent2 2 8 6 2" xfId="28592"/>
    <cellStyle name="40% - Accent2 2 8 6 2 2" xfId="28593"/>
    <cellStyle name="40% - Accent2 2 8 6 2 2 2" xfId="28594"/>
    <cellStyle name="40% - Accent2 2 8 6 2 2 2 2" xfId="28595"/>
    <cellStyle name="40% - Accent2 2 8 6 2 2 3" xfId="28596"/>
    <cellStyle name="40% - Accent2 2 8 6 2 3" xfId="28597"/>
    <cellStyle name="40% - Accent2 2 8 6 2 3 2" xfId="28598"/>
    <cellStyle name="40% - Accent2 2 8 6 2 4" xfId="28599"/>
    <cellStyle name="40% - Accent2 2 8 6 3" xfId="28600"/>
    <cellStyle name="40% - Accent2 2 8 6 3 2" xfId="28601"/>
    <cellStyle name="40% - Accent2 2 8 6 3 2 2" xfId="28602"/>
    <cellStyle name="40% - Accent2 2 8 6 3 3" xfId="28603"/>
    <cellStyle name="40% - Accent2 2 8 6 4" xfId="28604"/>
    <cellStyle name="40% - Accent2 2 8 6 4 2" xfId="28605"/>
    <cellStyle name="40% - Accent2 2 8 6 5" xfId="28606"/>
    <cellStyle name="40% - Accent2 2 8 7" xfId="28607"/>
    <cellStyle name="40% - Accent2 2 8 7 2" xfId="28608"/>
    <cellStyle name="40% - Accent2 2 8 7 2 2" xfId="28609"/>
    <cellStyle name="40% - Accent2 2 8 7 2 2 2" xfId="28610"/>
    <cellStyle name="40% - Accent2 2 8 7 2 2 2 2" xfId="28611"/>
    <cellStyle name="40% - Accent2 2 8 7 2 2 3" xfId="28612"/>
    <cellStyle name="40% - Accent2 2 8 7 2 3" xfId="28613"/>
    <cellStyle name="40% - Accent2 2 8 7 2 3 2" xfId="28614"/>
    <cellStyle name="40% - Accent2 2 8 7 2 4" xfId="28615"/>
    <cellStyle name="40% - Accent2 2 8 7 3" xfId="28616"/>
    <cellStyle name="40% - Accent2 2 8 7 3 2" xfId="28617"/>
    <cellStyle name="40% - Accent2 2 8 7 3 2 2" xfId="28618"/>
    <cellStyle name="40% - Accent2 2 8 7 3 3" xfId="28619"/>
    <cellStyle name="40% - Accent2 2 8 7 4" xfId="28620"/>
    <cellStyle name="40% - Accent2 2 8 7 4 2" xfId="28621"/>
    <cellStyle name="40% - Accent2 2 8 7 5" xfId="28622"/>
    <cellStyle name="40% - Accent2 2 8 8" xfId="28623"/>
    <cellStyle name="40% - Accent2 2 8 8 2" xfId="28624"/>
    <cellStyle name="40% - Accent2 2 8 8 2 2" xfId="28625"/>
    <cellStyle name="40% - Accent2 2 8 8 2 2 2" xfId="28626"/>
    <cellStyle name="40% - Accent2 2 8 8 2 3" xfId="28627"/>
    <cellStyle name="40% - Accent2 2 8 8 3" xfId="28628"/>
    <cellStyle name="40% - Accent2 2 8 8 3 2" xfId="28629"/>
    <cellStyle name="40% - Accent2 2 8 8 4" xfId="28630"/>
    <cellStyle name="40% - Accent2 2 8 9" xfId="28631"/>
    <cellStyle name="40% - Accent2 2 8 9 2" xfId="28632"/>
    <cellStyle name="40% - Accent2 2 8 9 2 2" xfId="28633"/>
    <cellStyle name="40% - Accent2 2 8 9 3" xfId="28634"/>
    <cellStyle name="40% - Accent2 2 9" xfId="28635"/>
    <cellStyle name="40% - Accent2 2 9 10" xfId="28636"/>
    <cellStyle name="40% - Accent2 2 9 10 2" xfId="28637"/>
    <cellStyle name="40% - Accent2 2 9 11" xfId="28638"/>
    <cellStyle name="40% - Accent2 2 9 2" xfId="28639"/>
    <cellStyle name="40% - Accent2 2 9 2 10" xfId="28640"/>
    <cellStyle name="40% - Accent2 2 9 2 2" xfId="28641"/>
    <cellStyle name="40% - Accent2 2 9 2 2 2" xfId="28642"/>
    <cellStyle name="40% - Accent2 2 9 2 2 2 2" xfId="28643"/>
    <cellStyle name="40% - Accent2 2 9 2 2 2 2 2" xfId="28644"/>
    <cellStyle name="40% - Accent2 2 9 2 2 2 2 2 2" xfId="28645"/>
    <cellStyle name="40% - Accent2 2 9 2 2 2 2 3" xfId="28646"/>
    <cellStyle name="40% - Accent2 2 9 2 2 2 3" xfId="28647"/>
    <cellStyle name="40% - Accent2 2 9 2 2 2 3 2" xfId="28648"/>
    <cellStyle name="40% - Accent2 2 9 2 2 2 4" xfId="28649"/>
    <cellStyle name="40% - Accent2 2 9 2 2 3" xfId="28650"/>
    <cellStyle name="40% - Accent2 2 9 2 2 3 2" xfId="28651"/>
    <cellStyle name="40% - Accent2 2 9 2 2 3 2 2" xfId="28652"/>
    <cellStyle name="40% - Accent2 2 9 2 2 3 3" xfId="28653"/>
    <cellStyle name="40% - Accent2 2 9 2 2 4" xfId="28654"/>
    <cellStyle name="40% - Accent2 2 9 2 2 4 2" xfId="28655"/>
    <cellStyle name="40% - Accent2 2 9 2 2 5" xfId="28656"/>
    <cellStyle name="40% - Accent2 2 9 2 3" xfId="28657"/>
    <cellStyle name="40% - Accent2 2 9 2 3 2" xfId="28658"/>
    <cellStyle name="40% - Accent2 2 9 2 3 2 2" xfId="28659"/>
    <cellStyle name="40% - Accent2 2 9 2 3 2 2 2" xfId="28660"/>
    <cellStyle name="40% - Accent2 2 9 2 3 2 2 2 2" xfId="28661"/>
    <cellStyle name="40% - Accent2 2 9 2 3 2 2 3" xfId="28662"/>
    <cellStyle name="40% - Accent2 2 9 2 3 2 3" xfId="28663"/>
    <cellStyle name="40% - Accent2 2 9 2 3 2 3 2" xfId="28664"/>
    <cellStyle name="40% - Accent2 2 9 2 3 2 4" xfId="28665"/>
    <cellStyle name="40% - Accent2 2 9 2 3 3" xfId="28666"/>
    <cellStyle name="40% - Accent2 2 9 2 3 3 2" xfId="28667"/>
    <cellStyle name="40% - Accent2 2 9 2 3 3 2 2" xfId="28668"/>
    <cellStyle name="40% - Accent2 2 9 2 3 3 3" xfId="28669"/>
    <cellStyle name="40% - Accent2 2 9 2 3 4" xfId="28670"/>
    <cellStyle name="40% - Accent2 2 9 2 3 4 2" xfId="28671"/>
    <cellStyle name="40% - Accent2 2 9 2 3 5" xfId="28672"/>
    <cellStyle name="40% - Accent2 2 9 2 4" xfId="28673"/>
    <cellStyle name="40% - Accent2 2 9 2 4 2" xfId="28674"/>
    <cellStyle name="40% - Accent2 2 9 2 4 2 2" xfId="28675"/>
    <cellStyle name="40% - Accent2 2 9 2 4 2 2 2" xfId="28676"/>
    <cellStyle name="40% - Accent2 2 9 2 4 2 2 2 2" xfId="28677"/>
    <cellStyle name="40% - Accent2 2 9 2 4 2 2 3" xfId="28678"/>
    <cellStyle name="40% - Accent2 2 9 2 4 2 3" xfId="28679"/>
    <cellStyle name="40% - Accent2 2 9 2 4 2 3 2" xfId="28680"/>
    <cellStyle name="40% - Accent2 2 9 2 4 2 4" xfId="28681"/>
    <cellStyle name="40% - Accent2 2 9 2 4 3" xfId="28682"/>
    <cellStyle name="40% - Accent2 2 9 2 4 3 2" xfId="28683"/>
    <cellStyle name="40% - Accent2 2 9 2 4 3 2 2" xfId="28684"/>
    <cellStyle name="40% - Accent2 2 9 2 4 3 3" xfId="28685"/>
    <cellStyle name="40% - Accent2 2 9 2 4 4" xfId="28686"/>
    <cellStyle name="40% - Accent2 2 9 2 4 4 2" xfId="28687"/>
    <cellStyle name="40% - Accent2 2 9 2 4 5" xfId="28688"/>
    <cellStyle name="40% - Accent2 2 9 2 5" xfId="28689"/>
    <cellStyle name="40% - Accent2 2 9 2 5 2" xfId="28690"/>
    <cellStyle name="40% - Accent2 2 9 2 5 2 2" xfId="28691"/>
    <cellStyle name="40% - Accent2 2 9 2 5 2 2 2" xfId="28692"/>
    <cellStyle name="40% - Accent2 2 9 2 5 2 2 2 2" xfId="28693"/>
    <cellStyle name="40% - Accent2 2 9 2 5 2 2 3" xfId="28694"/>
    <cellStyle name="40% - Accent2 2 9 2 5 2 3" xfId="28695"/>
    <cellStyle name="40% - Accent2 2 9 2 5 2 3 2" xfId="28696"/>
    <cellStyle name="40% - Accent2 2 9 2 5 2 4" xfId="28697"/>
    <cellStyle name="40% - Accent2 2 9 2 5 3" xfId="28698"/>
    <cellStyle name="40% - Accent2 2 9 2 5 3 2" xfId="28699"/>
    <cellStyle name="40% - Accent2 2 9 2 5 3 2 2" xfId="28700"/>
    <cellStyle name="40% - Accent2 2 9 2 5 3 3" xfId="28701"/>
    <cellStyle name="40% - Accent2 2 9 2 5 4" xfId="28702"/>
    <cellStyle name="40% - Accent2 2 9 2 5 4 2" xfId="28703"/>
    <cellStyle name="40% - Accent2 2 9 2 5 5" xfId="28704"/>
    <cellStyle name="40% - Accent2 2 9 2 6" xfId="28705"/>
    <cellStyle name="40% - Accent2 2 9 2 6 2" xfId="28706"/>
    <cellStyle name="40% - Accent2 2 9 2 6 2 2" xfId="28707"/>
    <cellStyle name="40% - Accent2 2 9 2 6 2 2 2" xfId="28708"/>
    <cellStyle name="40% - Accent2 2 9 2 6 2 2 2 2" xfId="28709"/>
    <cellStyle name="40% - Accent2 2 9 2 6 2 2 3" xfId="28710"/>
    <cellStyle name="40% - Accent2 2 9 2 6 2 3" xfId="28711"/>
    <cellStyle name="40% - Accent2 2 9 2 6 2 3 2" xfId="28712"/>
    <cellStyle name="40% - Accent2 2 9 2 6 2 4" xfId="28713"/>
    <cellStyle name="40% - Accent2 2 9 2 6 3" xfId="28714"/>
    <cellStyle name="40% - Accent2 2 9 2 6 3 2" xfId="28715"/>
    <cellStyle name="40% - Accent2 2 9 2 6 3 2 2" xfId="28716"/>
    <cellStyle name="40% - Accent2 2 9 2 6 3 3" xfId="28717"/>
    <cellStyle name="40% - Accent2 2 9 2 6 4" xfId="28718"/>
    <cellStyle name="40% - Accent2 2 9 2 6 4 2" xfId="28719"/>
    <cellStyle name="40% - Accent2 2 9 2 6 5" xfId="28720"/>
    <cellStyle name="40% - Accent2 2 9 2 7" xfId="28721"/>
    <cellStyle name="40% - Accent2 2 9 2 7 2" xfId="28722"/>
    <cellStyle name="40% - Accent2 2 9 2 7 2 2" xfId="28723"/>
    <cellStyle name="40% - Accent2 2 9 2 7 2 2 2" xfId="28724"/>
    <cellStyle name="40% - Accent2 2 9 2 7 2 3" xfId="28725"/>
    <cellStyle name="40% - Accent2 2 9 2 7 3" xfId="28726"/>
    <cellStyle name="40% - Accent2 2 9 2 7 3 2" xfId="28727"/>
    <cellStyle name="40% - Accent2 2 9 2 7 4" xfId="28728"/>
    <cellStyle name="40% - Accent2 2 9 2 8" xfId="28729"/>
    <cellStyle name="40% - Accent2 2 9 2 8 2" xfId="28730"/>
    <cellStyle name="40% - Accent2 2 9 2 8 2 2" xfId="28731"/>
    <cellStyle name="40% - Accent2 2 9 2 8 3" xfId="28732"/>
    <cellStyle name="40% - Accent2 2 9 2 9" xfId="28733"/>
    <cellStyle name="40% - Accent2 2 9 2 9 2" xfId="28734"/>
    <cellStyle name="40% - Accent2 2 9 3" xfId="28735"/>
    <cellStyle name="40% - Accent2 2 9 3 2" xfId="28736"/>
    <cellStyle name="40% - Accent2 2 9 3 2 2" xfId="28737"/>
    <cellStyle name="40% - Accent2 2 9 3 2 2 2" xfId="28738"/>
    <cellStyle name="40% - Accent2 2 9 3 2 2 2 2" xfId="28739"/>
    <cellStyle name="40% - Accent2 2 9 3 2 2 3" xfId="28740"/>
    <cellStyle name="40% - Accent2 2 9 3 2 3" xfId="28741"/>
    <cellStyle name="40% - Accent2 2 9 3 2 3 2" xfId="28742"/>
    <cellStyle name="40% - Accent2 2 9 3 2 4" xfId="28743"/>
    <cellStyle name="40% - Accent2 2 9 3 3" xfId="28744"/>
    <cellStyle name="40% - Accent2 2 9 3 3 2" xfId="28745"/>
    <cellStyle name="40% - Accent2 2 9 3 3 2 2" xfId="28746"/>
    <cellStyle name="40% - Accent2 2 9 3 3 3" xfId="28747"/>
    <cellStyle name="40% - Accent2 2 9 3 4" xfId="28748"/>
    <cellStyle name="40% - Accent2 2 9 3 4 2" xfId="28749"/>
    <cellStyle name="40% - Accent2 2 9 3 5" xfId="28750"/>
    <cellStyle name="40% - Accent2 2 9 4" xfId="28751"/>
    <cellStyle name="40% - Accent2 2 9 4 2" xfId="28752"/>
    <cellStyle name="40% - Accent2 2 9 4 2 2" xfId="28753"/>
    <cellStyle name="40% - Accent2 2 9 4 2 2 2" xfId="28754"/>
    <cellStyle name="40% - Accent2 2 9 4 2 2 2 2" xfId="28755"/>
    <cellStyle name="40% - Accent2 2 9 4 2 2 3" xfId="28756"/>
    <cellStyle name="40% - Accent2 2 9 4 2 3" xfId="28757"/>
    <cellStyle name="40% - Accent2 2 9 4 2 3 2" xfId="28758"/>
    <cellStyle name="40% - Accent2 2 9 4 2 4" xfId="28759"/>
    <cellStyle name="40% - Accent2 2 9 4 3" xfId="28760"/>
    <cellStyle name="40% - Accent2 2 9 4 3 2" xfId="28761"/>
    <cellStyle name="40% - Accent2 2 9 4 3 2 2" xfId="28762"/>
    <cellStyle name="40% - Accent2 2 9 4 3 3" xfId="28763"/>
    <cellStyle name="40% - Accent2 2 9 4 4" xfId="28764"/>
    <cellStyle name="40% - Accent2 2 9 4 4 2" xfId="28765"/>
    <cellStyle name="40% - Accent2 2 9 4 5" xfId="28766"/>
    <cellStyle name="40% - Accent2 2 9 5" xfId="28767"/>
    <cellStyle name="40% - Accent2 2 9 5 2" xfId="28768"/>
    <cellStyle name="40% - Accent2 2 9 5 2 2" xfId="28769"/>
    <cellStyle name="40% - Accent2 2 9 5 2 2 2" xfId="28770"/>
    <cellStyle name="40% - Accent2 2 9 5 2 2 2 2" xfId="28771"/>
    <cellStyle name="40% - Accent2 2 9 5 2 2 3" xfId="28772"/>
    <cellStyle name="40% - Accent2 2 9 5 2 3" xfId="28773"/>
    <cellStyle name="40% - Accent2 2 9 5 2 3 2" xfId="28774"/>
    <cellStyle name="40% - Accent2 2 9 5 2 4" xfId="28775"/>
    <cellStyle name="40% - Accent2 2 9 5 3" xfId="28776"/>
    <cellStyle name="40% - Accent2 2 9 5 3 2" xfId="28777"/>
    <cellStyle name="40% - Accent2 2 9 5 3 2 2" xfId="28778"/>
    <cellStyle name="40% - Accent2 2 9 5 3 3" xfId="28779"/>
    <cellStyle name="40% - Accent2 2 9 5 4" xfId="28780"/>
    <cellStyle name="40% - Accent2 2 9 5 4 2" xfId="28781"/>
    <cellStyle name="40% - Accent2 2 9 5 5" xfId="28782"/>
    <cellStyle name="40% - Accent2 2 9 6" xfId="28783"/>
    <cellStyle name="40% - Accent2 2 9 6 2" xfId="28784"/>
    <cellStyle name="40% - Accent2 2 9 6 2 2" xfId="28785"/>
    <cellStyle name="40% - Accent2 2 9 6 2 2 2" xfId="28786"/>
    <cellStyle name="40% - Accent2 2 9 6 2 2 2 2" xfId="28787"/>
    <cellStyle name="40% - Accent2 2 9 6 2 2 3" xfId="28788"/>
    <cellStyle name="40% - Accent2 2 9 6 2 3" xfId="28789"/>
    <cellStyle name="40% - Accent2 2 9 6 2 3 2" xfId="28790"/>
    <cellStyle name="40% - Accent2 2 9 6 2 4" xfId="28791"/>
    <cellStyle name="40% - Accent2 2 9 6 3" xfId="28792"/>
    <cellStyle name="40% - Accent2 2 9 6 3 2" xfId="28793"/>
    <cellStyle name="40% - Accent2 2 9 6 3 2 2" xfId="28794"/>
    <cellStyle name="40% - Accent2 2 9 6 3 3" xfId="28795"/>
    <cellStyle name="40% - Accent2 2 9 6 4" xfId="28796"/>
    <cellStyle name="40% - Accent2 2 9 6 4 2" xfId="28797"/>
    <cellStyle name="40% - Accent2 2 9 6 5" xfId="28798"/>
    <cellStyle name="40% - Accent2 2 9 7" xfId="28799"/>
    <cellStyle name="40% - Accent2 2 9 7 2" xfId="28800"/>
    <cellStyle name="40% - Accent2 2 9 7 2 2" xfId="28801"/>
    <cellStyle name="40% - Accent2 2 9 7 2 2 2" xfId="28802"/>
    <cellStyle name="40% - Accent2 2 9 7 2 2 2 2" xfId="28803"/>
    <cellStyle name="40% - Accent2 2 9 7 2 2 3" xfId="28804"/>
    <cellStyle name="40% - Accent2 2 9 7 2 3" xfId="28805"/>
    <cellStyle name="40% - Accent2 2 9 7 2 3 2" xfId="28806"/>
    <cellStyle name="40% - Accent2 2 9 7 2 4" xfId="28807"/>
    <cellStyle name="40% - Accent2 2 9 7 3" xfId="28808"/>
    <cellStyle name="40% - Accent2 2 9 7 3 2" xfId="28809"/>
    <cellStyle name="40% - Accent2 2 9 7 3 2 2" xfId="28810"/>
    <cellStyle name="40% - Accent2 2 9 7 3 3" xfId="28811"/>
    <cellStyle name="40% - Accent2 2 9 7 4" xfId="28812"/>
    <cellStyle name="40% - Accent2 2 9 7 4 2" xfId="28813"/>
    <cellStyle name="40% - Accent2 2 9 7 5" xfId="28814"/>
    <cellStyle name="40% - Accent2 2 9 8" xfId="28815"/>
    <cellStyle name="40% - Accent2 2 9 8 2" xfId="28816"/>
    <cellStyle name="40% - Accent2 2 9 8 2 2" xfId="28817"/>
    <cellStyle name="40% - Accent2 2 9 8 2 2 2" xfId="28818"/>
    <cellStyle name="40% - Accent2 2 9 8 2 3" xfId="28819"/>
    <cellStyle name="40% - Accent2 2 9 8 3" xfId="28820"/>
    <cellStyle name="40% - Accent2 2 9 8 3 2" xfId="28821"/>
    <cellStyle name="40% - Accent2 2 9 8 4" xfId="28822"/>
    <cellStyle name="40% - Accent2 2 9 9" xfId="28823"/>
    <cellStyle name="40% - Accent2 2 9 9 2" xfId="28824"/>
    <cellStyle name="40% - Accent2 2 9 9 2 2" xfId="28825"/>
    <cellStyle name="40% - Accent2 2 9 9 3" xfId="28826"/>
    <cellStyle name="40% - Accent2 20" xfId="28827"/>
    <cellStyle name="40% - Accent2 20 2" xfId="28828"/>
    <cellStyle name="40% - Accent2 20 2 2" xfId="28829"/>
    <cellStyle name="40% - Accent2 20 2 2 2" xfId="28830"/>
    <cellStyle name="40% - Accent2 20 2 2 2 2" xfId="28831"/>
    <cellStyle name="40% - Accent2 20 2 2 3" xfId="28832"/>
    <cellStyle name="40% - Accent2 20 2 3" xfId="28833"/>
    <cellStyle name="40% - Accent2 20 2 3 2" xfId="28834"/>
    <cellStyle name="40% - Accent2 20 2 4" xfId="28835"/>
    <cellStyle name="40% - Accent2 20 3" xfId="28836"/>
    <cellStyle name="40% - Accent2 20 3 2" xfId="28837"/>
    <cellStyle name="40% - Accent2 20 3 2 2" xfId="28838"/>
    <cellStyle name="40% - Accent2 20 3 3" xfId="28839"/>
    <cellStyle name="40% - Accent2 20 4" xfId="28840"/>
    <cellStyle name="40% - Accent2 20 4 2" xfId="28841"/>
    <cellStyle name="40% - Accent2 20 5" xfId="28842"/>
    <cellStyle name="40% - Accent2 21" xfId="28843"/>
    <cellStyle name="40% - Accent2 21 2" xfId="28844"/>
    <cellStyle name="40% - Accent2 21 2 2" xfId="28845"/>
    <cellStyle name="40% - Accent2 21 2 2 2" xfId="28846"/>
    <cellStyle name="40% - Accent2 21 2 3" xfId="28847"/>
    <cellStyle name="40% - Accent2 21 3" xfId="28848"/>
    <cellStyle name="40% - Accent2 21 3 2" xfId="28849"/>
    <cellStyle name="40% - Accent2 21 4" xfId="28850"/>
    <cellStyle name="40% - Accent2 22" xfId="28851"/>
    <cellStyle name="40% - Accent2 22 2" xfId="28852"/>
    <cellStyle name="40% - Accent2 22 2 2" xfId="28853"/>
    <cellStyle name="40% - Accent2 22 3" xfId="28854"/>
    <cellStyle name="40% - Accent2 23" xfId="28855"/>
    <cellStyle name="40% - Accent2 23 2" xfId="28856"/>
    <cellStyle name="40% - Accent2 24" xfId="28857"/>
    <cellStyle name="40% - Accent2 3" xfId="28858"/>
    <cellStyle name="40% - Accent2 3 10" xfId="28859"/>
    <cellStyle name="40% - Accent2 3 10 2" xfId="28860"/>
    <cellStyle name="40% - Accent2 3 11" xfId="28861"/>
    <cellStyle name="40% - Accent2 3 2" xfId="28862"/>
    <cellStyle name="40% - Accent2 3 2 10" xfId="28863"/>
    <cellStyle name="40% - Accent2 3 2 2" xfId="28864"/>
    <cellStyle name="40% - Accent2 3 2 2 2" xfId="28865"/>
    <cellStyle name="40% - Accent2 3 2 2 2 2" xfId="28866"/>
    <cellStyle name="40% - Accent2 3 2 2 2 2 2" xfId="28867"/>
    <cellStyle name="40% - Accent2 3 2 2 2 2 2 2" xfId="28868"/>
    <cellStyle name="40% - Accent2 3 2 2 2 2 3" xfId="28869"/>
    <cellStyle name="40% - Accent2 3 2 2 2 3" xfId="28870"/>
    <cellStyle name="40% - Accent2 3 2 2 2 3 2" xfId="28871"/>
    <cellStyle name="40% - Accent2 3 2 2 2 4" xfId="28872"/>
    <cellStyle name="40% - Accent2 3 2 2 3" xfId="28873"/>
    <cellStyle name="40% - Accent2 3 2 2 3 2" xfId="28874"/>
    <cellStyle name="40% - Accent2 3 2 2 3 2 2" xfId="28875"/>
    <cellStyle name="40% - Accent2 3 2 2 3 3" xfId="28876"/>
    <cellStyle name="40% - Accent2 3 2 2 4" xfId="28877"/>
    <cellStyle name="40% - Accent2 3 2 2 4 2" xfId="28878"/>
    <cellStyle name="40% - Accent2 3 2 2 5" xfId="28879"/>
    <cellStyle name="40% - Accent2 3 2 3" xfId="28880"/>
    <cellStyle name="40% - Accent2 3 2 3 2" xfId="28881"/>
    <cellStyle name="40% - Accent2 3 2 3 2 2" xfId="28882"/>
    <cellStyle name="40% - Accent2 3 2 3 2 2 2" xfId="28883"/>
    <cellStyle name="40% - Accent2 3 2 3 2 2 2 2" xfId="28884"/>
    <cellStyle name="40% - Accent2 3 2 3 2 2 3" xfId="28885"/>
    <cellStyle name="40% - Accent2 3 2 3 2 3" xfId="28886"/>
    <cellStyle name="40% - Accent2 3 2 3 2 3 2" xfId="28887"/>
    <cellStyle name="40% - Accent2 3 2 3 2 4" xfId="28888"/>
    <cellStyle name="40% - Accent2 3 2 3 3" xfId="28889"/>
    <cellStyle name="40% - Accent2 3 2 3 3 2" xfId="28890"/>
    <cellStyle name="40% - Accent2 3 2 3 3 2 2" xfId="28891"/>
    <cellStyle name="40% - Accent2 3 2 3 3 3" xfId="28892"/>
    <cellStyle name="40% - Accent2 3 2 3 4" xfId="28893"/>
    <cellStyle name="40% - Accent2 3 2 3 4 2" xfId="28894"/>
    <cellStyle name="40% - Accent2 3 2 3 5" xfId="28895"/>
    <cellStyle name="40% - Accent2 3 2 4" xfId="28896"/>
    <cellStyle name="40% - Accent2 3 2 4 2" xfId="28897"/>
    <cellStyle name="40% - Accent2 3 2 4 2 2" xfId="28898"/>
    <cellStyle name="40% - Accent2 3 2 4 2 2 2" xfId="28899"/>
    <cellStyle name="40% - Accent2 3 2 4 2 2 2 2" xfId="28900"/>
    <cellStyle name="40% - Accent2 3 2 4 2 2 3" xfId="28901"/>
    <cellStyle name="40% - Accent2 3 2 4 2 3" xfId="28902"/>
    <cellStyle name="40% - Accent2 3 2 4 2 3 2" xfId="28903"/>
    <cellStyle name="40% - Accent2 3 2 4 2 4" xfId="28904"/>
    <cellStyle name="40% - Accent2 3 2 4 3" xfId="28905"/>
    <cellStyle name="40% - Accent2 3 2 4 3 2" xfId="28906"/>
    <cellStyle name="40% - Accent2 3 2 4 3 2 2" xfId="28907"/>
    <cellStyle name="40% - Accent2 3 2 4 3 3" xfId="28908"/>
    <cellStyle name="40% - Accent2 3 2 4 4" xfId="28909"/>
    <cellStyle name="40% - Accent2 3 2 4 4 2" xfId="28910"/>
    <cellStyle name="40% - Accent2 3 2 4 5" xfId="28911"/>
    <cellStyle name="40% - Accent2 3 2 5" xfId="28912"/>
    <cellStyle name="40% - Accent2 3 2 5 2" xfId="28913"/>
    <cellStyle name="40% - Accent2 3 2 5 2 2" xfId="28914"/>
    <cellStyle name="40% - Accent2 3 2 5 2 2 2" xfId="28915"/>
    <cellStyle name="40% - Accent2 3 2 5 2 2 2 2" xfId="28916"/>
    <cellStyle name="40% - Accent2 3 2 5 2 2 3" xfId="28917"/>
    <cellStyle name="40% - Accent2 3 2 5 2 3" xfId="28918"/>
    <cellStyle name="40% - Accent2 3 2 5 2 3 2" xfId="28919"/>
    <cellStyle name="40% - Accent2 3 2 5 2 4" xfId="28920"/>
    <cellStyle name="40% - Accent2 3 2 5 3" xfId="28921"/>
    <cellStyle name="40% - Accent2 3 2 5 3 2" xfId="28922"/>
    <cellStyle name="40% - Accent2 3 2 5 3 2 2" xfId="28923"/>
    <cellStyle name="40% - Accent2 3 2 5 3 3" xfId="28924"/>
    <cellStyle name="40% - Accent2 3 2 5 4" xfId="28925"/>
    <cellStyle name="40% - Accent2 3 2 5 4 2" xfId="28926"/>
    <cellStyle name="40% - Accent2 3 2 5 5" xfId="28927"/>
    <cellStyle name="40% - Accent2 3 2 6" xfId="28928"/>
    <cellStyle name="40% - Accent2 3 2 6 2" xfId="28929"/>
    <cellStyle name="40% - Accent2 3 2 6 2 2" xfId="28930"/>
    <cellStyle name="40% - Accent2 3 2 6 2 2 2" xfId="28931"/>
    <cellStyle name="40% - Accent2 3 2 6 2 2 2 2" xfId="28932"/>
    <cellStyle name="40% - Accent2 3 2 6 2 2 3" xfId="28933"/>
    <cellStyle name="40% - Accent2 3 2 6 2 3" xfId="28934"/>
    <cellStyle name="40% - Accent2 3 2 6 2 3 2" xfId="28935"/>
    <cellStyle name="40% - Accent2 3 2 6 2 4" xfId="28936"/>
    <cellStyle name="40% - Accent2 3 2 6 3" xfId="28937"/>
    <cellStyle name="40% - Accent2 3 2 6 3 2" xfId="28938"/>
    <cellStyle name="40% - Accent2 3 2 6 3 2 2" xfId="28939"/>
    <cellStyle name="40% - Accent2 3 2 6 3 3" xfId="28940"/>
    <cellStyle name="40% - Accent2 3 2 6 4" xfId="28941"/>
    <cellStyle name="40% - Accent2 3 2 6 4 2" xfId="28942"/>
    <cellStyle name="40% - Accent2 3 2 6 5" xfId="28943"/>
    <cellStyle name="40% - Accent2 3 2 7" xfId="28944"/>
    <cellStyle name="40% - Accent2 3 2 7 2" xfId="28945"/>
    <cellStyle name="40% - Accent2 3 2 7 2 2" xfId="28946"/>
    <cellStyle name="40% - Accent2 3 2 7 2 2 2" xfId="28947"/>
    <cellStyle name="40% - Accent2 3 2 7 2 3" xfId="28948"/>
    <cellStyle name="40% - Accent2 3 2 7 3" xfId="28949"/>
    <cellStyle name="40% - Accent2 3 2 7 3 2" xfId="28950"/>
    <cellStyle name="40% - Accent2 3 2 7 4" xfId="28951"/>
    <cellStyle name="40% - Accent2 3 2 8" xfId="28952"/>
    <cellStyle name="40% - Accent2 3 2 8 2" xfId="28953"/>
    <cellStyle name="40% - Accent2 3 2 8 2 2" xfId="28954"/>
    <cellStyle name="40% - Accent2 3 2 8 3" xfId="28955"/>
    <cellStyle name="40% - Accent2 3 2 9" xfId="28956"/>
    <cellStyle name="40% - Accent2 3 2 9 2" xfId="28957"/>
    <cellStyle name="40% - Accent2 3 3" xfId="28958"/>
    <cellStyle name="40% - Accent2 3 3 2" xfId="28959"/>
    <cellStyle name="40% - Accent2 3 3 2 2" xfId="28960"/>
    <cellStyle name="40% - Accent2 3 3 2 2 2" xfId="28961"/>
    <cellStyle name="40% - Accent2 3 3 2 2 2 2" xfId="28962"/>
    <cellStyle name="40% - Accent2 3 3 2 2 3" xfId="28963"/>
    <cellStyle name="40% - Accent2 3 3 2 3" xfId="28964"/>
    <cellStyle name="40% - Accent2 3 3 2 3 2" xfId="28965"/>
    <cellStyle name="40% - Accent2 3 3 2 4" xfId="28966"/>
    <cellStyle name="40% - Accent2 3 3 3" xfId="28967"/>
    <cellStyle name="40% - Accent2 3 3 3 2" xfId="28968"/>
    <cellStyle name="40% - Accent2 3 3 3 2 2" xfId="28969"/>
    <cellStyle name="40% - Accent2 3 3 3 3" xfId="28970"/>
    <cellStyle name="40% - Accent2 3 3 4" xfId="28971"/>
    <cellStyle name="40% - Accent2 3 3 4 2" xfId="28972"/>
    <cellStyle name="40% - Accent2 3 3 5" xfId="28973"/>
    <cellStyle name="40% - Accent2 3 4" xfId="28974"/>
    <cellStyle name="40% - Accent2 3 4 2" xfId="28975"/>
    <cellStyle name="40% - Accent2 3 4 2 2" xfId="28976"/>
    <cellStyle name="40% - Accent2 3 4 2 2 2" xfId="28977"/>
    <cellStyle name="40% - Accent2 3 4 2 2 2 2" xfId="28978"/>
    <cellStyle name="40% - Accent2 3 4 2 2 3" xfId="28979"/>
    <cellStyle name="40% - Accent2 3 4 2 3" xfId="28980"/>
    <cellStyle name="40% - Accent2 3 4 2 3 2" xfId="28981"/>
    <cellStyle name="40% - Accent2 3 4 2 4" xfId="28982"/>
    <cellStyle name="40% - Accent2 3 4 3" xfId="28983"/>
    <cellStyle name="40% - Accent2 3 4 3 2" xfId="28984"/>
    <cellStyle name="40% - Accent2 3 4 3 2 2" xfId="28985"/>
    <cellStyle name="40% - Accent2 3 4 3 3" xfId="28986"/>
    <cellStyle name="40% - Accent2 3 4 4" xfId="28987"/>
    <cellStyle name="40% - Accent2 3 4 4 2" xfId="28988"/>
    <cellStyle name="40% - Accent2 3 4 5" xfId="28989"/>
    <cellStyle name="40% - Accent2 3 5" xfId="28990"/>
    <cellStyle name="40% - Accent2 3 5 2" xfId="28991"/>
    <cellStyle name="40% - Accent2 3 5 2 2" xfId="28992"/>
    <cellStyle name="40% - Accent2 3 5 2 2 2" xfId="28993"/>
    <cellStyle name="40% - Accent2 3 5 2 2 2 2" xfId="28994"/>
    <cellStyle name="40% - Accent2 3 5 2 2 3" xfId="28995"/>
    <cellStyle name="40% - Accent2 3 5 2 3" xfId="28996"/>
    <cellStyle name="40% - Accent2 3 5 2 3 2" xfId="28997"/>
    <cellStyle name="40% - Accent2 3 5 2 4" xfId="28998"/>
    <cellStyle name="40% - Accent2 3 5 3" xfId="28999"/>
    <cellStyle name="40% - Accent2 3 5 3 2" xfId="29000"/>
    <cellStyle name="40% - Accent2 3 5 3 2 2" xfId="29001"/>
    <cellStyle name="40% - Accent2 3 5 3 3" xfId="29002"/>
    <cellStyle name="40% - Accent2 3 5 4" xfId="29003"/>
    <cellStyle name="40% - Accent2 3 5 4 2" xfId="29004"/>
    <cellStyle name="40% - Accent2 3 5 5" xfId="29005"/>
    <cellStyle name="40% - Accent2 3 6" xfId="29006"/>
    <cellStyle name="40% - Accent2 3 6 2" xfId="29007"/>
    <cellStyle name="40% - Accent2 3 6 2 2" xfId="29008"/>
    <cellStyle name="40% - Accent2 3 6 2 2 2" xfId="29009"/>
    <cellStyle name="40% - Accent2 3 6 2 2 2 2" xfId="29010"/>
    <cellStyle name="40% - Accent2 3 6 2 2 3" xfId="29011"/>
    <cellStyle name="40% - Accent2 3 6 2 3" xfId="29012"/>
    <cellStyle name="40% - Accent2 3 6 2 3 2" xfId="29013"/>
    <cellStyle name="40% - Accent2 3 6 2 4" xfId="29014"/>
    <cellStyle name="40% - Accent2 3 6 3" xfId="29015"/>
    <cellStyle name="40% - Accent2 3 6 3 2" xfId="29016"/>
    <cellStyle name="40% - Accent2 3 6 3 2 2" xfId="29017"/>
    <cellStyle name="40% - Accent2 3 6 3 3" xfId="29018"/>
    <cellStyle name="40% - Accent2 3 6 4" xfId="29019"/>
    <cellStyle name="40% - Accent2 3 6 4 2" xfId="29020"/>
    <cellStyle name="40% - Accent2 3 6 5" xfId="29021"/>
    <cellStyle name="40% - Accent2 3 7" xfId="29022"/>
    <cellStyle name="40% - Accent2 3 7 2" xfId="29023"/>
    <cellStyle name="40% - Accent2 3 7 2 2" xfId="29024"/>
    <cellStyle name="40% - Accent2 3 7 2 2 2" xfId="29025"/>
    <cellStyle name="40% - Accent2 3 7 2 2 2 2" xfId="29026"/>
    <cellStyle name="40% - Accent2 3 7 2 2 3" xfId="29027"/>
    <cellStyle name="40% - Accent2 3 7 2 3" xfId="29028"/>
    <cellStyle name="40% - Accent2 3 7 2 3 2" xfId="29029"/>
    <cellStyle name="40% - Accent2 3 7 2 4" xfId="29030"/>
    <cellStyle name="40% - Accent2 3 7 3" xfId="29031"/>
    <cellStyle name="40% - Accent2 3 7 3 2" xfId="29032"/>
    <cellStyle name="40% - Accent2 3 7 3 2 2" xfId="29033"/>
    <cellStyle name="40% - Accent2 3 7 3 3" xfId="29034"/>
    <cellStyle name="40% - Accent2 3 7 4" xfId="29035"/>
    <cellStyle name="40% - Accent2 3 7 4 2" xfId="29036"/>
    <cellStyle name="40% - Accent2 3 7 5" xfId="29037"/>
    <cellStyle name="40% - Accent2 3 8" xfId="29038"/>
    <cellStyle name="40% - Accent2 3 8 2" xfId="29039"/>
    <cellStyle name="40% - Accent2 3 8 2 2" xfId="29040"/>
    <cellStyle name="40% - Accent2 3 8 2 2 2" xfId="29041"/>
    <cellStyle name="40% - Accent2 3 8 2 3" xfId="29042"/>
    <cellStyle name="40% - Accent2 3 8 3" xfId="29043"/>
    <cellStyle name="40% - Accent2 3 8 3 2" xfId="29044"/>
    <cellStyle name="40% - Accent2 3 8 4" xfId="29045"/>
    <cellStyle name="40% - Accent2 3 9" xfId="29046"/>
    <cellStyle name="40% - Accent2 3 9 2" xfId="29047"/>
    <cellStyle name="40% - Accent2 3 9 2 2" xfId="29048"/>
    <cellStyle name="40% - Accent2 3 9 3" xfId="29049"/>
    <cellStyle name="40% - Accent2 4" xfId="29050"/>
    <cellStyle name="40% - Accent2 4 10" xfId="29051"/>
    <cellStyle name="40% - Accent2 4 10 2" xfId="29052"/>
    <cellStyle name="40% - Accent2 4 11" xfId="29053"/>
    <cellStyle name="40% - Accent2 4 2" xfId="29054"/>
    <cellStyle name="40% - Accent2 4 2 10" xfId="29055"/>
    <cellStyle name="40% - Accent2 4 2 2" xfId="29056"/>
    <cellStyle name="40% - Accent2 4 2 2 2" xfId="29057"/>
    <cellStyle name="40% - Accent2 4 2 2 2 2" xfId="29058"/>
    <cellStyle name="40% - Accent2 4 2 2 2 2 2" xfId="29059"/>
    <cellStyle name="40% - Accent2 4 2 2 2 2 2 2" xfId="29060"/>
    <cellStyle name="40% - Accent2 4 2 2 2 2 3" xfId="29061"/>
    <cellStyle name="40% - Accent2 4 2 2 2 3" xfId="29062"/>
    <cellStyle name="40% - Accent2 4 2 2 2 3 2" xfId="29063"/>
    <cellStyle name="40% - Accent2 4 2 2 2 4" xfId="29064"/>
    <cellStyle name="40% - Accent2 4 2 2 3" xfId="29065"/>
    <cellStyle name="40% - Accent2 4 2 2 3 2" xfId="29066"/>
    <cellStyle name="40% - Accent2 4 2 2 3 2 2" xfId="29067"/>
    <cellStyle name="40% - Accent2 4 2 2 3 3" xfId="29068"/>
    <cellStyle name="40% - Accent2 4 2 2 4" xfId="29069"/>
    <cellStyle name="40% - Accent2 4 2 2 4 2" xfId="29070"/>
    <cellStyle name="40% - Accent2 4 2 2 5" xfId="29071"/>
    <cellStyle name="40% - Accent2 4 2 3" xfId="29072"/>
    <cellStyle name="40% - Accent2 4 2 3 2" xfId="29073"/>
    <cellStyle name="40% - Accent2 4 2 3 2 2" xfId="29074"/>
    <cellStyle name="40% - Accent2 4 2 3 2 2 2" xfId="29075"/>
    <cellStyle name="40% - Accent2 4 2 3 2 2 2 2" xfId="29076"/>
    <cellStyle name="40% - Accent2 4 2 3 2 2 3" xfId="29077"/>
    <cellStyle name="40% - Accent2 4 2 3 2 3" xfId="29078"/>
    <cellStyle name="40% - Accent2 4 2 3 2 3 2" xfId="29079"/>
    <cellStyle name="40% - Accent2 4 2 3 2 4" xfId="29080"/>
    <cellStyle name="40% - Accent2 4 2 3 3" xfId="29081"/>
    <cellStyle name="40% - Accent2 4 2 3 3 2" xfId="29082"/>
    <cellStyle name="40% - Accent2 4 2 3 3 2 2" xfId="29083"/>
    <cellStyle name="40% - Accent2 4 2 3 3 3" xfId="29084"/>
    <cellStyle name="40% - Accent2 4 2 3 4" xfId="29085"/>
    <cellStyle name="40% - Accent2 4 2 3 4 2" xfId="29086"/>
    <cellStyle name="40% - Accent2 4 2 3 5" xfId="29087"/>
    <cellStyle name="40% - Accent2 4 2 4" xfId="29088"/>
    <cellStyle name="40% - Accent2 4 2 4 2" xfId="29089"/>
    <cellStyle name="40% - Accent2 4 2 4 2 2" xfId="29090"/>
    <cellStyle name="40% - Accent2 4 2 4 2 2 2" xfId="29091"/>
    <cellStyle name="40% - Accent2 4 2 4 2 2 2 2" xfId="29092"/>
    <cellStyle name="40% - Accent2 4 2 4 2 2 3" xfId="29093"/>
    <cellStyle name="40% - Accent2 4 2 4 2 3" xfId="29094"/>
    <cellStyle name="40% - Accent2 4 2 4 2 3 2" xfId="29095"/>
    <cellStyle name="40% - Accent2 4 2 4 2 4" xfId="29096"/>
    <cellStyle name="40% - Accent2 4 2 4 3" xfId="29097"/>
    <cellStyle name="40% - Accent2 4 2 4 3 2" xfId="29098"/>
    <cellStyle name="40% - Accent2 4 2 4 3 2 2" xfId="29099"/>
    <cellStyle name="40% - Accent2 4 2 4 3 3" xfId="29100"/>
    <cellStyle name="40% - Accent2 4 2 4 4" xfId="29101"/>
    <cellStyle name="40% - Accent2 4 2 4 4 2" xfId="29102"/>
    <cellStyle name="40% - Accent2 4 2 4 5" xfId="29103"/>
    <cellStyle name="40% - Accent2 4 2 5" xfId="29104"/>
    <cellStyle name="40% - Accent2 4 2 5 2" xfId="29105"/>
    <cellStyle name="40% - Accent2 4 2 5 2 2" xfId="29106"/>
    <cellStyle name="40% - Accent2 4 2 5 2 2 2" xfId="29107"/>
    <cellStyle name="40% - Accent2 4 2 5 2 2 2 2" xfId="29108"/>
    <cellStyle name="40% - Accent2 4 2 5 2 2 3" xfId="29109"/>
    <cellStyle name="40% - Accent2 4 2 5 2 3" xfId="29110"/>
    <cellStyle name="40% - Accent2 4 2 5 2 3 2" xfId="29111"/>
    <cellStyle name="40% - Accent2 4 2 5 2 4" xfId="29112"/>
    <cellStyle name="40% - Accent2 4 2 5 3" xfId="29113"/>
    <cellStyle name="40% - Accent2 4 2 5 3 2" xfId="29114"/>
    <cellStyle name="40% - Accent2 4 2 5 3 2 2" xfId="29115"/>
    <cellStyle name="40% - Accent2 4 2 5 3 3" xfId="29116"/>
    <cellStyle name="40% - Accent2 4 2 5 4" xfId="29117"/>
    <cellStyle name="40% - Accent2 4 2 5 4 2" xfId="29118"/>
    <cellStyle name="40% - Accent2 4 2 5 5" xfId="29119"/>
    <cellStyle name="40% - Accent2 4 2 6" xfId="29120"/>
    <cellStyle name="40% - Accent2 4 2 6 2" xfId="29121"/>
    <cellStyle name="40% - Accent2 4 2 6 2 2" xfId="29122"/>
    <cellStyle name="40% - Accent2 4 2 6 2 2 2" xfId="29123"/>
    <cellStyle name="40% - Accent2 4 2 6 2 2 2 2" xfId="29124"/>
    <cellStyle name="40% - Accent2 4 2 6 2 2 3" xfId="29125"/>
    <cellStyle name="40% - Accent2 4 2 6 2 3" xfId="29126"/>
    <cellStyle name="40% - Accent2 4 2 6 2 3 2" xfId="29127"/>
    <cellStyle name="40% - Accent2 4 2 6 2 4" xfId="29128"/>
    <cellStyle name="40% - Accent2 4 2 6 3" xfId="29129"/>
    <cellStyle name="40% - Accent2 4 2 6 3 2" xfId="29130"/>
    <cellStyle name="40% - Accent2 4 2 6 3 2 2" xfId="29131"/>
    <cellStyle name="40% - Accent2 4 2 6 3 3" xfId="29132"/>
    <cellStyle name="40% - Accent2 4 2 6 4" xfId="29133"/>
    <cellStyle name="40% - Accent2 4 2 6 4 2" xfId="29134"/>
    <cellStyle name="40% - Accent2 4 2 6 5" xfId="29135"/>
    <cellStyle name="40% - Accent2 4 2 7" xfId="29136"/>
    <cellStyle name="40% - Accent2 4 2 7 2" xfId="29137"/>
    <cellStyle name="40% - Accent2 4 2 7 2 2" xfId="29138"/>
    <cellStyle name="40% - Accent2 4 2 7 2 2 2" xfId="29139"/>
    <cellStyle name="40% - Accent2 4 2 7 2 3" xfId="29140"/>
    <cellStyle name="40% - Accent2 4 2 7 3" xfId="29141"/>
    <cellStyle name="40% - Accent2 4 2 7 3 2" xfId="29142"/>
    <cellStyle name="40% - Accent2 4 2 7 4" xfId="29143"/>
    <cellStyle name="40% - Accent2 4 2 8" xfId="29144"/>
    <cellStyle name="40% - Accent2 4 2 8 2" xfId="29145"/>
    <cellStyle name="40% - Accent2 4 2 8 2 2" xfId="29146"/>
    <cellStyle name="40% - Accent2 4 2 8 3" xfId="29147"/>
    <cellStyle name="40% - Accent2 4 2 9" xfId="29148"/>
    <cellStyle name="40% - Accent2 4 2 9 2" xfId="29149"/>
    <cellStyle name="40% - Accent2 4 3" xfId="29150"/>
    <cellStyle name="40% - Accent2 4 3 2" xfId="29151"/>
    <cellStyle name="40% - Accent2 4 3 2 2" xfId="29152"/>
    <cellStyle name="40% - Accent2 4 3 2 2 2" xfId="29153"/>
    <cellStyle name="40% - Accent2 4 3 2 2 2 2" xfId="29154"/>
    <cellStyle name="40% - Accent2 4 3 2 2 3" xfId="29155"/>
    <cellStyle name="40% - Accent2 4 3 2 3" xfId="29156"/>
    <cellStyle name="40% - Accent2 4 3 2 3 2" xfId="29157"/>
    <cellStyle name="40% - Accent2 4 3 2 4" xfId="29158"/>
    <cellStyle name="40% - Accent2 4 3 3" xfId="29159"/>
    <cellStyle name="40% - Accent2 4 3 3 2" xfId="29160"/>
    <cellStyle name="40% - Accent2 4 3 3 2 2" xfId="29161"/>
    <cellStyle name="40% - Accent2 4 3 3 3" xfId="29162"/>
    <cellStyle name="40% - Accent2 4 3 4" xfId="29163"/>
    <cellStyle name="40% - Accent2 4 3 4 2" xfId="29164"/>
    <cellStyle name="40% - Accent2 4 3 5" xfId="29165"/>
    <cellStyle name="40% - Accent2 4 4" xfId="29166"/>
    <cellStyle name="40% - Accent2 4 4 2" xfId="29167"/>
    <cellStyle name="40% - Accent2 4 4 2 2" xfId="29168"/>
    <cellStyle name="40% - Accent2 4 4 2 2 2" xfId="29169"/>
    <cellStyle name="40% - Accent2 4 4 2 2 2 2" xfId="29170"/>
    <cellStyle name="40% - Accent2 4 4 2 2 3" xfId="29171"/>
    <cellStyle name="40% - Accent2 4 4 2 3" xfId="29172"/>
    <cellStyle name="40% - Accent2 4 4 2 3 2" xfId="29173"/>
    <cellStyle name="40% - Accent2 4 4 2 4" xfId="29174"/>
    <cellStyle name="40% - Accent2 4 4 3" xfId="29175"/>
    <cellStyle name="40% - Accent2 4 4 3 2" xfId="29176"/>
    <cellStyle name="40% - Accent2 4 4 3 2 2" xfId="29177"/>
    <cellStyle name="40% - Accent2 4 4 3 3" xfId="29178"/>
    <cellStyle name="40% - Accent2 4 4 4" xfId="29179"/>
    <cellStyle name="40% - Accent2 4 4 4 2" xfId="29180"/>
    <cellStyle name="40% - Accent2 4 4 5" xfId="29181"/>
    <cellStyle name="40% - Accent2 4 5" xfId="29182"/>
    <cellStyle name="40% - Accent2 4 5 2" xfId="29183"/>
    <cellStyle name="40% - Accent2 4 5 2 2" xfId="29184"/>
    <cellStyle name="40% - Accent2 4 5 2 2 2" xfId="29185"/>
    <cellStyle name="40% - Accent2 4 5 2 2 2 2" xfId="29186"/>
    <cellStyle name="40% - Accent2 4 5 2 2 3" xfId="29187"/>
    <cellStyle name="40% - Accent2 4 5 2 3" xfId="29188"/>
    <cellStyle name="40% - Accent2 4 5 2 3 2" xfId="29189"/>
    <cellStyle name="40% - Accent2 4 5 2 4" xfId="29190"/>
    <cellStyle name="40% - Accent2 4 5 3" xfId="29191"/>
    <cellStyle name="40% - Accent2 4 5 3 2" xfId="29192"/>
    <cellStyle name="40% - Accent2 4 5 3 2 2" xfId="29193"/>
    <cellStyle name="40% - Accent2 4 5 3 3" xfId="29194"/>
    <cellStyle name="40% - Accent2 4 5 4" xfId="29195"/>
    <cellStyle name="40% - Accent2 4 5 4 2" xfId="29196"/>
    <cellStyle name="40% - Accent2 4 5 5" xfId="29197"/>
    <cellStyle name="40% - Accent2 4 6" xfId="29198"/>
    <cellStyle name="40% - Accent2 4 6 2" xfId="29199"/>
    <cellStyle name="40% - Accent2 4 6 2 2" xfId="29200"/>
    <cellStyle name="40% - Accent2 4 6 2 2 2" xfId="29201"/>
    <cellStyle name="40% - Accent2 4 6 2 2 2 2" xfId="29202"/>
    <cellStyle name="40% - Accent2 4 6 2 2 3" xfId="29203"/>
    <cellStyle name="40% - Accent2 4 6 2 3" xfId="29204"/>
    <cellStyle name="40% - Accent2 4 6 2 3 2" xfId="29205"/>
    <cellStyle name="40% - Accent2 4 6 2 4" xfId="29206"/>
    <cellStyle name="40% - Accent2 4 6 3" xfId="29207"/>
    <cellStyle name="40% - Accent2 4 6 3 2" xfId="29208"/>
    <cellStyle name="40% - Accent2 4 6 3 2 2" xfId="29209"/>
    <cellStyle name="40% - Accent2 4 6 3 3" xfId="29210"/>
    <cellStyle name="40% - Accent2 4 6 4" xfId="29211"/>
    <cellStyle name="40% - Accent2 4 6 4 2" xfId="29212"/>
    <cellStyle name="40% - Accent2 4 6 5" xfId="29213"/>
    <cellStyle name="40% - Accent2 4 7" xfId="29214"/>
    <cellStyle name="40% - Accent2 4 7 2" xfId="29215"/>
    <cellStyle name="40% - Accent2 4 7 2 2" xfId="29216"/>
    <cellStyle name="40% - Accent2 4 7 2 2 2" xfId="29217"/>
    <cellStyle name="40% - Accent2 4 7 2 2 2 2" xfId="29218"/>
    <cellStyle name="40% - Accent2 4 7 2 2 3" xfId="29219"/>
    <cellStyle name="40% - Accent2 4 7 2 3" xfId="29220"/>
    <cellStyle name="40% - Accent2 4 7 2 3 2" xfId="29221"/>
    <cellStyle name="40% - Accent2 4 7 2 4" xfId="29222"/>
    <cellStyle name="40% - Accent2 4 7 3" xfId="29223"/>
    <cellStyle name="40% - Accent2 4 7 3 2" xfId="29224"/>
    <cellStyle name="40% - Accent2 4 7 3 2 2" xfId="29225"/>
    <cellStyle name="40% - Accent2 4 7 3 3" xfId="29226"/>
    <cellStyle name="40% - Accent2 4 7 4" xfId="29227"/>
    <cellStyle name="40% - Accent2 4 7 4 2" xfId="29228"/>
    <cellStyle name="40% - Accent2 4 7 5" xfId="29229"/>
    <cellStyle name="40% - Accent2 4 8" xfId="29230"/>
    <cellStyle name="40% - Accent2 4 8 2" xfId="29231"/>
    <cellStyle name="40% - Accent2 4 8 2 2" xfId="29232"/>
    <cellStyle name="40% - Accent2 4 8 2 2 2" xfId="29233"/>
    <cellStyle name="40% - Accent2 4 8 2 3" xfId="29234"/>
    <cellStyle name="40% - Accent2 4 8 3" xfId="29235"/>
    <cellStyle name="40% - Accent2 4 8 3 2" xfId="29236"/>
    <cellStyle name="40% - Accent2 4 8 4" xfId="29237"/>
    <cellStyle name="40% - Accent2 4 9" xfId="29238"/>
    <cellStyle name="40% - Accent2 4 9 2" xfId="29239"/>
    <cellStyle name="40% - Accent2 4 9 2 2" xfId="29240"/>
    <cellStyle name="40% - Accent2 4 9 3" xfId="29241"/>
    <cellStyle name="40% - Accent2 5" xfId="29242"/>
    <cellStyle name="40% - Accent2 5 10" xfId="29243"/>
    <cellStyle name="40% - Accent2 5 10 2" xfId="29244"/>
    <cellStyle name="40% - Accent2 5 11" xfId="29245"/>
    <cellStyle name="40% - Accent2 5 2" xfId="29246"/>
    <cellStyle name="40% - Accent2 5 2 10" xfId="29247"/>
    <cellStyle name="40% - Accent2 5 2 2" xfId="29248"/>
    <cellStyle name="40% - Accent2 5 2 2 2" xfId="29249"/>
    <cellStyle name="40% - Accent2 5 2 2 2 2" xfId="29250"/>
    <cellStyle name="40% - Accent2 5 2 2 2 2 2" xfId="29251"/>
    <cellStyle name="40% - Accent2 5 2 2 2 2 2 2" xfId="29252"/>
    <cellStyle name="40% - Accent2 5 2 2 2 2 3" xfId="29253"/>
    <cellStyle name="40% - Accent2 5 2 2 2 3" xfId="29254"/>
    <cellStyle name="40% - Accent2 5 2 2 2 3 2" xfId="29255"/>
    <cellStyle name="40% - Accent2 5 2 2 2 4" xfId="29256"/>
    <cellStyle name="40% - Accent2 5 2 2 3" xfId="29257"/>
    <cellStyle name="40% - Accent2 5 2 2 3 2" xfId="29258"/>
    <cellStyle name="40% - Accent2 5 2 2 3 2 2" xfId="29259"/>
    <cellStyle name="40% - Accent2 5 2 2 3 3" xfId="29260"/>
    <cellStyle name="40% - Accent2 5 2 2 4" xfId="29261"/>
    <cellStyle name="40% - Accent2 5 2 2 4 2" xfId="29262"/>
    <cellStyle name="40% - Accent2 5 2 2 5" xfId="29263"/>
    <cellStyle name="40% - Accent2 5 2 3" xfId="29264"/>
    <cellStyle name="40% - Accent2 5 2 3 2" xfId="29265"/>
    <cellStyle name="40% - Accent2 5 2 3 2 2" xfId="29266"/>
    <cellStyle name="40% - Accent2 5 2 3 2 2 2" xfId="29267"/>
    <cellStyle name="40% - Accent2 5 2 3 2 2 2 2" xfId="29268"/>
    <cellStyle name="40% - Accent2 5 2 3 2 2 3" xfId="29269"/>
    <cellStyle name="40% - Accent2 5 2 3 2 3" xfId="29270"/>
    <cellStyle name="40% - Accent2 5 2 3 2 3 2" xfId="29271"/>
    <cellStyle name="40% - Accent2 5 2 3 2 4" xfId="29272"/>
    <cellStyle name="40% - Accent2 5 2 3 3" xfId="29273"/>
    <cellStyle name="40% - Accent2 5 2 3 3 2" xfId="29274"/>
    <cellStyle name="40% - Accent2 5 2 3 3 2 2" xfId="29275"/>
    <cellStyle name="40% - Accent2 5 2 3 3 3" xfId="29276"/>
    <cellStyle name="40% - Accent2 5 2 3 4" xfId="29277"/>
    <cellStyle name="40% - Accent2 5 2 3 4 2" xfId="29278"/>
    <cellStyle name="40% - Accent2 5 2 3 5" xfId="29279"/>
    <cellStyle name="40% - Accent2 5 2 4" xfId="29280"/>
    <cellStyle name="40% - Accent2 5 2 4 2" xfId="29281"/>
    <cellStyle name="40% - Accent2 5 2 4 2 2" xfId="29282"/>
    <cellStyle name="40% - Accent2 5 2 4 2 2 2" xfId="29283"/>
    <cellStyle name="40% - Accent2 5 2 4 2 2 2 2" xfId="29284"/>
    <cellStyle name="40% - Accent2 5 2 4 2 2 3" xfId="29285"/>
    <cellStyle name="40% - Accent2 5 2 4 2 3" xfId="29286"/>
    <cellStyle name="40% - Accent2 5 2 4 2 3 2" xfId="29287"/>
    <cellStyle name="40% - Accent2 5 2 4 2 4" xfId="29288"/>
    <cellStyle name="40% - Accent2 5 2 4 3" xfId="29289"/>
    <cellStyle name="40% - Accent2 5 2 4 3 2" xfId="29290"/>
    <cellStyle name="40% - Accent2 5 2 4 3 2 2" xfId="29291"/>
    <cellStyle name="40% - Accent2 5 2 4 3 3" xfId="29292"/>
    <cellStyle name="40% - Accent2 5 2 4 4" xfId="29293"/>
    <cellStyle name="40% - Accent2 5 2 4 4 2" xfId="29294"/>
    <cellStyle name="40% - Accent2 5 2 4 5" xfId="29295"/>
    <cellStyle name="40% - Accent2 5 2 5" xfId="29296"/>
    <cellStyle name="40% - Accent2 5 2 5 2" xfId="29297"/>
    <cellStyle name="40% - Accent2 5 2 5 2 2" xfId="29298"/>
    <cellStyle name="40% - Accent2 5 2 5 2 2 2" xfId="29299"/>
    <cellStyle name="40% - Accent2 5 2 5 2 2 2 2" xfId="29300"/>
    <cellStyle name="40% - Accent2 5 2 5 2 2 3" xfId="29301"/>
    <cellStyle name="40% - Accent2 5 2 5 2 3" xfId="29302"/>
    <cellStyle name="40% - Accent2 5 2 5 2 3 2" xfId="29303"/>
    <cellStyle name="40% - Accent2 5 2 5 2 4" xfId="29304"/>
    <cellStyle name="40% - Accent2 5 2 5 3" xfId="29305"/>
    <cellStyle name="40% - Accent2 5 2 5 3 2" xfId="29306"/>
    <cellStyle name="40% - Accent2 5 2 5 3 2 2" xfId="29307"/>
    <cellStyle name="40% - Accent2 5 2 5 3 3" xfId="29308"/>
    <cellStyle name="40% - Accent2 5 2 5 4" xfId="29309"/>
    <cellStyle name="40% - Accent2 5 2 5 4 2" xfId="29310"/>
    <cellStyle name="40% - Accent2 5 2 5 5" xfId="29311"/>
    <cellStyle name="40% - Accent2 5 2 6" xfId="29312"/>
    <cellStyle name="40% - Accent2 5 2 6 2" xfId="29313"/>
    <cellStyle name="40% - Accent2 5 2 6 2 2" xfId="29314"/>
    <cellStyle name="40% - Accent2 5 2 6 2 2 2" xfId="29315"/>
    <cellStyle name="40% - Accent2 5 2 6 2 2 2 2" xfId="29316"/>
    <cellStyle name="40% - Accent2 5 2 6 2 2 3" xfId="29317"/>
    <cellStyle name="40% - Accent2 5 2 6 2 3" xfId="29318"/>
    <cellStyle name="40% - Accent2 5 2 6 2 3 2" xfId="29319"/>
    <cellStyle name="40% - Accent2 5 2 6 2 4" xfId="29320"/>
    <cellStyle name="40% - Accent2 5 2 6 3" xfId="29321"/>
    <cellStyle name="40% - Accent2 5 2 6 3 2" xfId="29322"/>
    <cellStyle name="40% - Accent2 5 2 6 3 2 2" xfId="29323"/>
    <cellStyle name="40% - Accent2 5 2 6 3 3" xfId="29324"/>
    <cellStyle name="40% - Accent2 5 2 6 4" xfId="29325"/>
    <cellStyle name="40% - Accent2 5 2 6 4 2" xfId="29326"/>
    <cellStyle name="40% - Accent2 5 2 6 5" xfId="29327"/>
    <cellStyle name="40% - Accent2 5 2 7" xfId="29328"/>
    <cellStyle name="40% - Accent2 5 2 7 2" xfId="29329"/>
    <cellStyle name="40% - Accent2 5 2 7 2 2" xfId="29330"/>
    <cellStyle name="40% - Accent2 5 2 7 2 2 2" xfId="29331"/>
    <cellStyle name="40% - Accent2 5 2 7 2 3" xfId="29332"/>
    <cellStyle name="40% - Accent2 5 2 7 3" xfId="29333"/>
    <cellStyle name="40% - Accent2 5 2 7 3 2" xfId="29334"/>
    <cellStyle name="40% - Accent2 5 2 7 4" xfId="29335"/>
    <cellStyle name="40% - Accent2 5 2 8" xfId="29336"/>
    <cellStyle name="40% - Accent2 5 2 8 2" xfId="29337"/>
    <cellStyle name="40% - Accent2 5 2 8 2 2" xfId="29338"/>
    <cellStyle name="40% - Accent2 5 2 8 3" xfId="29339"/>
    <cellStyle name="40% - Accent2 5 2 9" xfId="29340"/>
    <cellStyle name="40% - Accent2 5 2 9 2" xfId="29341"/>
    <cellStyle name="40% - Accent2 5 3" xfId="29342"/>
    <cellStyle name="40% - Accent2 5 3 2" xfId="29343"/>
    <cellStyle name="40% - Accent2 5 3 2 2" xfId="29344"/>
    <cellStyle name="40% - Accent2 5 3 2 2 2" xfId="29345"/>
    <cellStyle name="40% - Accent2 5 3 2 2 2 2" xfId="29346"/>
    <cellStyle name="40% - Accent2 5 3 2 2 3" xfId="29347"/>
    <cellStyle name="40% - Accent2 5 3 2 3" xfId="29348"/>
    <cellStyle name="40% - Accent2 5 3 2 3 2" xfId="29349"/>
    <cellStyle name="40% - Accent2 5 3 2 4" xfId="29350"/>
    <cellStyle name="40% - Accent2 5 3 3" xfId="29351"/>
    <cellStyle name="40% - Accent2 5 3 3 2" xfId="29352"/>
    <cellStyle name="40% - Accent2 5 3 3 2 2" xfId="29353"/>
    <cellStyle name="40% - Accent2 5 3 3 3" xfId="29354"/>
    <cellStyle name="40% - Accent2 5 3 4" xfId="29355"/>
    <cellStyle name="40% - Accent2 5 3 4 2" xfId="29356"/>
    <cellStyle name="40% - Accent2 5 3 5" xfId="29357"/>
    <cellStyle name="40% - Accent2 5 4" xfId="29358"/>
    <cellStyle name="40% - Accent2 5 4 2" xfId="29359"/>
    <cellStyle name="40% - Accent2 5 4 2 2" xfId="29360"/>
    <cellStyle name="40% - Accent2 5 4 2 2 2" xfId="29361"/>
    <cellStyle name="40% - Accent2 5 4 2 2 2 2" xfId="29362"/>
    <cellStyle name="40% - Accent2 5 4 2 2 3" xfId="29363"/>
    <cellStyle name="40% - Accent2 5 4 2 3" xfId="29364"/>
    <cellStyle name="40% - Accent2 5 4 2 3 2" xfId="29365"/>
    <cellStyle name="40% - Accent2 5 4 2 4" xfId="29366"/>
    <cellStyle name="40% - Accent2 5 4 3" xfId="29367"/>
    <cellStyle name="40% - Accent2 5 4 3 2" xfId="29368"/>
    <cellStyle name="40% - Accent2 5 4 3 2 2" xfId="29369"/>
    <cellStyle name="40% - Accent2 5 4 3 3" xfId="29370"/>
    <cellStyle name="40% - Accent2 5 4 4" xfId="29371"/>
    <cellStyle name="40% - Accent2 5 4 4 2" xfId="29372"/>
    <cellStyle name="40% - Accent2 5 4 5" xfId="29373"/>
    <cellStyle name="40% - Accent2 5 5" xfId="29374"/>
    <cellStyle name="40% - Accent2 5 5 2" xfId="29375"/>
    <cellStyle name="40% - Accent2 5 5 2 2" xfId="29376"/>
    <cellStyle name="40% - Accent2 5 5 2 2 2" xfId="29377"/>
    <cellStyle name="40% - Accent2 5 5 2 2 2 2" xfId="29378"/>
    <cellStyle name="40% - Accent2 5 5 2 2 3" xfId="29379"/>
    <cellStyle name="40% - Accent2 5 5 2 3" xfId="29380"/>
    <cellStyle name="40% - Accent2 5 5 2 3 2" xfId="29381"/>
    <cellStyle name="40% - Accent2 5 5 2 4" xfId="29382"/>
    <cellStyle name="40% - Accent2 5 5 3" xfId="29383"/>
    <cellStyle name="40% - Accent2 5 5 3 2" xfId="29384"/>
    <cellStyle name="40% - Accent2 5 5 3 2 2" xfId="29385"/>
    <cellStyle name="40% - Accent2 5 5 3 3" xfId="29386"/>
    <cellStyle name="40% - Accent2 5 5 4" xfId="29387"/>
    <cellStyle name="40% - Accent2 5 5 4 2" xfId="29388"/>
    <cellStyle name="40% - Accent2 5 5 5" xfId="29389"/>
    <cellStyle name="40% - Accent2 5 6" xfId="29390"/>
    <cellStyle name="40% - Accent2 5 6 2" xfId="29391"/>
    <cellStyle name="40% - Accent2 5 6 2 2" xfId="29392"/>
    <cellStyle name="40% - Accent2 5 6 2 2 2" xfId="29393"/>
    <cellStyle name="40% - Accent2 5 6 2 2 2 2" xfId="29394"/>
    <cellStyle name="40% - Accent2 5 6 2 2 3" xfId="29395"/>
    <cellStyle name="40% - Accent2 5 6 2 3" xfId="29396"/>
    <cellStyle name="40% - Accent2 5 6 2 3 2" xfId="29397"/>
    <cellStyle name="40% - Accent2 5 6 2 4" xfId="29398"/>
    <cellStyle name="40% - Accent2 5 6 3" xfId="29399"/>
    <cellStyle name="40% - Accent2 5 6 3 2" xfId="29400"/>
    <cellStyle name="40% - Accent2 5 6 3 2 2" xfId="29401"/>
    <cellStyle name="40% - Accent2 5 6 3 3" xfId="29402"/>
    <cellStyle name="40% - Accent2 5 6 4" xfId="29403"/>
    <cellStyle name="40% - Accent2 5 6 4 2" xfId="29404"/>
    <cellStyle name="40% - Accent2 5 6 5" xfId="29405"/>
    <cellStyle name="40% - Accent2 5 7" xfId="29406"/>
    <cellStyle name="40% - Accent2 5 7 2" xfId="29407"/>
    <cellStyle name="40% - Accent2 5 7 2 2" xfId="29408"/>
    <cellStyle name="40% - Accent2 5 7 2 2 2" xfId="29409"/>
    <cellStyle name="40% - Accent2 5 7 2 2 2 2" xfId="29410"/>
    <cellStyle name="40% - Accent2 5 7 2 2 3" xfId="29411"/>
    <cellStyle name="40% - Accent2 5 7 2 3" xfId="29412"/>
    <cellStyle name="40% - Accent2 5 7 2 3 2" xfId="29413"/>
    <cellStyle name="40% - Accent2 5 7 2 4" xfId="29414"/>
    <cellStyle name="40% - Accent2 5 7 3" xfId="29415"/>
    <cellStyle name="40% - Accent2 5 7 3 2" xfId="29416"/>
    <cellStyle name="40% - Accent2 5 7 3 2 2" xfId="29417"/>
    <cellStyle name="40% - Accent2 5 7 3 3" xfId="29418"/>
    <cellStyle name="40% - Accent2 5 7 4" xfId="29419"/>
    <cellStyle name="40% - Accent2 5 7 4 2" xfId="29420"/>
    <cellStyle name="40% - Accent2 5 7 5" xfId="29421"/>
    <cellStyle name="40% - Accent2 5 8" xfId="29422"/>
    <cellStyle name="40% - Accent2 5 8 2" xfId="29423"/>
    <cellStyle name="40% - Accent2 5 8 2 2" xfId="29424"/>
    <cellStyle name="40% - Accent2 5 8 2 2 2" xfId="29425"/>
    <cellStyle name="40% - Accent2 5 8 2 3" xfId="29426"/>
    <cellStyle name="40% - Accent2 5 8 3" xfId="29427"/>
    <cellStyle name="40% - Accent2 5 8 3 2" xfId="29428"/>
    <cellStyle name="40% - Accent2 5 8 4" xfId="29429"/>
    <cellStyle name="40% - Accent2 5 9" xfId="29430"/>
    <cellStyle name="40% - Accent2 5 9 2" xfId="29431"/>
    <cellStyle name="40% - Accent2 5 9 2 2" xfId="29432"/>
    <cellStyle name="40% - Accent2 5 9 3" xfId="29433"/>
    <cellStyle name="40% - Accent2 6" xfId="29434"/>
    <cellStyle name="40% - Accent2 6 10" xfId="29435"/>
    <cellStyle name="40% - Accent2 6 10 2" xfId="29436"/>
    <cellStyle name="40% - Accent2 6 11" xfId="29437"/>
    <cellStyle name="40% - Accent2 6 2" xfId="29438"/>
    <cellStyle name="40% - Accent2 6 2 10" xfId="29439"/>
    <cellStyle name="40% - Accent2 6 2 2" xfId="29440"/>
    <cellStyle name="40% - Accent2 6 2 2 2" xfId="29441"/>
    <cellStyle name="40% - Accent2 6 2 2 2 2" xfId="29442"/>
    <cellStyle name="40% - Accent2 6 2 2 2 2 2" xfId="29443"/>
    <cellStyle name="40% - Accent2 6 2 2 2 2 2 2" xfId="29444"/>
    <cellStyle name="40% - Accent2 6 2 2 2 2 3" xfId="29445"/>
    <cellStyle name="40% - Accent2 6 2 2 2 3" xfId="29446"/>
    <cellStyle name="40% - Accent2 6 2 2 2 3 2" xfId="29447"/>
    <cellStyle name="40% - Accent2 6 2 2 2 4" xfId="29448"/>
    <cellStyle name="40% - Accent2 6 2 2 3" xfId="29449"/>
    <cellStyle name="40% - Accent2 6 2 2 3 2" xfId="29450"/>
    <cellStyle name="40% - Accent2 6 2 2 3 2 2" xfId="29451"/>
    <cellStyle name="40% - Accent2 6 2 2 3 3" xfId="29452"/>
    <cellStyle name="40% - Accent2 6 2 2 4" xfId="29453"/>
    <cellStyle name="40% - Accent2 6 2 2 4 2" xfId="29454"/>
    <cellStyle name="40% - Accent2 6 2 2 5" xfId="29455"/>
    <cellStyle name="40% - Accent2 6 2 3" xfId="29456"/>
    <cellStyle name="40% - Accent2 6 2 3 2" xfId="29457"/>
    <cellStyle name="40% - Accent2 6 2 3 2 2" xfId="29458"/>
    <cellStyle name="40% - Accent2 6 2 3 2 2 2" xfId="29459"/>
    <cellStyle name="40% - Accent2 6 2 3 2 2 2 2" xfId="29460"/>
    <cellStyle name="40% - Accent2 6 2 3 2 2 3" xfId="29461"/>
    <cellStyle name="40% - Accent2 6 2 3 2 3" xfId="29462"/>
    <cellStyle name="40% - Accent2 6 2 3 2 3 2" xfId="29463"/>
    <cellStyle name="40% - Accent2 6 2 3 2 4" xfId="29464"/>
    <cellStyle name="40% - Accent2 6 2 3 3" xfId="29465"/>
    <cellStyle name="40% - Accent2 6 2 3 3 2" xfId="29466"/>
    <cellStyle name="40% - Accent2 6 2 3 3 2 2" xfId="29467"/>
    <cellStyle name="40% - Accent2 6 2 3 3 3" xfId="29468"/>
    <cellStyle name="40% - Accent2 6 2 3 4" xfId="29469"/>
    <cellStyle name="40% - Accent2 6 2 3 4 2" xfId="29470"/>
    <cellStyle name="40% - Accent2 6 2 3 5" xfId="29471"/>
    <cellStyle name="40% - Accent2 6 2 4" xfId="29472"/>
    <cellStyle name="40% - Accent2 6 2 4 2" xfId="29473"/>
    <cellStyle name="40% - Accent2 6 2 4 2 2" xfId="29474"/>
    <cellStyle name="40% - Accent2 6 2 4 2 2 2" xfId="29475"/>
    <cellStyle name="40% - Accent2 6 2 4 2 2 2 2" xfId="29476"/>
    <cellStyle name="40% - Accent2 6 2 4 2 2 3" xfId="29477"/>
    <cellStyle name="40% - Accent2 6 2 4 2 3" xfId="29478"/>
    <cellStyle name="40% - Accent2 6 2 4 2 3 2" xfId="29479"/>
    <cellStyle name="40% - Accent2 6 2 4 2 4" xfId="29480"/>
    <cellStyle name="40% - Accent2 6 2 4 3" xfId="29481"/>
    <cellStyle name="40% - Accent2 6 2 4 3 2" xfId="29482"/>
    <cellStyle name="40% - Accent2 6 2 4 3 2 2" xfId="29483"/>
    <cellStyle name="40% - Accent2 6 2 4 3 3" xfId="29484"/>
    <cellStyle name="40% - Accent2 6 2 4 4" xfId="29485"/>
    <cellStyle name="40% - Accent2 6 2 4 4 2" xfId="29486"/>
    <cellStyle name="40% - Accent2 6 2 4 5" xfId="29487"/>
    <cellStyle name="40% - Accent2 6 2 5" xfId="29488"/>
    <cellStyle name="40% - Accent2 6 2 5 2" xfId="29489"/>
    <cellStyle name="40% - Accent2 6 2 5 2 2" xfId="29490"/>
    <cellStyle name="40% - Accent2 6 2 5 2 2 2" xfId="29491"/>
    <cellStyle name="40% - Accent2 6 2 5 2 2 2 2" xfId="29492"/>
    <cellStyle name="40% - Accent2 6 2 5 2 2 3" xfId="29493"/>
    <cellStyle name="40% - Accent2 6 2 5 2 3" xfId="29494"/>
    <cellStyle name="40% - Accent2 6 2 5 2 3 2" xfId="29495"/>
    <cellStyle name="40% - Accent2 6 2 5 2 4" xfId="29496"/>
    <cellStyle name="40% - Accent2 6 2 5 3" xfId="29497"/>
    <cellStyle name="40% - Accent2 6 2 5 3 2" xfId="29498"/>
    <cellStyle name="40% - Accent2 6 2 5 3 2 2" xfId="29499"/>
    <cellStyle name="40% - Accent2 6 2 5 3 3" xfId="29500"/>
    <cellStyle name="40% - Accent2 6 2 5 4" xfId="29501"/>
    <cellStyle name="40% - Accent2 6 2 5 4 2" xfId="29502"/>
    <cellStyle name="40% - Accent2 6 2 5 5" xfId="29503"/>
    <cellStyle name="40% - Accent2 6 2 6" xfId="29504"/>
    <cellStyle name="40% - Accent2 6 2 6 2" xfId="29505"/>
    <cellStyle name="40% - Accent2 6 2 6 2 2" xfId="29506"/>
    <cellStyle name="40% - Accent2 6 2 6 2 2 2" xfId="29507"/>
    <cellStyle name="40% - Accent2 6 2 6 2 2 2 2" xfId="29508"/>
    <cellStyle name="40% - Accent2 6 2 6 2 2 3" xfId="29509"/>
    <cellStyle name="40% - Accent2 6 2 6 2 3" xfId="29510"/>
    <cellStyle name="40% - Accent2 6 2 6 2 3 2" xfId="29511"/>
    <cellStyle name="40% - Accent2 6 2 6 2 4" xfId="29512"/>
    <cellStyle name="40% - Accent2 6 2 6 3" xfId="29513"/>
    <cellStyle name="40% - Accent2 6 2 6 3 2" xfId="29514"/>
    <cellStyle name="40% - Accent2 6 2 6 3 2 2" xfId="29515"/>
    <cellStyle name="40% - Accent2 6 2 6 3 3" xfId="29516"/>
    <cellStyle name="40% - Accent2 6 2 6 4" xfId="29517"/>
    <cellStyle name="40% - Accent2 6 2 6 4 2" xfId="29518"/>
    <cellStyle name="40% - Accent2 6 2 6 5" xfId="29519"/>
    <cellStyle name="40% - Accent2 6 2 7" xfId="29520"/>
    <cellStyle name="40% - Accent2 6 2 7 2" xfId="29521"/>
    <cellStyle name="40% - Accent2 6 2 7 2 2" xfId="29522"/>
    <cellStyle name="40% - Accent2 6 2 7 2 2 2" xfId="29523"/>
    <cellStyle name="40% - Accent2 6 2 7 2 3" xfId="29524"/>
    <cellStyle name="40% - Accent2 6 2 7 3" xfId="29525"/>
    <cellStyle name="40% - Accent2 6 2 7 3 2" xfId="29526"/>
    <cellStyle name="40% - Accent2 6 2 7 4" xfId="29527"/>
    <cellStyle name="40% - Accent2 6 2 8" xfId="29528"/>
    <cellStyle name="40% - Accent2 6 2 8 2" xfId="29529"/>
    <cellStyle name="40% - Accent2 6 2 8 2 2" xfId="29530"/>
    <cellStyle name="40% - Accent2 6 2 8 3" xfId="29531"/>
    <cellStyle name="40% - Accent2 6 2 9" xfId="29532"/>
    <cellStyle name="40% - Accent2 6 2 9 2" xfId="29533"/>
    <cellStyle name="40% - Accent2 6 3" xfId="29534"/>
    <cellStyle name="40% - Accent2 6 3 2" xfId="29535"/>
    <cellStyle name="40% - Accent2 6 3 2 2" xfId="29536"/>
    <cellStyle name="40% - Accent2 6 3 2 2 2" xfId="29537"/>
    <cellStyle name="40% - Accent2 6 3 2 2 2 2" xfId="29538"/>
    <cellStyle name="40% - Accent2 6 3 2 2 3" xfId="29539"/>
    <cellStyle name="40% - Accent2 6 3 2 3" xfId="29540"/>
    <cellStyle name="40% - Accent2 6 3 2 3 2" xfId="29541"/>
    <cellStyle name="40% - Accent2 6 3 2 4" xfId="29542"/>
    <cellStyle name="40% - Accent2 6 3 3" xfId="29543"/>
    <cellStyle name="40% - Accent2 6 3 3 2" xfId="29544"/>
    <cellStyle name="40% - Accent2 6 3 3 2 2" xfId="29545"/>
    <cellStyle name="40% - Accent2 6 3 3 3" xfId="29546"/>
    <cellStyle name="40% - Accent2 6 3 4" xfId="29547"/>
    <cellStyle name="40% - Accent2 6 3 4 2" xfId="29548"/>
    <cellStyle name="40% - Accent2 6 3 5" xfId="29549"/>
    <cellStyle name="40% - Accent2 6 4" xfId="29550"/>
    <cellStyle name="40% - Accent2 6 4 2" xfId="29551"/>
    <cellStyle name="40% - Accent2 6 4 2 2" xfId="29552"/>
    <cellStyle name="40% - Accent2 6 4 2 2 2" xfId="29553"/>
    <cellStyle name="40% - Accent2 6 4 2 2 2 2" xfId="29554"/>
    <cellStyle name="40% - Accent2 6 4 2 2 3" xfId="29555"/>
    <cellStyle name="40% - Accent2 6 4 2 3" xfId="29556"/>
    <cellStyle name="40% - Accent2 6 4 2 3 2" xfId="29557"/>
    <cellStyle name="40% - Accent2 6 4 2 4" xfId="29558"/>
    <cellStyle name="40% - Accent2 6 4 3" xfId="29559"/>
    <cellStyle name="40% - Accent2 6 4 3 2" xfId="29560"/>
    <cellStyle name="40% - Accent2 6 4 3 2 2" xfId="29561"/>
    <cellStyle name="40% - Accent2 6 4 3 3" xfId="29562"/>
    <cellStyle name="40% - Accent2 6 4 4" xfId="29563"/>
    <cellStyle name="40% - Accent2 6 4 4 2" xfId="29564"/>
    <cellStyle name="40% - Accent2 6 4 5" xfId="29565"/>
    <cellStyle name="40% - Accent2 6 5" xfId="29566"/>
    <cellStyle name="40% - Accent2 6 5 2" xfId="29567"/>
    <cellStyle name="40% - Accent2 6 5 2 2" xfId="29568"/>
    <cellStyle name="40% - Accent2 6 5 2 2 2" xfId="29569"/>
    <cellStyle name="40% - Accent2 6 5 2 2 2 2" xfId="29570"/>
    <cellStyle name="40% - Accent2 6 5 2 2 3" xfId="29571"/>
    <cellStyle name="40% - Accent2 6 5 2 3" xfId="29572"/>
    <cellStyle name="40% - Accent2 6 5 2 3 2" xfId="29573"/>
    <cellStyle name="40% - Accent2 6 5 2 4" xfId="29574"/>
    <cellStyle name="40% - Accent2 6 5 3" xfId="29575"/>
    <cellStyle name="40% - Accent2 6 5 3 2" xfId="29576"/>
    <cellStyle name="40% - Accent2 6 5 3 2 2" xfId="29577"/>
    <cellStyle name="40% - Accent2 6 5 3 3" xfId="29578"/>
    <cellStyle name="40% - Accent2 6 5 4" xfId="29579"/>
    <cellStyle name="40% - Accent2 6 5 4 2" xfId="29580"/>
    <cellStyle name="40% - Accent2 6 5 5" xfId="29581"/>
    <cellStyle name="40% - Accent2 6 6" xfId="29582"/>
    <cellStyle name="40% - Accent2 6 6 2" xfId="29583"/>
    <cellStyle name="40% - Accent2 6 6 2 2" xfId="29584"/>
    <cellStyle name="40% - Accent2 6 6 2 2 2" xfId="29585"/>
    <cellStyle name="40% - Accent2 6 6 2 2 2 2" xfId="29586"/>
    <cellStyle name="40% - Accent2 6 6 2 2 3" xfId="29587"/>
    <cellStyle name="40% - Accent2 6 6 2 3" xfId="29588"/>
    <cellStyle name="40% - Accent2 6 6 2 3 2" xfId="29589"/>
    <cellStyle name="40% - Accent2 6 6 2 4" xfId="29590"/>
    <cellStyle name="40% - Accent2 6 6 3" xfId="29591"/>
    <cellStyle name="40% - Accent2 6 6 3 2" xfId="29592"/>
    <cellStyle name="40% - Accent2 6 6 3 2 2" xfId="29593"/>
    <cellStyle name="40% - Accent2 6 6 3 3" xfId="29594"/>
    <cellStyle name="40% - Accent2 6 6 4" xfId="29595"/>
    <cellStyle name="40% - Accent2 6 6 4 2" xfId="29596"/>
    <cellStyle name="40% - Accent2 6 6 5" xfId="29597"/>
    <cellStyle name="40% - Accent2 6 7" xfId="29598"/>
    <cellStyle name="40% - Accent2 6 7 2" xfId="29599"/>
    <cellStyle name="40% - Accent2 6 7 2 2" xfId="29600"/>
    <cellStyle name="40% - Accent2 6 7 2 2 2" xfId="29601"/>
    <cellStyle name="40% - Accent2 6 7 2 2 2 2" xfId="29602"/>
    <cellStyle name="40% - Accent2 6 7 2 2 3" xfId="29603"/>
    <cellStyle name="40% - Accent2 6 7 2 3" xfId="29604"/>
    <cellStyle name="40% - Accent2 6 7 2 3 2" xfId="29605"/>
    <cellStyle name="40% - Accent2 6 7 2 4" xfId="29606"/>
    <cellStyle name="40% - Accent2 6 7 3" xfId="29607"/>
    <cellStyle name="40% - Accent2 6 7 3 2" xfId="29608"/>
    <cellStyle name="40% - Accent2 6 7 3 2 2" xfId="29609"/>
    <cellStyle name="40% - Accent2 6 7 3 3" xfId="29610"/>
    <cellStyle name="40% - Accent2 6 7 4" xfId="29611"/>
    <cellStyle name="40% - Accent2 6 7 4 2" xfId="29612"/>
    <cellStyle name="40% - Accent2 6 7 5" xfId="29613"/>
    <cellStyle name="40% - Accent2 6 8" xfId="29614"/>
    <cellStyle name="40% - Accent2 6 8 2" xfId="29615"/>
    <cellStyle name="40% - Accent2 6 8 2 2" xfId="29616"/>
    <cellStyle name="40% - Accent2 6 8 2 2 2" xfId="29617"/>
    <cellStyle name="40% - Accent2 6 8 2 3" xfId="29618"/>
    <cellStyle name="40% - Accent2 6 8 3" xfId="29619"/>
    <cellStyle name="40% - Accent2 6 8 3 2" xfId="29620"/>
    <cellStyle name="40% - Accent2 6 8 4" xfId="29621"/>
    <cellStyle name="40% - Accent2 6 9" xfId="29622"/>
    <cellStyle name="40% - Accent2 6 9 2" xfId="29623"/>
    <cellStyle name="40% - Accent2 6 9 2 2" xfId="29624"/>
    <cellStyle name="40% - Accent2 6 9 3" xfId="29625"/>
    <cellStyle name="40% - Accent2 7" xfId="29626"/>
    <cellStyle name="40% - Accent2 7 10" xfId="29627"/>
    <cellStyle name="40% - Accent2 7 10 2" xfId="29628"/>
    <cellStyle name="40% - Accent2 7 11" xfId="29629"/>
    <cellStyle name="40% - Accent2 7 2" xfId="29630"/>
    <cellStyle name="40% - Accent2 7 2 10" xfId="29631"/>
    <cellStyle name="40% - Accent2 7 2 2" xfId="29632"/>
    <cellStyle name="40% - Accent2 7 2 2 2" xfId="29633"/>
    <cellStyle name="40% - Accent2 7 2 2 2 2" xfId="29634"/>
    <cellStyle name="40% - Accent2 7 2 2 2 2 2" xfId="29635"/>
    <cellStyle name="40% - Accent2 7 2 2 2 2 2 2" xfId="29636"/>
    <cellStyle name="40% - Accent2 7 2 2 2 2 3" xfId="29637"/>
    <cellStyle name="40% - Accent2 7 2 2 2 3" xfId="29638"/>
    <cellStyle name="40% - Accent2 7 2 2 2 3 2" xfId="29639"/>
    <cellStyle name="40% - Accent2 7 2 2 2 4" xfId="29640"/>
    <cellStyle name="40% - Accent2 7 2 2 3" xfId="29641"/>
    <cellStyle name="40% - Accent2 7 2 2 3 2" xfId="29642"/>
    <cellStyle name="40% - Accent2 7 2 2 3 2 2" xfId="29643"/>
    <cellStyle name="40% - Accent2 7 2 2 3 3" xfId="29644"/>
    <cellStyle name="40% - Accent2 7 2 2 4" xfId="29645"/>
    <cellStyle name="40% - Accent2 7 2 2 4 2" xfId="29646"/>
    <cellStyle name="40% - Accent2 7 2 2 5" xfId="29647"/>
    <cellStyle name="40% - Accent2 7 2 3" xfId="29648"/>
    <cellStyle name="40% - Accent2 7 2 3 2" xfId="29649"/>
    <cellStyle name="40% - Accent2 7 2 3 2 2" xfId="29650"/>
    <cellStyle name="40% - Accent2 7 2 3 2 2 2" xfId="29651"/>
    <cellStyle name="40% - Accent2 7 2 3 2 2 2 2" xfId="29652"/>
    <cellStyle name="40% - Accent2 7 2 3 2 2 3" xfId="29653"/>
    <cellStyle name="40% - Accent2 7 2 3 2 3" xfId="29654"/>
    <cellStyle name="40% - Accent2 7 2 3 2 3 2" xfId="29655"/>
    <cellStyle name="40% - Accent2 7 2 3 2 4" xfId="29656"/>
    <cellStyle name="40% - Accent2 7 2 3 3" xfId="29657"/>
    <cellStyle name="40% - Accent2 7 2 3 3 2" xfId="29658"/>
    <cellStyle name="40% - Accent2 7 2 3 3 2 2" xfId="29659"/>
    <cellStyle name="40% - Accent2 7 2 3 3 3" xfId="29660"/>
    <cellStyle name="40% - Accent2 7 2 3 4" xfId="29661"/>
    <cellStyle name="40% - Accent2 7 2 3 4 2" xfId="29662"/>
    <cellStyle name="40% - Accent2 7 2 3 5" xfId="29663"/>
    <cellStyle name="40% - Accent2 7 2 4" xfId="29664"/>
    <cellStyle name="40% - Accent2 7 2 4 2" xfId="29665"/>
    <cellStyle name="40% - Accent2 7 2 4 2 2" xfId="29666"/>
    <cellStyle name="40% - Accent2 7 2 4 2 2 2" xfId="29667"/>
    <cellStyle name="40% - Accent2 7 2 4 2 2 2 2" xfId="29668"/>
    <cellStyle name="40% - Accent2 7 2 4 2 2 3" xfId="29669"/>
    <cellStyle name="40% - Accent2 7 2 4 2 3" xfId="29670"/>
    <cellStyle name="40% - Accent2 7 2 4 2 3 2" xfId="29671"/>
    <cellStyle name="40% - Accent2 7 2 4 2 4" xfId="29672"/>
    <cellStyle name="40% - Accent2 7 2 4 3" xfId="29673"/>
    <cellStyle name="40% - Accent2 7 2 4 3 2" xfId="29674"/>
    <cellStyle name="40% - Accent2 7 2 4 3 2 2" xfId="29675"/>
    <cellStyle name="40% - Accent2 7 2 4 3 3" xfId="29676"/>
    <cellStyle name="40% - Accent2 7 2 4 4" xfId="29677"/>
    <cellStyle name="40% - Accent2 7 2 4 4 2" xfId="29678"/>
    <cellStyle name="40% - Accent2 7 2 4 5" xfId="29679"/>
    <cellStyle name="40% - Accent2 7 2 5" xfId="29680"/>
    <cellStyle name="40% - Accent2 7 2 5 2" xfId="29681"/>
    <cellStyle name="40% - Accent2 7 2 5 2 2" xfId="29682"/>
    <cellStyle name="40% - Accent2 7 2 5 2 2 2" xfId="29683"/>
    <cellStyle name="40% - Accent2 7 2 5 2 2 2 2" xfId="29684"/>
    <cellStyle name="40% - Accent2 7 2 5 2 2 3" xfId="29685"/>
    <cellStyle name="40% - Accent2 7 2 5 2 3" xfId="29686"/>
    <cellStyle name="40% - Accent2 7 2 5 2 3 2" xfId="29687"/>
    <cellStyle name="40% - Accent2 7 2 5 2 4" xfId="29688"/>
    <cellStyle name="40% - Accent2 7 2 5 3" xfId="29689"/>
    <cellStyle name="40% - Accent2 7 2 5 3 2" xfId="29690"/>
    <cellStyle name="40% - Accent2 7 2 5 3 2 2" xfId="29691"/>
    <cellStyle name="40% - Accent2 7 2 5 3 3" xfId="29692"/>
    <cellStyle name="40% - Accent2 7 2 5 4" xfId="29693"/>
    <cellStyle name="40% - Accent2 7 2 5 4 2" xfId="29694"/>
    <cellStyle name="40% - Accent2 7 2 5 5" xfId="29695"/>
    <cellStyle name="40% - Accent2 7 2 6" xfId="29696"/>
    <cellStyle name="40% - Accent2 7 2 6 2" xfId="29697"/>
    <cellStyle name="40% - Accent2 7 2 6 2 2" xfId="29698"/>
    <cellStyle name="40% - Accent2 7 2 6 2 2 2" xfId="29699"/>
    <cellStyle name="40% - Accent2 7 2 6 2 2 2 2" xfId="29700"/>
    <cellStyle name="40% - Accent2 7 2 6 2 2 3" xfId="29701"/>
    <cellStyle name="40% - Accent2 7 2 6 2 3" xfId="29702"/>
    <cellStyle name="40% - Accent2 7 2 6 2 3 2" xfId="29703"/>
    <cellStyle name="40% - Accent2 7 2 6 2 4" xfId="29704"/>
    <cellStyle name="40% - Accent2 7 2 6 3" xfId="29705"/>
    <cellStyle name="40% - Accent2 7 2 6 3 2" xfId="29706"/>
    <cellStyle name="40% - Accent2 7 2 6 3 2 2" xfId="29707"/>
    <cellStyle name="40% - Accent2 7 2 6 3 3" xfId="29708"/>
    <cellStyle name="40% - Accent2 7 2 6 4" xfId="29709"/>
    <cellStyle name="40% - Accent2 7 2 6 4 2" xfId="29710"/>
    <cellStyle name="40% - Accent2 7 2 6 5" xfId="29711"/>
    <cellStyle name="40% - Accent2 7 2 7" xfId="29712"/>
    <cellStyle name="40% - Accent2 7 2 7 2" xfId="29713"/>
    <cellStyle name="40% - Accent2 7 2 7 2 2" xfId="29714"/>
    <cellStyle name="40% - Accent2 7 2 7 2 2 2" xfId="29715"/>
    <cellStyle name="40% - Accent2 7 2 7 2 3" xfId="29716"/>
    <cellStyle name="40% - Accent2 7 2 7 3" xfId="29717"/>
    <cellStyle name="40% - Accent2 7 2 7 3 2" xfId="29718"/>
    <cellStyle name="40% - Accent2 7 2 7 4" xfId="29719"/>
    <cellStyle name="40% - Accent2 7 2 8" xfId="29720"/>
    <cellStyle name="40% - Accent2 7 2 8 2" xfId="29721"/>
    <cellStyle name="40% - Accent2 7 2 8 2 2" xfId="29722"/>
    <cellStyle name="40% - Accent2 7 2 8 3" xfId="29723"/>
    <cellStyle name="40% - Accent2 7 2 9" xfId="29724"/>
    <cellStyle name="40% - Accent2 7 2 9 2" xfId="29725"/>
    <cellStyle name="40% - Accent2 7 3" xfId="29726"/>
    <cellStyle name="40% - Accent2 7 3 2" xfId="29727"/>
    <cellStyle name="40% - Accent2 7 3 2 2" xfId="29728"/>
    <cellStyle name="40% - Accent2 7 3 2 2 2" xfId="29729"/>
    <cellStyle name="40% - Accent2 7 3 2 2 2 2" xfId="29730"/>
    <cellStyle name="40% - Accent2 7 3 2 2 3" xfId="29731"/>
    <cellStyle name="40% - Accent2 7 3 2 3" xfId="29732"/>
    <cellStyle name="40% - Accent2 7 3 2 3 2" xfId="29733"/>
    <cellStyle name="40% - Accent2 7 3 2 4" xfId="29734"/>
    <cellStyle name="40% - Accent2 7 3 3" xfId="29735"/>
    <cellStyle name="40% - Accent2 7 3 3 2" xfId="29736"/>
    <cellStyle name="40% - Accent2 7 3 3 2 2" xfId="29737"/>
    <cellStyle name="40% - Accent2 7 3 3 3" xfId="29738"/>
    <cellStyle name="40% - Accent2 7 3 4" xfId="29739"/>
    <cellStyle name="40% - Accent2 7 3 4 2" xfId="29740"/>
    <cellStyle name="40% - Accent2 7 3 5" xfId="29741"/>
    <cellStyle name="40% - Accent2 7 4" xfId="29742"/>
    <cellStyle name="40% - Accent2 7 4 2" xfId="29743"/>
    <cellStyle name="40% - Accent2 7 4 2 2" xfId="29744"/>
    <cellStyle name="40% - Accent2 7 4 2 2 2" xfId="29745"/>
    <cellStyle name="40% - Accent2 7 4 2 2 2 2" xfId="29746"/>
    <cellStyle name="40% - Accent2 7 4 2 2 3" xfId="29747"/>
    <cellStyle name="40% - Accent2 7 4 2 3" xfId="29748"/>
    <cellStyle name="40% - Accent2 7 4 2 3 2" xfId="29749"/>
    <cellStyle name="40% - Accent2 7 4 2 4" xfId="29750"/>
    <cellStyle name="40% - Accent2 7 4 3" xfId="29751"/>
    <cellStyle name="40% - Accent2 7 4 3 2" xfId="29752"/>
    <cellStyle name="40% - Accent2 7 4 3 2 2" xfId="29753"/>
    <cellStyle name="40% - Accent2 7 4 3 3" xfId="29754"/>
    <cellStyle name="40% - Accent2 7 4 4" xfId="29755"/>
    <cellStyle name="40% - Accent2 7 4 4 2" xfId="29756"/>
    <cellStyle name="40% - Accent2 7 4 5" xfId="29757"/>
    <cellStyle name="40% - Accent2 7 5" xfId="29758"/>
    <cellStyle name="40% - Accent2 7 5 2" xfId="29759"/>
    <cellStyle name="40% - Accent2 7 5 2 2" xfId="29760"/>
    <cellStyle name="40% - Accent2 7 5 2 2 2" xfId="29761"/>
    <cellStyle name="40% - Accent2 7 5 2 2 2 2" xfId="29762"/>
    <cellStyle name="40% - Accent2 7 5 2 2 3" xfId="29763"/>
    <cellStyle name="40% - Accent2 7 5 2 3" xfId="29764"/>
    <cellStyle name="40% - Accent2 7 5 2 3 2" xfId="29765"/>
    <cellStyle name="40% - Accent2 7 5 2 4" xfId="29766"/>
    <cellStyle name="40% - Accent2 7 5 3" xfId="29767"/>
    <cellStyle name="40% - Accent2 7 5 3 2" xfId="29768"/>
    <cellStyle name="40% - Accent2 7 5 3 2 2" xfId="29769"/>
    <cellStyle name="40% - Accent2 7 5 3 3" xfId="29770"/>
    <cellStyle name="40% - Accent2 7 5 4" xfId="29771"/>
    <cellStyle name="40% - Accent2 7 5 4 2" xfId="29772"/>
    <cellStyle name="40% - Accent2 7 5 5" xfId="29773"/>
    <cellStyle name="40% - Accent2 7 6" xfId="29774"/>
    <cellStyle name="40% - Accent2 7 6 2" xfId="29775"/>
    <cellStyle name="40% - Accent2 7 6 2 2" xfId="29776"/>
    <cellStyle name="40% - Accent2 7 6 2 2 2" xfId="29777"/>
    <cellStyle name="40% - Accent2 7 6 2 2 2 2" xfId="29778"/>
    <cellStyle name="40% - Accent2 7 6 2 2 3" xfId="29779"/>
    <cellStyle name="40% - Accent2 7 6 2 3" xfId="29780"/>
    <cellStyle name="40% - Accent2 7 6 2 3 2" xfId="29781"/>
    <cellStyle name="40% - Accent2 7 6 2 4" xfId="29782"/>
    <cellStyle name="40% - Accent2 7 6 3" xfId="29783"/>
    <cellStyle name="40% - Accent2 7 6 3 2" xfId="29784"/>
    <cellStyle name="40% - Accent2 7 6 3 2 2" xfId="29785"/>
    <cellStyle name="40% - Accent2 7 6 3 3" xfId="29786"/>
    <cellStyle name="40% - Accent2 7 6 4" xfId="29787"/>
    <cellStyle name="40% - Accent2 7 6 4 2" xfId="29788"/>
    <cellStyle name="40% - Accent2 7 6 5" xfId="29789"/>
    <cellStyle name="40% - Accent2 7 7" xfId="29790"/>
    <cellStyle name="40% - Accent2 7 7 2" xfId="29791"/>
    <cellStyle name="40% - Accent2 7 7 2 2" xfId="29792"/>
    <cellStyle name="40% - Accent2 7 7 2 2 2" xfId="29793"/>
    <cellStyle name="40% - Accent2 7 7 2 2 2 2" xfId="29794"/>
    <cellStyle name="40% - Accent2 7 7 2 2 3" xfId="29795"/>
    <cellStyle name="40% - Accent2 7 7 2 3" xfId="29796"/>
    <cellStyle name="40% - Accent2 7 7 2 3 2" xfId="29797"/>
    <cellStyle name="40% - Accent2 7 7 2 4" xfId="29798"/>
    <cellStyle name="40% - Accent2 7 7 3" xfId="29799"/>
    <cellStyle name="40% - Accent2 7 7 3 2" xfId="29800"/>
    <cellStyle name="40% - Accent2 7 7 3 2 2" xfId="29801"/>
    <cellStyle name="40% - Accent2 7 7 3 3" xfId="29802"/>
    <cellStyle name="40% - Accent2 7 7 4" xfId="29803"/>
    <cellStyle name="40% - Accent2 7 7 4 2" xfId="29804"/>
    <cellStyle name="40% - Accent2 7 7 5" xfId="29805"/>
    <cellStyle name="40% - Accent2 7 8" xfId="29806"/>
    <cellStyle name="40% - Accent2 7 8 2" xfId="29807"/>
    <cellStyle name="40% - Accent2 7 8 2 2" xfId="29808"/>
    <cellStyle name="40% - Accent2 7 8 2 2 2" xfId="29809"/>
    <cellStyle name="40% - Accent2 7 8 2 3" xfId="29810"/>
    <cellStyle name="40% - Accent2 7 8 3" xfId="29811"/>
    <cellStyle name="40% - Accent2 7 8 3 2" xfId="29812"/>
    <cellStyle name="40% - Accent2 7 8 4" xfId="29813"/>
    <cellStyle name="40% - Accent2 7 9" xfId="29814"/>
    <cellStyle name="40% - Accent2 7 9 2" xfId="29815"/>
    <cellStyle name="40% - Accent2 7 9 2 2" xfId="29816"/>
    <cellStyle name="40% - Accent2 7 9 3" xfId="29817"/>
    <cellStyle name="40% - Accent2 8" xfId="29818"/>
    <cellStyle name="40% - Accent2 8 10" xfId="29819"/>
    <cellStyle name="40% - Accent2 8 10 2" xfId="29820"/>
    <cellStyle name="40% - Accent2 8 11" xfId="29821"/>
    <cellStyle name="40% - Accent2 8 2" xfId="29822"/>
    <cellStyle name="40% - Accent2 8 2 10" xfId="29823"/>
    <cellStyle name="40% - Accent2 8 2 2" xfId="29824"/>
    <cellStyle name="40% - Accent2 8 2 2 2" xfId="29825"/>
    <cellStyle name="40% - Accent2 8 2 2 2 2" xfId="29826"/>
    <cellStyle name="40% - Accent2 8 2 2 2 2 2" xfId="29827"/>
    <cellStyle name="40% - Accent2 8 2 2 2 2 2 2" xfId="29828"/>
    <cellStyle name="40% - Accent2 8 2 2 2 2 3" xfId="29829"/>
    <cellStyle name="40% - Accent2 8 2 2 2 3" xfId="29830"/>
    <cellStyle name="40% - Accent2 8 2 2 2 3 2" xfId="29831"/>
    <cellStyle name="40% - Accent2 8 2 2 2 4" xfId="29832"/>
    <cellStyle name="40% - Accent2 8 2 2 3" xfId="29833"/>
    <cellStyle name="40% - Accent2 8 2 2 3 2" xfId="29834"/>
    <cellStyle name="40% - Accent2 8 2 2 3 2 2" xfId="29835"/>
    <cellStyle name="40% - Accent2 8 2 2 3 3" xfId="29836"/>
    <cellStyle name="40% - Accent2 8 2 2 4" xfId="29837"/>
    <cellStyle name="40% - Accent2 8 2 2 4 2" xfId="29838"/>
    <cellStyle name="40% - Accent2 8 2 2 5" xfId="29839"/>
    <cellStyle name="40% - Accent2 8 2 3" xfId="29840"/>
    <cellStyle name="40% - Accent2 8 2 3 2" xfId="29841"/>
    <cellStyle name="40% - Accent2 8 2 3 2 2" xfId="29842"/>
    <cellStyle name="40% - Accent2 8 2 3 2 2 2" xfId="29843"/>
    <cellStyle name="40% - Accent2 8 2 3 2 2 2 2" xfId="29844"/>
    <cellStyle name="40% - Accent2 8 2 3 2 2 3" xfId="29845"/>
    <cellStyle name="40% - Accent2 8 2 3 2 3" xfId="29846"/>
    <cellStyle name="40% - Accent2 8 2 3 2 3 2" xfId="29847"/>
    <cellStyle name="40% - Accent2 8 2 3 2 4" xfId="29848"/>
    <cellStyle name="40% - Accent2 8 2 3 3" xfId="29849"/>
    <cellStyle name="40% - Accent2 8 2 3 3 2" xfId="29850"/>
    <cellStyle name="40% - Accent2 8 2 3 3 2 2" xfId="29851"/>
    <cellStyle name="40% - Accent2 8 2 3 3 3" xfId="29852"/>
    <cellStyle name="40% - Accent2 8 2 3 4" xfId="29853"/>
    <cellStyle name="40% - Accent2 8 2 3 4 2" xfId="29854"/>
    <cellStyle name="40% - Accent2 8 2 3 5" xfId="29855"/>
    <cellStyle name="40% - Accent2 8 2 4" xfId="29856"/>
    <cellStyle name="40% - Accent2 8 2 4 2" xfId="29857"/>
    <cellStyle name="40% - Accent2 8 2 4 2 2" xfId="29858"/>
    <cellStyle name="40% - Accent2 8 2 4 2 2 2" xfId="29859"/>
    <cellStyle name="40% - Accent2 8 2 4 2 2 2 2" xfId="29860"/>
    <cellStyle name="40% - Accent2 8 2 4 2 2 3" xfId="29861"/>
    <cellStyle name="40% - Accent2 8 2 4 2 3" xfId="29862"/>
    <cellStyle name="40% - Accent2 8 2 4 2 3 2" xfId="29863"/>
    <cellStyle name="40% - Accent2 8 2 4 2 4" xfId="29864"/>
    <cellStyle name="40% - Accent2 8 2 4 3" xfId="29865"/>
    <cellStyle name="40% - Accent2 8 2 4 3 2" xfId="29866"/>
    <cellStyle name="40% - Accent2 8 2 4 3 2 2" xfId="29867"/>
    <cellStyle name="40% - Accent2 8 2 4 3 3" xfId="29868"/>
    <cellStyle name="40% - Accent2 8 2 4 4" xfId="29869"/>
    <cellStyle name="40% - Accent2 8 2 4 4 2" xfId="29870"/>
    <cellStyle name="40% - Accent2 8 2 4 5" xfId="29871"/>
    <cellStyle name="40% - Accent2 8 2 5" xfId="29872"/>
    <cellStyle name="40% - Accent2 8 2 5 2" xfId="29873"/>
    <cellStyle name="40% - Accent2 8 2 5 2 2" xfId="29874"/>
    <cellStyle name="40% - Accent2 8 2 5 2 2 2" xfId="29875"/>
    <cellStyle name="40% - Accent2 8 2 5 2 2 2 2" xfId="29876"/>
    <cellStyle name="40% - Accent2 8 2 5 2 2 3" xfId="29877"/>
    <cellStyle name="40% - Accent2 8 2 5 2 3" xfId="29878"/>
    <cellStyle name="40% - Accent2 8 2 5 2 3 2" xfId="29879"/>
    <cellStyle name="40% - Accent2 8 2 5 2 4" xfId="29880"/>
    <cellStyle name="40% - Accent2 8 2 5 3" xfId="29881"/>
    <cellStyle name="40% - Accent2 8 2 5 3 2" xfId="29882"/>
    <cellStyle name="40% - Accent2 8 2 5 3 2 2" xfId="29883"/>
    <cellStyle name="40% - Accent2 8 2 5 3 3" xfId="29884"/>
    <cellStyle name="40% - Accent2 8 2 5 4" xfId="29885"/>
    <cellStyle name="40% - Accent2 8 2 5 4 2" xfId="29886"/>
    <cellStyle name="40% - Accent2 8 2 5 5" xfId="29887"/>
    <cellStyle name="40% - Accent2 8 2 6" xfId="29888"/>
    <cellStyle name="40% - Accent2 8 2 6 2" xfId="29889"/>
    <cellStyle name="40% - Accent2 8 2 6 2 2" xfId="29890"/>
    <cellStyle name="40% - Accent2 8 2 6 2 2 2" xfId="29891"/>
    <cellStyle name="40% - Accent2 8 2 6 2 2 2 2" xfId="29892"/>
    <cellStyle name="40% - Accent2 8 2 6 2 2 3" xfId="29893"/>
    <cellStyle name="40% - Accent2 8 2 6 2 3" xfId="29894"/>
    <cellStyle name="40% - Accent2 8 2 6 2 3 2" xfId="29895"/>
    <cellStyle name="40% - Accent2 8 2 6 2 4" xfId="29896"/>
    <cellStyle name="40% - Accent2 8 2 6 3" xfId="29897"/>
    <cellStyle name="40% - Accent2 8 2 6 3 2" xfId="29898"/>
    <cellStyle name="40% - Accent2 8 2 6 3 2 2" xfId="29899"/>
    <cellStyle name="40% - Accent2 8 2 6 3 3" xfId="29900"/>
    <cellStyle name="40% - Accent2 8 2 6 4" xfId="29901"/>
    <cellStyle name="40% - Accent2 8 2 6 4 2" xfId="29902"/>
    <cellStyle name="40% - Accent2 8 2 6 5" xfId="29903"/>
    <cellStyle name="40% - Accent2 8 2 7" xfId="29904"/>
    <cellStyle name="40% - Accent2 8 2 7 2" xfId="29905"/>
    <cellStyle name="40% - Accent2 8 2 7 2 2" xfId="29906"/>
    <cellStyle name="40% - Accent2 8 2 7 2 2 2" xfId="29907"/>
    <cellStyle name="40% - Accent2 8 2 7 2 3" xfId="29908"/>
    <cellStyle name="40% - Accent2 8 2 7 3" xfId="29909"/>
    <cellStyle name="40% - Accent2 8 2 7 3 2" xfId="29910"/>
    <cellStyle name="40% - Accent2 8 2 7 4" xfId="29911"/>
    <cellStyle name="40% - Accent2 8 2 8" xfId="29912"/>
    <cellStyle name="40% - Accent2 8 2 8 2" xfId="29913"/>
    <cellStyle name="40% - Accent2 8 2 8 2 2" xfId="29914"/>
    <cellStyle name="40% - Accent2 8 2 8 3" xfId="29915"/>
    <cellStyle name="40% - Accent2 8 2 9" xfId="29916"/>
    <cellStyle name="40% - Accent2 8 2 9 2" xfId="29917"/>
    <cellStyle name="40% - Accent2 8 3" xfId="29918"/>
    <cellStyle name="40% - Accent2 8 3 2" xfId="29919"/>
    <cellStyle name="40% - Accent2 8 3 2 2" xfId="29920"/>
    <cellStyle name="40% - Accent2 8 3 2 2 2" xfId="29921"/>
    <cellStyle name="40% - Accent2 8 3 2 2 2 2" xfId="29922"/>
    <cellStyle name="40% - Accent2 8 3 2 2 3" xfId="29923"/>
    <cellStyle name="40% - Accent2 8 3 2 3" xfId="29924"/>
    <cellStyle name="40% - Accent2 8 3 2 3 2" xfId="29925"/>
    <cellStyle name="40% - Accent2 8 3 2 4" xfId="29926"/>
    <cellStyle name="40% - Accent2 8 3 3" xfId="29927"/>
    <cellStyle name="40% - Accent2 8 3 3 2" xfId="29928"/>
    <cellStyle name="40% - Accent2 8 3 3 2 2" xfId="29929"/>
    <cellStyle name="40% - Accent2 8 3 3 3" xfId="29930"/>
    <cellStyle name="40% - Accent2 8 3 4" xfId="29931"/>
    <cellStyle name="40% - Accent2 8 3 4 2" xfId="29932"/>
    <cellStyle name="40% - Accent2 8 3 5" xfId="29933"/>
    <cellStyle name="40% - Accent2 8 4" xfId="29934"/>
    <cellStyle name="40% - Accent2 8 4 2" xfId="29935"/>
    <cellStyle name="40% - Accent2 8 4 2 2" xfId="29936"/>
    <cellStyle name="40% - Accent2 8 4 2 2 2" xfId="29937"/>
    <cellStyle name="40% - Accent2 8 4 2 2 2 2" xfId="29938"/>
    <cellStyle name="40% - Accent2 8 4 2 2 3" xfId="29939"/>
    <cellStyle name="40% - Accent2 8 4 2 3" xfId="29940"/>
    <cellStyle name="40% - Accent2 8 4 2 3 2" xfId="29941"/>
    <cellStyle name="40% - Accent2 8 4 2 4" xfId="29942"/>
    <cellStyle name="40% - Accent2 8 4 3" xfId="29943"/>
    <cellStyle name="40% - Accent2 8 4 3 2" xfId="29944"/>
    <cellStyle name="40% - Accent2 8 4 3 2 2" xfId="29945"/>
    <cellStyle name="40% - Accent2 8 4 3 3" xfId="29946"/>
    <cellStyle name="40% - Accent2 8 4 4" xfId="29947"/>
    <cellStyle name="40% - Accent2 8 4 4 2" xfId="29948"/>
    <cellStyle name="40% - Accent2 8 4 5" xfId="29949"/>
    <cellStyle name="40% - Accent2 8 5" xfId="29950"/>
    <cellStyle name="40% - Accent2 8 5 2" xfId="29951"/>
    <cellStyle name="40% - Accent2 8 5 2 2" xfId="29952"/>
    <cellStyle name="40% - Accent2 8 5 2 2 2" xfId="29953"/>
    <cellStyle name="40% - Accent2 8 5 2 2 2 2" xfId="29954"/>
    <cellStyle name="40% - Accent2 8 5 2 2 3" xfId="29955"/>
    <cellStyle name="40% - Accent2 8 5 2 3" xfId="29956"/>
    <cellStyle name="40% - Accent2 8 5 2 3 2" xfId="29957"/>
    <cellStyle name="40% - Accent2 8 5 2 4" xfId="29958"/>
    <cellStyle name="40% - Accent2 8 5 3" xfId="29959"/>
    <cellStyle name="40% - Accent2 8 5 3 2" xfId="29960"/>
    <cellStyle name="40% - Accent2 8 5 3 2 2" xfId="29961"/>
    <cellStyle name="40% - Accent2 8 5 3 3" xfId="29962"/>
    <cellStyle name="40% - Accent2 8 5 4" xfId="29963"/>
    <cellStyle name="40% - Accent2 8 5 4 2" xfId="29964"/>
    <cellStyle name="40% - Accent2 8 5 5" xfId="29965"/>
    <cellStyle name="40% - Accent2 8 6" xfId="29966"/>
    <cellStyle name="40% - Accent2 8 6 2" xfId="29967"/>
    <cellStyle name="40% - Accent2 8 6 2 2" xfId="29968"/>
    <cellStyle name="40% - Accent2 8 6 2 2 2" xfId="29969"/>
    <cellStyle name="40% - Accent2 8 6 2 2 2 2" xfId="29970"/>
    <cellStyle name="40% - Accent2 8 6 2 2 3" xfId="29971"/>
    <cellStyle name="40% - Accent2 8 6 2 3" xfId="29972"/>
    <cellStyle name="40% - Accent2 8 6 2 3 2" xfId="29973"/>
    <cellStyle name="40% - Accent2 8 6 2 4" xfId="29974"/>
    <cellStyle name="40% - Accent2 8 6 3" xfId="29975"/>
    <cellStyle name="40% - Accent2 8 6 3 2" xfId="29976"/>
    <cellStyle name="40% - Accent2 8 6 3 2 2" xfId="29977"/>
    <cellStyle name="40% - Accent2 8 6 3 3" xfId="29978"/>
    <cellStyle name="40% - Accent2 8 6 4" xfId="29979"/>
    <cellStyle name="40% - Accent2 8 6 4 2" xfId="29980"/>
    <cellStyle name="40% - Accent2 8 6 5" xfId="29981"/>
    <cellStyle name="40% - Accent2 8 7" xfId="29982"/>
    <cellStyle name="40% - Accent2 8 7 2" xfId="29983"/>
    <cellStyle name="40% - Accent2 8 7 2 2" xfId="29984"/>
    <cellStyle name="40% - Accent2 8 7 2 2 2" xfId="29985"/>
    <cellStyle name="40% - Accent2 8 7 2 2 2 2" xfId="29986"/>
    <cellStyle name="40% - Accent2 8 7 2 2 3" xfId="29987"/>
    <cellStyle name="40% - Accent2 8 7 2 3" xfId="29988"/>
    <cellStyle name="40% - Accent2 8 7 2 3 2" xfId="29989"/>
    <cellStyle name="40% - Accent2 8 7 2 4" xfId="29990"/>
    <cellStyle name="40% - Accent2 8 7 3" xfId="29991"/>
    <cellStyle name="40% - Accent2 8 7 3 2" xfId="29992"/>
    <cellStyle name="40% - Accent2 8 7 3 2 2" xfId="29993"/>
    <cellStyle name="40% - Accent2 8 7 3 3" xfId="29994"/>
    <cellStyle name="40% - Accent2 8 7 4" xfId="29995"/>
    <cellStyle name="40% - Accent2 8 7 4 2" xfId="29996"/>
    <cellStyle name="40% - Accent2 8 7 5" xfId="29997"/>
    <cellStyle name="40% - Accent2 8 8" xfId="29998"/>
    <cellStyle name="40% - Accent2 8 8 2" xfId="29999"/>
    <cellStyle name="40% - Accent2 8 8 2 2" xfId="30000"/>
    <cellStyle name="40% - Accent2 8 8 2 2 2" xfId="30001"/>
    <cellStyle name="40% - Accent2 8 8 2 3" xfId="30002"/>
    <cellStyle name="40% - Accent2 8 8 3" xfId="30003"/>
    <cellStyle name="40% - Accent2 8 8 3 2" xfId="30004"/>
    <cellStyle name="40% - Accent2 8 8 4" xfId="30005"/>
    <cellStyle name="40% - Accent2 8 9" xfId="30006"/>
    <cellStyle name="40% - Accent2 8 9 2" xfId="30007"/>
    <cellStyle name="40% - Accent2 8 9 2 2" xfId="30008"/>
    <cellStyle name="40% - Accent2 8 9 3" xfId="30009"/>
    <cellStyle name="40% - Accent2 9" xfId="30010"/>
    <cellStyle name="40% - Accent2 9 10" xfId="30011"/>
    <cellStyle name="40% - Accent2 9 10 2" xfId="30012"/>
    <cellStyle name="40% - Accent2 9 11" xfId="30013"/>
    <cellStyle name="40% - Accent2 9 2" xfId="30014"/>
    <cellStyle name="40% - Accent2 9 2 10" xfId="30015"/>
    <cellStyle name="40% - Accent2 9 2 2" xfId="30016"/>
    <cellStyle name="40% - Accent2 9 2 2 2" xfId="30017"/>
    <cellStyle name="40% - Accent2 9 2 2 2 2" xfId="30018"/>
    <cellStyle name="40% - Accent2 9 2 2 2 2 2" xfId="30019"/>
    <cellStyle name="40% - Accent2 9 2 2 2 2 2 2" xfId="30020"/>
    <cellStyle name="40% - Accent2 9 2 2 2 2 3" xfId="30021"/>
    <cellStyle name="40% - Accent2 9 2 2 2 3" xfId="30022"/>
    <cellStyle name="40% - Accent2 9 2 2 2 3 2" xfId="30023"/>
    <cellStyle name="40% - Accent2 9 2 2 2 4" xfId="30024"/>
    <cellStyle name="40% - Accent2 9 2 2 3" xfId="30025"/>
    <cellStyle name="40% - Accent2 9 2 2 3 2" xfId="30026"/>
    <cellStyle name="40% - Accent2 9 2 2 3 2 2" xfId="30027"/>
    <cellStyle name="40% - Accent2 9 2 2 3 3" xfId="30028"/>
    <cellStyle name="40% - Accent2 9 2 2 4" xfId="30029"/>
    <cellStyle name="40% - Accent2 9 2 2 4 2" xfId="30030"/>
    <cellStyle name="40% - Accent2 9 2 2 5" xfId="30031"/>
    <cellStyle name="40% - Accent2 9 2 3" xfId="30032"/>
    <cellStyle name="40% - Accent2 9 2 3 2" xfId="30033"/>
    <cellStyle name="40% - Accent2 9 2 3 2 2" xfId="30034"/>
    <cellStyle name="40% - Accent2 9 2 3 2 2 2" xfId="30035"/>
    <cellStyle name="40% - Accent2 9 2 3 2 2 2 2" xfId="30036"/>
    <cellStyle name="40% - Accent2 9 2 3 2 2 3" xfId="30037"/>
    <cellStyle name="40% - Accent2 9 2 3 2 3" xfId="30038"/>
    <cellStyle name="40% - Accent2 9 2 3 2 3 2" xfId="30039"/>
    <cellStyle name="40% - Accent2 9 2 3 2 4" xfId="30040"/>
    <cellStyle name="40% - Accent2 9 2 3 3" xfId="30041"/>
    <cellStyle name="40% - Accent2 9 2 3 3 2" xfId="30042"/>
    <cellStyle name="40% - Accent2 9 2 3 3 2 2" xfId="30043"/>
    <cellStyle name="40% - Accent2 9 2 3 3 3" xfId="30044"/>
    <cellStyle name="40% - Accent2 9 2 3 4" xfId="30045"/>
    <cellStyle name="40% - Accent2 9 2 3 4 2" xfId="30046"/>
    <cellStyle name="40% - Accent2 9 2 3 5" xfId="30047"/>
    <cellStyle name="40% - Accent2 9 2 4" xfId="30048"/>
    <cellStyle name="40% - Accent2 9 2 4 2" xfId="30049"/>
    <cellStyle name="40% - Accent2 9 2 4 2 2" xfId="30050"/>
    <cellStyle name="40% - Accent2 9 2 4 2 2 2" xfId="30051"/>
    <cellStyle name="40% - Accent2 9 2 4 2 2 2 2" xfId="30052"/>
    <cellStyle name="40% - Accent2 9 2 4 2 2 3" xfId="30053"/>
    <cellStyle name="40% - Accent2 9 2 4 2 3" xfId="30054"/>
    <cellStyle name="40% - Accent2 9 2 4 2 3 2" xfId="30055"/>
    <cellStyle name="40% - Accent2 9 2 4 2 4" xfId="30056"/>
    <cellStyle name="40% - Accent2 9 2 4 3" xfId="30057"/>
    <cellStyle name="40% - Accent2 9 2 4 3 2" xfId="30058"/>
    <cellStyle name="40% - Accent2 9 2 4 3 2 2" xfId="30059"/>
    <cellStyle name="40% - Accent2 9 2 4 3 3" xfId="30060"/>
    <cellStyle name="40% - Accent2 9 2 4 4" xfId="30061"/>
    <cellStyle name="40% - Accent2 9 2 4 4 2" xfId="30062"/>
    <cellStyle name="40% - Accent2 9 2 4 5" xfId="30063"/>
    <cellStyle name="40% - Accent2 9 2 5" xfId="30064"/>
    <cellStyle name="40% - Accent2 9 2 5 2" xfId="30065"/>
    <cellStyle name="40% - Accent2 9 2 5 2 2" xfId="30066"/>
    <cellStyle name="40% - Accent2 9 2 5 2 2 2" xfId="30067"/>
    <cellStyle name="40% - Accent2 9 2 5 2 2 2 2" xfId="30068"/>
    <cellStyle name="40% - Accent2 9 2 5 2 2 3" xfId="30069"/>
    <cellStyle name="40% - Accent2 9 2 5 2 3" xfId="30070"/>
    <cellStyle name="40% - Accent2 9 2 5 2 3 2" xfId="30071"/>
    <cellStyle name="40% - Accent2 9 2 5 2 4" xfId="30072"/>
    <cellStyle name="40% - Accent2 9 2 5 3" xfId="30073"/>
    <cellStyle name="40% - Accent2 9 2 5 3 2" xfId="30074"/>
    <cellStyle name="40% - Accent2 9 2 5 3 2 2" xfId="30075"/>
    <cellStyle name="40% - Accent2 9 2 5 3 3" xfId="30076"/>
    <cellStyle name="40% - Accent2 9 2 5 4" xfId="30077"/>
    <cellStyle name="40% - Accent2 9 2 5 4 2" xfId="30078"/>
    <cellStyle name="40% - Accent2 9 2 5 5" xfId="30079"/>
    <cellStyle name="40% - Accent2 9 2 6" xfId="30080"/>
    <cellStyle name="40% - Accent2 9 2 6 2" xfId="30081"/>
    <cellStyle name="40% - Accent2 9 2 6 2 2" xfId="30082"/>
    <cellStyle name="40% - Accent2 9 2 6 2 2 2" xfId="30083"/>
    <cellStyle name="40% - Accent2 9 2 6 2 2 2 2" xfId="30084"/>
    <cellStyle name="40% - Accent2 9 2 6 2 2 3" xfId="30085"/>
    <cellStyle name="40% - Accent2 9 2 6 2 3" xfId="30086"/>
    <cellStyle name="40% - Accent2 9 2 6 2 3 2" xfId="30087"/>
    <cellStyle name="40% - Accent2 9 2 6 2 4" xfId="30088"/>
    <cellStyle name="40% - Accent2 9 2 6 3" xfId="30089"/>
    <cellStyle name="40% - Accent2 9 2 6 3 2" xfId="30090"/>
    <cellStyle name="40% - Accent2 9 2 6 3 2 2" xfId="30091"/>
    <cellStyle name="40% - Accent2 9 2 6 3 3" xfId="30092"/>
    <cellStyle name="40% - Accent2 9 2 6 4" xfId="30093"/>
    <cellStyle name="40% - Accent2 9 2 6 4 2" xfId="30094"/>
    <cellStyle name="40% - Accent2 9 2 6 5" xfId="30095"/>
    <cellStyle name="40% - Accent2 9 2 7" xfId="30096"/>
    <cellStyle name="40% - Accent2 9 2 7 2" xfId="30097"/>
    <cellStyle name="40% - Accent2 9 2 7 2 2" xfId="30098"/>
    <cellStyle name="40% - Accent2 9 2 7 2 2 2" xfId="30099"/>
    <cellStyle name="40% - Accent2 9 2 7 2 3" xfId="30100"/>
    <cellStyle name="40% - Accent2 9 2 7 3" xfId="30101"/>
    <cellStyle name="40% - Accent2 9 2 7 3 2" xfId="30102"/>
    <cellStyle name="40% - Accent2 9 2 7 4" xfId="30103"/>
    <cellStyle name="40% - Accent2 9 2 8" xfId="30104"/>
    <cellStyle name="40% - Accent2 9 2 8 2" xfId="30105"/>
    <cellStyle name="40% - Accent2 9 2 8 2 2" xfId="30106"/>
    <cellStyle name="40% - Accent2 9 2 8 3" xfId="30107"/>
    <cellStyle name="40% - Accent2 9 2 9" xfId="30108"/>
    <cellStyle name="40% - Accent2 9 2 9 2" xfId="30109"/>
    <cellStyle name="40% - Accent2 9 3" xfId="30110"/>
    <cellStyle name="40% - Accent2 9 3 2" xfId="30111"/>
    <cellStyle name="40% - Accent2 9 3 2 2" xfId="30112"/>
    <cellStyle name="40% - Accent2 9 3 2 2 2" xfId="30113"/>
    <cellStyle name="40% - Accent2 9 3 2 2 2 2" xfId="30114"/>
    <cellStyle name="40% - Accent2 9 3 2 2 3" xfId="30115"/>
    <cellStyle name="40% - Accent2 9 3 2 3" xfId="30116"/>
    <cellStyle name="40% - Accent2 9 3 2 3 2" xfId="30117"/>
    <cellStyle name="40% - Accent2 9 3 2 4" xfId="30118"/>
    <cellStyle name="40% - Accent2 9 3 3" xfId="30119"/>
    <cellStyle name="40% - Accent2 9 3 3 2" xfId="30120"/>
    <cellStyle name="40% - Accent2 9 3 3 2 2" xfId="30121"/>
    <cellStyle name="40% - Accent2 9 3 3 3" xfId="30122"/>
    <cellStyle name="40% - Accent2 9 3 4" xfId="30123"/>
    <cellStyle name="40% - Accent2 9 3 4 2" xfId="30124"/>
    <cellStyle name="40% - Accent2 9 3 5" xfId="30125"/>
    <cellStyle name="40% - Accent2 9 4" xfId="30126"/>
    <cellStyle name="40% - Accent2 9 4 2" xfId="30127"/>
    <cellStyle name="40% - Accent2 9 4 2 2" xfId="30128"/>
    <cellStyle name="40% - Accent2 9 4 2 2 2" xfId="30129"/>
    <cellStyle name="40% - Accent2 9 4 2 2 2 2" xfId="30130"/>
    <cellStyle name="40% - Accent2 9 4 2 2 3" xfId="30131"/>
    <cellStyle name="40% - Accent2 9 4 2 3" xfId="30132"/>
    <cellStyle name="40% - Accent2 9 4 2 3 2" xfId="30133"/>
    <cellStyle name="40% - Accent2 9 4 2 4" xfId="30134"/>
    <cellStyle name="40% - Accent2 9 4 3" xfId="30135"/>
    <cellStyle name="40% - Accent2 9 4 3 2" xfId="30136"/>
    <cellStyle name="40% - Accent2 9 4 3 2 2" xfId="30137"/>
    <cellStyle name="40% - Accent2 9 4 3 3" xfId="30138"/>
    <cellStyle name="40% - Accent2 9 4 4" xfId="30139"/>
    <cellStyle name="40% - Accent2 9 4 4 2" xfId="30140"/>
    <cellStyle name="40% - Accent2 9 4 5" xfId="30141"/>
    <cellStyle name="40% - Accent2 9 5" xfId="30142"/>
    <cellStyle name="40% - Accent2 9 5 2" xfId="30143"/>
    <cellStyle name="40% - Accent2 9 5 2 2" xfId="30144"/>
    <cellStyle name="40% - Accent2 9 5 2 2 2" xfId="30145"/>
    <cellStyle name="40% - Accent2 9 5 2 2 2 2" xfId="30146"/>
    <cellStyle name="40% - Accent2 9 5 2 2 3" xfId="30147"/>
    <cellStyle name="40% - Accent2 9 5 2 3" xfId="30148"/>
    <cellStyle name="40% - Accent2 9 5 2 3 2" xfId="30149"/>
    <cellStyle name="40% - Accent2 9 5 2 4" xfId="30150"/>
    <cellStyle name="40% - Accent2 9 5 3" xfId="30151"/>
    <cellStyle name="40% - Accent2 9 5 3 2" xfId="30152"/>
    <cellStyle name="40% - Accent2 9 5 3 2 2" xfId="30153"/>
    <cellStyle name="40% - Accent2 9 5 3 3" xfId="30154"/>
    <cellStyle name="40% - Accent2 9 5 4" xfId="30155"/>
    <cellStyle name="40% - Accent2 9 5 4 2" xfId="30156"/>
    <cellStyle name="40% - Accent2 9 5 5" xfId="30157"/>
    <cellStyle name="40% - Accent2 9 6" xfId="30158"/>
    <cellStyle name="40% - Accent2 9 6 2" xfId="30159"/>
    <cellStyle name="40% - Accent2 9 6 2 2" xfId="30160"/>
    <cellStyle name="40% - Accent2 9 6 2 2 2" xfId="30161"/>
    <cellStyle name="40% - Accent2 9 6 2 2 2 2" xfId="30162"/>
    <cellStyle name="40% - Accent2 9 6 2 2 3" xfId="30163"/>
    <cellStyle name="40% - Accent2 9 6 2 3" xfId="30164"/>
    <cellStyle name="40% - Accent2 9 6 2 3 2" xfId="30165"/>
    <cellStyle name="40% - Accent2 9 6 2 4" xfId="30166"/>
    <cellStyle name="40% - Accent2 9 6 3" xfId="30167"/>
    <cellStyle name="40% - Accent2 9 6 3 2" xfId="30168"/>
    <cellStyle name="40% - Accent2 9 6 3 2 2" xfId="30169"/>
    <cellStyle name="40% - Accent2 9 6 3 3" xfId="30170"/>
    <cellStyle name="40% - Accent2 9 6 4" xfId="30171"/>
    <cellStyle name="40% - Accent2 9 6 4 2" xfId="30172"/>
    <cellStyle name="40% - Accent2 9 6 5" xfId="30173"/>
    <cellStyle name="40% - Accent2 9 7" xfId="30174"/>
    <cellStyle name="40% - Accent2 9 7 2" xfId="30175"/>
    <cellStyle name="40% - Accent2 9 7 2 2" xfId="30176"/>
    <cellStyle name="40% - Accent2 9 7 2 2 2" xfId="30177"/>
    <cellStyle name="40% - Accent2 9 7 2 2 2 2" xfId="30178"/>
    <cellStyle name="40% - Accent2 9 7 2 2 3" xfId="30179"/>
    <cellStyle name="40% - Accent2 9 7 2 3" xfId="30180"/>
    <cellStyle name="40% - Accent2 9 7 2 3 2" xfId="30181"/>
    <cellStyle name="40% - Accent2 9 7 2 4" xfId="30182"/>
    <cellStyle name="40% - Accent2 9 7 3" xfId="30183"/>
    <cellStyle name="40% - Accent2 9 7 3 2" xfId="30184"/>
    <cellStyle name="40% - Accent2 9 7 3 2 2" xfId="30185"/>
    <cellStyle name="40% - Accent2 9 7 3 3" xfId="30186"/>
    <cellStyle name="40% - Accent2 9 7 4" xfId="30187"/>
    <cellStyle name="40% - Accent2 9 7 4 2" xfId="30188"/>
    <cellStyle name="40% - Accent2 9 7 5" xfId="30189"/>
    <cellStyle name="40% - Accent2 9 8" xfId="30190"/>
    <cellStyle name="40% - Accent2 9 8 2" xfId="30191"/>
    <cellStyle name="40% - Accent2 9 8 2 2" xfId="30192"/>
    <cellStyle name="40% - Accent2 9 8 2 2 2" xfId="30193"/>
    <cellStyle name="40% - Accent2 9 8 2 3" xfId="30194"/>
    <cellStyle name="40% - Accent2 9 8 3" xfId="30195"/>
    <cellStyle name="40% - Accent2 9 8 3 2" xfId="30196"/>
    <cellStyle name="40% - Accent2 9 8 4" xfId="30197"/>
    <cellStyle name="40% - Accent2 9 9" xfId="30198"/>
    <cellStyle name="40% - Accent2 9 9 2" xfId="30199"/>
    <cellStyle name="40% - Accent2 9 9 2 2" xfId="30200"/>
    <cellStyle name="40% - Accent2 9 9 3" xfId="30201"/>
    <cellStyle name="40% - Accent3" xfId="52858" builtinId="39" customBuiltin="1"/>
    <cellStyle name="40% - Accent3 10" xfId="30202"/>
    <cellStyle name="40% - Accent3 10 10" xfId="30203"/>
    <cellStyle name="40% - Accent3 10 10 2" xfId="30204"/>
    <cellStyle name="40% - Accent3 10 11" xfId="30205"/>
    <cellStyle name="40% - Accent3 10 2" xfId="30206"/>
    <cellStyle name="40% - Accent3 10 2 10" xfId="30207"/>
    <cellStyle name="40% - Accent3 10 2 2" xfId="30208"/>
    <cellStyle name="40% - Accent3 10 2 2 2" xfId="30209"/>
    <cellStyle name="40% - Accent3 10 2 2 2 2" xfId="30210"/>
    <cellStyle name="40% - Accent3 10 2 2 2 2 2" xfId="30211"/>
    <cellStyle name="40% - Accent3 10 2 2 2 2 2 2" xfId="30212"/>
    <cellStyle name="40% - Accent3 10 2 2 2 2 3" xfId="30213"/>
    <cellStyle name="40% - Accent3 10 2 2 2 3" xfId="30214"/>
    <cellStyle name="40% - Accent3 10 2 2 2 3 2" xfId="30215"/>
    <cellStyle name="40% - Accent3 10 2 2 2 4" xfId="30216"/>
    <cellStyle name="40% - Accent3 10 2 2 3" xfId="30217"/>
    <cellStyle name="40% - Accent3 10 2 2 3 2" xfId="30218"/>
    <cellStyle name="40% - Accent3 10 2 2 3 2 2" xfId="30219"/>
    <cellStyle name="40% - Accent3 10 2 2 3 3" xfId="30220"/>
    <cellStyle name="40% - Accent3 10 2 2 4" xfId="30221"/>
    <cellStyle name="40% - Accent3 10 2 2 4 2" xfId="30222"/>
    <cellStyle name="40% - Accent3 10 2 2 5" xfId="30223"/>
    <cellStyle name="40% - Accent3 10 2 3" xfId="30224"/>
    <cellStyle name="40% - Accent3 10 2 3 2" xfId="30225"/>
    <cellStyle name="40% - Accent3 10 2 3 2 2" xfId="30226"/>
    <cellStyle name="40% - Accent3 10 2 3 2 2 2" xfId="30227"/>
    <cellStyle name="40% - Accent3 10 2 3 2 2 2 2" xfId="30228"/>
    <cellStyle name="40% - Accent3 10 2 3 2 2 3" xfId="30229"/>
    <cellStyle name="40% - Accent3 10 2 3 2 3" xfId="30230"/>
    <cellStyle name="40% - Accent3 10 2 3 2 3 2" xfId="30231"/>
    <cellStyle name="40% - Accent3 10 2 3 2 4" xfId="30232"/>
    <cellStyle name="40% - Accent3 10 2 3 3" xfId="30233"/>
    <cellStyle name="40% - Accent3 10 2 3 3 2" xfId="30234"/>
    <cellStyle name="40% - Accent3 10 2 3 3 2 2" xfId="30235"/>
    <cellStyle name="40% - Accent3 10 2 3 3 3" xfId="30236"/>
    <cellStyle name="40% - Accent3 10 2 3 4" xfId="30237"/>
    <cellStyle name="40% - Accent3 10 2 3 4 2" xfId="30238"/>
    <cellStyle name="40% - Accent3 10 2 3 5" xfId="30239"/>
    <cellStyle name="40% - Accent3 10 2 4" xfId="30240"/>
    <cellStyle name="40% - Accent3 10 2 4 2" xfId="30241"/>
    <cellStyle name="40% - Accent3 10 2 4 2 2" xfId="30242"/>
    <cellStyle name="40% - Accent3 10 2 4 2 2 2" xfId="30243"/>
    <cellStyle name="40% - Accent3 10 2 4 2 2 2 2" xfId="30244"/>
    <cellStyle name="40% - Accent3 10 2 4 2 2 3" xfId="30245"/>
    <cellStyle name="40% - Accent3 10 2 4 2 3" xfId="30246"/>
    <cellStyle name="40% - Accent3 10 2 4 2 3 2" xfId="30247"/>
    <cellStyle name="40% - Accent3 10 2 4 2 4" xfId="30248"/>
    <cellStyle name="40% - Accent3 10 2 4 3" xfId="30249"/>
    <cellStyle name="40% - Accent3 10 2 4 3 2" xfId="30250"/>
    <cellStyle name="40% - Accent3 10 2 4 3 2 2" xfId="30251"/>
    <cellStyle name="40% - Accent3 10 2 4 3 3" xfId="30252"/>
    <cellStyle name="40% - Accent3 10 2 4 4" xfId="30253"/>
    <cellStyle name="40% - Accent3 10 2 4 4 2" xfId="30254"/>
    <cellStyle name="40% - Accent3 10 2 4 5" xfId="30255"/>
    <cellStyle name="40% - Accent3 10 2 5" xfId="30256"/>
    <cellStyle name="40% - Accent3 10 2 5 2" xfId="30257"/>
    <cellStyle name="40% - Accent3 10 2 5 2 2" xfId="30258"/>
    <cellStyle name="40% - Accent3 10 2 5 2 2 2" xfId="30259"/>
    <cellStyle name="40% - Accent3 10 2 5 2 2 2 2" xfId="30260"/>
    <cellStyle name="40% - Accent3 10 2 5 2 2 3" xfId="30261"/>
    <cellStyle name="40% - Accent3 10 2 5 2 3" xfId="30262"/>
    <cellStyle name="40% - Accent3 10 2 5 2 3 2" xfId="30263"/>
    <cellStyle name="40% - Accent3 10 2 5 2 4" xfId="30264"/>
    <cellStyle name="40% - Accent3 10 2 5 3" xfId="30265"/>
    <cellStyle name="40% - Accent3 10 2 5 3 2" xfId="30266"/>
    <cellStyle name="40% - Accent3 10 2 5 3 2 2" xfId="30267"/>
    <cellStyle name="40% - Accent3 10 2 5 3 3" xfId="30268"/>
    <cellStyle name="40% - Accent3 10 2 5 4" xfId="30269"/>
    <cellStyle name="40% - Accent3 10 2 5 4 2" xfId="30270"/>
    <cellStyle name="40% - Accent3 10 2 5 5" xfId="30271"/>
    <cellStyle name="40% - Accent3 10 2 6" xfId="30272"/>
    <cellStyle name="40% - Accent3 10 2 6 2" xfId="30273"/>
    <cellStyle name="40% - Accent3 10 2 6 2 2" xfId="30274"/>
    <cellStyle name="40% - Accent3 10 2 6 2 2 2" xfId="30275"/>
    <cellStyle name="40% - Accent3 10 2 6 2 2 2 2" xfId="30276"/>
    <cellStyle name="40% - Accent3 10 2 6 2 2 3" xfId="30277"/>
    <cellStyle name="40% - Accent3 10 2 6 2 3" xfId="30278"/>
    <cellStyle name="40% - Accent3 10 2 6 2 3 2" xfId="30279"/>
    <cellStyle name="40% - Accent3 10 2 6 2 4" xfId="30280"/>
    <cellStyle name="40% - Accent3 10 2 6 3" xfId="30281"/>
    <cellStyle name="40% - Accent3 10 2 6 3 2" xfId="30282"/>
    <cellStyle name="40% - Accent3 10 2 6 3 2 2" xfId="30283"/>
    <cellStyle name="40% - Accent3 10 2 6 3 3" xfId="30284"/>
    <cellStyle name="40% - Accent3 10 2 6 4" xfId="30285"/>
    <cellStyle name="40% - Accent3 10 2 6 4 2" xfId="30286"/>
    <cellStyle name="40% - Accent3 10 2 6 5" xfId="30287"/>
    <cellStyle name="40% - Accent3 10 2 7" xfId="30288"/>
    <cellStyle name="40% - Accent3 10 2 7 2" xfId="30289"/>
    <cellStyle name="40% - Accent3 10 2 7 2 2" xfId="30290"/>
    <cellStyle name="40% - Accent3 10 2 7 2 2 2" xfId="30291"/>
    <cellStyle name="40% - Accent3 10 2 7 2 3" xfId="30292"/>
    <cellStyle name="40% - Accent3 10 2 7 3" xfId="30293"/>
    <cellStyle name="40% - Accent3 10 2 7 3 2" xfId="30294"/>
    <cellStyle name="40% - Accent3 10 2 7 4" xfId="30295"/>
    <cellStyle name="40% - Accent3 10 2 8" xfId="30296"/>
    <cellStyle name="40% - Accent3 10 2 8 2" xfId="30297"/>
    <cellStyle name="40% - Accent3 10 2 8 2 2" xfId="30298"/>
    <cellStyle name="40% - Accent3 10 2 8 3" xfId="30299"/>
    <cellStyle name="40% - Accent3 10 2 9" xfId="30300"/>
    <cellStyle name="40% - Accent3 10 2 9 2" xfId="30301"/>
    <cellStyle name="40% - Accent3 10 3" xfId="30302"/>
    <cellStyle name="40% - Accent3 10 3 2" xfId="30303"/>
    <cellStyle name="40% - Accent3 10 3 2 2" xfId="30304"/>
    <cellStyle name="40% - Accent3 10 3 2 2 2" xfId="30305"/>
    <cellStyle name="40% - Accent3 10 3 2 2 2 2" xfId="30306"/>
    <cellStyle name="40% - Accent3 10 3 2 2 3" xfId="30307"/>
    <cellStyle name="40% - Accent3 10 3 2 3" xfId="30308"/>
    <cellStyle name="40% - Accent3 10 3 2 3 2" xfId="30309"/>
    <cellStyle name="40% - Accent3 10 3 2 4" xfId="30310"/>
    <cellStyle name="40% - Accent3 10 3 3" xfId="30311"/>
    <cellStyle name="40% - Accent3 10 3 3 2" xfId="30312"/>
    <cellStyle name="40% - Accent3 10 3 3 2 2" xfId="30313"/>
    <cellStyle name="40% - Accent3 10 3 3 3" xfId="30314"/>
    <cellStyle name="40% - Accent3 10 3 4" xfId="30315"/>
    <cellStyle name="40% - Accent3 10 3 4 2" xfId="30316"/>
    <cellStyle name="40% - Accent3 10 3 5" xfId="30317"/>
    <cellStyle name="40% - Accent3 10 4" xfId="30318"/>
    <cellStyle name="40% - Accent3 10 4 2" xfId="30319"/>
    <cellStyle name="40% - Accent3 10 4 2 2" xfId="30320"/>
    <cellStyle name="40% - Accent3 10 4 2 2 2" xfId="30321"/>
    <cellStyle name="40% - Accent3 10 4 2 2 2 2" xfId="30322"/>
    <cellStyle name="40% - Accent3 10 4 2 2 3" xfId="30323"/>
    <cellStyle name="40% - Accent3 10 4 2 3" xfId="30324"/>
    <cellStyle name="40% - Accent3 10 4 2 3 2" xfId="30325"/>
    <cellStyle name="40% - Accent3 10 4 2 4" xfId="30326"/>
    <cellStyle name="40% - Accent3 10 4 3" xfId="30327"/>
    <cellStyle name="40% - Accent3 10 4 3 2" xfId="30328"/>
    <cellStyle name="40% - Accent3 10 4 3 2 2" xfId="30329"/>
    <cellStyle name="40% - Accent3 10 4 3 3" xfId="30330"/>
    <cellStyle name="40% - Accent3 10 4 4" xfId="30331"/>
    <cellStyle name="40% - Accent3 10 4 4 2" xfId="30332"/>
    <cellStyle name="40% - Accent3 10 4 5" xfId="30333"/>
    <cellStyle name="40% - Accent3 10 5" xfId="30334"/>
    <cellStyle name="40% - Accent3 10 5 2" xfId="30335"/>
    <cellStyle name="40% - Accent3 10 5 2 2" xfId="30336"/>
    <cellStyle name="40% - Accent3 10 5 2 2 2" xfId="30337"/>
    <cellStyle name="40% - Accent3 10 5 2 2 2 2" xfId="30338"/>
    <cellStyle name="40% - Accent3 10 5 2 2 3" xfId="30339"/>
    <cellStyle name="40% - Accent3 10 5 2 3" xfId="30340"/>
    <cellStyle name="40% - Accent3 10 5 2 3 2" xfId="30341"/>
    <cellStyle name="40% - Accent3 10 5 2 4" xfId="30342"/>
    <cellStyle name="40% - Accent3 10 5 3" xfId="30343"/>
    <cellStyle name="40% - Accent3 10 5 3 2" xfId="30344"/>
    <cellStyle name="40% - Accent3 10 5 3 2 2" xfId="30345"/>
    <cellStyle name="40% - Accent3 10 5 3 3" xfId="30346"/>
    <cellStyle name="40% - Accent3 10 5 4" xfId="30347"/>
    <cellStyle name="40% - Accent3 10 5 4 2" xfId="30348"/>
    <cellStyle name="40% - Accent3 10 5 5" xfId="30349"/>
    <cellStyle name="40% - Accent3 10 6" xfId="30350"/>
    <cellStyle name="40% - Accent3 10 6 2" xfId="30351"/>
    <cellStyle name="40% - Accent3 10 6 2 2" xfId="30352"/>
    <cellStyle name="40% - Accent3 10 6 2 2 2" xfId="30353"/>
    <cellStyle name="40% - Accent3 10 6 2 2 2 2" xfId="30354"/>
    <cellStyle name="40% - Accent3 10 6 2 2 3" xfId="30355"/>
    <cellStyle name="40% - Accent3 10 6 2 3" xfId="30356"/>
    <cellStyle name="40% - Accent3 10 6 2 3 2" xfId="30357"/>
    <cellStyle name="40% - Accent3 10 6 2 4" xfId="30358"/>
    <cellStyle name="40% - Accent3 10 6 3" xfId="30359"/>
    <cellStyle name="40% - Accent3 10 6 3 2" xfId="30360"/>
    <cellStyle name="40% - Accent3 10 6 3 2 2" xfId="30361"/>
    <cellStyle name="40% - Accent3 10 6 3 3" xfId="30362"/>
    <cellStyle name="40% - Accent3 10 6 4" xfId="30363"/>
    <cellStyle name="40% - Accent3 10 6 4 2" xfId="30364"/>
    <cellStyle name="40% - Accent3 10 6 5" xfId="30365"/>
    <cellStyle name="40% - Accent3 10 7" xfId="30366"/>
    <cellStyle name="40% - Accent3 10 7 2" xfId="30367"/>
    <cellStyle name="40% - Accent3 10 7 2 2" xfId="30368"/>
    <cellStyle name="40% - Accent3 10 7 2 2 2" xfId="30369"/>
    <cellStyle name="40% - Accent3 10 7 2 2 2 2" xfId="30370"/>
    <cellStyle name="40% - Accent3 10 7 2 2 3" xfId="30371"/>
    <cellStyle name="40% - Accent3 10 7 2 3" xfId="30372"/>
    <cellStyle name="40% - Accent3 10 7 2 3 2" xfId="30373"/>
    <cellStyle name="40% - Accent3 10 7 2 4" xfId="30374"/>
    <cellStyle name="40% - Accent3 10 7 3" xfId="30375"/>
    <cellStyle name="40% - Accent3 10 7 3 2" xfId="30376"/>
    <cellStyle name="40% - Accent3 10 7 3 2 2" xfId="30377"/>
    <cellStyle name="40% - Accent3 10 7 3 3" xfId="30378"/>
    <cellStyle name="40% - Accent3 10 7 4" xfId="30379"/>
    <cellStyle name="40% - Accent3 10 7 4 2" xfId="30380"/>
    <cellStyle name="40% - Accent3 10 7 5" xfId="30381"/>
    <cellStyle name="40% - Accent3 10 8" xfId="30382"/>
    <cellStyle name="40% - Accent3 10 8 2" xfId="30383"/>
    <cellStyle name="40% - Accent3 10 8 2 2" xfId="30384"/>
    <cellStyle name="40% - Accent3 10 8 2 2 2" xfId="30385"/>
    <cellStyle name="40% - Accent3 10 8 2 3" xfId="30386"/>
    <cellStyle name="40% - Accent3 10 8 3" xfId="30387"/>
    <cellStyle name="40% - Accent3 10 8 3 2" xfId="30388"/>
    <cellStyle name="40% - Accent3 10 8 4" xfId="30389"/>
    <cellStyle name="40% - Accent3 10 9" xfId="30390"/>
    <cellStyle name="40% - Accent3 10 9 2" xfId="30391"/>
    <cellStyle name="40% - Accent3 10 9 2 2" xfId="30392"/>
    <cellStyle name="40% - Accent3 10 9 3" xfId="30393"/>
    <cellStyle name="40% - Accent3 11" xfId="30394"/>
    <cellStyle name="40% - Accent3 11 10" xfId="30395"/>
    <cellStyle name="40% - Accent3 11 10 2" xfId="30396"/>
    <cellStyle name="40% - Accent3 11 11" xfId="30397"/>
    <cellStyle name="40% - Accent3 11 2" xfId="30398"/>
    <cellStyle name="40% - Accent3 11 2 10" xfId="30399"/>
    <cellStyle name="40% - Accent3 11 2 2" xfId="30400"/>
    <cellStyle name="40% - Accent3 11 2 2 2" xfId="30401"/>
    <cellStyle name="40% - Accent3 11 2 2 2 2" xfId="30402"/>
    <cellStyle name="40% - Accent3 11 2 2 2 2 2" xfId="30403"/>
    <cellStyle name="40% - Accent3 11 2 2 2 2 2 2" xfId="30404"/>
    <cellStyle name="40% - Accent3 11 2 2 2 2 3" xfId="30405"/>
    <cellStyle name="40% - Accent3 11 2 2 2 3" xfId="30406"/>
    <cellStyle name="40% - Accent3 11 2 2 2 3 2" xfId="30407"/>
    <cellStyle name="40% - Accent3 11 2 2 2 4" xfId="30408"/>
    <cellStyle name="40% - Accent3 11 2 2 3" xfId="30409"/>
    <cellStyle name="40% - Accent3 11 2 2 3 2" xfId="30410"/>
    <cellStyle name="40% - Accent3 11 2 2 3 2 2" xfId="30411"/>
    <cellStyle name="40% - Accent3 11 2 2 3 3" xfId="30412"/>
    <cellStyle name="40% - Accent3 11 2 2 4" xfId="30413"/>
    <cellStyle name="40% - Accent3 11 2 2 4 2" xfId="30414"/>
    <cellStyle name="40% - Accent3 11 2 2 5" xfId="30415"/>
    <cellStyle name="40% - Accent3 11 2 3" xfId="30416"/>
    <cellStyle name="40% - Accent3 11 2 3 2" xfId="30417"/>
    <cellStyle name="40% - Accent3 11 2 3 2 2" xfId="30418"/>
    <cellStyle name="40% - Accent3 11 2 3 2 2 2" xfId="30419"/>
    <cellStyle name="40% - Accent3 11 2 3 2 2 2 2" xfId="30420"/>
    <cellStyle name="40% - Accent3 11 2 3 2 2 3" xfId="30421"/>
    <cellStyle name="40% - Accent3 11 2 3 2 3" xfId="30422"/>
    <cellStyle name="40% - Accent3 11 2 3 2 3 2" xfId="30423"/>
    <cellStyle name="40% - Accent3 11 2 3 2 4" xfId="30424"/>
    <cellStyle name="40% - Accent3 11 2 3 3" xfId="30425"/>
    <cellStyle name="40% - Accent3 11 2 3 3 2" xfId="30426"/>
    <cellStyle name="40% - Accent3 11 2 3 3 2 2" xfId="30427"/>
    <cellStyle name="40% - Accent3 11 2 3 3 3" xfId="30428"/>
    <cellStyle name="40% - Accent3 11 2 3 4" xfId="30429"/>
    <cellStyle name="40% - Accent3 11 2 3 4 2" xfId="30430"/>
    <cellStyle name="40% - Accent3 11 2 3 5" xfId="30431"/>
    <cellStyle name="40% - Accent3 11 2 4" xfId="30432"/>
    <cellStyle name="40% - Accent3 11 2 4 2" xfId="30433"/>
    <cellStyle name="40% - Accent3 11 2 4 2 2" xfId="30434"/>
    <cellStyle name="40% - Accent3 11 2 4 2 2 2" xfId="30435"/>
    <cellStyle name="40% - Accent3 11 2 4 2 2 2 2" xfId="30436"/>
    <cellStyle name="40% - Accent3 11 2 4 2 2 3" xfId="30437"/>
    <cellStyle name="40% - Accent3 11 2 4 2 3" xfId="30438"/>
    <cellStyle name="40% - Accent3 11 2 4 2 3 2" xfId="30439"/>
    <cellStyle name="40% - Accent3 11 2 4 2 4" xfId="30440"/>
    <cellStyle name="40% - Accent3 11 2 4 3" xfId="30441"/>
    <cellStyle name="40% - Accent3 11 2 4 3 2" xfId="30442"/>
    <cellStyle name="40% - Accent3 11 2 4 3 2 2" xfId="30443"/>
    <cellStyle name="40% - Accent3 11 2 4 3 3" xfId="30444"/>
    <cellStyle name="40% - Accent3 11 2 4 4" xfId="30445"/>
    <cellStyle name="40% - Accent3 11 2 4 4 2" xfId="30446"/>
    <cellStyle name="40% - Accent3 11 2 4 5" xfId="30447"/>
    <cellStyle name="40% - Accent3 11 2 5" xfId="30448"/>
    <cellStyle name="40% - Accent3 11 2 5 2" xfId="30449"/>
    <cellStyle name="40% - Accent3 11 2 5 2 2" xfId="30450"/>
    <cellStyle name="40% - Accent3 11 2 5 2 2 2" xfId="30451"/>
    <cellStyle name="40% - Accent3 11 2 5 2 2 2 2" xfId="30452"/>
    <cellStyle name="40% - Accent3 11 2 5 2 2 3" xfId="30453"/>
    <cellStyle name="40% - Accent3 11 2 5 2 3" xfId="30454"/>
    <cellStyle name="40% - Accent3 11 2 5 2 3 2" xfId="30455"/>
    <cellStyle name="40% - Accent3 11 2 5 2 4" xfId="30456"/>
    <cellStyle name="40% - Accent3 11 2 5 3" xfId="30457"/>
    <cellStyle name="40% - Accent3 11 2 5 3 2" xfId="30458"/>
    <cellStyle name="40% - Accent3 11 2 5 3 2 2" xfId="30459"/>
    <cellStyle name="40% - Accent3 11 2 5 3 3" xfId="30460"/>
    <cellStyle name="40% - Accent3 11 2 5 4" xfId="30461"/>
    <cellStyle name="40% - Accent3 11 2 5 4 2" xfId="30462"/>
    <cellStyle name="40% - Accent3 11 2 5 5" xfId="30463"/>
    <cellStyle name="40% - Accent3 11 2 6" xfId="30464"/>
    <cellStyle name="40% - Accent3 11 2 6 2" xfId="30465"/>
    <cellStyle name="40% - Accent3 11 2 6 2 2" xfId="30466"/>
    <cellStyle name="40% - Accent3 11 2 6 2 2 2" xfId="30467"/>
    <cellStyle name="40% - Accent3 11 2 6 2 2 2 2" xfId="30468"/>
    <cellStyle name="40% - Accent3 11 2 6 2 2 3" xfId="30469"/>
    <cellStyle name="40% - Accent3 11 2 6 2 3" xfId="30470"/>
    <cellStyle name="40% - Accent3 11 2 6 2 3 2" xfId="30471"/>
    <cellStyle name="40% - Accent3 11 2 6 2 4" xfId="30472"/>
    <cellStyle name="40% - Accent3 11 2 6 3" xfId="30473"/>
    <cellStyle name="40% - Accent3 11 2 6 3 2" xfId="30474"/>
    <cellStyle name="40% - Accent3 11 2 6 3 2 2" xfId="30475"/>
    <cellStyle name="40% - Accent3 11 2 6 3 3" xfId="30476"/>
    <cellStyle name="40% - Accent3 11 2 6 4" xfId="30477"/>
    <cellStyle name="40% - Accent3 11 2 6 4 2" xfId="30478"/>
    <cellStyle name="40% - Accent3 11 2 6 5" xfId="30479"/>
    <cellStyle name="40% - Accent3 11 2 7" xfId="30480"/>
    <cellStyle name="40% - Accent3 11 2 7 2" xfId="30481"/>
    <cellStyle name="40% - Accent3 11 2 7 2 2" xfId="30482"/>
    <cellStyle name="40% - Accent3 11 2 7 2 2 2" xfId="30483"/>
    <cellStyle name="40% - Accent3 11 2 7 2 3" xfId="30484"/>
    <cellStyle name="40% - Accent3 11 2 7 3" xfId="30485"/>
    <cellStyle name="40% - Accent3 11 2 7 3 2" xfId="30486"/>
    <cellStyle name="40% - Accent3 11 2 7 4" xfId="30487"/>
    <cellStyle name="40% - Accent3 11 2 8" xfId="30488"/>
    <cellStyle name="40% - Accent3 11 2 8 2" xfId="30489"/>
    <cellStyle name="40% - Accent3 11 2 8 2 2" xfId="30490"/>
    <cellStyle name="40% - Accent3 11 2 8 3" xfId="30491"/>
    <cellStyle name="40% - Accent3 11 2 9" xfId="30492"/>
    <cellStyle name="40% - Accent3 11 2 9 2" xfId="30493"/>
    <cellStyle name="40% - Accent3 11 3" xfId="30494"/>
    <cellStyle name="40% - Accent3 11 3 2" xfId="30495"/>
    <cellStyle name="40% - Accent3 11 3 2 2" xfId="30496"/>
    <cellStyle name="40% - Accent3 11 3 2 2 2" xfId="30497"/>
    <cellStyle name="40% - Accent3 11 3 2 2 2 2" xfId="30498"/>
    <cellStyle name="40% - Accent3 11 3 2 2 3" xfId="30499"/>
    <cellStyle name="40% - Accent3 11 3 2 3" xfId="30500"/>
    <cellStyle name="40% - Accent3 11 3 2 3 2" xfId="30501"/>
    <cellStyle name="40% - Accent3 11 3 2 4" xfId="30502"/>
    <cellStyle name="40% - Accent3 11 3 3" xfId="30503"/>
    <cellStyle name="40% - Accent3 11 3 3 2" xfId="30504"/>
    <cellStyle name="40% - Accent3 11 3 3 2 2" xfId="30505"/>
    <cellStyle name="40% - Accent3 11 3 3 3" xfId="30506"/>
    <cellStyle name="40% - Accent3 11 3 4" xfId="30507"/>
    <cellStyle name="40% - Accent3 11 3 4 2" xfId="30508"/>
    <cellStyle name="40% - Accent3 11 3 5" xfId="30509"/>
    <cellStyle name="40% - Accent3 11 4" xfId="30510"/>
    <cellStyle name="40% - Accent3 11 4 2" xfId="30511"/>
    <cellStyle name="40% - Accent3 11 4 2 2" xfId="30512"/>
    <cellStyle name="40% - Accent3 11 4 2 2 2" xfId="30513"/>
    <cellStyle name="40% - Accent3 11 4 2 2 2 2" xfId="30514"/>
    <cellStyle name="40% - Accent3 11 4 2 2 3" xfId="30515"/>
    <cellStyle name="40% - Accent3 11 4 2 3" xfId="30516"/>
    <cellStyle name="40% - Accent3 11 4 2 3 2" xfId="30517"/>
    <cellStyle name="40% - Accent3 11 4 2 4" xfId="30518"/>
    <cellStyle name="40% - Accent3 11 4 3" xfId="30519"/>
    <cellStyle name="40% - Accent3 11 4 3 2" xfId="30520"/>
    <cellStyle name="40% - Accent3 11 4 3 2 2" xfId="30521"/>
    <cellStyle name="40% - Accent3 11 4 3 3" xfId="30522"/>
    <cellStyle name="40% - Accent3 11 4 4" xfId="30523"/>
    <cellStyle name="40% - Accent3 11 4 4 2" xfId="30524"/>
    <cellStyle name="40% - Accent3 11 4 5" xfId="30525"/>
    <cellStyle name="40% - Accent3 11 5" xfId="30526"/>
    <cellStyle name="40% - Accent3 11 5 2" xfId="30527"/>
    <cellStyle name="40% - Accent3 11 5 2 2" xfId="30528"/>
    <cellStyle name="40% - Accent3 11 5 2 2 2" xfId="30529"/>
    <cellStyle name="40% - Accent3 11 5 2 2 2 2" xfId="30530"/>
    <cellStyle name="40% - Accent3 11 5 2 2 3" xfId="30531"/>
    <cellStyle name="40% - Accent3 11 5 2 3" xfId="30532"/>
    <cellStyle name="40% - Accent3 11 5 2 3 2" xfId="30533"/>
    <cellStyle name="40% - Accent3 11 5 2 4" xfId="30534"/>
    <cellStyle name="40% - Accent3 11 5 3" xfId="30535"/>
    <cellStyle name="40% - Accent3 11 5 3 2" xfId="30536"/>
    <cellStyle name="40% - Accent3 11 5 3 2 2" xfId="30537"/>
    <cellStyle name="40% - Accent3 11 5 3 3" xfId="30538"/>
    <cellStyle name="40% - Accent3 11 5 4" xfId="30539"/>
    <cellStyle name="40% - Accent3 11 5 4 2" xfId="30540"/>
    <cellStyle name="40% - Accent3 11 5 5" xfId="30541"/>
    <cellStyle name="40% - Accent3 11 6" xfId="30542"/>
    <cellStyle name="40% - Accent3 11 6 2" xfId="30543"/>
    <cellStyle name="40% - Accent3 11 6 2 2" xfId="30544"/>
    <cellStyle name="40% - Accent3 11 6 2 2 2" xfId="30545"/>
    <cellStyle name="40% - Accent3 11 6 2 2 2 2" xfId="30546"/>
    <cellStyle name="40% - Accent3 11 6 2 2 3" xfId="30547"/>
    <cellStyle name="40% - Accent3 11 6 2 3" xfId="30548"/>
    <cellStyle name="40% - Accent3 11 6 2 3 2" xfId="30549"/>
    <cellStyle name="40% - Accent3 11 6 2 4" xfId="30550"/>
    <cellStyle name="40% - Accent3 11 6 3" xfId="30551"/>
    <cellStyle name="40% - Accent3 11 6 3 2" xfId="30552"/>
    <cellStyle name="40% - Accent3 11 6 3 2 2" xfId="30553"/>
    <cellStyle name="40% - Accent3 11 6 3 3" xfId="30554"/>
    <cellStyle name="40% - Accent3 11 6 4" xfId="30555"/>
    <cellStyle name="40% - Accent3 11 6 4 2" xfId="30556"/>
    <cellStyle name="40% - Accent3 11 6 5" xfId="30557"/>
    <cellStyle name="40% - Accent3 11 7" xfId="30558"/>
    <cellStyle name="40% - Accent3 11 7 2" xfId="30559"/>
    <cellStyle name="40% - Accent3 11 7 2 2" xfId="30560"/>
    <cellStyle name="40% - Accent3 11 7 2 2 2" xfId="30561"/>
    <cellStyle name="40% - Accent3 11 7 2 2 2 2" xfId="30562"/>
    <cellStyle name="40% - Accent3 11 7 2 2 3" xfId="30563"/>
    <cellStyle name="40% - Accent3 11 7 2 3" xfId="30564"/>
    <cellStyle name="40% - Accent3 11 7 2 3 2" xfId="30565"/>
    <cellStyle name="40% - Accent3 11 7 2 4" xfId="30566"/>
    <cellStyle name="40% - Accent3 11 7 3" xfId="30567"/>
    <cellStyle name="40% - Accent3 11 7 3 2" xfId="30568"/>
    <cellStyle name="40% - Accent3 11 7 3 2 2" xfId="30569"/>
    <cellStyle name="40% - Accent3 11 7 3 3" xfId="30570"/>
    <cellStyle name="40% - Accent3 11 7 4" xfId="30571"/>
    <cellStyle name="40% - Accent3 11 7 4 2" xfId="30572"/>
    <cellStyle name="40% - Accent3 11 7 5" xfId="30573"/>
    <cellStyle name="40% - Accent3 11 8" xfId="30574"/>
    <cellStyle name="40% - Accent3 11 8 2" xfId="30575"/>
    <cellStyle name="40% - Accent3 11 8 2 2" xfId="30576"/>
    <cellStyle name="40% - Accent3 11 8 2 2 2" xfId="30577"/>
    <cellStyle name="40% - Accent3 11 8 2 3" xfId="30578"/>
    <cellStyle name="40% - Accent3 11 8 3" xfId="30579"/>
    <cellStyle name="40% - Accent3 11 8 3 2" xfId="30580"/>
    <cellStyle name="40% - Accent3 11 8 4" xfId="30581"/>
    <cellStyle name="40% - Accent3 11 9" xfId="30582"/>
    <cellStyle name="40% - Accent3 11 9 2" xfId="30583"/>
    <cellStyle name="40% - Accent3 11 9 2 2" xfId="30584"/>
    <cellStyle name="40% - Accent3 11 9 3" xfId="30585"/>
    <cellStyle name="40% - Accent3 12" xfId="30586"/>
    <cellStyle name="40% - Accent3 12 10" xfId="30587"/>
    <cellStyle name="40% - Accent3 12 2" xfId="30588"/>
    <cellStyle name="40% - Accent3 12 2 2" xfId="30589"/>
    <cellStyle name="40% - Accent3 12 2 2 2" xfId="30590"/>
    <cellStyle name="40% - Accent3 12 2 2 2 2" xfId="30591"/>
    <cellStyle name="40% - Accent3 12 2 2 2 2 2" xfId="30592"/>
    <cellStyle name="40% - Accent3 12 2 2 2 3" xfId="30593"/>
    <cellStyle name="40% - Accent3 12 2 2 3" xfId="30594"/>
    <cellStyle name="40% - Accent3 12 2 2 3 2" xfId="30595"/>
    <cellStyle name="40% - Accent3 12 2 2 4" xfId="30596"/>
    <cellStyle name="40% - Accent3 12 2 3" xfId="30597"/>
    <cellStyle name="40% - Accent3 12 2 3 2" xfId="30598"/>
    <cellStyle name="40% - Accent3 12 2 3 2 2" xfId="30599"/>
    <cellStyle name="40% - Accent3 12 2 3 3" xfId="30600"/>
    <cellStyle name="40% - Accent3 12 2 4" xfId="30601"/>
    <cellStyle name="40% - Accent3 12 2 4 2" xfId="30602"/>
    <cellStyle name="40% - Accent3 12 2 5" xfId="30603"/>
    <cellStyle name="40% - Accent3 12 3" xfId="30604"/>
    <cellStyle name="40% - Accent3 12 3 2" xfId="30605"/>
    <cellStyle name="40% - Accent3 12 3 2 2" xfId="30606"/>
    <cellStyle name="40% - Accent3 12 3 2 2 2" xfId="30607"/>
    <cellStyle name="40% - Accent3 12 3 2 2 2 2" xfId="30608"/>
    <cellStyle name="40% - Accent3 12 3 2 2 3" xfId="30609"/>
    <cellStyle name="40% - Accent3 12 3 2 3" xfId="30610"/>
    <cellStyle name="40% - Accent3 12 3 2 3 2" xfId="30611"/>
    <cellStyle name="40% - Accent3 12 3 2 4" xfId="30612"/>
    <cellStyle name="40% - Accent3 12 3 3" xfId="30613"/>
    <cellStyle name="40% - Accent3 12 3 3 2" xfId="30614"/>
    <cellStyle name="40% - Accent3 12 3 3 2 2" xfId="30615"/>
    <cellStyle name="40% - Accent3 12 3 3 3" xfId="30616"/>
    <cellStyle name="40% - Accent3 12 3 4" xfId="30617"/>
    <cellStyle name="40% - Accent3 12 3 4 2" xfId="30618"/>
    <cellStyle name="40% - Accent3 12 3 5" xfId="30619"/>
    <cellStyle name="40% - Accent3 12 4" xfId="30620"/>
    <cellStyle name="40% - Accent3 12 4 2" xfId="30621"/>
    <cellStyle name="40% - Accent3 12 4 2 2" xfId="30622"/>
    <cellStyle name="40% - Accent3 12 4 2 2 2" xfId="30623"/>
    <cellStyle name="40% - Accent3 12 4 2 2 2 2" xfId="30624"/>
    <cellStyle name="40% - Accent3 12 4 2 2 3" xfId="30625"/>
    <cellStyle name="40% - Accent3 12 4 2 3" xfId="30626"/>
    <cellStyle name="40% - Accent3 12 4 2 3 2" xfId="30627"/>
    <cellStyle name="40% - Accent3 12 4 2 4" xfId="30628"/>
    <cellStyle name="40% - Accent3 12 4 3" xfId="30629"/>
    <cellStyle name="40% - Accent3 12 4 3 2" xfId="30630"/>
    <cellStyle name="40% - Accent3 12 4 3 2 2" xfId="30631"/>
    <cellStyle name="40% - Accent3 12 4 3 3" xfId="30632"/>
    <cellStyle name="40% - Accent3 12 4 4" xfId="30633"/>
    <cellStyle name="40% - Accent3 12 4 4 2" xfId="30634"/>
    <cellStyle name="40% - Accent3 12 4 5" xfId="30635"/>
    <cellStyle name="40% - Accent3 12 5" xfId="30636"/>
    <cellStyle name="40% - Accent3 12 5 2" xfId="30637"/>
    <cellStyle name="40% - Accent3 12 5 2 2" xfId="30638"/>
    <cellStyle name="40% - Accent3 12 5 2 2 2" xfId="30639"/>
    <cellStyle name="40% - Accent3 12 5 2 2 2 2" xfId="30640"/>
    <cellStyle name="40% - Accent3 12 5 2 2 3" xfId="30641"/>
    <cellStyle name="40% - Accent3 12 5 2 3" xfId="30642"/>
    <cellStyle name="40% - Accent3 12 5 2 3 2" xfId="30643"/>
    <cellStyle name="40% - Accent3 12 5 2 4" xfId="30644"/>
    <cellStyle name="40% - Accent3 12 5 3" xfId="30645"/>
    <cellStyle name="40% - Accent3 12 5 3 2" xfId="30646"/>
    <cellStyle name="40% - Accent3 12 5 3 2 2" xfId="30647"/>
    <cellStyle name="40% - Accent3 12 5 3 3" xfId="30648"/>
    <cellStyle name="40% - Accent3 12 5 4" xfId="30649"/>
    <cellStyle name="40% - Accent3 12 5 4 2" xfId="30650"/>
    <cellStyle name="40% - Accent3 12 5 5" xfId="30651"/>
    <cellStyle name="40% - Accent3 12 6" xfId="30652"/>
    <cellStyle name="40% - Accent3 12 6 2" xfId="30653"/>
    <cellStyle name="40% - Accent3 12 6 2 2" xfId="30654"/>
    <cellStyle name="40% - Accent3 12 6 2 2 2" xfId="30655"/>
    <cellStyle name="40% - Accent3 12 6 2 2 2 2" xfId="30656"/>
    <cellStyle name="40% - Accent3 12 6 2 2 3" xfId="30657"/>
    <cellStyle name="40% - Accent3 12 6 2 3" xfId="30658"/>
    <cellStyle name="40% - Accent3 12 6 2 3 2" xfId="30659"/>
    <cellStyle name="40% - Accent3 12 6 2 4" xfId="30660"/>
    <cellStyle name="40% - Accent3 12 6 3" xfId="30661"/>
    <cellStyle name="40% - Accent3 12 6 3 2" xfId="30662"/>
    <cellStyle name="40% - Accent3 12 6 3 2 2" xfId="30663"/>
    <cellStyle name="40% - Accent3 12 6 3 3" xfId="30664"/>
    <cellStyle name="40% - Accent3 12 6 4" xfId="30665"/>
    <cellStyle name="40% - Accent3 12 6 4 2" xfId="30666"/>
    <cellStyle name="40% - Accent3 12 6 5" xfId="30667"/>
    <cellStyle name="40% - Accent3 12 7" xfId="30668"/>
    <cellStyle name="40% - Accent3 12 7 2" xfId="30669"/>
    <cellStyle name="40% - Accent3 12 7 2 2" xfId="30670"/>
    <cellStyle name="40% - Accent3 12 7 2 2 2" xfId="30671"/>
    <cellStyle name="40% - Accent3 12 7 2 3" xfId="30672"/>
    <cellStyle name="40% - Accent3 12 7 3" xfId="30673"/>
    <cellStyle name="40% - Accent3 12 7 3 2" xfId="30674"/>
    <cellStyle name="40% - Accent3 12 7 4" xfId="30675"/>
    <cellStyle name="40% - Accent3 12 8" xfId="30676"/>
    <cellStyle name="40% - Accent3 12 8 2" xfId="30677"/>
    <cellStyle name="40% - Accent3 12 8 2 2" xfId="30678"/>
    <cellStyle name="40% - Accent3 12 8 3" xfId="30679"/>
    <cellStyle name="40% - Accent3 12 9" xfId="30680"/>
    <cellStyle name="40% - Accent3 12 9 2" xfId="30681"/>
    <cellStyle name="40% - Accent3 13" xfId="30682"/>
    <cellStyle name="40% - Accent3 13 10" xfId="30683"/>
    <cellStyle name="40% - Accent3 13 2" xfId="30684"/>
    <cellStyle name="40% - Accent3 13 2 2" xfId="30685"/>
    <cellStyle name="40% - Accent3 13 2 2 2" xfId="30686"/>
    <cellStyle name="40% - Accent3 13 2 2 2 2" xfId="30687"/>
    <cellStyle name="40% - Accent3 13 2 2 2 2 2" xfId="30688"/>
    <cellStyle name="40% - Accent3 13 2 2 2 3" xfId="30689"/>
    <cellStyle name="40% - Accent3 13 2 2 3" xfId="30690"/>
    <cellStyle name="40% - Accent3 13 2 2 3 2" xfId="30691"/>
    <cellStyle name="40% - Accent3 13 2 2 4" xfId="30692"/>
    <cellStyle name="40% - Accent3 13 2 3" xfId="30693"/>
    <cellStyle name="40% - Accent3 13 2 3 2" xfId="30694"/>
    <cellStyle name="40% - Accent3 13 2 3 2 2" xfId="30695"/>
    <cellStyle name="40% - Accent3 13 2 3 3" xfId="30696"/>
    <cellStyle name="40% - Accent3 13 2 4" xfId="30697"/>
    <cellStyle name="40% - Accent3 13 2 4 2" xfId="30698"/>
    <cellStyle name="40% - Accent3 13 2 5" xfId="30699"/>
    <cellStyle name="40% - Accent3 13 3" xfId="30700"/>
    <cellStyle name="40% - Accent3 13 3 2" xfId="30701"/>
    <cellStyle name="40% - Accent3 13 3 2 2" xfId="30702"/>
    <cellStyle name="40% - Accent3 13 3 2 2 2" xfId="30703"/>
    <cellStyle name="40% - Accent3 13 3 2 2 2 2" xfId="30704"/>
    <cellStyle name="40% - Accent3 13 3 2 2 3" xfId="30705"/>
    <cellStyle name="40% - Accent3 13 3 2 3" xfId="30706"/>
    <cellStyle name="40% - Accent3 13 3 2 3 2" xfId="30707"/>
    <cellStyle name="40% - Accent3 13 3 2 4" xfId="30708"/>
    <cellStyle name="40% - Accent3 13 3 3" xfId="30709"/>
    <cellStyle name="40% - Accent3 13 3 3 2" xfId="30710"/>
    <cellStyle name="40% - Accent3 13 3 3 2 2" xfId="30711"/>
    <cellStyle name="40% - Accent3 13 3 3 3" xfId="30712"/>
    <cellStyle name="40% - Accent3 13 3 4" xfId="30713"/>
    <cellStyle name="40% - Accent3 13 3 4 2" xfId="30714"/>
    <cellStyle name="40% - Accent3 13 3 5" xfId="30715"/>
    <cellStyle name="40% - Accent3 13 4" xfId="30716"/>
    <cellStyle name="40% - Accent3 13 4 2" xfId="30717"/>
    <cellStyle name="40% - Accent3 13 4 2 2" xfId="30718"/>
    <cellStyle name="40% - Accent3 13 4 2 2 2" xfId="30719"/>
    <cellStyle name="40% - Accent3 13 4 2 2 2 2" xfId="30720"/>
    <cellStyle name="40% - Accent3 13 4 2 2 3" xfId="30721"/>
    <cellStyle name="40% - Accent3 13 4 2 3" xfId="30722"/>
    <cellStyle name="40% - Accent3 13 4 2 3 2" xfId="30723"/>
    <cellStyle name="40% - Accent3 13 4 2 4" xfId="30724"/>
    <cellStyle name="40% - Accent3 13 4 3" xfId="30725"/>
    <cellStyle name="40% - Accent3 13 4 3 2" xfId="30726"/>
    <cellStyle name="40% - Accent3 13 4 3 2 2" xfId="30727"/>
    <cellStyle name="40% - Accent3 13 4 3 3" xfId="30728"/>
    <cellStyle name="40% - Accent3 13 4 4" xfId="30729"/>
    <cellStyle name="40% - Accent3 13 4 4 2" xfId="30730"/>
    <cellStyle name="40% - Accent3 13 4 5" xfId="30731"/>
    <cellStyle name="40% - Accent3 13 5" xfId="30732"/>
    <cellStyle name="40% - Accent3 13 5 2" xfId="30733"/>
    <cellStyle name="40% - Accent3 13 5 2 2" xfId="30734"/>
    <cellStyle name="40% - Accent3 13 5 2 2 2" xfId="30735"/>
    <cellStyle name="40% - Accent3 13 5 2 2 2 2" xfId="30736"/>
    <cellStyle name="40% - Accent3 13 5 2 2 3" xfId="30737"/>
    <cellStyle name="40% - Accent3 13 5 2 3" xfId="30738"/>
    <cellStyle name="40% - Accent3 13 5 2 3 2" xfId="30739"/>
    <cellStyle name="40% - Accent3 13 5 2 4" xfId="30740"/>
    <cellStyle name="40% - Accent3 13 5 3" xfId="30741"/>
    <cellStyle name="40% - Accent3 13 5 3 2" xfId="30742"/>
    <cellStyle name="40% - Accent3 13 5 3 2 2" xfId="30743"/>
    <cellStyle name="40% - Accent3 13 5 3 3" xfId="30744"/>
    <cellStyle name="40% - Accent3 13 5 4" xfId="30745"/>
    <cellStyle name="40% - Accent3 13 5 4 2" xfId="30746"/>
    <cellStyle name="40% - Accent3 13 5 5" xfId="30747"/>
    <cellStyle name="40% - Accent3 13 6" xfId="30748"/>
    <cellStyle name="40% - Accent3 13 6 2" xfId="30749"/>
    <cellStyle name="40% - Accent3 13 6 2 2" xfId="30750"/>
    <cellStyle name="40% - Accent3 13 6 2 2 2" xfId="30751"/>
    <cellStyle name="40% - Accent3 13 6 2 2 2 2" xfId="30752"/>
    <cellStyle name="40% - Accent3 13 6 2 2 3" xfId="30753"/>
    <cellStyle name="40% - Accent3 13 6 2 3" xfId="30754"/>
    <cellStyle name="40% - Accent3 13 6 2 3 2" xfId="30755"/>
    <cellStyle name="40% - Accent3 13 6 2 4" xfId="30756"/>
    <cellStyle name="40% - Accent3 13 6 3" xfId="30757"/>
    <cellStyle name="40% - Accent3 13 6 3 2" xfId="30758"/>
    <cellStyle name="40% - Accent3 13 6 3 2 2" xfId="30759"/>
    <cellStyle name="40% - Accent3 13 6 3 3" xfId="30760"/>
    <cellStyle name="40% - Accent3 13 6 4" xfId="30761"/>
    <cellStyle name="40% - Accent3 13 6 4 2" xfId="30762"/>
    <cellStyle name="40% - Accent3 13 6 5" xfId="30763"/>
    <cellStyle name="40% - Accent3 13 7" xfId="30764"/>
    <cellStyle name="40% - Accent3 13 7 2" xfId="30765"/>
    <cellStyle name="40% - Accent3 13 7 2 2" xfId="30766"/>
    <cellStyle name="40% - Accent3 13 7 2 2 2" xfId="30767"/>
    <cellStyle name="40% - Accent3 13 7 2 3" xfId="30768"/>
    <cellStyle name="40% - Accent3 13 7 3" xfId="30769"/>
    <cellStyle name="40% - Accent3 13 7 3 2" xfId="30770"/>
    <cellStyle name="40% - Accent3 13 7 4" xfId="30771"/>
    <cellStyle name="40% - Accent3 13 8" xfId="30772"/>
    <cellStyle name="40% - Accent3 13 8 2" xfId="30773"/>
    <cellStyle name="40% - Accent3 13 8 2 2" xfId="30774"/>
    <cellStyle name="40% - Accent3 13 8 3" xfId="30775"/>
    <cellStyle name="40% - Accent3 13 9" xfId="30776"/>
    <cellStyle name="40% - Accent3 13 9 2" xfId="30777"/>
    <cellStyle name="40% - Accent3 14" xfId="30778"/>
    <cellStyle name="40% - Accent3 14 2" xfId="30779"/>
    <cellStyle name="40% - Accent3 14 2 2" xfId="30780"/>
    <cellStyle name="40% - Accent3 14 2 2 2" xfId="30781"/>
    <cellStyle name="40% - Accent3 14 2 2 2 2" xfId="30782"/>
    <cellStyle name="40% - Accent3 14 2 2 3" xfId="30783"/>
    <cellStyle name="40% - Accent3 14 2 3" xfId="30784"/>
    <cellStyle name="40% - Accent3 14 2 3 2" xfId="30785"/>
    <cellStyle name="40% - Accent3 14 2 4" xfId="30786"/>
    <cellStyle name="40% - Accent3 14 3" xfId="30787"/>
    <cellStyle name="40% - Accent3 14 3 2" xfId="30788"/>
    <cellStyle name="40% - Accent3 14 3 2 2" xfId="30789"/>
    <cellStyle name="40% - Accent3 14 3 3" xfId="30790"/>
    <cellStyle name="40% - Accent3 14 4" xfId="30791"/>
    <cellStyle name="40% - Accent3 14 4 2" xfId="30792"/>
    <cellStyle name="40% - Accent3 14 5" xfId="30793"/>
    <cellStyle name="40% - Accent3 15" xfId="30794"/>
    <cellStyle name="40% - Accent3 15 2" xfId="30795"/>
    <cellStyle name="40% - Accent3 15 2 2" xfId="30796"/>
    <cellStyle name="40% - Accent3 15 2 2 2" xfId="30797"/>
    <cellStyle name="40% - Accent3 15 2 2 2 2" xfId="30798"/>
    <cellStyle name="40% - Accent3 15 2 2 3" xfId="30799"/>
    <cellStyle name="40% - Accent3 15 2 3" xfId="30800"/>
    <cellStyle name="40% - Accent3 15 2 3 2" xfId="30801"/>
    <cellStyle name="40% - Accent3 15 2 4" xfId="30802"/>
    <cellStyle name="40% - Accent3 15 3" xfId="30803"/>
    <cellStyle name="40% - Accent3 15 3 2" xfId="30804"/>
    <cellStyle name="40% - Accent3 15 3 2 2" xfId="30805"/>
    <cellStyle name="40% - Accent3 15 3 3" xfId="30806"/>
    <cellStyle name="40% - Accent3 15 4" xfId="30807"/>
    <cellStyle name="40% - Accent3 15 4 2" xfId="30808"/>
    <cellStyle name="40% - Accent3 15 5" xfId="30809"/>
    <cellStyle name="40% - Accent3 16" xfId="30810"/>
    <cellStyle name="40% - Accent3 16 2" xfId="30811"/>
    <cellStyle name="40% - Accent3 16 2 2" xfId="30812"/>
    <cellStyle name="40% - Accent3 16 2 2 2" xfId="30813"/>
    <cellStyle name="40% - Accent3 16 2 2 2 2" xfId="30814"/>
    <cellStyle name="40% - Accent3 16 2 2 3" xfId="30815"/>
    <cellStyle name="40% - Accent3 16 2 3" xfId="30816"/>
    <cellStyle name="40% - Accent3 16 2 3 2" xfId="30817"/>
    <cellStyle name="40% - Accent3 16 2 4" xfId="30818"/>
    <cellStyle name="40% - Accent3 16 3" xfId="30819"/>
    <cellStyle name="40% - Accent3 16 3 2" xfId="30820"/>
    <cellStyle name="40% - Accent3 16 3 2 2" xfId="30821"/>
    <cellStyle name="40% - Accent3 16 3 3" xfId="30822"/>
    <cellStyle name="40% - Accent3 16 4" xfId="30823"/>
    <cellStyle name="40% - Accent3 16 4 2" xfId="30824"/>
    <cellStyle name="40% - Accent3 16 5" xfId="30825"/>
    <cellStyle name="40% - Accent3 17" xfId="30826"/>
    <cellStyle name="40% - Accent3 17 2" xfId="30827"/>
    <cellStyle name="40% - Accent3 17 2 2" xfId="30828"/>
    <cellStyle name="40% - Accent3 17 2 2 2" xfId="30829"/>
    <cellStyle name="40% - Accent3 17 2 2 2 2" xfId="30830"/>
    <cellStyle name="40% - Accent3 17 2 2 3" xfId="30831"/>
    <cellStyle name="40% - Accent3 17 2 3" xfId="30832"/>
    <cellStyle name="40% - Accent3 17 2 3 2" xfId="30833"/>
    <cellStyle name="40% - Accent3 17 2 4" xfId="30834"/>
    <cellStyle name="40% - Accent3 17 3" xfId="30835"/>
    <cellStyle name="40% - Accent3 17 3 2" xfId="30836"/>
    <cellStyle name="40% - Accent3 17 3 2 2" xfId="30837"/>
    <cellStyle name="40% - Accent3 17 3 3" xfId="30838"/>
    <cellStyle name="40% - Accent3 17 4" xfId="30839"/>
    <cellStyle name="40% - Accent3 17 4 2" xfId="30840"/>
    <cellStyle name="40% - Accent3 17 5" xfId="30841"/>
    <cellStyle name="40% - Accent3 18" xfId="30842"/>
    <cellStyle name="40% - Accent3 18 2" xfId="30843"/>
    <cellStyle name="40% - Accent3 18 2 2" xfId="30844"/>
    <cellStyle name="40% - Accent3 18 2 2 2" xfId="30845"/>
    <cellStyle name="40% - Accent3 18 2 2 2 2" xfId="30846"/>
    <cellStyle name="40% - Accent3 18 2 2 3" xfId="30847"/>
    <cellStyle name="40% - Accent3 18 2 3" xfId="30848"/>
    <cellStyle name="40% - Accent3 18 2 3 2" xfId="30849"/>
    <cellStyle name="40% - Accent3 18 2 4" xfId="30850"/>
    <cellStyle name="40% - Accent3 18 3" xfId="30851"/>
    <cellStyle name="40% - Accent3 18 3 2" xfId="30852"/>
    <cellStyle name="40% - Accent3 18 3 2 2" xfId="30853"/>
    <cellStyle name="40% - Accent3 18 3 3" xfId="30854"/>
    <cellStyle name="40% - Accent3 18 4" xfId="30855"/>
    <cellStyle name="40% - Accent3 18 4 2" xfId="30856"/>
    <cellStyle name="40% - Accent3 18 5" xfId="30857"/>
    <cellStyle name="40% - Accent3 19" xfId="30858"/>
    <cellStyle name="40% - Accent3 19 2" xfId="30859"/>
    <cellStyle name="40% - Accent3 19 2 2" xfId="30860"/>
    <cellStyle name="40% - Accent3 19 2 2 2" xfId="30861"/>
    <cellStyle name="40% - Accent3 19 2 2 2 2" xfId="30862"/>
    <cellStyle name="40% - Accent3 19 2 2 3" xfId="30863"/>
    <cellStyle name="40% - Accent3 19 2 3" xfId="30864"/>
    <cellStyle name="40% - Accent3 19 2 3 2" xfId="30865"/>
    <cellStyle name="40% - Accent3 19 2 4" xfId="30866"/>
    <cellStyle name="40% - Accent3 19 3" xfId="30867"/>
    <cellStyle name="40% - Accent3 19 3 2" xfId="30868"/>
    <cellStyle name="40% - Accent3 19 3 2 2" xfId="30869"/>
    <cellStyle name="40% - Accent3 19 3 3" xfId="30870"/>
    <cellStyle name="40% - Accent3 19 4" xfId="30871"/>
    <cellStyle name="40% - Accent3 19 4 2" xfId="30872"/>
    <cellStyle name="40% - Accent3 19 5" xfId="30873"/>
    <cellStyle name="40% - Accent3 2" xfId="30874"/>
    <cellStyle name="40% - Accent3 2 10" xfId="30875"/>
    <cellStyle name="40% - Accent3 2 10 10" xfId="30876"/>
    <cellStyle name="40% - Accent3 2 10 2" xfId="30877"/>
    <cellStyle name="40% - Accent3 2 10 2 2" xfId="30878"/>
    <cellStyle name="40% - Accent3 2 10 2 2 2" xfId="30879"/>
    <cellStyle name="40% - Accent3 2 10 2 2 2 2" xfId="30880"/>
    <cellStyle name="40% - Accent3 2 10 2 2 2 2 2" xfId="30881"/>
    <cellStyle name="40% - Accent3 2 10 2 2 2 3" xfId="30882"/>
    <cellStyle name="40% - Accent3 2 10 2 2 3" xfId="30883"/>
    <cellStyle name="40% - Accent3 2 10 2 2 3 2" xfId="30884"/>
    <cellStyle name="40% - Accent3 2 10 2 2 4" xfId="30885"/>
    <cellStyle name="40% - Accent3 2 10 2 3" xfId="30886"/>
    <cellStyle name="40% - Accent3 2 10 2 3 2" xfId="30887"/>
    <cellStyle name="40% - Accent3 2 10 2 3 2 2" xfId="30888"/>
    <cellStyle name="40% - Accent3 2 10 2 3 3" xfId="30889"/>
    <cellStyle name="40% - Accent3 2 10 2 4" xfId="30890"/>
    <cellStyle name="40% - Accent3 2 10 2 4 2" xfId="30891"/>
    <cellStyle name="40% - Accent3 2 10 2 5" xfId="30892"/>
    <cellStyle name="40% - Accent3 2 10 3" xfId="30893"/>
    <cellStyle name="40% - Accent3 2 10 3 2" xfId="30894"/>
    <cellStyle name="40% - Accent3 2 10 3 2 2" xfId="30895"/>
    <cellStyle name="40% - Accent3 2 10 3 2 2 2" xfId="30896"/>
    <cellStyle name="40% - Accent3 2 10 3 2 2 2 2" xfId="30897"/>
    <cellStyle name="40% - Accent3 2 10 3 2 2 3" xfId="30898"/>
    <cellStyle name="40% - Accent3 2 10 3 2 3" xfId="30899"/>
    <cellStyle name="40% - Accent3 2 10 3 2 3 2" xfId="30900"/>
    <cellStyle name="40% - Accent3 2 10 3 2 4" xfId="30901"/>
    <cellStyle name="40% - Accent3 2 10 3 3" xfId="30902"/>
    <cellStyle name="40% - Accent3 2 10 3 3 2" xfId="30903"/>
    <cellStyle name="40% - Accent3 2 10 3 3 2 2" xfId="30904"/>
    <cellStyle name="40% - Accent3 2 10 3 3 3" xfId="30905"/>
    <cellStyle name="40% - Accent3 2 10 3 4" xfId="30906"/>
    <cellStyle name="40% - Accent3 2 10 3 4 2" xfId="30907"/>
    <cellStyle name="40% - Accent3 2 10 3 5" xfId="30908"/>
    <cellStyle name="40% - Accent3 2 10 4" xfId="30909"/>
    <cellStyle name="40% - Accent3 2 10 4 2" xfId="30910"/>
    <cellStyle name="40% - Accent3 2 10 4 2 2" xfId="30911"/>
    <cellStyle name="40% - Accent3 2 10 4 2 2 2" xfId="30912"/>
    <cellStyle name="40% - Accent3 2 10 4 2 2 2 2" xfId="30913"/>
    <cellStyle name="40% - Accent3 2 10 4 2 2 3" xfId="30914"/>
    <cellStyle name="40% - Accent3 2 10 4 2 3" xfId="30915"/>
    <cellStyle name="40% - Accent3 2 10 4 2 3 2" xfId="30916"/>
    <cellStyle name="40% - Accent3 2 10 4 2 4" xfId="30917"/>
    <cellStyle name="40% - Accent3 2 10 4 3" xfId="30918"/>
    <cellStyle name="40% - Accent3 2 10 4 3 2" xfId="30919"/>
    <cellStyle name="40% - Accent3 2 10 4 3 2 2" xfId="30920"/>
    <cellStyle name="40% - Accent3 2 10 4 3 3" xfId="30921"/>
    <cellStyle name="40% - Accent3 2 10 4 4" xfId="30922"/>
    <cellStyle name="40% - Accent3 2 10 4 4 2" xfId="30923"/>
    <cellStyle name="40% - Accent3 2 10 4 5" xfId="30924"/>
    <cellStyle name="40% - Accent3 2 10 5" xfId="30925"/>
    <cellStyle name="40% - Accent3 2 10 5 2" xfId="30926"/>
    <cellStyle name="40% - Accent3 2 10 5 2 2" xfId="30927"/>
    <cellStyle name="40% - Accent3 2 10 5 2 2 2" xfId="30928"/>
    <cellStyle name="40% - Accent3 2 10 5 2 2 2 2" xfId="30929"/>
    <cellStyle name="40% - Accent3 2 10 5 2 2 3" xfId="30930"/>
    <cellStyle name="40% - Accent3 2 10 5 2 3" xfId="30931"/>
    <cellStyle name="40% - Accent3 2 10 5 2 3 2" xfId="30932"/>
    <cellStyle name="40% - Accent3 2 10 5 2 4" xfId="30933"/>
    <cellStyle name="40% - Accent3 2 10 5 3" xfId="30934"/>
    <cellStyle name="40% - Accent3 2 10 5 3 2" xfId="30935"/>
    <cellStyle name="40% - Accent3 2 10 5 3 2 2" xfId="30936"/>
    <cellStyle name="40% - Accent3 2 10 5 3 3" xfId="30937"/>
    <cellStyle name="40% - Accent3 2 10 5 4" xfId="30938"/>
    <cellStyle name="40% - Accent3 2 10 5 4 2" xfId="30939"/>
    <cellStyle name="40% - Accent3 2 10 5 5" xfId="30940"/>
    <cellStyle name="40% - Accent3 2 10 6" xfId="30941"/>
    <cellStyle name="40% - Accent3 2 10 6 2" xfId="30942"/>
    <cellStyle name="40% - Accent3 2 10 6 2 2" xfId="30943"/>
    <cellStyle name="40% - Accent3 2 10 6 2 2 2" xfId="30944"/>
    <cellStyle name="40% - Accent3 2 10 6 2 2 2 2" xfId="30945"/>
    <cellStyle name="40% - Accent3 2 10 6 2 2 3" xfId="30946"/>
    <cellStyle name="40% - Accent3 2 10 6 2 3" xfId="30947"/>
    <cellStyle name="40% - Accent3 2 10 6 2 3 2" xfId="30948"/>
    <cellStyle name="40% - Accent3 2 10 6 2 4" xfId="30949"/>
    <cellStyle name="40% - Accent3 2 10 6 3" xfId="30950"/>
    <cellStyle name="40% - Accent3 2 10 6 3 2" xfId="30951"/>
    <cellStyle name="40% - Accent3 2 10 6 3 2 2" xfId="30952"/>
    <cellStyle name="40% - Accent3 2 10 6 3 3" xfId="30953"/>
    <cellStyle name="40% - Accent3 2 10 6 4" xfId="30954"/>
    <cellStyle name="40% - Accent3 2 10 6 4 2" xfId="30955"/>
    <cellStyle name="40% - Accent3 2 10 6 5" xfId="30956"/>
    <cellStyle name="40% - Accent3 2 10 7" xfId="30957"/>
    <cellStyle name="40% - Accent3 2 10 7 2" xfId="30958"/>
    <cellStyle name="40% - Accent3 2 10 7 2 2" xfId="30959"/>
    <cellStyle name="40% - Accent3 2 10 7 2 2 2" xfId="30960"/>
    <cellStyle name="40% - Accent3 2 10 7 2 3" xfId="30961"/>
    <cellStyle name="40% - Accent3 2 10 7 3" xfId="30962"/>
    <cellStyle name="40% - Accent3 2 10 7 3 2" xfId="30963"/>
    <cellStyle name="40% - Accent3 2 10 7 4" xfId="30964"/>
    <cellStyle name="40% - Accent3 2 10 8" xfId="30965"/>
    <cellStyle name="40% - Accent3 2 10 8 2" xfId="30966"/>
    <cellStyle name="40% - Accent3 2 10 8 2 2" xfId="30967"/>
    <cellStyle name="40% - Accent3 2 10 8 3" xfId="30968"/>
    <cellStyle name="40% - Accent3 2 10 9" xfId="30969"/>
    <cellStyle name="40% - Accent3 2 10 9 2" xfId="30970"/>
    <cellStyle name="40% - Accent3 2 11" xfId="30971"/>
    <cellStyle name="40% - Accent3 2 11 2" xfId="30972"/>
    <cellStyle name="40% - Accent3 2 11 2 2" xfId="30973"/>
    <cellStyle name="40% - Accent3 2 11 2 2 2" xfId="30974"/>
    <cellStyle name="40% - Accent3 2 11 2 2 2 2" xfId="30975"/>
    <cellStyle name="40% - Accent3 2 11 2 2 3" xfId="30976"/>
    <cellStyle name="40% - Accent3 2 11 2 3" xfId="30977"/>
    <cellStyle name="40% - Accent3 2 11 2 3 2" xfId="30978"/>
    <cellStyle name="40% - Accent3 2 11 2 4" xfId="30979"/>
    <cellStyle name="40% - Accent3 2 11 3" xfId="30980"/>
    <cellStyle name="40% - Accent3 2 11 3 2" xfId="30981"/>
    <cellStyle name="40% - Accent3 2 11 3 2 2" xfId="30982"/>
    <cellStyle name="40% - Accent3 2 11 3 3" xfId="30983"/>
    <cellStyle name="40% - Accent3 2 11 4" xfId="30984"/>
    <cellStyle name="40% - Accent3 2 11 4 2" xfId="30985"/>
    <cellStyle name="40% - Accent3 2 11 5" xfId="30986"/>
    <cellStyle name="40% - Accent3 2 12" xfId="30987"/>
    <cellStyle name="40% - Accent3 2 12 2" xfId="30988"/>
    <cellStyle name="40% - Accent3 2 12 2 2" xfId="30989"/>
    <cellStyle name="40% - Accent3 2 12 2 2 2" xfId="30990"/>
    <cellStyle name="40% - Accent3 2 12 2 2 2 2" xfId="30991"/>
    <cellStyle name="40% - Accent3 2 12 2 2 3" xfId="30992"/>
    <cellStyle name="40% - Accent3 2 12 2 3" xfId="30993"/>
    <cellStyle name="40% - Accent3 2 12 2 3 2" xfId="30994"/>
    <cellStyle name="40% - Accent3 2 12 2 4" xfId="30995"/>
    <cellStyle name="40% - Accent3 2 12 3" xfId="30996"/>
    <cellStyle name="40% - Accent3 2 12 3 2" xfId="30997"/>
    <cellStyle name="40% - Accent3 2 12 3 2 2" xfId="30998"/>
    <cellStyle name="40% - Accent3 2 12 3 3" xfId="30999"/>
    <cellStyle name="40% - Accent3 2 12 4" xfId="31000"/>
    <cellStyle name="40% - Accent3 2 12 4 2" xfId="31001"/>
    <cellStyle name="40% - Accent3 2 12 5" xfId="31002"/>
    <cellStyle name="40% - Accent3 2 13" xfId="31003"/>
    <cellStyle name="40% - Accent3 2 13 2" xfId="31004"/>
    <cellStyle name="40% - Accent3 2 13 2 2" xfId="31005"/>
    <cellStyle name="40% - Accent3 2 13 2 2 2" xfId="31006"/>
    <cellStyle name="40% - Accent3 2 13 2 2 2 2" xfId="31007"/>
    <cellStyle name="40% - Accent3 2 13 2 2 3" xfId="31008"/>
    <cellStyle name="40% - Accent3 2 13 2 3" xfId="31009"/>
    <cellStyle name="40% - Accent3 2 13 2 3 2" xfId="31010"/>
    <cellStyle name="40% - Accent3 2 13 2 4" xfId="31011"/>
    <cellStyle name="40% - Accent3 2 13 3" xfId="31012"/>
    <cellStyle name="40% - Accent3 2 13 3 2" xfId="31013"/>
    <cellStyle name="40% - Accent3 2 13 3 2 2" xfId="31014"/>
    <cellStyle name="40% - Accent3 2 13 3 3" xfId="31015"/>
    <cellStyle name="40% - Accent3 2 13 4" xfId="31016"/>
    <cellStyle name="40% - Accent3 2 13 4 2" xfId="31017"/>
    <cellStyle name="40% - Accent3 2 13 5" xfId="31018"/>
    <cellStyle name="40% - Accent3 2 14" xfId="31019"/>
    <cellStyle name="40% - Accent3 2 14 2" xfId="31020"/>
    <cellStyle name="40% - Accent3 2 14 2 2" xfId="31021"/>
    <cellStyle name="40% - Accent3 2 14 2 2 2" xfId="31022"/>
    <cellStyle name="40% - Accent3 2 14 2 2 2 2" xfId="31023"/>
    <cellStyle name="40% - Accent3 2 14 2 2 3" xfId="31024"/>
    <cellStyle name="40% - Accent3 2 14 2 3" xfId="31025"/>
    <cellStyle name="40% - Accent3 2 14 2 3 2" xfId="31026"/>
    <cellStyle name="40% - Accent3 2 14 2 4" xfId="31027"/>
    <cellStyle name="40% - Accent3 2 14 3" xfId="31028"/>
    <cellStyle name="40% - Accent3 2 14 3 2" xfId="31029"/>
    <cellStyle name="40% - Accent3 2 14 3 2 2" xfId="31030"/>
    <cellStyle name="40% - Accent3 2 14 3 3" xfId="31031"/>
    <cellStyle name="40% - Accent3 2 14 4" xfId="31032"/>
    <cellStyle name="40% - Accent3 2 14 4 2" xfId="31033"/>
    <cellStyle name="40% - Accent3 2 14 5" xfId="31034"/>
    <cellStyle name="40% - Accent3 2 15" xfId="31035"/>
    <cellStyle name="40% - Accent3 2 15 2" xfId="31036"/>
    <cellStyle name="40% - Accent3 2 15 2 2" xfId="31037"/>
    <cellStyle name="40% - Accent3 2 15 2 2 2" xfId="31038"/>
    <cellStyle name="40% - Accent3 2 15 2 2 2 2" xfId="31039"/>
    <cellStyle name="40% - Accent3 2 15 2 2 3" xfId="31040"/>
    <cellStyle name="40% - Accent3 2 15 2 3" xfId="31041"/>
    <cellStyle name="40% - Accent3 2 15 2 3 2" xfId="31042"/>
    <cellStyle name="40% - Accent3 2 15 2 4" xfId="31043"/>
    <cellStyle name="40% - Accent3 2 15 3" xfId="31044"/>
    <cellStyle name="40% - Accent3 2 15 3 2" xfId="31045"/>
    <cellStyle name="40% - Accent3 2 15 3 2 2" xfId="31046"/>
    <cellStyle name="40% - Accent3 2 15 3 3" xfId="31047"/>
    <cellStyle name="40% - Accent3 2 15 4" xfId="31048"/>
    <cellStyle name="40% - Accent3 2 15 4 2" xfId="31049"/>
    <cellStyle name="40% - Accent3 2 15 5" xfId="31050"/>
    <cellStyle name="40% - Accent3 2 16" xfId="31051"/>
    <cellStyle name="40% - Accent3 2 16 2" xfId="31052"/>
    <cellStyle name="40% - Accent3 2 16 2 2" xfId="31053"/>
    <cellStyle name="40% - Accent3 2 16 2 2 2" xfId="31054"/>
    <cellStyle name="40% - Accent3 2 16 2 3" xfId="31055"/>
    <cellStyle name="40% - Accent3 2 16 3" xfId="31056"/>
    <cellStyle name="40% - Accent3 2 16 3 2" xfId="31057"/>
    <cellStyle name="40% - Accent3 2 16 4" xfId="31058"/>
    <cellStyle name="40% - Accent3 2 17" xfId="31059"/>
    <cellStyle name="40% - Accent3 2 17 2" xfId="31060"/>
    <cellStyle name="40% - Accent3 2 17 2 2" xfId="31061"/>
    <cellStyle name="40% - Accent3 2 17 3" xfId="31062"/>
    <cellStyle name="40% - Accent3 2 18" xfId="31063"/>
    <cellStyle name="40% - Accent3 2 18 2" xfId="31064"/>
    <cellStyle name="40% - Accent3 2 19" xfId="31065"/>
    <cellStyle name="40% - Accent3 2 2" xfId="31066"/>
    <cellStyle name="40% - Accent3 2 2 10" xfId="31067"/>
    <cellStyle name="40% - Accent3 2 2 10 2" xfId="31068"/>
    <cellStyle name="40% - Accent3 2 2 11" xfId="31069"/>
    <cellStyle name="40% - Accent3 2 2 2" xfId="31070"/>
    <cellStyle name="40% - Accent3 2 2 2 10" xfId="31071"/>
    <cellStyle name="40% - Accent3 2 2 2 2" xfId="31072"/>
    <cellStyle name="40% - Accent3 2 2 2 2 2" xfId="31073"/>
    <cellStyle name="40% - Accent3 2 2 2 2 2 2" xfId="31074"/>
    <cellStyle name="40% - Accent3 2 2 2 2 2 2 2" xfId="31075"/>
    <cellStyle name="40% - Accent3 2 2 2 2 2 2 2 2" xfId="31076"/>
    <cellStyle name="40% - Accent3 2 2 2 2 2 2 3" xfId="31077"/>
    <cellStyle name="40% - Accent3 2 2 2 2 2 3" xfId="31078"/>
    <cellStyle name="40% - Accent3 2 2 2 2 2 3 2" xfId="31079"/>
    <cellStyle name="40% - Accent3 2 2 2 2 2 4" xfId="31080"/>
    <cellStyle name="40% - Accent3 2 2 2 2 3" xfId="31081"/>
    <cellStyle name="40% - Accent3 2 2 2 2 3 2" xfId="31082"/>
    <cellStyle name="40% - Accent3 2 2 2 2 3 2 2" xfId="31083"/>
    <cellStyle name="40% - Accent3 2 2 2 2 3 3" xfId="31084"/>
    <cellStyle name="40% - Accent3 2 2 2 2 4" xfId="31085"/>
    <cellStyle name="40% - Accent3 2 2 2 2 4 2" xfId="31086"/>
    <cellStyle name="40% - Accent3 2 2 2 2 5" xfId="31087"/>
    <cellStyle name="40% - Accent3 2 2 2 3" xfId="31088"/>
    <cellStyle name="40% - Accent3 2 2 2 3 2" xfId="31089"/>
    <cellStyle name="40% - Accent3 2 2 2 3 2 2" xfId="31090"/>
    <cellStyle name="40% - Accent3 2 2 2 3 2 2 2" xfId="31091"/>
    <cellStyle name="40% - Accent3 2 2 2 3 2 2 2 2" xfId="31092"/>
    <cellStyle name="40% - Accent3 2 2 2 3 2 2 3" xfId="31093"/>
    <cellStyle name="40% - Accent3 2 2 2 3 2 3" xfId="31094"/>
    <cellStyle name="40% - Accent3 2 2 2 3 2 3 2" xfId="31095"/>
    <cellStyle name="40% - Accent3 2 2 2 3 2 4" xfId="31096"/>
    <cellStyle name="40% - Accent3 2 2 2 3 3" xfId="31097"/>
    <cellStyle name="40% - Accent3 2 2 2 3 3 2" xfId="31098"/>
    <cellStyle name="40% - Accent3 2 2 2 3 3 2 2" xfId="31099"/>
    <cellStyle name="40% - Accent3 2 2 2 3 3 3" xfId="31100"/>
    <cellStyle name="40% - Accent3 2 2 2 3 4" xfId="31101"/>
    <cellStyle name="40% - Accent3 2 2 2 3 4 2" xfId="31102"/>
    <cellStyle name="40% - Accent3 2 2 2 3 5" xfId="31103"/>
    <cellStyle name="40% - Accent3 2 2 2 4" xfId="31104"/>
    <cellStyle name="40% - Accent3 2 2 2 4 2" xfId="31105"/>
    <cellStyle name="40% - Accent3 2 2 2 4 2 2" xfId="31106"/>
    <cellStyle name="40% - Accent3 2 2 2 4 2 2 2" xfId="31107"/>
    <cellStyle name="40% - Accent3 2 2 2 4 2 2 2 2" xfId="31108"/>
    <cellStyle name="40% - Accent3 2 2 2 4 2 2 3" xfId="31109"/>
    <cellStyle name="40% - Accent3 2 2 2 4 2 3" xfId="31110"/>
    <cellStyle name="40% - Accent3 2 2 2 4 2 3 2" xfId="31111"/>
    <cellStyle name="40% - Accent3 2 2 2 4 2 4" xfId="31112"/>
    <cellStyle name="40% - Accent3 2 2 2 4 3" xfId="31113"/>
    <cellStyle name="40% - Accent3 2 2 2 4 3 2" xfId="31114"/>
    <cellStyle name="40% - Accent3 2 2 2 4 3 2 2" xfId="31115"/>
    <cellStyle name="40% - Accent3 2 2 2 4 3 3" xfId="31116"/>
    <cellStyle name="40% - Accent3 2 2 2 4 4" xfId="31117"/>
    <cellStyle name="40% - Accent3 2 2 2 4 4 2" xfId="31118"/>
    <cellStyle name="40% - Accent3 2 2 2 4 5" xfId="31119"/>
    <cellStyle name="40% - Accent3 2 2 2 5" xfId="31120"/>
    <cellStyle name="40% - Accent3 2 2 2 5 2" xfId="31121"/>
    <cellStyle name="40% - Accent3 2 2 2 5 2 2" xfId="31122"/>
    <cellStyle name="40% - Accent3 2 2 2 5 2 2 2" xfId="31123"/>
    <cellStyle name="40% - Accent3 2 2 2 5 2 2 2 2" xfId="31124"/>
    <cellStyle name="40% - Accent3 2 2 2 5 2 2 3" xfId="31125"/>
    <cellStyle name="40% - Accent3 2 2 2 5 2 3" xfId="31126"/>
    <cellStyle name="40% - Accent3 2 2 2 5 2 3 2" xfId="31127"/>
    <cellStyle name="40% - Accent3 2 2 2 5 2 4" xfId="31128"/>
    <cellStyle name="40% - Accent3 2 2 2 5 3" xfId="31129"/>
    <cellStyle name="40% - Accent3 2 2 2 5 3 2" xfId="31130"/>
    <cellStyle name="40% - Accent3 2 2 2 5 3 2 2" xfId="31131"/>
    <cellStyle name="40% - Accent3 2 2 2 5 3 3" xfId="31132"/>
    <cellStyle name="40% - Accent3 2 2 2 5 4" xfId="31133"/>
    <cellStyle name="40% - Accent3 2 2 2 5 4 2" xfId="31134"/>
    <cellStyle name="40% - Accent3 2 2 2 5 5" xfId="31135"/>
    <cellStyle name="40% - Accent3 2 2 2 6" xfId="31136"/>
    <cellStyle name="40% - Accent3 2 2 2 6 2" xfId="31137"/>
    <cellStyle name="40% - Accent3 2 2 2 6 2 2" xfId="31138"/>
    <cellStyle name="40% - Accent3 2 2 2 6 2 2 2" xfId="31139"/>
    <cellStyle name="40% - Accent3 2 2 2 6 2 2 2 2" xfId="31140"/>
    <cellStyle name="40% - Accent3 2 2 2 6 2 2 3" xfId="31141"/>
    <cellStyle name="40% - Accent3 2 2 2 6 2 3" xfId="31142"/>
    <cellStyle name="40% - Accent3 2 2 2 6 2 3 2" xfId="31143"/>
    <cellStyle name="40% - Accent3 2 2 2 6 2 4" xfId="31144"/>
    <cellStyle name="40% - Accent3 2 2 2 6 3" xfId="31145"/>
    <cellStyle name="40% - Accent3 2 2 2 6 3 2" xfId="31146"/>
    <cellStyle name="40% - Accent3 2 2 2 6 3 2 2" xfId="31147"/>
    <cellStyle name="40% - Accent3 2 2 2 6 3 3" xfId="31148"/>
    <cellStyle name="40% - Accent3 2 2 2 6 4" xfId="31149"/>
    <cellStyle name="40% - Accent3 2 2 2 6 4 2" xfId="31150"/>
    <cellStyle name="40% - Accent3 2 2 2 6 5" xfId="31151"/>
    <cellStyle name="40% - Accent3 2 2 2 7" xfId="31152"/>
    <cellStyle name="40% - Accent3 2 2 2 7 2" xfId="31153"/>
    <cellStyle name="40% - Accent3 2 2 2 7 2 2" xfId="31154"/>
    <cellStyle name="40% - Accent3 2 2 2 7 2 2 2" xfId="31155"/>
    <cellStyle name="40% - Accent3 2 2 2 7 2 3" xfId="31156"/>
    <cellStyle name="40% - Accent3 2 2 2 7 3" xfId="31157"/>
    <cellStyle name="40% - Accent3 2 2 2 7 3 2" xfId="31158"/>
    <cellStyle name="40% - Accent3 2 2 2 7 4" xfId="31159"/>
    <cellStyle name="40% - Accent3 2 2 2 8" xfId="31160"/>
    <cellStyle name="40% - Accent3 2 2 2 8 2" xfId="31161"/>
    <cellStyle name="40% - Accent3 2 2 2 8 2 2" xfId="31162"/>
    <cellStyle name="40% - Accent3 2 2 2 8 3" xfId="31163"/>
    <cellStyle name="40% - Accent3 2 2 2 9" xfId="31164"/>
    <cellStyle name="40% - Accent3 2 2 2 9 2" xfId="31165"/>
    <cellStyle name="40% - Accent3 2 2 3" xfId="31166"/>
    <cellStyle name="40% - Accent3 2 2 3 2" xfId="31167"/>
    <cellStyle name="40% - Accent3 2 2 3 2 2" xfId="31168"/>
    <cellStyle name="40% - Accent3 2 2 3 2 2 2" xfId="31169"/>
    <cellStyle name="40% - Accent3 2 2 3 2 2 2 2" xfId="31170"/>
    <cellStyle name="40% - Accent3 2 2 3 2 2 3" xfId="31171"/>
    <cellStyle name="40% - Accent3 2 2 3 2 3" xfId="31172"/>
    <cellStyle name="40% - Accent3 2 2 3 2 3 2" xfId="31173"/>
    <cellStyle name="40% - Accent3 2 2 3 2 4" xfId="31174"/>
    <cellStyle name="40% - Accent3 2 2 3 3" xfId="31175"/>
    <cellStyle name="40% - Accent3 2 2 3 3 2" xfId="31176"/>
    <cellStyle name="40% - Accent3 2 2 3 3 2 2" xfId="31177"/>
    <cellStyle name="40% - Accent3 2 2 3 3 3" xfId="31178"/>
    <cellStyle name="40% - Accent3 2 2 3 4" xfId="31179"/>
    <cellStyle name="40% - Accent3 2 2 3 4 2" xfId="31180"/>
    <cellStyle name="40% - Accent3 2 2 3 5" xfId="31181"/>
    <cellStyle name="40% - Accent3 2 2 4" xfId="31182"/>
    <cellStyle name="40% - Accent3 2 2 4 2" xfId="31183"/>
    <cellStyle name="40% - Accent3 2 2 4 2 2" xfId="31184"/>
    <cellStyle name="40% - Accent3 2 2 4 2 2 2" xfId="31185"/>
    <cellStyle name="40% - Accent3 2 2 4 2 2 2 2" xfId="31186"/>
    <cellStyle name="40% - Accent3 2 2 4 2 2 3" xfId="31187"/>
    <cellStyle name="40% - Accent3 2 2 4 2 3" xfId="31188"/>
    <cellStyle name="40% - Accent3 2 2 4 2 3 2" xfId="31189"/>
    <cellStyle name="40% - Accent3 2 2 4 2 4" xfId="31190"/>
    <cellStyle name="40% - Accent3 2 2 4 3" xfId="31191"/>
    <cellStyle name="40% - Accent3 2 2 4 3 2" xfId="31192"/>
    <cellStyle name="40% - Accent3 2 2 4 3 2 2" xfId="31193"/>
    <cellStyle name="40% - Accent3 2 2 4 3 3" xfId="31194"/>
    <cellStyle name="40% - Accent3 2 2 4 4" xfId="31195"/>
    <cellStyle name="40% - Accent3 2 2 4 4 2" xfId="31196"/>
    <cellStyle name="40% - Accent3 2 2 4 5" xfId="31197"/>
    <cellStyle name="40% - Accent3 2 2 5" xfId="31198"/>
    <cellStyle name="40% - Accent3 2 2 5 2" xfId="31199"/>
    <cellStyle name="40% - Accent3 2 2 5 2 2" xfId="31200"/>
    <cellStyle name="40% - Accent3 2 2 5 2 2 2" xfId="31201"/>
    <cellStyle name="40% - Accent3 2 2 5 2 2 2 2" xfId="31202"/>
    <cellStyle name="40% - Accent3 2 2 5 2 2 3" xfId="31203"/>
    <cellStyle name="40% - Accent3 2 2 5 2 3" xfId="31204"/>
    <cellStyle name="40% - Accent3 2 2 5 2 3 2" xfId="31205"/>
    <cellStyle name="40% - Accent3 2 2 5 2 4" xfId="31206"/>
    <cellStyle name="40% - Accent3 2 2 5 3" xfId="31207"/>
    <cellStyle name="40% - Accent3 2 2 5 3 2" xfId="31208"/>
    <cellStyle name="40% - Accent3 2 2 5 3 2 2" xfId="31209"/>
    <cellStyle name="40% - Accent3 2 2 5 3 3" xfId="31210"/>
    <cellStyle name="40% - Accent3 2 2 5 4" xfId="31211"/>
    <cellStyle name="40% - Accent3 2 2 5 4 2" xfId="31212"/>
    <cellStyle name="40% - Accent3 2 2 5 5" xfId="31213"/>
    <cellStyle name="40% - Accent3 2 2 6" xfId="31214"/>
    <cellStyle name="40% - Accent3 2 2 6 2" xfId="31215"/>
    <cellStyle name="40% - Accent3 2 2 6 2 2" xfId="31216"/>
    <cellStyle name="40% - Accent3 2 2 6 2 2 2" xfId="31217"/>
    <cellStyle name="40% - Accent3 2 2 6 2 2 2 2" xfId="31218"/>
    <cellStyle name="40% - Accent3 2 2 6 2 2 3" xfId="31219"/>
    <cellStyle name="40% - Accent3 2 2 6 2 3" xfId="31220"/>
    <cellStyle name="40% - Accent3 2 2 6 2 3 2" xfId="31221"/>
    <cellStyle name="40% - Accent3 2 2 6 2 4" xfId="31222"/>
    <cellStyle name="40% - Accent3 2 2 6 3" xfId="31223"/>
    <cellStyle name="40% - Accent3 2 2 6 3 2" xfId="31224"/>
    <cellStyle name="40% - Accent3 2 2 6 3 2 2" xfId="31225"/>
    <cellStyle name="40% - Accent3 2 2 6 3 3" xfId="31226"/>
    <cellStyle name="40% - Accent3 2 2 6 4" xfId="31227"/>
    <cellStyle name="40% - Accent3 2 2 6 4 2" xfId="31228"/>
    <cellStyle name="40% - Accent3 2 2 6 5" xfId="31229"/>
    <cellStyle name="40% - Accent3 2 2 7" xfId="31230"/>
    <cellStyle name="40% - Accent3 2 2 7 2" xfId="31231"/>
    <cellStyle name="40% - Accent3 2 2 7 2 2" xfId="31232"/>
    <cellStyle name="40% - Accent3 2 2 7 2 2 2" xfId="31233"/>
    <cellStyle name="40% - Accent3 2 2 7 2 2 2 2" xfId="31234"/>
    <cellStyle name="40% - Accent3 2 2 7 2 2 3" xfId="31235"/>
    <cellStyle name="40% - Accent3 2 2 7 2 3" xfId="31236"/>
    <cellStyle name="40% - Accent3 2 2 7 2 3 2" xfId="31237"/>
    <cellStyle name="40% - Accent3 2 2 7 2 4" xfId="31238"/>
    <cellStyle name="40% - Accent3 2 2 7 3" xfId="31239"/>
    <cellStyle name="40% - Accent3 2 2 7 3 2" xfId="31240"/>
    <cellStyle name="40% - Accent3 2 2 7 3 2 2" xfId="31241"/>
    <cellStyle name="40% - Accent3 2 2 7 3 3" xfId="31242"/>
    <cellStyle name="40% - Accent3 2 2 7 4" xfId="31243"/>
    <cellStyle name="40% - Accent3 2 2 7 4 2" xfId="31244"/>
    <cellStyle name="40% - Accent3 2 2 7 5" xfId="31245"/>
    <cellStyle name="40% - Accent3 2 2 8" xfId="31246"/>
    <cellStyle name="40% - Accent3 2 2 8 2" xfId="31247"/>
    <cellStyle name="40% - Accent3 2 2 8 2 2" xfId="31248"/>
    <cellStyle name="40% - Accent3 2 2 8 2 2 2" xfId="31249"/>
    <cellStyle name="40% - Accent3 2 2 8 2 3" xfId="31250"/>
    <cellStyle name="40% - Accent3 2 2 8 3" xfId="31251"/>
    <cellStyle name="40% - Accent3 2 2 8 3 2" xfId="31252"/>
    <cellStyle name="40% - Accent3 2 2 8 4" xfId="31253"/>
    <cellStyle name="40% - Accent3 2 2 9" xfId="31254"/>
    <cellStyle name="40% - Accent3 2 2 9 2" xfId="31255"/>
    <cellStyle name="40% - Accent3 2 2 9 2 2" xfId="31256"/>
    <cellStyle name="40% - Accent3 2 2 9 3" xfId="31257"/>
    <cellStyle name="40% - Accent3 2 3" xfId="31258"/>
    <cellStyle name="40% - Accent3 2 3 10" xfId="31259"/>
    <cellStyle name="40% - Accent3 2 3 10 2" xfId="31260"/>
    <cellStyle name="40% - Accent3 2 3 11" xfId="31261"/>
    <cellStyle name="40% - Accent3 2 3 2" xfId="31262"/>
    <cellStyle name="40% - Accent3 2 3 2 10" xfId="31263"/>
    <cellStyle name="40% - Accent3 2 3 2 2" xfId="31264"/>
    <cellStyle name="40% - Accent3 2 3 2 2 2" xfId="31265"/>
    <cellStyle name="40% - Accent3 2 3 2 2 2 2" xfId="31266"/>
    <cellStyle name="40% - Accent3 2 3 2 2 2 2 2" xfId="31267"/>
    <cellStyle name="40% - Accent3 2 3 2 2 2 2 2 2" xfId="31268"/>
    <cellStyle name="40% - Accent3 2 3 2 2 2 2 3" xfId="31269"/>
    <cellStyle name="40% - Accent3 2 3 2 2 2 3" xfId="31270"/>
    <cellStyle name="40% - Accent3 2 3 2 2 2 3 2" xfId="31271"/>
    <cellStyle name="40% - Accent3 2 3 2 2 2 4" xfId="31272"/>
    <cellStyle name="40% - Accent3 2 3 2 2 3" xfId="31273"/>
    <cellStyle name="40% - Accent3 2 3 2 2 3 2" xfId="31274"/>
    <cellStyle name="40% - Accent3 2 3 2 2 3 2 2" xfId="31275"/>
    <cellStyle name="40% - Accent3 2 3 2 2 3 3" xfId="31276"/>
    <cellStyle name="40% - Accent3 2 3 2 2 4" xfId="31277"/>
    <cellStyle name="40% - Accent3 2 3 2 2 4 2" xfId="31278"/>
    <cellStyle name="40% - Accent3 2 3 2 2 5" xfId="31279"/>
    <cellStyle name="40% - Accent3 2 3 2 3" xfId="31280"/>
    <cellStyle name="40% - Accent3 2 3 2 3 2" xfId="31281"/>
    <cellStyle name="40% - Accent3 2 3 2 3 2 2" xfId="31282"/>
    <cellStyle name="40% - Accent3 2 3 2 3 2 2 2" xfId="31283"/>
    <cellStyle name="40% - Accent3 2 3 2 3 2 2 2 2" xfId="31284"/>
    <cellStyle name="40% - Accent3 2 3 2 3 2 2 3" xfId="31285"/>
    <cellStyle name="40% - Accent3 2 3 2 3 2 3" xfId="31286"/>
    <cellStyle name="40% - Accent3 2 3 2 3 2 3 2" xfId="31287"/>
    <cellStyle name="40% - Accent3 2 3 2 3 2 4" xfId="31288"/>
    <cellStyle name="40% - Accent3 2 3 2 3 3" xfId="31289"/>
    <cellStyle name="40% - Accent3 2 3 2 3 3 2" xfId="31290"/>
    <cellStyle name="40% - Accent3 2 3 2 3 3 2 2" xfId="31291"/>
    <cellStyle name="40% - Accent3 2 3 2 3 3 3" xfId="31292"/>
    <cellStyle name="40% - Accent3 2 3 2 3 4" xfId="31293"/>
    <cellStyle name="40% - Accent3 2 3 2 3 4 2" xfId="31294"/>
    <cellStyle name="40% - Accent3 2 3 2 3 5" xfId="31295"/>
    <cellStyle name="40% - Accent3 2 3 2 4" xfId="31296"/>
    <cellStyle name="40% - Accent3 2 3 2 4 2" xfId="31297"/>
    <cellStyle name="40% - Accent3 2 3 2 4 2 2" xfId="31298"/>
    <cellStyle name="40% - Accent3 2 3 2 4 2 2 2" xfId="31299"/>
    <cellStyle name="40% - Accent3 2 3 2 4 2 2 2 2" xfId="31300"/>
    <cellStyle name="40% - Accent3 2 3 2 4 2 2 3" xfId="31301"/>
    <cellStyle name="40% - Accent3 2 3 2 4 2 3" xfId="31302"/>
    <cellStyle name="40% - Accent3 2 3 2 4 2 3 2" xfId="31303"/>
    <cellStyle name="40% - Accent3 2 3 2 4 2 4" xfId="31304"/>
    <cellStyle name="40% - Accent3 2 3 2 4 3" xfId="31305"/>
    <cellStyle name="40% - Accent3 2 3 2 4 3 2" xfId="31306"/>
    <cellStyle name="40% - Accent3 2 3 2 4 3 2 2" xfId="31307"/>
    <cellStyle name="40% - Accent3 2 3 2 4 3 3" xfId="31308"/>
    <cellStyle name="40% - Accent3 2 3 2 4 4" xfId="31309"/>
    <cellStyle name="40% - Accent3 2 3 2 4 4 2" xfId="31310"/>
    <cellStyle name="40% - Accent3 2 3 2 4 5" xfId="31311"/>
    <cellStyle name="40% - Accent3 2 3 2 5" xfId="31312"/>
    <cellStyle name="40% - Accent3 2 3 2 5 2" xfId="31313"/>
    <cellStyle name="40% - Accent3 2 3 2 5 2 2" xfId="31314"/>
    <cellStyle name="40% - Accent3 2 3 2 5 2 2 2" xfId="31315"/>
    <cellStyle name="40% - Accent3 2 3 2 5 2 2 2 2" xfId="31316"/>
    <cellStyle name="40% - Accent3 2 3 2 5 2 2 3" xfId="31317"/>
    <cellStyle name="40% - Accent3 2 3 2 5 2 3" xfId="31318"/>
    <cellStyle name="40% - Accent3 2 3 2 5 2 3 2" xfId="31319"/>
    <cellStyle name="40% - Accent3 2 3 2 5 2 4" xfId="31320"/>
    <cellStyle name="40% - Accent3 2 3 2 5 3" xfId="31321"/>
    <cellStyle name="40% - Accent3 2 3 2 5 3 2" xfId="31322"/>
    <cellStyle name="40% - Accent3 2 3 2 5 3 2 2" xfId="31323"/>
    <cellStyle name="40% - Accent3 2 3 2 5 3 3" xfId="31324"/>
    <cellStyle name="40% - Accent3 2 3 2 5 4" xfId="31325"/>
    <cellStyle name="40% - Accent3 2 3 2 5 4 2" xfId="31326"/>
    <cellStyle name="40% - Accent3 2 3 2 5 5" xfId="31327"/>
    <cellStyle name="40% - Accent3 2 3 2 6" xfId="31328"/>
    <cellStyle name="40% - Accent3 2 3 2 6 2" xfId="31329"/>
    <cellStyle name="40% - Accent3 2 3 2 6 2 2" xfId="31330"/>
    <cellStyle name="40% - Accent3 2 3 2 6 2 2 2" xfId="31331"/>
    <cellStyle name="40% - Accent3 2 3 2 6 2 2 2 2" xfId="31332"/>
    <cellStyle name="40% - Accent3 2 3 2 6 2 2 3" xfId="31333"/>
    <cellStyle name="40% - Accent3 2 3 2 6 2 3" xfId="31334"/>
    <cellStyle name="40% - Accent3 2 3 2 6 2 3 2" xfId="31335"/>
    <cellStyle name="40% - Accent3 2 3 2 6 2 4" xfId="31336"/>
    <cellStyle name="40% - Accent3 2 3 2 6 3" xfId="31337"/>
    <cellStyle name="40% - Accent3 2 3 2 6 3 2" xfId="31338"/>
    <cellStyle name="40% - Accent3 2 3 2 6 3 2 2" xfId="31339"/>
    <cellStyle name="40% - Accent3 2 3 2 6 3 3" xfId="31340"/>
    <cellStyle name="40% - Accent3 2 3 2 6 4" xfId="31341"/>
    <cellStyle name="40% - Accent3 2 3 2 6 4 2" xfId="31342"/>
    <cellStyle name="40% - Accent3 2 3 2 6 5" xfId="31343"/>
    <cellStyle name="40% - Accent3 2 3 2 7" xfId="31344"/>
    <cellStyle name="40% - Accent3 2 3 2 7 2" xfId="31345"/>
    <cellStyle name="40% - Accent3 2 3 2 7 2 2" xfId="31346"/>
    <cellStyle name="40% - Accent3 2 3 2 7 2 2 2" xfId="31347"/>
    <cellStyle name="40% - Accent3 2 3 2 7 2 3" xfId="31348"/>
    <cellStyle name="40% - Accent3 2 3 2 7 3" xfId="31349"/>
    <cellStyle name="40% - Accent3 2 3 2 7 3 2" xfId="31350"/>
    <cellStyle name="40% - Accent3 2 3 2 7 4" xfId="31351"/>
    <cellStyle name="40% - Accent3 2 3 2 8" xfId="31352"/>
    <cellStyle name="40% - Accent3 2 3 2 8 2" xfId="31353"/>
    <cellStyle name="40% - Accent3 2 3 2 8 2 2" xfId="31354"/>
    <cellStyle name="40% - Accent3 2 3 2 8 3" xfId="31355"/>
    <cellStyle name="40% - Accent3 2 3 2 9" xfId="31356"/>
    <cellStyle name="40% - Accent3 2 3 2 9 2" xfId="31357"/>
    <cellStyle name="40% - Accent3 2 3 3" xfId="31358"/>
    <cellStyle name="40% - Accent3 2 3 3 2" xfId="31359"/>
    <cellStyle name="40% - Accent3 2 3 3 2 2" xfId="31360"/>
    <cellStyle name="40% - Accent3 2 3 3 2 2 2" xfId="31361"/>
    <cellStyle name="40% - Accent3 2 3 3 2 2 2 2" xfId="31362"/>
    <cellStyle name="40% - Accent3 2 3 3 2 2 3" xfId="31363"/>
    <cellStyle name="40% - Accent3 2 3 3 2 3" xfId="31364"/>
    <cellStyle name="40% - Accent3 2 3 3 2 3 2" xfId="31365"/>
    <cellStyle name="40% - Accent3 2 3 3 2 4" xfId="31366"/>
    <cellStyle name="40% - Accent3 2 3 3 3" xfId="31367"/>
    <cellStyle name="40% - Accent3 2 3 3 3 2" xfId="31368"/>
    <cellStyle name="40% - Accent3 2 3 3 3 2 2" xfId="31369"/>
    <cellStyle name="40% - Accent3 2 3 3 3 3" xfId="31370"/>
    <cellStyle name="40% - Accent3 2 3 3 4" xfId="31371"/>
    <cellStyle name="40% - Accent3 2 3 3 4 2" xfId="31372"/>
    <cellStyle name="40% - Accent3 2 3 3 5" xfId="31373"/>
    <cellStyle name="40% - Accent3 2 3 4" xfId="31374"/>
    <cellStyle name="40% - Accent3 2 3 4 2" xfId="31375"/>
    <cellStyle name="40% - Accent3 2 3 4 2 2" xfId="31376"/>
    <cellStyle name="40% - Accent3 2 3 4 2 2 2" xfId="31377"/>
    <cellStyle name="40% - Accent3 2 3 4 2 2 2 2" xfId="31378"/>
    <cellStyle name="40% - Accent3 2 3 4 2 2 3" xfId="31379"/>
    <cellStyle name="40% - Accent3 2 3 4 2 3" xfId="31380"/>
    <cellStyle name="40% - Accent3 2 3 4 2 3 2" xfId="31381"/>
    <cellStyle name="40% - Accent3 2 3 4 2 4" xfId="31382"/>
    <cellStyle name="40% - Accent3 2 3 4 3" xfId="31383"/>
    <cellStyle name="40% - Accent3 2 3 4 3 2" xfId="31384"/>
    <cellStyle name="40% - Accent3 2 3 4 3 2 2" xfId="31385"/>
    <cellStyle name="40% - Accent3 2 3 4 3 3" xfId="31386"/>
    <cellStyle name="40% - Accent3 2 3 4 4" xfId="31387"/>
    <cellStyle name="40% - Accent3 2 3 4 4 2" xfId="31388"/>
    <cellStyle name="40% - Accent3 2 3 4 5" xfId="31389"/>
    <cellStyle name="40% - Accent3 2 3 5" xfId="31390"/>
    <cellStyle name="40% - Accent3 2 3 5 2" xfId="31391"/>
    <cellStyle name="40% - Accent3 2 3 5 2 2" xfId="31392"/>
    <cellStyle name="40% - Accent3 2 3 5 2 2 2" xfId="31393"/>
    <cellStyle name="40% - Accent3 2 3 5 2 2 2 2" xfId="31394"/>
    <cellStyle name="40% - Accent3 2 3 5 2 2 3" xfId="31395"/>
    <cellStyle name="40% - Accent3 2 3 5 2 3" xfId="31396"/>
    <cellStyle name="40% - Accent3 2 3 5 2 3 2" xfId="31397"/>
    <cellStyle name="40% - Accent3 2 3 5 2 4" xfId="31398"/>
    <cellStyle name="40% - Accent3 2 3 5 3" xfId="31399"/>
    <cellStyle name="40% - Accent3 2 3 5 3 2" xfId="31400"/>
    <cellStyle name="40% - Accent3 2 3 5 3 2 2" xfId="31401"/>
    <cellStyle name="40% - Accent3 2 3 5 3 3" xfId="31402"/>
    <cellStyle name="40% - Accent3 2 3 5 4" xfId="31403"/>
    <cellStyle name="40% - Accent3 2 3 5 4 2" xfId="31404"/>
    <cellStyle name="40% - Accent3 2 3 5 5" xfId="31405"/>
    <cellStyle name="40% - Accent3 2 3 6" xfId="31406"/>
    <cellStyle name="40% - Accent3 2 3 6 2" xfId="31407"/>
    <cellStyle name="40% - Accent3 2 3 6 2 2" xfId="31408"/>
    <cellStyle name="40% - Accent3 2 3 6 2 2 2" xfId="31409"/>
    <cellStyle name="40% - Accent3 2 3 6 2 2 2 2" xfId="31410"/>
    <cellStyle name="40% - Accent3 2 3 6 2 2 3" xfId="31411"/>
    <cellStyle name="40% - Accent3 2 3 6 2 3" xfId="31412"/>
    <cellStyle name="40% - Accent3 2 3 6 2 3 2" xfId="31413"/>
    <cellStyle name="40% - Accent3 2 3 6 2 4" xfId="31414"/>
    <cellStyle name="40% - Accent3 2 3 6 3" xfId="31415"/>
    <cellStyle name="40% - Accent3 2 3 6 3 2" xfId="31416"/>
    <cellStyle name="40% - Accent3 2 3 6 3 2 2" xfId="31417"/>
    <cellStyle name="40% - Accent3 2 3 6 3 3" xfId="31418"/>
    <cellStyle name="40% - Accent3 2 3 6 4" xfId="31419"/>
    <cellStyle name="40% - Accent3 2 3 6 4 2" xfId="31420"/>
    <cellStyle name="40% - Accent3 2 3 6 5" xfId="31421"/>
    <cellStyle name="40% - Accent3 2 3 7" xfId="31422"/>
    <cellStyle name="40% - Accent3 2 3 7 2" xfId="31423"/>
    <cellStyle name="40% - Accent3 2 3 7 2 2" xfId="31424"/>
    <cellStyle name="40% - Accent3 2 3 7 2 2 2" xfId="31425"/>
    <cellStyle name="40% - Accent3 2 3 7 2 2 2 2" xfId="31426"/>
    <cellStyle name="40% - Accent3 2 3 7 2 2 3" xfId="31427"/>
    <cellStyle name="40% - Accent3 2 3 7 2 3" xfId="31428"/>
    <cellStyle name="40% - Accent3 2 3 7 2 3 2" xfId="31429"/>
    <cellStyle name="40% - Accent3 2 3 7 2 4" xfId="31430"/>
    <cellStyle name="40% - Accent3 2 3 7 3" xfId="31431"/>
    <cellStyle name="40% - Accent3 2 3 7 3 2" xfId="31432"/>
    <cellStyle name="40% - Accent3 2 3 7 3 2 2" xfId="31433"/>
    <cellStyle name="40% - Accent3 2 3 7 3 3" xfId="31434"/>
    <cellStyle name="40% - Accent3 2 3 7 4" xfId="31435"/>
    <cellStyle name="40% - Accent3 2 3 7 4 2" xfId="31436"/>
    <cellStyle name="40% - Accent3 2 3 7 5" xfId="31437"/>
    <cellStyle name="40% - Accent3 2 3 8" xfId="31438"/>
    <cellStyle name="40% - Accent3 2 3 8 2" xfId="31439"/>
    <cellStyle name="40% - Accent3 2 3 8 2 2" xfId="31440"/>
    <cellStyle name="40% - Accent3 2 3 8 2 2 2" xfId="31441"/>
    <cellStyle name="40% - Accent3 2 3 8 2 3" xfId="31442"/>
    <cellStyle name="40% - Accent3 2 3 8 3" xfId="31443"/>
    <cellStyle name="40% - Accent3 2 3 8 3 2" xfId="31444"/>
    <cellStyle name="40% - Accent3 2 3 8 4" xfId="31445"/>
    <cellStyle name="40% - Accent3 2 3 9" xfId="31446"/>
    <cellStyle name="40% - Accent3 2 3 9 2" xfId="31447"/>
    <cellStyle name="40% - Accent3 2 3 9 2 2" xfId="31448"/>
    <cellStyle name="40% - Accent3 2 3 9 3" xfId="31449"/>
    <cellStyle name="40% - Accent3 2 4" xfId="31450"/>
    <cellStyle name="40% - Accent3 2 4 10" xfId="31451"/>
    <cellStyle name="40% - Accent3 2 4 10 2" xfId="31452"/>
    <cellStyle name="40% - Accent3 2 4 11" xfId="31453"/>
    <cellStyle name="40% - Accent3 2 4 2" xfId="31454"/>
    <cellStyle name="40% - Accent3 2 4 2 10" xfId="31455"/>
    <cellStyle name="40% - Accent3 2 4 2 2" xfId="31456"/>
    <cellStyle name="40% - Accent3 2 4 2 2 2" xfId="31457"/>
    <cellStyle name="40% - Accent3 2 4 2 2 2 2" xfId="31458"/>
    <cellStyle name="40% - Accent3 2 4 2 2 2 2 2" xfId="31459"/>
    <cellStyle name="40% - Accent3 2 4 2 2 2 2 2 2" xfId="31460"/>
    <cellStyle name="40% - Accent3 2 4 2 2 2 2 3" xfId="31461"/>
    <cellStyle name="40% - Accent3 2 4 2 2 2 3" xfId="31462"/>
    <cellStyle name="40% - Accent3 2 4 2 2 2 3 2" xfId="31463"/>
    <cellStyle name="40% - Accent3 2 4 2 2 2 4" xfId="31464"/>
    <cellStyle name="40% - Accent3 2 4 2 2 3" xfId="31465"/>
    <cellStyle name="40% - Accent3 2 4 2 2 3 2" xfId="31466"/>
    <cellStyle name="40% - Accent3 2 4 2 2 3 2 2" xfId="31467"/>
    <cellStyle name="40% - Accent3 2 4 2 2 3 3" xfId="31468"/>
    <cellStyle name="40% - Accent3 2 4 2 2 4" xfId="31469"/>
    <cellStyle name="40% - Accent3 2 4 2 2 4 2" xfId="31470"/>
    <cellStyle name="40% - Accent3 2 4 2 2 5" xfId="31471"/>
    <cellStyle name="40% - Accent3 2 4 2 3" xfId="31472"/>
    <cellStyle name="40% - Accent3 2 4 2 3 2" xfId="31473"/>
    <cellStyle name="40% - Accent3 2 4 2 3 2 2" xfId="31474"/>
    <cellStyle name="40% - Accent3 2 4 2 3 2 2 2" xfId="31475"/>
    <cellStyle name="40% - Accent3 2 4 2 3 2 2 2 2" xfId="31476"/>
    <cellStyle name="40% - Accent3 2 4 2 3 2 2 3" xfId="31477"/>
    <cellStyle name="40% - Accent3 2 4 2 3 2 3" xfId="31478"/>
    <cellStyle name="40% - Accent3 2 4 2 3 2 3 2" xfId="31479"/>
    <cellStyle name="40% - Accent3 2 4 2 3 2 4" xfId="31480"/>
    <cellStyle name="40% - Accent3 2 4 2 3 3" xfId="31481"/>
    <cellStyle name="40% - Accent3 2 4 2 3 3 2" xfId="31482"/>
    <cellStyle name="40% - Accent3 2 4 2 3 3 2 2" xfId="31483"/>
    <cellStyle name="40% - Accent3 2 4 2 3 3 3" xfId="31484"/>
    <cellStyle name="40% - Accent3 2 4 2 3 4" xfId="31485"/>
    <cellStyle name="40% - Accent3 2 4 2 3 4 2" xfId="31486"/>
    <cellStyle name="40% - Accent3 2 4 2 3 5" xfId="31487"/>
    <cellStyle name="40% - Accent3 2 4 2 4" xfId="31488"/>
    <cellStyle name="40% - Accent3 2 4 2 4 2" xfId="31489"/>
    <cellStyle name="40% - Accent3 2 4 2 4 2 2" xfId="31490"/>
    <cellStyle name="40% - Accent3 2 4 2 4 2 2 2" xfId="31491"/>
    <cellStyle name="40% - Accent3 2 4 2 4 2 2 2 2" xfId="31492"/>
    <cellStyle name="40% - Accent3 2 4 2 4 2 2 3" xfId="31493"/>
    <cellStyle name="40% - Accent3 2 4 2 4 2 3" xfId="31494"/>
    <cellStyle name="40% - Accent3 2 4 2 4 2 3 2" xfId="31495"/>
    <cellStyle name="40% - Accent3 2 4 2 4 2 4" xfId="31496"/>
    <cellStyle name="40% - Accent3 2 4 2 4 3" xfId="31497"/>
    <cellStyle name="40% - Accent3 2 4 2 4 3 2" xfId="31498"/>
    <cellStyle name="40% - Accent3 2 4 2 4 3 2 2" xfId="31499"/>
    <cellStyle name="40% - Accent3 2 4 2 4 3 3" xfId="31500"/>
    <cellStyle name="40% - Accent3 2 4 2 4 4" xfId="31501"/>
    <cellStyle name="40% - Accent3 2 4 2 4 4 2" xfId="31502"/>
    <cellStyle name="40% - Accent3 2 4 2 4 5" xfId="31503"/>
    <cellStyle name="40% - Accent3 2 4 2 5" xfId="31504"/>
    <cellStyle name="40% - Accent3 2 4 2 5 2" xfId="31505"/>
    <cellStyle name="40% - Accent3 2 4 2 5 2 2" xfId="31506"/>
    <cellStyle name="40% - Accent3 2 4 2 5 2 2 2" xfId="31507"/>
    <cellStyle name="40% - Accent3 2 4 2 5 2 2 2 2" xfId="31508"/>
    <cellStyle name="40% - Accent3 2 4 2 5 2 2 3" xfId="31509"/>
    <cellStyle name="40% - Accent3 2 4 2 5 2 3" xfId="31510"/>
    <cellStyle name="40% - Accent3 2 4 2 5 2 3 2" xfId="31511"/>
    <cellStyle name="40% - Accent3 2 4 2 5 2 4" xfId="31512"/>
    <cellStyle name="40% - Accent3 2 4 2 5 3" xfId="31513"/>
    <cellStyle name="40% - Accent3 2 4 2 5 3 2" xfId="31514"/>
    <cellStyle name="40% - Accent3 2 4 2 5 3 2 2" xfId="31515"/>
    <cellStyle name="40% - Accent3 2 4 2 5 3 3" xfId="31516"/>
    <cellStyle name="40% - Accent3 2 4 2 5 4" xfId="31517"/>
    <cellStyle name="40% - Accent3 2 4 2 5 4 2" xfId="31518"/>
    <cellStyle name="40% - Accent3 2 4 2 5 5" xfId="31519"/>
    <cellStyle name="40% - Accent3 2 4 2 6" xfId="31520"/>
    <cellStyle name="40% - Accent3 2 4 2 6 2" xfId="31521"/>
    <cellStyle name="40% - Accent3 2 4 2 6 2 2" xfId="31522"/>
    <cellStyle name="40% - Accent3 2 4 2 6 2 2 2" xfId="31523"/>
    <cellStyle name="40% - Accent3 2 4 2 6 2 2 2 2" xfId="31524"/>
    <cellStyle name="40% - Accent3 2 4 2 6 2 2 3" xfId="31525"/>
    <cellStyle name="40% - Accent3 2 4 2 6 2 3" xfId="31526"/>
    <cellStyle name="40% - Accent3 2 4 2 6 2 3 2" xfId="31527"/>
    <cellStyle name="40% - Accent3 2 4 2 6 2 4" xfId="31528"/>
    <cellStyle name="40% - Accent3 2 4 2 6 3" xfId="31529"/>
    <cellStyle name="40% - Accent3 2 4 2 6 3 2" xfId="31530"/>
    <cellStyle name="40% - Accent3 2 4 2 6 3 2 2" xfId="31531"/>
    <cellStyle name="40% - Accent3 2 4 2 6 3 3" xfId="31532"/>
    <cellStyle name="40% - Accent3 2 4 2 6 4" xfId="31533"/>
    <cellStyle name="40% - Accent3 2 4 2 6 4 2" xfId="31534"/>
    <cellStyle name="40% - Accent3 2 4 2 6 5" xfId="31535"/>
    <cellStyle name="40% - Accent3 2 4 2 7" xfId="31536"/>
    <cellStyle name="40% - Accent3 2 4 2 7 2" xfId="31537"/>
    <cellStyle name="40% - Accent3 2 4 2 7 2 2" xfId="31538"/>
    <cellStyle name="40% - Accent3 2 4 2 7 2 2 2" xfId="31539"/>
    <cellStyle name="40% - Accent3 2 4 2 7 2 3" xfId="31540"/>
    <cellStyle name="40% - Accent3 2 4 2 7 3" xfId="31541"/>
    <cellStyle name="40% - Accent3 2 4 2 7 3 2" xfId="31542"/>
    <cellStyle name="40% - Accent3 2 4 2 7 4" xfId="31543"/>
    <cellStyle name="40% - Accent3 2 4 2 8" xfId="31544"/>
    <cellStyle name="40% - Accent3 2 4 2 8 2" xfId="31545"/>
    <cellStyle name="40% - Accent3 2 4 2 8 2 2" xfId="31546"/>
    <cellStyle name="40% - Accent3 2 4 2 8 3" xfId="31547"/>
    <cellStyle name="40% - Accent3 2 4 2 9" xfId="31548"/>
    <cellStyle name="40% - Accent3 2 4 2 9 2" xfId="31549"/>
    <cellStyle name="40% - Accent3 2 4 3" xfId="31550"/>
    <cellStyle name="40% - Accent3 2 4 3 2" xfId="31551"/>
    <cellStyle name="40% - Accent3 2 4 3 2 2" xfId="31552"/>
    <cellStyle name="40% - Accent3 2 4 3 2 2 2" xfId="31553"/>
    <cellStyle name="40% - Accent3 2 4 3 2 2 2 2" xfId="31554"/>
    <cellStyle name="40% - Accent3 2 4 3 2 2 3" xfId="31555"/>
    <cellStyle name="40% - Accent3 2 4 3 2 3" xfId="31556"/>
    <cellStyle name="40% - Accent3 2 4 3 2 3 2" xfId="31557"/>
    <cellStyle name="40% - Accent3 2 4 3 2 4" xfId="31558"/>
    <cellStyle name="40% - Accent3 2 4 3 3" xfId="31559"/>
    <cellStyle name="40% - Accent3 2 4 3 3 2" xfId="31560"/>
    <cellStyle name="40% - Accent3 2 4 3 3 2 2" xfId="31561"/>
    <cellStyle name="40% - Accent3 2 4 3 3 3" xfId="31562"/>
    <cellStyle name="40% - Accent3 2 4 3 4" xfId="31563"/>
    <cellStyle name="40% - Accent3 2 4 3 4 2" xfId="31564"/>
    <cellStyle name="40% - Accent3 2 4 3 5" xfId="31565"/>
    <cellStyle name="40% - Accent3 2 4 4" xfId="31566"/>
    <cellStyle name="40% - Accent3 2 4 4 2" xfId="31567"/>
    <cellStyle name="40% - Accent3 2 4 4 2 2" xfId="31568"/>
    <cellStyle name="40% - Accent3 2 4 4 2 2 2" xfId="31569"/>
    <cellStyle name="40% - Accent3 2 4 4 2 2 2 2" xfId="31570"/>
    <cellStyle name="40% - Accent3 2 4 4 2 2 3" xfId="31571"/>
    <cellStyle name="40% - Accent3 2 4 4 2 3" xfId="31572"/>
    <cellStyle name="40% - Accent3 2 4 4 2 3 2" xfId="31573"/>
    <cellStyle name="40% - Accent3 2 4 4 2 4" xfId="31574"/>
    <cellStyle name="40% - Accent3 2 4 4 3" xfId="31575"/>
    <cellStyle name="40% - Accent3 2 4 4 3 2" xfId="31576"/>
    <cellStyle name="40% - Accent3 2 4 4 3 2 2" xfId="31577"/>
    <cellStyle name="40% - Accent3 2 4 4 3 3" xfId="31578"/>
    <cellStyle name="40% - Accent3 2 4 4 4" xfId="31579"/>
    <cellStyle name="40% - Accent3 2 4 4 4 2" xfId="31580"/>
    <cellStyle name="40% - Accent3 2 4 4 5" xfId="31581"/>
    <cellStyle name="40% - Accent3 2 4 5" xfId="31582"/>
    <cellStyle name="40% - Accent3 2 4 5 2" xfId="31583"/>
    <cellStyle name="40% - Accent3 2 4 5 2 2" xfId="31584"/>
    <cellStyle name="40% - Accent3 2 4 5 2 2 2" xfId="31585"/>
    <cellStyle name="40% - Accent3 2 4 5 2 2 2 2" xfId="31586"/>
    <cellStyle name="40% - Accent3 2 4 5 2 2 3" xfId="31587"/>
    <cellStyle name="40% - Accent3 2 4 5 2 3" xfId="31588"/>
    <cellStyle name="40% - Accent3 2 4 5 2 3 2" xfId="31589"/>
    <cellStyle name="40% - Accent3 2 4 5 2 4" xfId="31590"/>
    <cellStyle name="40% - Accent3 2 4 5 3" xfId="31591"/>
    <cellStyle name="40% - Accent3 2 4 5 3 2" xfId="31592"/>
    <cellStyle name="40% - Accent3 2 4 5 3 2 2" xfId="31593"/>
    <cellStyle name="40% - Accent3 2 4 5 3 3" xfId="31594"/>
    <cellStyle name="40% - Accent3 2 4 5 4" xfId="31595"/>
    <cellStyle name="40% - Accent3 2 4 5 4 2" xfId="31596"/>
    <cellStyle name="40% - Accent3 2 4 5 5" xfId="31597"/>
    <cellStyle name="40% - Accent3 2 4 6" xfId="31598"/>
    <cellStyle name="40% - Accent3 2 4 6 2" xfId="31599"/>
    <cellStyle name="40% - Accent3 2 4 6 2 2" xfId="31600"/>
    <cellStyle name="40% - Accent3 2 4 6 2 2 2" xfId="31601"/>
    <cellStyle name="40% - Accent3 2 4 6 2 2 2 2" xfId="31602"/>
    <cellStyle name="40% - Accent3 2 4 6 2 2 3" xfId="31603"/>
    <cellStyle name="40% - Accent3 2 4 6 2 3" xfId="31604"/>
    <cellStyle name="40% - Accent3 2 4 6 2 3 2" xfId="31605"/>
    <cellStyle name="40% - Accent3 2 4 6 2 4" xfId="31606"/>
    <cellStyle name="40% - Accent3 2 4 6 3" xfId="31607"/>
    <cellStyle name="40% - Accent3 2 4 6 3 2" xfId="31608"/>
    <cellStyle name="40% - Accent3 2 4 6 3 2 2" xfId="31609"/>
    <cellStyle name="40% - Accent3 2 4 6 3 3" xfId="31610"/>
    <cellStyle name="40% - Accent3 2 4 6 4" xfId="31611"/>
    <cellStyle name="40% - Accent3 2 4 6 4 2" xfId="31612"/>
    <cellStyle name="40% - Accent3 2 4 6 5" xfId="31613"/>
    <cellStyle name="40% - Accent3 2 4 7" xfId="31614"/>
    <cellStyle name="40% - Accent3 2 4 7 2" xfId="31615"/>
    <cellStyle name="40% - Accent3 2 4 7 2 2" xfId="31616"/>
    <cellStyle name="40% - Accent3 2 4 7 2 2 2" xfId="31617"/>
    <cellStyle name="40% - Accent3 2 4 7 2 2 2 2" xfId="31618"/>
    <cellStyle name="40% - Accent3 2 4 7 2 2 3" xfId="31619"/>
    <cellStyle name="40% - Accent3 2 4 7 2 3" xfId="31620"/>
    <cellStyle name="40% - Accent3 2 4 7 2 3 2" xfId="31621"/>
    <cellStyle name="40% - Accent3 2 4 7 2 4" xfId="31622"/>
    <cellStyle name="40% - Accent3 2 4 7 3" xfId="31623"/>
    <cellStyle name="40% - Accent3 2 4 7 3 2" xfId="31624"/>
    <cellStyle name="40% - Accent3 2 4 7 3 2 2" xfId="31625"/>
    <cellStyle name="40% - Accent3 2 4 7 3 3" xfId="31626"/>
    <cellStyle name="40% - Accent3 2 4 7 4" xfId="31627"/>
    <cellStyle name="40% - Accent3 2 4 7 4 2" xfId="31628"/>
    <cellStyle name="40% - Accent3 2 4 7 5" xfId="31629"/>
    <cellStyle name="40% - Accent3 2 4 8" xfId="31630"/>
    <cellStyle name="40% - Accent3 2 4 8 2" xfId="31631"/>
    <cellStyle name="40% - Accent3 2 4 8 2 2" xfId="31632"/>
    <cellStyle name="40% - Accent3 2 4 8 2 2 2" xfId="31633"/>
    <cellStyle name="40% - Accent3 2 4 8 2 3" xfId="31634"/>
    <cellStyle name="40% - Accent3 2 4 8 3" xfId="31635"/>
    <cellStyle name="40% - Accent3 2 4 8 3 2" xfId="31636"/>
    <cellStyle name="40% - Accent3 2 4 8 4" xfId="31637"/>
    <cellStyle name="40% - Accent3 2 4 9" xfId="31638"/>
    <cellStyle name="40% - Accent3 2 4 9 2" xfId="31639"/>
    <cellStyle name="40% - Accent3 2 4 9 2 2" xfId="31640"/>
    <cellStyle name="40% - Accent3 2 4 9 3" xfId="31641"/>
    <cellStyle name="40% - Accent3 2 5" xfId="31642"/>
    <cellStyle name="40% - Accent3 2 5 10" xfId="31643"/>
    <cellStyle name="40% - Accent3 2 5 10 2" xfId="31644"/>
    <cellStyle name="40% - Accent3 2 5 11" xfId="31645"/>
    <cellStyle name="40% - Accent3 2 5 2" xfId="31646"/>
    <cellStyle name="40% - Accent3 2 5 2 10" xfId="31647"/>
    <cellStyle name="40% - Accent3 2 5 2 2" xfId="31648"/>
    <cellStyle name="40% - Accent3 2 5 2 2 2" xfId="31649"/>
    <cellStyle name="40% - Accent3 2 5 2 2 2 2" xfId="31650"/>
    <cellStyle name="40% - Accent3 2 5 2 2 2 2 2" xfId="31651"/>
    <cellStyle name="40% - Accent3 2 5 2 2 2 2 2 2" xfId="31652"/>
    <cellStyle name="40% - Accent3 2 5 2 2 2 2 3" xfId="31653"/>
    <cellStyle name="40% - Accent3 2 5 2 2 2 3" xfId="31654"/>
    <cellStyle name="40% - Accent3 2 5 2 2 2 3 2" xfId="31655"/>
    <cellStyle name="40% - Accent3 2 5 2 2 2 4" xfId="31656"/>
    <cellStyle name="40% - Accent3 2 5 2 2 3" xfId="31657"/>
    <cellStyle name="40% - Accent3 2 5 2 2 3 2" xfId="31658"/>
    <cellStyle name="40% - Accent3 2 5 2 2 3 2 2" xfId="31659"/>
    <cellStyle name="40% - Accent3 2 5 2 2 3 3" xfId="31660"/>
    <cellStyle name="40% - Accent3 2 5 2 2 4" xfId="31661"/>
    <cellStyle name="40% - Accent3 2 5 2 2 4 2" xfId="31662"/>
    <cellStyle name="40% - Accent3 2 5 2 2 5" xfId="31663"/>
    <cellStyle name="40% - Accent3 2 5 2 3" xfId="31664"/>
    <cellStyle name="40% - Accent3 2 5 2 3 2" xfId="31665"/>
    <cellStyle name="40% - Accent3 2 5 2 3 2 2" xfId="31666"/>
    <cellStyle name="40% - Accent3 2 5 2 3 2 2 2" xfId="31667"/>
    <cellStyle name="40% - Accent3 2 5 2 3 2 2 2 2" xfId="31668"/>
    <cellStyle name="40% - Accent3 2 5 2 3 2 2 3" xfId="31669"/>
    <cellStyle name="40% - Accent3 2 5 2 3 2 3" xfId="31670"/>
    <cellStyle name="40% - Accent3 2 5 2 3 2 3 2" xfId="31671"/>
    <cellStyle name="40% - Accent3 2 5 2 3 2 4" xfId="31672"/>
    <cellStyle name="40% - Accent3 2 5 2 3 3" xfId="31673"/>
    <cellStyle name="40% - Accent3 2 5 2 3 3 2" xfId="31674"/>
    <cellStyle name="40% - Accent3 2 5 2 3 3 2 2" xfId="31675"/>
    <cellStyle name="40% - Accent3 2 5 2 3 3 3" xfId="31676"/>
    <cellStyle name="40% - Accent3 2 5 2 3 4" xfId="31677"/>
    <cellStyle name="40% - Accent3 2 5 2 3 4 2" xfId="31678"/>
    <cellStyle name="40% - Accent3 2 5 2 3 5" xfId="31679"/>
    <cellStyle name="40% - Accent3 2 5 2 4" xfId="31680"/>
    <cellStyle name="40% - Accent3 2 5 2 4 2" xfId="31681"/>
    <cellStyle name="40% - Accent3 2 5 2 4 2 2" xfId="31682"/>
    <cellStyle name="40% - Accent3 2 5 2 4 2 2 2" xfId="31683"/>
    <cellStyle name="40% - Accent3 2 5 2 4 2 2 2 2" xfId="31684"/>
    <cellStyle name="40% - Accent3 2 5 2 4 2 2 3" xfId="31685"/>
    <cellStyle name="40% - Accent3 2 5 2 4 2 3" xfId="31686"/>
    <cellStyle name="40% - Accent3 2 5 2 4 2 3 2" xfId="31687"/>
    <cellStyle name="40% - Accent3 2 5 2 4 2 4" xfId="31688"/>
    <cellStyle name="40% - Accent3 2 5 2 4 3" xfId="31689"/>
    <cellStyle name="40% - Accent3 2 5 2 4 3 2" xfId="31690"/>
    <cellStyle name="40% - Accent3 2 5 2 4 3 2 2" xfId="31691"/>
    <cellStyle name="40% - Accent3 2 5 2 4 3 3" xfId="31692"/>
    <cellStyle name="40% - Accent3 2 5 2 4 4" xfId="31693"/>
    <cellStyle name="40% - Accent3 2 5 2 4 4 2" xfId="31694"/>
    <cellStyle name="40% - Accent3 2 5 2 4 5" xfId="31695"/>
    <cellStyle name="40% - Accent3 2 5 2 5" xfId="31696"/>
    <cellStyle name="40% - Accent3 2 5 2 5 2" xfId="31697"/>
    <cellStyle name="40% - Accent3 2 5 2 5 2 2" xfId="31698"/>
    <cellStyle name="40% - Accent3 2 5 2 5 2 2 2" xfId="31699"/>
    <cellStyle name="40% - Accent3 2 5 2 5 2 2 2 2" xfId="31700"/>
    <cellStyle name="40% - Accent3 2 5 2 5 2 2 3" xfId="31701"/>
    <cellStyle name="40% - Accent3 2 5 2 5 2 3" xfId="31702"/>
    <cellStyle name="40% - Accent3 2 5 2 5 2 3 2" xfId="31703"/>
    <cellStyle name="40% - Accent3 2 5 2 5 2 4" xfId="31704"/>
    <cellStyle name="40% - Accent3 2 5 2 5 3" xfId="31705"/>
    <cellStyle name="40% - Accent3 2 5 2 5 3 2" xfId="31706"/>
    <cellStyle name="40% - Accent3 2 5 2 5 3 2 2" xfId="31707"/>
    <cellStyle name="40% - Accent3 2 5 2 5 3 3" xfId="31708"/>
    <cellStyle name="40% - Accent3 2 5 2 5 4" xfId="31709"/>
    <cellStyle name="40% - Accent3 2 5 2 5 4 2" xfId="31710"/>
    <cellStyle name="40% - Accent3 2 5 2 5 5" xfId="31711"/>
    <cellStyle name="40% - Accent3 2 5 2 6" xfId="31712"/>
    <cellStyle name="40% - Accent3 2 5 2 6 2" xfId="31713"/>
    <cellStyle name="40% - Accent3 2 5 2 6 2 2" xfId="31714"/>
    <cellStyle name="40% - Accent3 2 5 2 6 2 2 2" xfId="31715"/>
    <cellStyle name="40% - Accent3 2 5 2 6 2 2 2 2" xfId="31716"/>
    <cellStyle name="40% - Accent3 2 5 2 6 2 2 3" xfId="31717"/>
    <cellStyle name="40% - Accent3 2 5 2 6 2 3" xfId="31718"/>
    <cellStyle name="40% - Accent3 2 5 2 6 2 3 2" xfId="31719"/>
    <cellStyle name="40% - Accent3 2 5 2 6 2 4" xfId="31720"/>
    <cellStyle name="40% - Accent3 2 5 2 6 3" xfId="31721"/>
    <cellStyle name="40% - Accent3 2 5 2 6 3 2" xfId="31722"/>
    <cellStyle name="40% - Accent3 2 5 2 6 3 2 2" xfId="31723"/>
    <cellStyle name="40% - Accent3 2 5 2 6 3 3" xfId="31724"/>
    <cellStyle name="40% - Accent3 2 5 2 6 4" xfId="31725"/>
    <cellStyle name="40% - Accent3 2 5 2 6 4 2" xfId="31726"/>
    <cellStyle name="40% - Accent3 2 5 2 6 5" xfId="31727"/>
    <cellStyle name="40% - Accent3 2 5 2 7" xfId="31728"/>
    <cellStyle name="40% - Accent3 2 5 2 7 2" xfId="31729"/>
    <cellStyle name="40% - Accent3 2 5 2 7 2 2" xfId="31730"/>
    <cellStyle name="40% - Accent3 2 5 2 7 2 2 2" xfId="31731"/>
    <cellStyle name="40% - Accent3 2 5 2 7 2 3" xfId="31732"/>
    <cellStyle name="40% - Accent3 2 5 2 7 3" xfId="31733"/>
    <cellStyle name="40% - Accent3 2 5 2 7 3 2" xfId="31734"/>
    <cellStyle name="40% - Accent3 2 5 2 7 4" xfId="31735"/>
    <cellStyle name="40% - Accent3 2 5 2 8" xfId="31736"/>
    <cellStyle name="40% - Accent3 2 5 2 8 2" xfId="31737"/>
    <cellStyle name="40% - Accent3 2 5 2 8 2 2" xfId="31738"/>
    <cellStyle name="40% - Accent3 2 5 2 8 3" xfId="31739"/>
    <cellStyle name="40% - Accent3 2 5 2 9" xfId="31740"/>
    <cellStyle name="40% - Accent3 2 5 2 9 2" xfId="31741"/>
    <cellStyle name="40% - Accent3 2 5 3" xfId="31742"/>
    <cellStyle name="40% - Accent3 2 5 3 2" xfId="31743"/>
    <cellStyle name="40% - Accent3 2 5 3 2 2" xfId="31744"/>
    <cellStyle name="40% - Accent3 2 5 3 2 2 2" xfId="31745"/>
    <cellStyle name="40% - Accent3 2 5 3 2 2 2 2" xfId="31746"/>
    <cellStyle name="40% - Accent3 2 5 3 2 2 3" xfId="31747"/>
    <cellStyle name="40% - Accent3 2 5 3 2 3" xfId="31748"/>
    <cellStyle name="40% - Accent3 2 5 3 2 3 2" xfId="31749"/>
    <cellStyle name="40% - Accent3 2 5 3 2 4" xfId="31750"/>
    <cellStyle name="40% - Accent3 2 5 3 3" xfId="31751"/>
    <cellStyle name="40% - Accent3 2 5 3 3 2" xfId="31752"/>
    <cellStyle name="40% - Accent3 2 5 3 3 2 2" xfId="31753"/>
    <cellStyle name="40% - Accent3 2 5 3 3 3" xfId="31754"/>
    <cellStyle name="40% - Accent3 2 5 3 4" xfId="31755"/>
    <cellStyle name="40% - Accent3 2 5 3 4 2" xfId="31756"/>
    <cellStyle name="40% - Accent3 2 5 3 5" xfId="31757"/>
    <cellStyle name="40% - Accent3 2 5 4" xfId="31758"/>
    <cellStyle name="40% - Accent3 2 5 4 2" xfId="31759"/>
    <cellStyle name="40% - Accent3 2 5 4 2 2" xfId="31760"/>
    <cellStyle name="40% - Accent3 2 5 4 2 2 2" xfId="31761"/>
    <cellStyle name="40% - Accent3 2 5 4 2 2 2 2" xfId="31762"/>
    <cellStyle name="40% - Accent3 2 5 4 2 2 3" xfId="31763"/>
    <cellStyle name="40% - Accent3 2 5 4 2 3" xfId="31764"/>
    <cellStyle name="40% - Accent3 2 5 4 2 3 2" xfId="31765"/>
    <cellStyle name="40% - Accent3 2 5 4 2 4" xfId="31766"/>
    <cellStyle name="40% - Accent3 2 5 4 3" xfId="31767"/>
    <cellStyle name="40% - Accent3 2 5 4 3 2" xfId="31768"/>
    <cellStyle name="40% - Accent3 2 5 4 3 2 2" xfId="31769"/>
    <cellStyle name="40% - Accent3 2 5 4 3 3" xfId="31770"/>
    <cellStyle name="40% - Accent3 2 5 4 4" xfId="31771"/>
    <cellStyle name="40% - Accent3 2 5 4 4 2" xfId="31772"/>
    <cellStyle name="40% - Accent3 2 5 4 5" xfId="31773"/>
    <cellStyle name="40% - Accent3 2 5 5" xfId="31774"/>
    <cellStyle name="40% - Accent3 2 5 5 2" xfId="31775"/>
    <cellStyle name="40% - Accent3 2 5 5 2 2" xfId="31776"/>
    <cellStyle name="40% - Accent3 2 5 5 2 2 2" xfId="31777"/>
    <cellStyle name="40% - Accent3 2 5 5 2 2 2 2" xfId="31778"/>
    <cellStyle name="40% - Accent3 2 5 5 2 2 3" xfId="31779"/>
    <cellStyle name="40% - Accent3 2 5 5 2 3" xfId="31780"/>
    <cellStyle name="40% - Accent3 2 5 5 2 3 2" xfId="31781"/>
    <cellStyle name="40% - Accent3 2 5 5 2 4" xfId="31782"/>
    <cellStyle name="40% - Accent3 2 5 5 3" xfId="31783"/>
    <cellStyle name="40% - Accent3 2 5 5 3 2" xfId="31784"/>
    <cellStyle name="40% - Accent3 2 5 5 3 2 2" xfId="31785"/>
    <cellStyle name="40% - Accent3 2 5 5 3 3" xfId="31786"/>
    <cellStyle name="40% - Accent3 2 5 5 4" xfId="31787"/>
    <cellStyle name="40% - Accent3 2 5 5 4 2" xfId="31788"/>
    <cellStyle name="40% - Accent3 2 5 5 5" xfId="31789"/>
    <cellStyle name="40% - Accent3 2 5 6" xfId="31790"/>
    <cellStyle name="40% - Accent3 2 5 6 2" xfId="31791"/>
    <cellStyle name="40% - Accent3 2 5 6 2 2" xfId="31792"/>
    <cellStyle name="40% - Accent3 2 5 6 2 2 2" xfId="31793"/>
    <cellStyle name="40% - Accent3 2 5 6 2 2 2 2" xfId="31794"/>
    <cellStyle name="40% - Accent3 2 5 6 2 2 3" xfId="31795"/>
    <cellStyle name="40% - Accent3 2 5 6 2 3" xfId="31796"/>
    <cellStyle name="40% - Accent3 2 5 6 2 3 2" xfId="31797"/>
    <cellStyle name="40% - Accent3 2 5 6 2 4" xfId="31798"/>
    <cellStyle name="40% - Accent3 2 5 6 3" xfId="31799"/>
    <cellStyle name="40% - Accent3 2 5 6 3 2" xfId="31800"/>
    <cellStyle name="40% - Accent3 2 5 6 3 2 2" xfId="31801"/>
    <cellStyle name="40% - Accent3 2 5 6 3 3" xfId="31802"/>
    <cellStyle name="40% - Accent3 2 5 6 4" xfId="31803"/>
    <cellStyle name="40% - Accent3 2 5 6 4 2" xfId="31804"/>
    <cellStyle name="40% - Accent3 2 5 6 5" xfId="31805"/>
    <cellStyle name="40% - Accent3 2 5 7" xfId="31806"/>
    <cellStyle name="40% - Accent3 2 5 7 2" xfId="31807"/>
    <cellStyle name="40% - Accent3 2 5 7 2 2" xfId="31808"/>
    <cellStyle name="40% - Accent3 2 5 7 2 2 2" xfId="31809"/>
    <cellStyle name="40% - Accent3 2 5 7 2 2 2 2" xfId="31810"/>
    <cellStyle name="40% - Accent3 2 5 7 2 2 3" xfId="31811"/>
    <cellStyle name="40% - Accent3 2 5 7 2 3" xfId="31812"/>
    <cellStyle name="40% - Accent3 2 5 7 2 3 2" xfId="31813"/>
    <cellStyle name="40% - Accent3 2 5 7 2 4" xfId="31814"/>
    <cellStyle name="40% - Accent3 2 5 7 3" xfId="31815"/>
    <cellStyle name="40% - Accent3 2 5 7 3 2" xfId="31816"/>
    <cellStyle name="40% - Accent3 2 5 7 3 2 2" xfId="31817"/>
    <cellStyle name="40% - Accent3 2 5 7 3 3" xfId="31818"/>
    <cellStyle name="40% - Accent3 2 5 7 4" xfId="31819"/>
    <cellStyle name="40% - Accent3 2 5 7 4 2" xfId="31820"/>
    <cellStyle name="40% - Accent3 2 5 7 5" xfId="31821"/>
    <cellStyle name="40% - Accent3 2 5 8" xfId="31822"/>
    <cellStyle name="40% - Accent3 2 5 8 2" xfId="31823"/>
    <cellStyle name="40% - Accent3 2 5 8 2 2" xfId="31824"/>
    <cellStyle name="40% - Accent3 2 5 8 2 2 2" xfId="31825"/>
    <cellStyle name="40% - Accent3 2 5 8 2 3" xfId="31826"/>
    <cellStyle name="40% - Accent3 2 5 8 3" xfId="31827"/>
    <cellStyle name="40% - Accent3 2 5 8 3 2" xfId="31828"/>
    <cellStyle name="40% - Accent3 2 5 8 4" xfId="31829"/>
    <cellStyle name="40% - Accent3 2 5 9" xfId="31830"/>
    <cellStyle name="40% - Accent3 2 5 9 2" xfId="31831"/>
    <cellStyle name="40% - Accent3 2 5 9 2 2" xfId="31832"/>
    <cellStyle name="40% - Accent3 2 5 9 3" xfId="31833"/>
    <cellStyle name="40% - Accent3 2 6" xfId="31834"/>
    <cellStyle name="40% - Accent3 2 6 10" xfId="31835"/>
    <cellStyle name="40% - Accent3 2 6 10 2" xfId="31836"/>
    <cellStyle name="40% - Accent3 2 6 11" xfId="31837"/>
    <cellStyle name="40% - Accent3 2 6 2" xfId="31838"/>
    <cellStyle name="40% - Accent3 2 6 2 10" xfId="31839"/>
    <cellStyle name="40% - Accent3 2 6 2 2" xfId="31840"/>
    <cellStyle name="40% - Accent3 2 6 2 2 2" xfId="31841"/>
    <cellStyle name="40% - Accent3 2 6 2 2 2 2" xfId="31842"/>
    <cellStyle name="40% - Accent3 2 6 2 2 2 2 2" xfId="31843"/>
    <cellStyle name="40% - Accent3 2 6 2 2 2 2 2 2" xfId="31844"/>
    <cellStyle name="40% - Accent3 2 6 2 2 2 2 3" xfId="31845"/>
    <cellStyle name="40% - Accent3 2 6 2 2 2 3" xfId="31846"/>
    <cellStyle name="40% - Accent3 2 6 2 2 2 3 2" xfId="31847"/>
    <cellStyle name="40% - Accent3 2 6 2 2 2 4" xfId="31848"/>
    <cellStyle name="40% - Accent3 2 6 2 2 3" xfId="31849"/>
    <cellStyle name="40% - Accent3 2 6 2 2 3 2" xfId="31850"/>
    <cellStyle name="40% - Accent3 2 6 2 2 3 2 2" xfId="31851"/>
    <cellStyle name="40% - Accent3 2 6 2 2 3 3" xfId="31852"/>
    <cellStyle name="40% - Accent3 2 6 2 2 4" xfId="31853"/>
    <cellStyle name="40% - Accent3 2 6 2 2 4 2" xfId="31854"/>
    <cellStyle name="40% - Accent3 2 6 2 2 5" xfId="31855"/>
    <cellStyle name="40% - Accent3 2 6 2 3" xfId="31856"/>
    <cellStyle name="40% - Accent3 2 6 2 3 2" xfId="31857"/>
    <cellStyle name="40% - Accent3 2 6 2 3 2 2" xfId="31858"/>
    <cellStyle name="40% - Accent3 2 6 2 3 2 2 2" xfId="31859"/>
    <cellStyle name="40% - Accent3 2 6 2 3 2 2 2 2" xfId="31860"/>
    <cellStyle name="40% - Accent3 2 6 2 3 2 2 3" xfId="31861"/>
    <cellStyle name="40% - Accent3 2 6 2 3 2 3" xfId="31862"/>
    <cellStyle name="40% - Accent3 2 6 2 3 2 3 2" xfId="31863"/>
    <cellStyle name="40% - Accent3 2 6 2 3 2 4" xfId="31864"/>
    <cellStyle name="40% - Accent3 2 6 2 3 3" xfId="31865"/>
    <cellStyle name="40% - Accent3 2 6 2 3 3 2" xfId="31866"/>
    <cellStyle name="40% - Accent3 2 6 2 3 3 2 2" xfId="31867"/>
    <cellStyle name="40% - Accent3 2 6 2 3 3 3" xfId="31868"/>
    <cellStyle name="40% - Accent3 2 6 2 3 4" xfId="31869"/>
    <cellStyle name="40% - Accent3 2 6 2 3 4 2" xfId="31870"/>
    <cellStyle name="40% - Accent3 2 6 2 3 5" xfId="31871"/>
    <cellStyle name="40% - Accent3 2 6 2 4" xfId="31872"/>
    <cellStyle name="40% - Accent3 2 6 2 4 2" xfId="31873"/>
    <cellStyle name="40% - Accent3 2 6 2 4 2 2" xfId="31874"/>
    <cellStyle name="40% - Accent3 2 6 2 4 2 2 2" xfId="31875"/>
    <cellStyle name="40% - Accent3 2 6 2 4 2 2 2 2" xfId="31876"/>
    <cellStyle name="40% - Accent3 2 6 2 4 2 2 3" xfId="31877"/>
    <cellStyle name="40% - Accent3 2 6 2 4 2 3" xfId="31878"/>
    <cellStyle name="40% - Accent3 2 6 2 4 2 3 2" xfId="31879"/>
    <cellStyle name="40% - Accent3 2 6 2 4 2 4" xfId="31880"/>
    <cellStyle name="40% - Accent3 2 6 2 4 3" xfId="31881"/>
    <cellStyle name="40% - Accent3 2 6 2 4 3 2" xfId="31882"/>
    <cellStyle name="40% - Accent3 2 6 2 4 3 2 2" xfId="31883"/>
    <cellStyle name="40% - Accent3 2 6 2 4 3 3" xfId="31884"/>
    <cellStyle name="40% - Accent3 2 6 2 4 4" xfId="31885"/>
    <cellStyle name="40% - Accent3 2 6 2 4 4 2" xfId="31886"/>
    <cellStyle name="40% - Accent3 2 6 2 4 5" xfId="31887"/>
    <cellStyle name="40% - Accent3 2 6 2 5" xfId="31888"/>
    <cellStyle name="40% - Accent3 2 6 2 5 2" xfId="31889"/>
    <cellStyle name="40% - Accent3 2 6 2 5 2 2" xfId="31890"/>
    <cellStyle name="40% - Accent3 2 6 2 5 2 2 2" xfId="31891"/>
    <cellStyle name="40% - Accent3 2 6 2 5 2 2 2 2" xfId="31892"/>
    <cellStyle name="40% - Accent3 2 6 2 5 2 2 3" xfId="31893"/>
    <cellStyle name="40% - Accent3 2 6 2 5 2 3" xfId="31894"/>
    <cellStyle name="40% - Accent3 2 6 2 5 2 3 2" xfId="31895"/>
    <cellStyle name="40% - Accent3 2 6 2 5 2 4" xfId="31896"/>
    <cellStyle name="40% - Accent3 2 6 2 5 3" xfId="31897"/>
    <cellStyle name="40% - Accent3 2 6 2 5 3 2" xfId="31898"/>
    <cellStyle name="40% - Accent3 2 6 2 5 3 2 2" xfId="31899"/>
    <cellStyle name="40% - Accent3 2 6 2 5 3 3" xfId="31900"/>
    <cellStyle name="40% - Accent3 2 6 2 5 4" xfId="31901"/>
    <cellStyle name="40% - Accent3 2 6 2 5 4 2" xfId="31902"/>
    <cellStyle name="40% - Accent3 2 6 2 5 5" xfId="31903"/>
    <cellStyle name="40% - Accent3 2 6 2 6" xfId="31904"/>
    <cellStyle name="40% - Accent3 2 6 2 6 2" xfId="31905"/>
    <cellStyle name="40% - Accent3 2 6 2 6 2 2" xfId="31906"/>
    <cellStyle name="40% - Accent3 2 6 2 6 2 2 2" xfId="31907"/>
    <cellStyle name="40% - Accent3 2 6 2 6 2 2 2 2" xfId="31908"/>
    <cellStyle name="40% - Accent3 2 6 2 6 2 2 3" xfId="31909"/>
    <cellStyle name="40% - Accent3 2 6 2 6 2 3" xfId="31910"/>
    <cellStyle name="40% - Accent3 2 6 2 6 2 3 2" xfId="31911"/>
    <cellStyle name="40% - Accent3 2 6 2 6 2 4" xfId="31912"/>
    <cellStyle name="40% - Accent3 2 6 2 6 3" xfId="31913"/>
    <cellStyle name="40% - Accent3 2 6 2 6 3 2" xfId="31914"/>
    <cellStyle name="40% - Accent3 2 6 2 6 3 2 2" xfId="31915"/>
    <cellStyle name="40% - Accent3 2 6 2 6 3 3" xfId="31916"/>
    <cellStyle name="40% - Accent3 2 6 2 6 4" xfId="31917"/>
    <cellStyle name="40% - Accent3 2 6 2 6 4 2" xfId="31918"/>
    <cellStyle name="40% - Accent3 2 6 2 6 5" xfId="31919"/>
    <cellStyle name="40% - Accent3 2 6 2 7" xfId="31920"/>
    <cellStyle name="40% - Accent3 2 6 2 7 2" xfId="31921"/>
    <cellStyle name="40% - Accent3 2 6 2 7 2 2" xfId="31922"/>
    <cellStyle name="40% - Accent3 2 6 2 7 2 2 2" xfId="31923"/>
    <cellStyle name="40% - Accent3 2 6 2 7 2 3" xfId="31924"/>
    <cellStyle name="40% - Accent3 2 6 2 7 3" xfId="31925"/>
    <cellStyle name="40% - Accent3 2 6 2 7 3 2" xfId="31926"/>
    <cellStyle name="40% - Accent3 2 6 2 7 4" xfId="31927"/>
    <cellStyle name="40% - Accent3 2 6 2 8" xfId="31928"/>
    <cellStyle name="40% - Accent3 2 6 2 8 2" xfId="31929"/>
    <cellStyle name="40% - Accent3 2 6 2 8 2 2" xfId="31930"/>
    <cellStyle name="40% - Accent3 2 6 2 8 3" xfId="31931"/>
    <cellStyle name="40% - Accent3 2 6 2 9" xfId="31932"/>
    <cellStyle name="40% - Accent3 2 6 2 9 2" xfId="31933"/>
    <cellStyle name="40% - Accent3 2 6 3" xfId="31934"/>
    <cellStyle name="40% - Accent3 2 6 3 2" xfId="31935"/>
    <cellStyle name="40% - Accent3 2 6 3 2 2" xfId="31936"/>
    <cellStyle name="40% - Accent3 2 6 3 2 2 2" xfId="31937"/>
    <cellStyle name="40% - Accent3 2 6 3 2 2 2 2" xfId="31938"/>
    <cellStyle name="40% - Accent3 2 6 3 2 2 3" xfId="31939"/>
    <cellStyle name="40% - Accent3 2 6 3 2 3" xfId="31940"/>
    <cellStyle name="40% - Accent3 2 6 3 2 3 2" xfId="31941"/>
    <cellStyle name="40% - Accent3 2 6 3 2 4" xfId="31942"/>
    <cellStyle name="40% - Accent3 2 6 3 3" xfId="31943"/>
    <cellStyle name="40% - Accent3 2 6 3 3 2" xfId="31944"/>
    <cellStyle name="40% - Accent3 2 6 3 3 2 2" xfId="31945"/>
    <cellStyle name="40% - Accent3 2 6 3 3 3" xfId="31946"/>
    <cellStyle name="40% - Accent3 2 6 3 4" xfId="31947"/>
    <cellStyle name="40% - Accent3 2 6 3 4 2" xfId="31948"/>
    <cellStyle name="40% - Accent3 2 6 3 5" xfId="31949"/>
    <cellStyle name="40% - Accent3 2 6 4" xfId="31950"/>
    <cellStyle name="40% - Accent3 2 6 4 2" xfId="31951"/>
    <cellStyle name="40% - Accent3 2 6 4 2 2" xfId="31952"/>
    <cellStyle name="40% - Accent3 2 6 4 2 2 2" xfId="31953"/>
    <cellStyle name="40% - Accent3 2 6 4 2 2 2 2" xfId="31954"/>
    <cellStyle name="40% - Accent3 2 6 4 2 2 3" xfId="31955"/>
    <cellStyle name="40% - Accent3 2 6 4 2 3" xfId="31956"/>
    <cellStyle name="40% - Accent3 2 6 4 2 3 2" xfId="31957"/>
    <cellStyle name="40% - Accent3 2 6 4 2 4" xfId="31958"/>
    <cellStyle name="40% - Accent3 2 6 4 3" xfId="31959"/>
    <cellStyle name="40% - Accent3 2 6 4 3 2" xfId="31960"/>
    <cellStyle name="40% - Accent3 2 6 4 3 2 2" xfId="31961"/>
    <cellStyle name="40% - Accent3 2 6 4 3 3" xfId="31962"/>
    <cellStyle name="40% - Accent3 2 6 4 4" xfId="31963"/>
    <cellStyle name="40% - Accent3 2 6 4 4 2" xfId="31964"/>
    <cellStyle name="40% - Accent3 2 6 4 5" xfId="31965"/>
    <cellStyle name="40% - Accent3 2 6 5" xfId="31966"/>
    <cellStyle name="40% - Accent3 2 6 5 2" xfId="31967"/>
    <cellStyle name="40% - Accent3 2 6 5 2 2" xfId="31968"/>
    <cellStyle name="40% - Accent3 2 6 5 2 2 2" xfId="31969"/>
    <cellStyle name="40% - Accent3 2 6 5 2 2 2 2" xfId="31970"/>
    <cellStyle name="40% - Accent3 2 6 5 2 2 3" xfId="31971"/>
    <cellStyle name="40% - Accent3 2 6 5 2 3" xfId="31972"/>
    <cellStyle name="40% - Accent3 2 6 5 2 3 2" xfId="31973"/>
    <cellStyle name="40% - Accent3 2 6 5 2 4" xfId="31974"/>
    <cellStyle name="40% - Accent3 2 6 5 3" xfId="31975"/>
    <cellStyle name="40% - Accent3 2 6 5 3 2" xfId="31976"/>
    <cellStyle name="40% - Accent3 2 6 5 3 2 2" xfId="31977"/>
    <cellStyle name="40% - Accent3 2 6 5 3 3" xfId="31978"/>
    <cellStyle name="40% - Accent3 2 6 5 4" xfId="31979"/>
    <cellStyle name="40% - Accent3 2 6 5 4 2" xfId="31980"/>
    <cellStyle name="40% - Accent3 2 6 5 5" xfId="31981"/>
    <cellStyle name="40% - Accent3 2 6 6" xfId="31982"/>
    <cellStyle name="40% - Accent3 2 6 6 2" xfId="31983"/>
    <cellStyle name="40% - Accent3 2 6 6 2 2" xfId="31984"/>
    <cellStyle name="40% - Accent3 2 6 6 2 2 2" xfId="31985"/>
    <cellStyle name="40% - Accent3 2 6 6 2 2 2 2" xfId="31986"/>
    <cellStyle name="40% - Accent3 2 6 6 2 2 3" xfId="31987"/>
    <cellStyle name="40% - Accent3 2 6 6 2 3" xfId="31988"/>
    <cellStyle name="40% - Accent3 2 6 6 2 3 2" xfId="31989"/>
    <cellStyle name="40% - Accent3 2 6 6 2 4" xfId="31990"/>
    <cellStyle name="40% - Accent3 2 6 6 3" xfId="31991"/>
    <cellStyle name="40% - Accent3 2 6 6 3 2" xfId="31992"/>
    <cellStyle name="40% - Accent3 2 6 6 3 2 2" xfId="31993"/>
    <cellStyle name="40% - Accent3 2 6 6 3 3" xfId="31994"/>
    <cellStyle name="40% - Accent3 2 6 6 4" xfId="31995"/>
    <cellStyle name="40% - Accent3 2 6 6 4 2" xfId="31996"/>
    <cellStyle name="40% - Accent3 2 6 6 5" xfId="31997"/>
    <cellStyle name="40% - Accent3 2 6 7" xfId="31998"/>
    <cellStyle name="40% - Accent3 2 6 7 2" xfId="31999"/>
    <cellStyle name="40% - Accent3 2 6 7 2 2" xfId="32000"/>
    <cellStyle name="40% - Accent3 2 6 7 2 2 2" xfId="32001"/>
    <cellStyle name="40% - Accent3 2 6 7 2 2 2 2" xfId="32002"/>
    <cellStyle name="40% - Accent3 2 6 7 2 2 3" xfId="32003"/>
    <cellStyle name="40% - Accent3 2 6 7 2 3" xfId="32004"/>
    <cellStyle name="40% - Accent3 2 6 7 2 3 2" xfId="32005"/>
    <cellStyle name="40% - Accent3 2 6 7 2 4" xfId="32006"/>
    <cellStyle name="40% - Accent3 2 6 7 3" xfId="32007"/>
    <cellStyle name="40% - Accent3 2 6 7 3 2" xfId="32008"/>
    <cellStyle name="40% - Accent3 2 6 7 3 2 2" xfId="32009"/>
    <cellStyle name="40% - Accent3 2 6 7 3 3" xfId="32010"/>
    <cellStyle name="40% - Accent3 2 6 7 4" xfId="32011"/>
    <cellStyle name="40% - Accent3 2 6 7 4 2" xfId="32012"/>
    <cellStyle name="40% - Accent3 2 6 7 5" xfId="32013"/>
    <cellStyle name="40% - Accent3 2 6 8" xfId="32014"/>
    <cellStyle name="40% - Accent3 2 6 8 2" xfId="32015"/>
    <cellStyle name="40% - Accent3 2 6 8 2 2" xfId="32016"/>
    <cellStyle name="40% - Accent3 2 6 8 2 2 2" xfId="32017"/>
    <cellStyle name="40% - Accent3 2 6 8 2 3" xfId="32018"/>
    <cellStyle name="40% - Accent3 2 6 8 3" xfId="32019"/>
    <cellStyle name="40% - Accent3 2 6 8 3 2" xfId="32020"/>
    <cellStyle name="40% - Accent3 2 6 8 4" xfId="32021"/>
    <cellStyle name="40% - Accent3 2 6 9" xfId="32022"/>
    <cellStyle name="40% - Accent3 2 6 9 2" xfId="32023"/>
    <cellStyle name="40% - Accent3 2 6 9 2 2" xfId="32024"/>
    <cellStyle name="40% - Accent3 2 6 9 3" xfId="32025"/>
    <cellStyle name="40% - Accent3 2 7" xfId="32026"/>
    <cellStyle name="40% - Accent3 2 7 10" xfId="32027"/>
    <cellStyle name="40% - Accent3 2 7 10 2" xfId="32028"/>
    <cellStyle name="40% - Accent3 2 7 11" xfId="32029"/>
    <cellStyle name="40% - Accent3 2 7 2" xfId="32030"/>
    <cellStyle name="40% - Accent3 2 7 2 10" xfId="32031"/>
    <cellStyle name="40% - Accent3 2 7 2 2" xfId="32032"/>
    <cellStyle name="40% - Accent3 2 7 2 2 2" xfId="32033"/>
    <cellStyle name="40% - Accent3 2 7 2 2 2 2" xfId="32034"/>
    <cellStyle name="40% - Accent3 2 7 2 2 2 2 2" xfId="32035"/>
    <cellStyle name="40% - Accent3 2 7 2 2 2 2 2 2" xfId="32036"/>
    <cellStyle name="40% - Accent3 2 7 2 2 2 2 3" xfId="32037"/>
    <cellStyle name="40% - Accent3 2 7 2 2 2 3" xfId="32038"/>
    <cellStyle name="40% - Accent3 2 7 2 2 2 3 2" xfId="32039"/>
    <cellStyle name="40% - Accent3 2 7 2 2 2 4" xfId="32040"/>
    <cellStyle name="40% - Accent3 2 7 2 2 3" xfId="32041"/>
    <cellStyle name="40% - Accent3 2 7 2 2 3 2" xfId="32042"/>
    <cellStyle name="40% - Accent3 2 7 2 2 3 2 2" xfId="32043"/>
    <cellStyle name="40% - Accent3 2 7 2 2 3 3" xfId="32044"/>
    <cellStyle name="40% - Accent3 2 7 2 2 4" xfId="32045"/>
    <cellStyle name="40% - Accent3 2 7 2 2 4 2" xfId="32046"/>
    <cellStyle name="40% - Accent3 2 7 2 2 5" xfId="32047"/>
    <cellStyle name="40% - Accent3 2 7 2 3" xfId="32048"/>
    <cellStyle name="40% - Accent3 2 7 2 3 2" xfId="32049"/>
    <cellStyle name="40% - Accent3 2 7 2 3 2 2" xfId="32050"/>
    <cellStyle name="40% - Accent3 2 7 2 3 2 2 2" xfId="32051"/>
    <cellStyle name="40% - Accent3 2 7 2 3 2 2 2 2" xfId="32052"/>
    <cellStyle name="40% - Accent3 2 7 2 3 2 2 3" xfId="32053"/>
    <cellStyle name="40% - Accent3 2 7 2 3 2 3" xfId="32054"/>
    <cellStyle name="40% - Accent3 2 7 2 3 2 3 2" xfId="32055"/>
    <cellStyle name="40% - Accent3 2 7 2 3 2 4" xfId="32056"/>
    <cellStyle name="40% - Accent3 2 7 2 3 3" xfId="32057"/>
    <cellStyle name="40% - Accent3 2 7 2 3 3 2" xfId="32058"/>
    <cellStyle name="40% - Accent3 2 7 2 3 3 2 2" xfId="32059"/>
    <cellStyle name="40% - Accent3 2 7 2 3 3 3" xfId="32060"/>
    <cellStyle name="40% - Accent3 2 7 2 3 4" xfId="32061"/>
    <cellStyle name="40% - Accent3 2 7 2 3 4 2" xfId="32062"/>
    <cellStyle name="40% - Accent3 2 7 2 3 5" xfId="32063"/>
    <cellStyle name="40% - Accent3 2 7 2 4" xfId="32064"/>
    <cellStyle name="40% - Accent3 2 7 2 4 2" xfId="32065"/>
    <cellStyle name="40% - Accent3 2 7 2 4 2 2" xfId="32066"/>
    <cellStyle name="40% - Accent3 2 7 2 4 2 2 2" xfId="32067"/>
    <cellStyle name="40% - Accent3 2 7 2 4 2 2 2 2" xfId="32068"/>
    <cellStyle name="40% - Accent3 2 7 2 4 2 2 3" xfId="32069"/>
    <cellStyle name="40% - Accent3 2 7 2 4 2 3" xfId="32070"/>
    <cellStyle name="40% - Accent3 2 7 2 4 2 3 2" xfId="32071"/>
    <cellStyle name="40% - Accent3 2 7 2 4 2 4" xfId="32072"/>
    <cellStyle name="40% - Accent3 2 7 2 4 3" xfId="32073"/>
    <cellStyle name="40% - Accent3 2 7 2 4 3 2" xfId="32074"/>
    <cellStyle name="40% - Accent3 2 7 2 4 3 2 2" xfId="32075"/>
    <cellStyle name="40% - Accent3 2 7 2 4 3 3" xfId="32076"/>
    <cellStyle name="40% - Accent3 2 7 2 4 4" xfId="32077"/>
    <cellStyle name="40% - Accent3 2 7 2 4 4 2" xfId="32078"/>
    <cellStyle name="40% - Accent3 2 7 2 4 5" xfId="32079"/>
    <cellStyle name="40% - Accent3 2 7 2 5" xfId="32080"/>
    <cellStyle name="40% - Accent3 2 7 2 5 2" xfId="32081"/>
    <cellStyle name="40% - Accent3 2 7 2 5 2 2" xfId="32082"/>
    <cellStyle name="40% - Accent3 2 7 2 5 2 2 2" xfId="32083"/>
    <cellStyle name="40% - Accent3 2 7 2 5 2 2 2 2" xfId="32084"/>
    <cellStyle name="40% - Accent3 2 7 2 5 2 2 3" xfId="32085"/>
    <cellStyle name="40% - Accent3 2 7 2 5 2 3" xfId="32086"/>
    <cellStyle name="40% - Accent3 2 7 2 5 2 3 2" xfId="32087"/>
    <cellStyle name="40% - Accent3 2 7 2 5 2 4" xfId="32088"/>
    <cellStyle name="40% - Accent3 2 7 2 5 3" xfId="32089"/>
    <cellStyle name="40% - Accent3 2 7 2 5 3 2" xfId="32090"/>
    <cellStyle name="40% - Accent3 2 7 2 5 3 2 2" xfId="32091"/>
    <cellStyle name="40% - Accent3 2 7 2 5 3 3" xfId="32092"/>
    <cellStyle name="40% - Accent3 2 7 2 5 4" xfId="32093"/>
    <cellStyle name="40% - Accent3 2 7 2 5 4 2" xfId="32094"/>
    <cellStyle name="40% - Accent3 2 7 2 5 5" xfId="32095"/>
    <cellStyle name="40% - Accent3 2 7 2 6" xfId="32096"/>
    <cellStyle name="40% - Accent3 2 7 2 6 2" xfId="32097"/>
    <cellStyle name="40% - Accent3 2 7 2 6 2 2" xfId="32098"/>
    <cellStyle name="40% - Accent3 2 7 2 6 2 2 2" xfId="32099"/>
    <cellStyle name="40% - Accent3 2 7 2 6 2 2 2 2" xfId="32100"/>
    <cellStyle name="40% - Accent3 2 7 2 6 2 2 3" xfId="32101"/>
    <cellStyle name="40% - Accent3 2 7 2 6 2 3" xfId="32102"/>
    <cellStyle name="40% - Accent3 2 7 2 6 2 3 2" xfId="32103"/>
    <cellStyle name="40% - Accent3 2 7 2 6 2 4" xfId="32104"/>
    <cellStyle name="40% - Accent3 2 7 2 6 3" xfId="32105"/>
    <cellStyle name="40% - Accent3 2 7 2 6 3 2" xfId="32106"/>
    <cellStyle name="40% - Accent3 2 7 2 6 3 2 2" xfId="32107"/>
    <cellStyle name="40% - Accent3 2 7 2 6 3 3" xfId="32108"/>
    <cellStyle name="40% - Accent3 2 7 2 6 4" xfId="32109"/>
    <cellStyle name="40% - Accent3 2 7 2 6 4 2" xfId="32110"/>
    <cellStyle name="40% - Accent3 2 7 2 6 5" xfId="32111"/>
    <cellStyle name="40% - Accent3 2 7 2 7" xfId="32112"/>
    <cellStyle name="40% - Accent3 2 7 2 7 2" xfId="32113"/>
    <cellStyle name="40% - Accent3 2 7 2 7 2 2" xfId="32114"/>
    <cellStyle name="40% - Accent3 2 7 2 7 2 2 2" xfId="32115"/>
    <cellStyle name="40% - Accent3 2 7 2 7 2 3" xfId="32116"/>
    <cellStyle name="40% - Accent3 2 7 2 7 3" xfId="32117"/>
    <cellStyle name="40% - Accent3 2 7 2 7 3 2" xfId="32118"/>
    <cellStyle name="40% - Accent3 2 7 2 7 4" xfId="32119"/>
    <cellStyle name="40% - Accent3 2 7 2 8" xfId="32120"/>
    <cellStyle name="40% - Accent3 2 7 2 8 2" xfId="32121"/>
    <cellStyle name="40% - Accent3 2 7 2 8 2 2" xfId="32122"/>
    <cellStyle name="40% - Accent3 2 7 2 8 3" xfId="32123"/>
    <cellStyle name="40% - Accent3 2 7 2 9" xfId="32124"/>
    <cellStyle name="40% - Accent3 2 7 2 9 2" xfId="32125"/>
    <cellStyle name="40% - Accent3 2 7 3" xfId="32126"/>
    <cellStyle name="40% - Accent3 2 7 3 2" xfId="32127"/>
    <cellStyle name="40% - Accent3 2 7 3 2 2" xfId="32128"/>
    <cellStyle name="40% - Accent3 2 7 3 2 2 2" xfId="32129"/>
    <cellStyle name="40% - Accent3 2 7 3 2 2 2 2" xfId="32130"/>
    <cellStyle name="40% - Accent3 2 7 3 2 2 3" xfId="32131"/>
    <cellStyle name="40% - Accent3 2 7 3 2 3" xfId="32132"/>
    <cellStyle name="40% - Accent3 2 7 3 2 3 2" xfId="32133"/>
    <cellStyle name="40% - Accent3 2 7 3 2 4" xfId="32134"/>
    <cellStyle name="40% - Accent3 2 7 3 3" xfId="32135"/>
    <cellStyle name="40% - Accent3 2 7 3 3 2" xfId="32136"/>
    <cellStyle name="40% - Accent3 2 7 3 3 2 2" xfId="32137"/>
    <cellStyle name="40% - Accent3 2 7 3 3 3" xfId="32138"/>
    <cellStyle name="40% - Accent3 2 7 3 4" xfId="32139"/>
    <cellStyle name="40% - Accent3 2 7 3 4 2" xfId="32140"/>
    <cellStyle name="40% - Accent3 2 7 3 5" xfId="32141"/>
    <cellStyle name="40% - Accent3 2 7 4" xfId="32142"/>
    <cellStyle name="40% - Accent3 2 7 4 2" xfId="32143"/>
    <cellStyle name="40% - Accent3 2 7 4 2 2" xfId="32144"/>
    <cellStyle name="40% - Accent3 2 7 4 2 2 2" xfId="32145"/>
    <cellStyle name="40% - Accent3 2 7 4 2 2 2 2" xfId="32146"/>
    <cellStyle name="40% - Accent3 2 7 4 2 2 3" xfId="32147"/>
    <cellStyle name="40% - Accent3 2 7 4 2 3" xfId="32148"/>
    <cellStyle name="40% - Accent3 2 7 4 2 3 2" xfId="32149"/>
    <cellStyle name="40% - Accent3 2 7 4 2 4" xfId="32150"/>
    <cellStyle name="40% - Accent3 2 7 4 3" xfId="32151"/>
    <cellStyle name="40% - Accent3 2 7 4 3 2" xfId="32152"/>
    <cellStyle name="40% - Accent3 2 7 4 3 2 2" xfId="32153"/>
    <cellStyle name="40% - Accent3 2 7 4 3 3" xfId="32154"/>
    <cellStyle name="40% - Accent3 2 7 4 4" xfId="32155"/>
    <cellStyle name="40% - Accent3 2 7 4 4 2" xfId="32156"/>
    <cellStyle name="40% - Accent3 2 7 4 5" xfId="32157"/>
    <cellStyle name="40% - Accent3 2 7 5" xfId="32158"/>
    <cellStyle name="40% - Accent3 2 7 5 2" xfId="32159"/>
    <cellStyle name="40% - Accent3 2 7 5 2 2" xfId="32160"/>
    <cellStyle name="40% - Accent3 2 7 5 2 2 2" xfId="32161"/>
    <cellStyle name="40% - Accent3 2 7 5 2 2 2 2" xfId="32162"/>
    <cellStyle name="40% - Accent3 2 7 5 2 2 3" xfId="32163"/>
    <cellStyle name="40% - Accent3 2 7 5 2 3" xfId="32164"/>
    <cellStyle name="40% - Accent3 2 7 5 2 3 2" xfId="32165"/>
    <cellStyle name="40% - Accent3 2 7 5 2 4" xfId="32166"/>
    <cellStyle name="40% - Accent3 2 7 5 3" xfId="32167"/>
    <cellStyle name="40% - Accent3 2 7 5 3 2" xfId="32168"/>
    <cellStyle name="40% - Accent3 2 7 5 3 2 2" xfId="32169"/>
    <cellStyle name="40% - Accent3 2 7 5 3 3" xfId="32170"/>
    <cellStyle name="40% - Accent3 2 7 5 4" xfId="32171"/>
    <cellStyle name="40% - Accent3 2 7 5 4 2" xfId="32172"/>
    <cellStyle name="40% - Accent3 2 7 5 5" xfId="32173"/>
    <cellStyle name="40% - Accent3 2 7 6" xfId="32174"/>
    <cellStyle name="40% - Accent3 2 7 6 2" xfId="32175"/>
    <cellStyle name="40% - Accent3 2 7 6 2 2" xfId="32176"/>
    <cellStyle name="40% - Accent3 2 7 6 2 2 2" xfId="32177"/>
    <cellStyle name="40% - Accent3 2 7 6 2 2 2 2" xfId="32178"/>
    <cellStyle name="40% - Accent3 2 7 6 2 2 3" xfId="32179"/>
    <cellStyle name="40% - Accent3 2 7 6 2 3" xfId="32180"/>
    <cellStyle name="40% - Accent3 2 7 6 2 3 2" xfId="32181"/>
    <cellStyle name="40% - Accent3 2 7 6 2 4" xfId="32182"/>
    <cellStyle name="40% - Accent3 2 7 6 3" xfId="32183"/>
    <cellStyle name="40% - Accent3 2 7 6 3 2" xfId="32184"/>
    <cellStyle name="40% - Accent3 2 7 6 3 2 2" xfId="32185"/>
    <cellStyle name="40% - Accent3 2 7 6 3 3" xfId="32186"/>
    <cellStyle name="40% - Accent3 2 7 6 4" xfId="32187"/>
    <cellStyle name="40% - Accent3 2 7 6 4 2" xfId="32188"/>
    <cellStyle name="40% - Accent3 2 7 6 5" xfId="32189"/>
    <cellStyle name="40% - Accent3 2 7 7" xfId="32190"/>
    <cellStyle name="40% - Accent3 2 7 7 2" xfId="32191"/>
    <cellStyle name="40% - Accent3 2 7 7 2 2" xfId="32192"/>
    <cellStyle name="40% - Accent3 2 7 7 2 2 2" xfId="32193"/>
    <cellStyle name="40% - Accent3 2 7 7 2 2 2 2" xfId="32194"/>
    <cellStyle name="40% - Accent3 2 7 7 2 2 3" xfId="32195"/>
    <cellStyle name="40% - Accent3 2 7 7 2 3" xfId="32196"/>
    <cellStyle name="40% - Accent3 2 7 7 2 3 2" xfId="32197"/>
    <cellStyle name="40% - Accent3 2 7 7 2 4" xfId="32198"/>
    <cellStyle name="40% - Accent3 2 7 7 3" xfId="32199"/>
    <cellStyle name="40% - Accent3 2 7 7 3 2" xfId="32200"/>
    <cellStyle name="40% - Accent3 2 7 7 3 2 2" xfId="32201"/>
    <cellStyle name="40% - Accent3 2 7 7 3 3" xfId="32202"/>
    <cellStyle name="40% - Accent3 2 7 7 4" xfId="32203"/>
    <cellStyle name="40% - Accent3 2 7 7 4 2" xfId="32204"/>
    <cellStyle name="40% - Accent3 2 7 7 5" xfId="32205"/>
    <cellStyle name="40% - Accent3 2 7 8" xfId="32206"/>
    <cellStyle name="40% - Accent3 2 7 8 2" xfId="32207"/>
    <cellStyle name="40% - Accent3 2 7 8 2 2" xfId="32208"/>
    <cellStyle name="40% - Accent3 2 7 8 2 2 2" xfId="32209"/>
    <cellStyle name="40% - Accent3 2 7 8 2 3" xfId="32210"/>
    <cellStyle name="40% - Accent3 2 7 8 3" xfId="32211"/>
    <cellStyle name="40% - Accent3 2 7 8 3 2" xfId="32212"/>
    <cellStyle name="40% - Accent3 2 7 8 4" xfId="32213"/>
    <cellStyle name="40% - Accent3 2 7 9" xfId="32214"/>
    <cellStyle name="40% - Accent3 2 7 9 2" xfId="32215"/>
    <cellStyle name="40% - Accent3 2 7 9 2 2" xfId="32216"/>
    <cellStyle name="40% - Accent3 2 7 9 3" xfId="32217"/>
    <cellStyle name="40% - Accent3 2 8" xfId="32218"/>
    <cellStyle name="40% - Accent3 2 8 10" xfId="32219"/>
    <cellStyle name="40% - Accent3 2 8 10 2" xfId="32220"/>
    <cellStyle name="40% - Accent3 2 8 11" xfId="32221"/>
    <cellStyle name="40% - Accent3 2 8 2" xfId="32222"/>
    <cellStyle name="40% - Accent3 2 8 2 10" xfId="32223"/>
    <cellStyle name="40% - Accent3 2 8 2 2" xfId="32224"/>
    <cellStyle name="40% - Accent3 2 8 2 2 2" xfId="32225"/>
    <cellStyle name="40% - Accent3 2 8 2 2 2 2" xfId="32226"/>
    <cellStyle name="40% - Accent3 2 8 2 2 2 2 2" xfId="32227"/>
    <cellStyle name="40% - Accent3 2 8 2 2 2 2 2 2" xfId="32228"/>
    <cellStyle name="40% - Accent3 2 8 2 2 2 2 3" xfId="32229"/>
    <cellStyle name="40% - Accent3 2 8 2 2 2 3" xfId="32230"/>
    <cellStyle name="40% - Accent3 2 8 2 2 2 3 2" xfId="32231"/>
    <cellStyle name="40% - Accent3 2 8 2 2 2 4" xfId="32232"/>
    <cellStyle name="40% - Accent3 2 8 2 2 3" xfId="32233"/>
    <cellStyle name="40% - Accent3 2 8 2 2 3 2" xfId="32234"/>
    <cellStyle name="40% - Accent3 2 8 2 2 3 2 2" xfId="32235"/>
    <cellStyle name="40% - Accent3 2 8 2 2 3 3" xfId="32236"/>
    <cellStyle name="40% - Accent3 2 8 2 2 4" xfId="32237"/>
    <cellStyle name="40% - Accent3 2 8 2 2 4 2" xfId="32238"/>
    <cellStyle name="40% - Accent3 2 8 2 2 5" xfId="32239"/>
    <cellStyle name="40% - Accent3 2 8 2 3" xfId="32240"/>
    <cellStyle name="40% - Accent3 2 8 2 3 2" xfId="32241"/>
    <cellStyle name="40% - Accent3 2 8 2 3 2 2" xfId="32242"/>
    <cellStyle name="40% - Accent3 2 8 2 3 2 2 2" xfId="32243"/>
    <cellStyle name="40% - Accent3 2 8 2 3 2 2 2 2" xfId="32244"/>
    <cellStyle name="40% - Accent3 2 8 2 3 2 2 3" xfId="32245"/>
    <cellStyle name="40% - Accent3 2 8 2 3 2 3" xfId="32246"/>
    <cellStyle name="40% - Accent3 2 8 2 3 2 3 2" xfId="32247"/>
    <cellStyle name="40% - Accent3 2 8 2 3 2 4" xfId="32248"/>
    <cellStyle name="40% - Accent3 2 8 2 3 3" xfId="32249"/>
    <cellStyle name="40% - Accent3 2 8 2 3 3 2" xfId="32250"/>
    <cellStyle name="40% - Accent3 2 8 2 3 3 2 2" xfId="32251"/>
    <cellStyle name="40% - Accent3 2 8 2 3 3 3" xfId="32252"/>
    <cellStyle name="40% - Accent3 2 8 2 3 4" xfId="32253"/>
    <cellStyle name="40% - Accent3 2 8 2 3 4 2" xfId="32254"/>
    <cellStyle name="40% - Accent3 2 8 2 3 5" xfId="32255"/>
    <cellStyle name="40% - Accent3 2 8 2 4" xfId="32256"/>
    <cellStyle name="40% - Accent3 2 8 2 4 2" xfId="32257"/>
    <cellStyle name="40% - Accent3 2 8 2 4 2 2" xfId="32258"/>
    <cellStyle name="40% - Accent3 2 8 2 4 2 2 2" xfId="32259"/>
    <cellStyle name="40% - Accent3 2 8 2 4 2 2 2 2" xfId="32260"/>
    <cellStyle name="40% - Accent3 2 8 2 4 2 2 3" xfId="32261"/>
    <cellStyle name="40% - Accent3 2 8 2 4 2 3" xfId="32262"/>
    <cellStyle name="40% - Accent3 2 8 2 4 2 3 2" xfId="32263"/>
    <cellStyle name="40% - Accent3 2 8 2 4 2 4" xfId="32264"/>
    <cellStyle name="40% - Accent3 2 8 2 4 3" xfId="32265"/>
    <cellStyle name="40% - Accent3 2 8 2 4 3 2" xfId="32266"/>
    <cellStyle name="40% - Accent3 2 8 2 4 3 2 2" xfId="32267"/>
    <cellStyle name="40% - Accent3 2 8 2 4 3 3" xfId="32268"/>
    <cellStyle name="40% - Accent3 2 8 2 4 4" xfId="32269"/>
    <cellStyle name="40% - Accent3 2 8 2 4 4 2" xfId="32270"/>
    <cellStyle name="40% - Accent3 2 8 2 4 5" xfId="32271"/>
    <cellStyle name="40% - Accent3 2 8 2 5" xfId="32272"/>
    <cellStyle name="40% - Accent3 2 8 2 5 2" xfId="32273"/>
    <cellStyle name="40% - Accent3 2 8 2 5 2 2" xfId="32274"/>
    <cellStyle name="40% - Accent3 2 8 2 5 2 2 2" xfId="32275"/>
    <cellStyle name="40% - Accent3 2 8 2 5 2 2 2 2" xfId="32276"/>
    <cellStyle name="40% - Accent3 2 8 2 5 2 2 3" xfId="32277"/>
    <cellStyle name="40% - Accent3 2 8 2 5 2 3" xfId="32278"/>
    <cellStyle name="40% - Accent3 2 8 2 5 2 3 2" xfId="32279"/>
    <cellStyle name="40% - Accent3 2 8 2 5 2 4" xfId="32280"/>
    <cellStyle name="40% - Accent3 2 8 2 5 3" xfId="32281"/>
    <cellStyle name="40% - Accent3 2 8 2 5 3 2" xfId="32282"/>
    <cellStyle name="40% - Accent3 2 8 2 5 3 2 2" xfId="32283"/>
    <cellStyle name="40% - Accent3 2 8 2 5 3 3" xfId="32284"/>
    <cellStyle name="40% - Accent3 2 8 2 5 4" xfId="32285"/>
    <cellStyle name="40% - Accent3 2 8 2 5 4 2" xfId="32286"/>
    <cellStyle name="40% - Accent3 2 8 2 5 5" xfId="32287"/>
    <cellStyle name="40% - Accent3 2 8 2 6" xfId="32288"/>
    <cellStyle name="40% - Accent3 2 8 2 6 2" xfId="32289"/>
    <cellStyle name="40% - Accent3 2 8 2 6 2 2" xfId="32290"/>
    <cellStyle name="40% - Accent3 2 8 2 6 2 2 2" xfId="32291"/>
    <cellStyle name="40% - Accent3 2 8 2 6 2 2 2 2" xfId="32292"/>
    <cellStyle name="40% - Accent3 2 8 2 6 2 2 3" xfId="32293"/>
    <cellStyle name="40% - Accent3 2 8 2 6 2 3" xfId="32294"/>
    <cellStyle name="40% - Accent3 2 8 2 6 2 3 2" xfId="32295"/>
    <cellStyle name="40% - Accent3 2 8 2 6 2 4" xfId="32296"/>
    <cellStyle name="40% - Accent3 2 8 2 6 3" xfId="32297"/>
    <cellStyle name="40% - Accent3 2 8 2 6 3 2" xfId="32298"/>
    <cellStyle name="40% - Accent3 2 8 2 6 3 2 2" xfId="32299"/>
    <cellStyle name="40% - Accent3 2 8 2 6 3 3" xfId="32300"/>
    <cellStyle name="40% - Accent3 2 8 2 6 4" xfId="32301"/>
    <cellStyle name="40% - Accent3 2 8 2 6 4 2" xfId="32302"/>
    <cellStyle name="40% - Accent3 2 8 2 6 5" xfId="32303"/>
    <cellStyle name="40% - Accent3 2 8 2 7" xfId="32304"/>
    <cellStyle name="40% - Accent3 2 8 2 7 2" xfId="32305"/>
    <cellStyle name="40% - Accent3 2 8 2 7 2 2" xfId="32306"/>
    <cellStyle name="40% - Accent3 2 8 2 7 2 2 2" xfId="32307"/>
    <cellStyle name="40% - Accent3 2 8 2 7 2 3" xfId="32308"/>
    <cellStyle name="40% - Accent3 2 8 2 7 3" xfId="32309"/>
    <cellStyle name="40% - Accent3 2 8 2 7 3 2" xfId="32310"/>
    <cellStyle name="40% - Accent3 2 8 2 7 4" xfId="32311"/>
    <cellStyle name="40% - Accent3 2 8 2 8" xfId="32312"/>
    <cellStyle name="40% - Accent3 2 8 2 8 2" xfId="32313"/>
    <cellStyle name="40% - Accent3 2 8 2 8 2 2" xfId="32314"/>
    <cellStyle name="40% - Accent3 2 8 2 8 3" xfId="32315"/>
    <cellStyle name="40% - Accent3 2 8 2 9" xfId="32316"/>
    <cellStyle name="40% - Accent3 2 8 2 9 2" xfId="32317"/>
    <cellStyle name="40% - Accent3 2 8 3" xfId="32318"/>
    <cellStyle name="40% - Accent3 2 8 3 2" xfId="32319"/>
    <cellStyle name="40% - Accent3 2 8 3 2 2" xfId="32320"/>
    <cellStyle name="40% - Accent3 2 8 3 2 2 2" xfId="32321"/>
    <cellStyle name="40% - Accent3 2 8 3 2 2 2 2" xfId="32322"/>
    <cellStyle name="40% - Accent3 2 8 3 2 2 3" xfId="32323"/>
    <cellStyle name="40% - Accent3 2 8 3 2 3" xfId="32324"/>
    <cellStyle name="40% - Accent3 2 8 3 2 3 2" xfId="32325"/>
    <cellStyle name="40% - Accent3 2 8 3 2 4" xfId="32326"/>
    <cellStyle name="40% - Accent3 2 8 3 3" xfId="32327"/>
    <cellStyle name="40% - Accent3 2 8 3 3 2" xfId="32328"/>
    <cellStyle name="40% - Accent3 2 8 3 3 2 2" xfId="32329"/>
    <cellStyle name="40% - Accent3 2 8 3 3 3" xfId="32330"/>
    <cellStyle name="40% - Accent3 2 8 3 4" xfId="32331"/>
    <cellStyle name="40% - Accent3 2 8 3 4 2" xfId="32332"/>
    <cellStyle name="40% - Accent3 2 8 3 5" xfId="32333"/>
    <cellStyle name="40% - Accent3 2 8 4" xfId="32334"/>
    <cellStyle name="40% - Accent3 2 8 4 2" xfId="32335"/>
    <cellStyle name="40% - Accent3 2 8 4 2 2" xfId="32336"/>
    <cellStyle name="40% - Accent3 2 8 4 2 2 2" xfId="32337"/>
    <cellStyle name="40% - Accent3 2 8 4 2 2 2 2" xfId="32338"/>
    <cellStyle name="40% - Accent3 2 8 4 2 2 3" xfId="32339"/>
    <cellStyle name="40% - Accent3 2 8 4 2 3" xfId="32340"/>
    <cellStyle name="40% - Accent3 2 8 4 2 3 2" xfId="32341"/>
    <cellStyle name="40% - Accent3 2 8 4 2 4" xfId="32342"/>
    <cellStyle name="40% - Accent3 2 8 4 3" xfId="32343"/>
    <cellStyle name="40% - Accent3 2 8 4 3 2" xfId="32344"/>
    <cellStyle name="40% - Accent3 2 8 4 3 2 2" xfId="32345"/>
    <cellStyle name="40% - Accent3 2 8 4 3 3" xfId="32346"/>
    <cellStyle name="40% - Accent3 2 8 4 4" xfId="32347"/>
    <cellStyle name="40% - Accent3 2 8 4 4 2" xfId="32348"/>
    <cellStyle name="40% - Accent3 2 8 4 5" xfId="32349"/>
    <cellStyle name="40% - Accent3 2 8 5" xfId="32350"/>
    <cellStyle name="40% - Accent3 2 8 5 2" xfId="32351"/>
    <cellStyle name="40% - Accent3 2 8 5 2 2" xfId="32352"/>
    <cellStyle name="40% - Accent3 2 8 5 2 2 2" xfId="32353"/>
    <cellStyle name="40% - Accent3 2 8 5 2 2 2 2" xfId="32354"/>
    <cellStyle name="40% - Accent3 2 8 5 2 2 3" xfId="32355"/>
    <cellStyle name="40% - Accent3 2 8 5 2 3" xfId="32356"/>
    <cellStyle name="40% - Accent3 2 8 5 2 3 2" xfId="32357"/>
    <cellStyle name="40% - Accent3 2 8 5 2 4" xfId="32358"/>
    <cellStyle name="40% - Accent3 2 8 5 3" xfId="32359"/>
    <cellStyle name="40% - Accent3 2 8 5 3 2" xfId="32360"/>
    <cellStyle name="40% - Accent3 2 8 5 3 2 2" xfId="32361"/>
    <cellStyle name="40% - Accent3 2 8 5 3 3" xfId="32362"/>
    <cellStyle name="40% - Accent3 2 8 5 4" xfId="32363"/>
    <cellStyle name="40% - Accent3 2 8 5 4 2" xfId="32364"/>
    <cellStyle name="40% - Accent3 2 8 5 5" xfId="32365"/>
    <cellStyle name="40% - Accent3 2 8 6" xfId="32366"/>
    <cellStyle name="40% - Accent3 2 8 6 2" xfId="32367"/>
    <cellStyle name="40% - Accent3 2 8 6 2 2" xfId="32368"/>
    <cellStyle name="40% - Accent3 2 8 6 2 2 2" xfId="32369"/>
    <cellStyle name="40% - Accent3 2 8 6 2 2 2 2" xfId="32370"/>
    <cellStyle name="40% - Accent3 2 8 6 2 2 3" xfId="32371"/>
    <cellStyle name="40% - Accent3 2 8 6 2 3" xfId="32372"/>
    <cellStyle name="40% - Accent3 2 8 6 2 3 2" xfId="32373"/>
    <cellStyle name="40% - Accent3 2 8 6 2 4" xfId="32374"/>
    <cellStyle name="40% - Accent3 2 8 6 3" xfId="32375"/>
    <cellStyle name="40% - Accent3 2 8 6 3 2" xfId="32376"/>
    <cellStyle name="40% - Accent3 2 8 6 3 2 2" xfId="32377"/>
    <cellStyle name="40% - Accent3 2 8 6 3 3" xfId="32378"/>
    <cellStyle name="40% - Accent3 2 8 6 4" xfId="32379"/>
    <cellStyle name="40% - Accent3 2 8 6 4 2" xfId="32380"/>
    <cellStyle name="40% - Accent3 2 8 6 5" xfId="32381"/>
    <cellStyle name="40% - Accent3 2 8 7" xfId="32382"/>
    <cellStyle name="40% - Accent3 2 8 7 2" xfId="32383"/>
    <cellStyle name="40% - Accent3 2 8 7 2 2" xfId="32384"/>
    <cellStyle name="40% - Accent3 2 8 7 2 2 2" xfId="32385"/>
    <cellStyle name="40% - Accent3 2 8 7 2 2 2 2" xfId="32386"/>
    <cellStyle name="40% - Accent3 2 8 7 2 2 3" xfId="32387"/>
    <cellStyle name="40% - Accent3 2 8 7 2 3" xfId="32388"/>
    <cellStyle name="40% - Accent3 2 8 7 2 3 2" xfId="32389"/>
    <cellStyle name="40% - Accent3 2 8 7 2 4" xfId="32390"/>
    <cellStyle name="40% - Accent3 2 8 7 3" xfId="32391"/>
    <cellStyle name="40% - Accent3 2 8 7 3 2" xfId="32392"/>
    <cellStyle name="40% - Accent3 2 8 7 3 2 2" xfId="32393"/>
    <cellStyle name="40% - Accent3 2 8 7 3 3" xfId="32394"/>
    <cellStyle name="40% - Accent3 2 8 7 4" xfId="32395"/>
    <cellStyle name="40% - Accent3 2 8 7 4 2" xfId="32396"/>
    <cellStyle name="40% - Accent3 2 8 7 5" xfId="32397"/>
    <cellStyle name="40% - Accent3 2 8 8" xfId="32398"/>
    <cellStyle name="40% - Accent3 2 8 8 2" xfId="32399"/>
    <cellStyle name="40% - Accent3 2 8 8 2 2" xfId="32400"/>
    <cellStyle name="40% - Accent3 2 8 8 2 2 2" xfId="32401"/>
    <cellStyle name="40% - Accent3 2 8 8 2 3" xfId="32402"/>
    <cellStyle name="40% - Accent3 2 8 8 3" xfId="32403"/>
    <cellStyle name="40% - Accent3 2 8 8 3 2" xfId="32404"/>
    <cellStyle name="40% - Accent3 2 8 8 4" xfId="32405"/>
    <cellStyle name="40% - Accent3 2 8 9" xfId="32406"/>
    <cellStyle name="40% - Accent3 2 8 9 2" xfId="32407"/>
    <cellStyle name="40% - Accent3 2 8 9 2 2" xfId="32408"/>
    <cellStyle name="40% - Accent3 2 8 9 3" xfId="32409"/>
    <cellStyle name="40% - Accent3 2 9" xfId="32410"/>
    <cellStyle name="40% - Accent3 2 9 10" xfId="32411"/>
    <cellStyle name="40% - Accent3 2 9 10 2" xfId="32412"/>
    <cellStyle name="40% - Accent3 2 9 11" xfId="32413"/>
    <cellStyle name="40% - Accent3 2 9 2" xfId="32414"/>
    <cellStyle name="40% - Accent3 2 9 2 10" xfId="32415"/>
    <cellStyle name="40% - Accent3 2 9 2 2" xfId="32416"/>
    <cellStyle name="40% - Accent3 2 9 2 2 2" xfId="32417"/>
    <cellStyle name="40% - Accent3 2 9 2 2 2 2" xfId="32418"/>
    <cellStyle name="40% - Accent3 2 9 2 2 2 2 2" xfId="32419"/>
    <cellStyle name="40% - Accent3 2 9 2 2 2 2 2 2" xfId="32420"/>
    <cellStyle name="40% - Accent3 2 9 2 2 2 2 3" xfId="32421"/>
    <cellStyle name="40% - Accent3 2 9 2 2 2 3" xfId="32422"/>
    <cellStyle name="40% - Accent3 2 9 2 2 2 3 2" xfId="32423"/>
    <cellStyle name="40% - Accent3 2 9 2 2 2 4" xfId="32424"/>
    <cellStyle name="40% - Accent3 2 9 2 2 3" xfId="32425"/>
    <cellStyle name="40% - Accent3 2 9 2 2 3 2" xfId="32426"/>
    <cellStyle name="40% - Accent3 2 9 2 2 3 2 2" xfId="32427"/>
    <cellStyle name="40% - Accent3 2 9 2 2 3 3" xfId="32428"/>
    <cellStyle name="40% - Accent3 2 9 2 2 4" xfId="32429"/>
    <cellStyle name="40% - Accent3 2 9 2 2 4 2" xfId="32430"/>
    <cellStyle name="40% - Accent3 2 9 2 2 5" xfId="32431"/>
    <cellStyle name="40% - Accent3 2 9 2 3" xfId="32432"/>
    <cellStyle name="40% - Accent3 2 9 2 3 2" xfId="32433"/>
    <cellStyle name="40% - Accent3 2 9 2 3 2 2" xfId="32434"/>
    <cellStyle name="40% - Accent3 2 9 2 3 2 2 2" xfId="32435"/>
    <cellStyle name="40% - Accent3 2 9 2 3 2 2 2 2" xfId="32436"/>
    <cellStyle name="40% - Accent3 2 9 2 3 2 2 3" xfId="32437"/>
    <cellStyle name="40% - Accent3 2 9 2 3 2 3" xfId="32438"/>
    <cellStyle name="40% - Accent3 2 9 2 3 2 3 2" xfId="32439"/>
    <cellStyle name="40% - Accent3 2 9 2 3 2 4" xfId="32440"/>
    <cellStyle name="40% - Accent3 2 9 2 3 3" xfId="32441"/>
    <cellStyle name="40% - Accent3 2 9 2 3 3 2" xfId="32442"/>
    <cellStyle name="40% - Accent3 2 9 2 3 3 2 2" xfId="32443"/>
    <cellStyle name="40% - Accent3 2 9 2 3 3 3" xfId="32444"/>
    <cellStyle name="40% - Accent3 2 9 2 3 4" xfId="32445"/>
    <cellStyle name="40% - Accent3 2 9 2 3 4 2" xfId="32446"/>
    <cellStyle name="40% - Accent3 2 9 2 3 5" xfId="32447"/>
    <cellStyle name="40% - Accent3 2 9 2 4" xfId="32448"/>
    <cellStyle name="40% - Accent3 2 9 2 4 2" xfId="32449"/>
    <cellStyle name="40% - Accent3 2 9 2 4 2 2" xfId="32450"/>
    <cellStyle name="40% - Accent3 2 9 2 4 2 2 2" xfId="32451"/>
    <cellStyle name="40% - Accent3 2 9 2 4 2 2 2 2" xfId="32452"/>
    <cellStyle name="40% - Accent3 2 9 2 4 2 2 3" xfId="32453"/>
    <cellStyle name="40% - Accent3 2 9 2 4 2 3" xfId="32454"/>
    <cellStyle name="40% - Accent3 2 9 2 4 2 3 2" xfId="32455"/>
    <cellStyle name="40% - Accent3 2 9 2 4 2 4" xfId="32456"/>
    <cellStyle name="40% - Accent3 2 9 2 4 3" xfId="32457"/>
    <cellStyle name="40% - Accent3 2 9 2 4 3 2" xfId="32458"/>
    <cellStyle name="40% - Accent3 2 9 2 4 3 2 2" xfId="32459"/>
    <cellStyle name="40% - Accent3 2 9 2 4 3 3" xfId="32460"/>
    <cellStyle name="40% - Accent3 2 9 2 4 4" xfId="32461"/>
    <cellStyle name="40% - Accent3 2 9 2 4 4 2" xfId="32462"/>
    <cellStyle name="40% - Accent3 2 9 2 4 5" xfId="32463"/>
    <cellStyle name="40% - Accent3 2 9 2 5" xfId="32464"/>
    <cellStyle name="40% - Accent3 2 9 2 5 2" xfId="32465"/>
    <cellStyle name="40% - Accent3 2 9 2 5 2 2" xfId="32466"/>
    <cellStyle name="40% - Accent3 2 9 2 5 2 2 2" xfId="32467"/>
    <cellStyle name="40% - Accent3 2 9 2 5 2 2 2 2" xfId="32468"/>
    <cellStyle name="40% - Accent3 2 9 2 5 2 2 3" xfId="32469"/>
    <cellStyle name="40% - Accent3 2 9 2 5 2 3" xfId="32470"/>
    <cellStyle name="40% - Accent3 2 9 2 5 2 3 2" xfId="32471"/>
    <cellStyle name="40% - Accent3 2 9 2 5 2 4" xfId="32472"/>
    <cellStyle name="40% - Accent3 2 9 2 5 3" xfId="32473"/>
    <cellStyle name="40% - Accent3 2 9 2 5 3 2" xfId="32474"/>
    <cellStyle name="40% - Accent3 2 9 2 5 3 2 2" xfId="32475"/>
    <cellStyle name="40% - Accent3 2 9 2 5 3 3" xfId="32476"/>
    <cellStyle name="40% - Accent3 2 9 2 5 4" xfId="32477"/>
    <cellStyle name="40% - Accent3 2 9 2 5 4 2" xfId="32478"/>
    <cellStyle name="40% - Accent3 2 9 2 5 5" xfId="32479"/>
    <cellStyle name="40% - Accent3 2 9 2 6" xfId="32480"/>
    <cellStyle name="40% - Accent3 2 9 2 6 2" xfId="32481"/>
    <cellStyle name="40% - Accent3 2 9 2 6 2 2" xfId="32482"/>
    <cellStyle name="40% - Accent3 2 9 2 6 2 2 2" xfId="32483"/>
    <cellStyle name="40% - Accent3 2 9 2 6 2 2 2 2" xfId="32484"/>
    <cellStyle name="40% - Accent3 2 9 2 6 2 2 3" xfId="32485"/>
    <cellStyle name="40% - Accent3 2 9 2 6 2 3" xfId="32486"/>
    <cellStyle name="40% - Accent3 2 9 2 6 2 3 2" xfId="32487"/>
    <cellStyle name="40% - Accent3 2 9 2 6 2 4" xfId="32488"/>
    <cellStyle name="40% - Accent3 2 9 2 6 3" xfId="32489"/>
    <cellStyle name="40% - Accent3 2 9 2 6 3 2" xfId="32490"/>
    <cellStyle name="40% - Accent3 2 9 2 6 3 2 2" xfId="32491"/>
    <cellStyle name="40% - Accent3 2 9 2 6 3 3" xfId="32492"/>
    <cellStyle name="40% - Accent3 2 9 2 6 4" xfId="32493"/>
    <cellStyle name="40% - Accent3 2 9 2 6 4 2" xfId="32494"/>
    <cellStyle name="40% - Accent3 2 9 2 6 5" xfId="32495"/>
    <cellStyle name="40% - Accent3 2 9 2 7" xfId="32496"/>
    <cellStyle name="40% - Accent3 2 9 2 7 2" xfId="32497"/>
    <cellStyle name="40% - Accent3 2 9 2 7 2 2" xfId="32498"/>
    <cellStyle name="40% - Accent3 2 9 2 7 2 2 2" xfId="32499"/>
    <cellStyle name="40% - Accent3 2 9 2 7 2 3" xfId="32500"/>
    <cellStyle name="40% - Accent3 2 9 2 7 3" xfId="32501"/>
    <cellStyle name="40% - Accent3 2 9 2 7 3 2" xfId="32502"/>
    <cellStyle name="40% - Accent3 2 9 2 7 4" xfId="32503"/>
    <cellStyle name="40% - Accent3 2 9 2 8" xfId="32504"/>
    <cellStyle name="40% - Accent3 2 9 2 8 2" xfId="32505"/>
    <cellStyle name="40% - Accent3 2 9 2 8 2 2" xfId="32506"/>
    <cellStyle name="40% - Accent3 2 9 2 8 3" xfId="32507"/>
    <cellStyle name="40% - Accent3 2 9 2 9" xfId="32508"/>
    <cellStyle name="40% - Accent3 2 9 2 9 2" xfId="32509"/>
    <cellStyle name="40% - Accent3 2 9 3" xfId="32510"/>
    <cellStyle name="40% - Accent3 2 9 3 2" xfId="32511"/>
    <cellStyle name="40% - Accent3 2 9 3 2 2" xfId="32512"/>
    <cellStyle name="40% - Accent3 2 9 3 2 2 2" xfId="32513"/>
    <cellStyle name="40% - Accent3 2 9 3 2 2 2 2" xfId="32514"/>
    <cellStyle name="40% - Accent3 2 9 3 2 2 3" xfId="32515"/>
    <cellStyle name="40% - Accent3 2 9 3 2 3" xfId="32516"/>
    <cellStyle name="40% - Accent3 2 9 3 2 3 2" xfId="32517"/>
    <cellStyle name="40% - Accent3 2 9 3 2 4" xfId="32518"/>
    <cellStyle name="40% - Accent3 2 9 3 3" xfId="32519"/>
    <cellStyle name="40% - Accent3 2 9 3 3 2" xfId="32520"/>
    <cellStyle name="40% - Accent3 2 9 3 3 2 2" xfId="32521"/>
    <cellStyle name="40% - Accent3 2 9 3 3 3" xfId="32522"/>
    <cellStyle name="40% - Accent3 2 9 3 4" xfId="32523"/>
    <cellStyle name="40% - Accent3 2 9 3 4 2" xfId="32524"/>
    <cellStyle name="40% - Accent3 2 9 3 5" xfId="32525"/>
    <cellStyle name="40% - Accent3 2 9 4" xfId="32526"/>
    <cellStyle name="40% - Accent3 2 9 4 2" xfId="32527"/>
    <cellStyle name="40% - Accent3 2 9 4 2 2" xfId="32528"/>
    <cellStyle name="40% - Accent3 2 9 4 2 2 2" xfId="32529"/>
    <cellStyle name="40% - Accent3 2 9 4 2 2 2 2" xfId="32530"/>
    <cellStyle name="40% - Accent3 2 9 4 2 2 3" xfId="32531"/>
    <cellStyle name="40% - Accent3 2 9 4 2 3" xfId="32532"/>
    <cellStyle name="40% - Accent3 2 9 4 2 3 2" xfId="32533"/>
    <cellStyle name="40% - Accent3 2 9 4 2 4" xfId="32534"/>
    <cellStyle name="40% - Accent3 2 9 4 3" xfId="32535"/>
    <cellStyle name="40% - Accent3 2 9 4 3 2" xfId="32536"/>
    <cellStyle name="40% - Accent3 2 9 4 3 2 2" xfId="32537"/>
    <cellStyle name="40% - Accent3 2 9 4 3 3" xfId="32538"/>
    <cellStyle name="40% - Accent3 2 9 4 4" xfId="32539"/>
    <cellStyle name="40% - Accent3 2 9 4 4 2" xfId="32540"/>
    <cellStyle name="40% - Accent3 2 9 4 5" xfId="32541"/>
    <cellStyle name="40% - Accent3 2 9 5" xfId="32542"/>
    <cellStyle name="40% - Accent3 2 9 5 2" xfId="32543"/>
    <cellStyle name="40% - Accent3 2 9 5 2 2" xfId="32544"/>
    <cellStyle name="40% - Accent3 2 9 5 2 2 2" xfId="32545"/>
    <cellStyle name="40% - Accent3 2 9 5 2 2 2 2" xfId="32546"/>
    <cellStyle name="40% - Accent3 2 9 5 2 2 3" xfId="32547"/>
    <cellStyle name="40% - Accent3 2 9 5 2 3" xfId="32548"/>
    <cellStyle name="40% - Accent3 2 9 5 2 3 2" xfId="32549"/>
    <cellStyle name="40% - Accent3 2 9 5 2 4" xfId="32550"/>
    <cellStyle name="40% - Accent3 2 9 5 3" xfId="32551"/>
    <cellStyle name="40% - Accent3 2 9 5 3 2" xfId="32552"/>
    <cellStyle name="40% - Accent3 2 9 5 3 2 2" xfId="32553"/>
    <cellStyle name="40% - Accent3 2 9 5 3 3" xfId="32554"/>
    <cellStyle name="40% - Accent3 2 9 5 4" xfId="32555"/>
    <cellStyle name="40% - Accent3 2 9 5 4 2" xfId="32556"/>
    <cellStyle name="40% - Accent3 2 9 5 5" xfId="32557"/>
    <cellStyle name="40% - Accent3 2 9 6" xfId="32558"/>
    <cellStyle name="40% - Accent3 2 9 6 2" xfId="32559"/>
    <cellStyle name="40% - Accent3 2 9 6 2 2" xfId="32560"/>
    <cellStyle name="40% - Accent3 2 9 6 2 2 2" xfId="32561"/>
    <cellStyle name="40% - Accent3 2 9 6 2 2 2 2" xfId="32562"/>
    <cellStyle name="40% - Accent3 2 9 6 2 2 3" xfId="32563"/>
    <cellStyle name="40% - Accent3 2 9 6 2 3" xfId="32564"/>
    <cellStyle name="40% - Accent3 2 9 6 2 3 2" xfId="32565"/>
    <cellStyle name="40% - Accent3 2 9 6 2 4" xfId="32566"/>
    <cellStyle name="40% - Accent3 2 9 6 3" xfId="32567"/>
    <cellStyle name="40% - Accent3 2 9 6 3 2" xfId="32568"/>
    <cellStyle name="40% - Accent3 2 9 6 3 2 2" xfId="32569"/>
    <cellStyle name="40% - Accent3 2 9 6 3 3" xfId="32570"/>
    <cellStyle name="40% - Accent3 2 9 6 4" xfId="32571"/>
    <cellStyle name="40% - Accent3 2 9 6 4 2" xfId="32572"/>
    <cellStyle name="40% - Accent3 2 9 6 5" xfId="32573"/>
    <cellStyle name="40% - Accent3 2 9 7" xfId="32574"/>
    <cellStyle name="40% - Accent3 2 9 7 2" xfId="32575"/>
    <cellStyle name="40% - Accent3 2 9 7 2 2" xfId="32576"/>
    <cellStyle name="40% - Accent3 2 9 7 2 2 2" xfId="32577"/>
    <cellStyle name="40% - Accent3 2 9 7 2 2 2 2" xfId="32578"/>
    <cellStyle name="40% - Accent3 2 9 7 2 2 3" xfId="32579"/>
    <cellStyle name="40% - Accent3 2 9 7 2 3" xfId="32580"/>
    <cellStyle name="40% - Accent3 2 9 7 2 3 2" xfId="32581"/>
    <cellStyle name="40% - Accent3 2 9 7 2 4" xfId="32582"/>
    <cellStyle name="40% - Accent3 2 9 7 3" xfId="32583"/>
    <cellStyle name="40% - Accent3 2 9 7 3 2" xfId="32584"/>
    <cellStyle name="40% - Accent3 2 9 7 3 2 2" xfId="32585"/>
    <cellStyle name="40% - Accent3 2 9 7 3 3" xfId="32586"/>
    <cellStyle name="40% - Accent3 2 9 7 4" xfId="32587"/>
    <cellStyle name="40% - Accent3 2 9 7 4 2" xfId="32588"/>
    <cellStyle name="40% - Accent3 2 9 7 5" xfId="32589"/>
    <cellStyle name="40% - Accent3 2 9 8" xfId="32590"/>
    <cellStyle name="40% - Accent3 2 9 8 2" xfId="32591"/>
    <cellStyle name="40% - Accent3 2 9 8 2 2" xfId="32592"/>
    <cellStyle name="40% - Accent3 2 9 8 2 2 2" xfId="32593"/>
    <cellStyle name="40% - Accent3 2 9 8 2 3" xfId="32594"/>
    <cellStyle name="40% - Accent3 2 9 8 3" xfId="32595"/>
    <cellStyle name="40% - Accent3 2 9 8 3 2" xfId="32596"/>
    <cellStyle name="40% - Accent3 2 9 8 4" xfId="32597"/>
    <cellStyle name="40% - Accent3 2 9 9" xfId="32598"/>
    <cellStyle name="40% - Accent3 2 9 9 2" xfId="32599"/>
    <cellStyle name="40% - Accent3 2 9 9 2 2" xfId="32600"/>
    <cellStyle name="40% - Accent3 2 9 9 3" xfId="32601"/>
    <cellStyle name="40% - Accent3 20" xfId="32602"/>
    <cellStyle name="40% - Accent3 20 2" xfId="32603"/>
    <cellStyle name="40% - Accent3 20 2 2" xfId="32604"/>
    <cellStyle name="40% - Accent3 20 2 2 2" xfId="32605"/>
    <cellStyle name="40% - Accent3 20 2 2 2 2" xfId="32606"/>
    <cellStyle name="40% - Accent3 20 2 2 3" xfId="32607"/>
    <cellStyle name="40% - Accent3 20 2 3" xfId="32608"/>
    <cellStyle name="40% - Accent3 20 2 3 2" xfId="32609"/>
    <cellStyle name="40% - Accent3 20 2 4" xfId="32610"/>
    <cellStyle name="40% - Accent3 20 3" xfId="32611"/>
    <cellStyle name="40% - Accent3 20 3 2" xfId="32612"/>
    <cellStyle name="40% - Accent3 20 3 2 2" xfId="32613"/>
    <cellStyle name="40% - Accent3 20 3 3" xfId="32614"/>
    <cellStyle name="40% - Accent3 20 4" xfId="32615"/>
    <cellStyle name="40% - Accent3 20 4 2" xfId="32616"/>
    <cellStyle name="40% - Accent3 20 5" xfId="32617"/>
    <cellStyle name="40% - Accent3 21" xfId="32618"/>
    <cellStyle name="40% - Accent3 21 2" xfId="32619"/>
    <cellStyle name="40% - Accent3 21 2 2" xfId="32620"/>
    <cellStyle name="40% - Accent3 21 2 2 2" xfId="32621"/>
    <cellStyle name="40% - Accent3 21 2 3" xfId="32622"/>
    <cellStyle name="40% - Accent3 21 3" xfId="32623"/>
    <cellStyle name="40% - Accent3 21 3 2" xfId="32624"/>
    <cellStyle name="40% - Accent3 21 4" xfId="32625"/>
    <cellStyle name="40% - Accent3 22" xfId="32626"/>
    <cellStyle name="40% - Accent3 22 2" xfId="32627"/>
    <cellStyle name="40% - Accent3 22 2 2" xfId="32628"/>
    <cellStyle name="40% - Accent3 22 3" xfId="32629"/>
    <cellStyle name="40% - Accent3 23" xfId="32630"/>
    <cellStyle name="40% - Accent3 23 2" xfId="32631"/>
    <cellStyle name="40% - Accent3 24" xfId="32632"/>
    <cellStyle name="40% - Accent3 3" xfId="32633"/>
    <cellStyle name="40% - Accent3 3 10" xfId="32634"/>
    <cellStyle name="40% - Accent3 3 10 2" xfId="32635"/>
    <cellStyle name="40% - Accent3 3 11" xfId="32636"/>
    <cellStyle name="40% - Accent3 3 2" xfId="32637"/>
    <cellStyle name="40% - Accent3 3 2 10" xfId="32638"/>
    <cellStyle name="40% - Accent3 3 2 2" xfId="32639"/>
    <cellStyle name="40% - Accent3 3 2 2 2" xfId="32640"/>
    <cellStyle name="40% - Accent3 3 2 2 2 2" xfId="32641"/>
    <cellStyle name="40% - Accent3 3 2 2 2 2 2" xfId="32642"/>
    <cellStyle name="40% - Accent3 3 2 2 2 2 2 2" xfId="32643"/>
    <cellStyle name="40% - Accent3 3 2 2 2 2 3" xfId="32644"/>
    <cellStyle name="40% - Accent3 3 2 2 2 3" xfId="32645"/>
    <cellStyle name="40% - Accent3 3 2 2 2 3 2" xfId="32646"/>
    <cellStyle name="40% - Accent3 3 2 2 2 4" xfId="32647"/>
    <cellStyle name="40% - Accent3 3 2 2 3" xfId="32648"/>
    <cellStyle name="40% - Accent3 3 2 2 3 2" xfId="32649"/>
    <cellStyle name="40% - Accent3 3 2 2 3 2 2" xfId="32650"/>
    <cellStyle name="40% - Accent3 3 2 2 3 3" xfId="32651"/>
    <cellStyle name="40% - Accent3 3 2 2 4" xfId="32652"/>
    <cellStyle name="40% - Accent3 3 2 2 4 2" xfId="32653"/>
    <cellStyle name="40% - Accent3 3 2 2 5" xfId="32654"/>
    <cellStyle name="40% - Accent3 3 2 3" xfId="32655"/>
    <cellStyle name="40% - Accent3 3 2 3 2" xfId="32656"/>
    <cellStyle name="40% - Accent3 3 2 3 2 2" xfId="32657"/>
    <cellStyle name="40% - Accent3 3 2 3 2 2 2" xfId="32658"/>
    <cellStyle name="40% - Accent3 3 2 3 2 2 2 2" xfId="32659"/>
    <cellStyle name="40% - Accent3 3 2 3 2 2 3" xfId="32660"/>
    <cellStyle name="40% - Accent3 3 2 3 2 3" xfId="32661"/>
    <cellStyle name="40% - Accent3 3 2 3 2 3 2" xfId="32662"/>
    <cellStyle name="40% - Accent3 3 2 3 2 4" xfId="32663"/>
    <cellStyle name="40% - Accent3 3 2 3 3" xfId="32664"/>
    <cellStyle name="40% - Accent3 3 2 3 3 2" xfId="32665"/>
    <cellStyle name="40% - Accent3 3 2 3 3 2 2" xfId="32666"/>
    <cellStyle name="40% - Accent3 3 2 3 3 3" xfId="32667"/>
    <cellStyle name="40% - Accent3 3 2 3 4" xfId="32668"/>
    <cellStyle name="40% - Accent3 3 2 3 4 2" xfId="32669"/>
    <cellStyle name="40% - Accent3 3 2 3 5" xfId="32670"/>
    <cellStyle name="40% - Accent3 3 2 4" xfId="32671"/>
    <cellStyle name="40% - Accent3 3 2 4 2" xfId="32672"/>
    <cellStyle name="40% - Accent3 3 2 4 2 2" xfId="32673"/>
    <cellStyle name="40% - Accent3 3 2 4 2 2 2" xfId="32674"/>
    <cellStyle name="40% - Accent3 3 2 4 2 2 2 2" xfId="32675"/>
    <cellStyle name="40% - Accent3 3 2 4 2 2 3" xfId="32676"/>
    <cellStyle name="40% - Accent3 3 2 4 2 3" xfId="32677"/>
    <cellStyle name="40% - Accent3 3 2 4 2 3 2" xfId="32678"/>
    <cellStyle name="40% - Accent3 3 2 4 2 4" xfId="32679"/>
    <cellStyle name="40% - Accent3 3 2 4 3" xfId="32680"/>
    <cellStyle name="40% - Accent3 3 2 4 3 2" xfId="32681"/>
    <cellStyle name="40% - Accent3 3 2 4 3 2 2" xfId="32682"/>
    <cellStyle name="40% - Accent3 3 2 4 3 3" xfId="32683"/>
    <cellStyle name="40% - Accent3 3 2 4 4" xfId="32684"/>
    <cellStyle name="40% - Accent3 3 2 4 4 2" xfId="32685"/>
    <cellStyle name="40% - Accent3 3 2 4 5" xfId="32686"/>
    <cellStyle name="40% - Accent3 3 2 5" xfId="32687"/>
    <cellStyle name="40% - Accent3 3 2 5 2" xfId="32688"/>
    <cellStyle name="40% - Accent3 3 2 5 2 2" xfId="32689"/>
    <cellStyle name="40% - Accent3 3 2 5 2 2 2" xfId="32690"/>
    <cellStyle name="40% - Accent3 3 2 5 2 2 2 2" xfId="32691"/>
    <cellStyle name="40% - Accent3 3 2 5 2 2 3" xfId="32692"/>
    <cellStyle name="40% - Accent3 3 2 5 2 3" xfId="32693"/>
    <cellStyle name="40% - Accent3 3 2 5 2 3 2" xfId="32694"/>
    <cellStyle name="40% - Accent3 3 2 5 2 4" xfId="32695"/>
    <cellStyle name="40% - Accent3 3 2 5 3" xfId="32696"/>
    <cellStyle name="40% - Accent3 3 2 5 3 2" xfId="32697"/>
    <cellStyle name="40% - Accent3 3 2 5 3 2 2" xfId="32698"/>
    <cellStyle name="40% - Accent3 3 2 5 3 3" xfId="32699"/>
    <cellStyle name="40% - Accent3 3 2 5 4" xfId="32700"/>
    <cellStyle name="40% - Accent3 3 2 5 4 2" xfId="32701"/>
    <cellStyle name="40% - Accent3 3 2 5 5" xfId="32702"/>
    <cellStyle name="40% - Accent3 3 2 6" xfId="32703"/>
    <cellStyle name="40% - Accent3 3 2 6 2" xfId="32704"/>
    <cellStyle name="40% - Accent3 3 2 6 2 2" xfId="32705"/>
    <cellStyle name="40% - Accent3 3 2 6 2 2 2" xfId="32706"/>
    <cellStyle name="40% - Accent3 3 2 6 2 2 2 2" xfId="32707"/>
    <cellStyle name="40% - Accent3 3 2 6 2 2 3" xfId="32708"/>
    <cellStyle name="40% - Accent3 3 2 6 2 3" xfId="32709"/>
    <cellStyle name="40% - Accent3 3 2 6 2 3 2" xfId="32710"/>
    <cellStyle name="40% - Accent3 3 2 6 2 4" xfId="32711"/>
    <cellStyle name="40% - Accent3 3 2 6 3" xfId="32712"/>
    <cellStyle name="40% - Accent3 3 2 6 3 2" xfId="32713"/>
    <cellStyle name="40% - Accent3 3 2 6 3 2 2" xfId="32714"/>
    <cellStyle name="40% - Accent3 3 2 6 3 3" xfId="32715"/>
    <cellStyle name="40% - Accent3 3 2 6 4" xfId="32716"/>
    <cellStyle name="40% - Accent3 3 2 6 4 2" xfId="32717"/>
    <cellStyle name="40% - Accent3 3 2 6 5" xfId="32718"/>
    <cellStyle name="40% - Accent3 3 2 7" xfId="32719"/>
    <cellStyle name="40% - Accent3 3 2 7 2" xfId="32720"/>
    <cellStyle name="40% - Accent3 3 2 7 2 2" xfId="32721"/>
    <cellStyle name="40% - Accent3 3 2 7 2 2 2" xfId="32722"/>
    <cellStyle name="40% - Accent3 3 2 7 2 3" xfId="32723"/>
    <cellStyle name="40% - Accent3 3 2 7 3" xfId="32724"/>
    <cellStyle name="40% - Accent3 3 2 7 3 2" xfId="32725"/>
    <cellStyle name="40% - Accent3 3 2 7 4" xfId="32726"/>
    <cellStyle name="40% - Accent3 3 2 8" xfId="32727"/>
    <cellStyle name="40% - Accent3 3 2 8 2" xfId="32728"/>
    <cellStyle name="40% - Accent3 3 2 8 2 2" xfId="32729"/>
    <cellStyle name="40% - Accent3 3 2 8 3" xfId="32730"/>
    <cellStyle name="40% - Accent3 3 2 9" xfId="32731"/>
    <cellStyle name="40% - Accent3 3 2 9 2" xfId="32732"/>
    <cellStyle name="40% - Accent3 3 3" xfId="32733"/>
    <cellStyle name="40% - Accent3 3 3 2" xfId="32734"/>
    <cellStyle name="40% - Accent3 3 3 2 2" xfId="32735"/>
    <cellStyle name="40% - Accent3 3 3 2 2 2" xfId="32736"/>
    <cellStyle name="40% - Accent3 3 3 2 2 2 2" xfId="32737"/>
    <cellStyle name="40% - Accent3 3 3 2 2 3" xfId="32738"/>
    <cellStyle name="40% - Accent3 3 3 2 3" xfId="32739"/>
    <cellStyle name="40% - Accent3 3 3 2 3 2" xfId="32740"/>
    <cellStyle name="40% - Accent3 3 3 2 4" xfId="32741"/>
    <cellStyle name="40% - Accent3 3 3 3" xfId="32742"/>
    <cellStyle name="40% - Accent3 3 3 3 2" xfId="32743"/>
    <cellStyle name="40% - Accent3 3 3 3 2 2" xfId="32744"/>
    <cellStyle name="40% - Accent3 3 3 3 3" xfId="32745"/>
    <cellStyle name="40% - Accent3 3 3 4" xfId="32746"/>
    <cellStyle name="40% - Accent3 3 3 4 2" xfId="32747"/>
    <cellStyle name="40% - Accent3 3 3 5" xfId="32748"/>
    <cellStyle name="40% - Accent3 3 4" xfId="32749"/>
    <cellStyle name="40% - Accent3 3 4 2" xfId="32750"/>
    <cellStyle name="40% - Accent3 3 4 2 2" xfId="32751"/>
    <cellStyle name="40% - Accent3 3 4 2 2 2" xfId="32752"/>
    <cellStyle name="40% - Accent3 3 4 2 2 2 2" xfId="32753"/>
    <cellStyle name="40% - Accent3 3 4 2 2 3" xfId="32754"/>
    <cellStyle name="40% - Accent3 3 4 2 3" xfId="32755"/>
    <cellStyle name="40% - Accent3 3 4 2 3 2" xfId="32756"/>
    <cellStyle name="40% - Accent3 3 4 2 4" xfId="32757"/>
    <cellStyle name="40% - Accent3 3 4 3" xfId="32758"/>
    <cellStyle name="40% - Accent3 3 4 3 2" xfId="32759"/>
    <cellStyle name="40% - Accent3 3 4 3 2 2" xfId="32760"/>
    <cellStyle name="40% - Accent3 3 4 3 3" xfId="32761"/>
    <cellStyle name="40% - Accent3 3 4 4" xfId="32762"/>
    <cellStyle name="40% - Accent3 3 4 4 2" xfId="32763"/>
    <cellStyle name="40% - Accent3 3 4 5" xfId="32764"/>
    <cellStyle name="40% - Accent3 3 5" xfId="32765"/>
    <cellStyle name="40% - Accent3 3 5 2" xfId="32766"/>
    <cellStyle name="40% - Accent3 3 5 2 2" xfId="32767"/>
    <cellStyle name="40% - Accent3 3 5 2 2 2" xfId="32768"/>
    <cellStyle name="40% - Accent3 3 5 2 2 2 2" xfId="32769"/>
    <cellStyle name="40% - Accent3 3 5 2 2 3" xfId="32770"/>
    <cellStyle name="40% - Accent3 3 5 2 3" xfId="32771"/>
    <cellStyle name="40% - Accent3 3 5 2 3 2" xfId="32772"/>
    <cellStyle name="40% - Accent3 3 5 2 4" xfId="32773"/>
    <cellStyle name="40% - Accent3 3 5 3" xfId="32774"/>
    <cellStyle name="40% - Accent3 3 5 3 2" xfId="32775"/>
    <cellStyle name="40% - Accent3 3 5 3 2 2" xfId="32776"/>
    <cellStyle name="40% - Accent3 3 5 3 3" xfId="32777"/>
    <cellStyle name="40% - Accent3 3 5 4" xfId="32778"/>
    <cellStyle name="40% - Accent3 3 5 4 2" xfId="32779"/>
    <cellStyle name="40% - Accent3 3 5 5" xfId="32780"/>
    <cellStyle name="40% - Accent3 3 6" xfId="32781"/>
    <cellStyle name="40% - Accent3 3 6 2" xfId="32782"/>
    <cellStyle name="40% - Accent3 3 6 2 2" xfId="32783"/>
    <cellStyle name="40% - Accent3 3 6 2 2 2" xfId="32784"/>
    <cellStyle name="40% - Accent3 3 6 2 2 2 2" xfId="32785"/>
    <cellStyle name="40% - Accent3 3 6 2 2 3" xfId="32786"/>
    <cellStyle name="40% - Accent3 3 6 2 3" xfId="32787"/>
    <cellStyle name="40% - Accent3 3 6 2 3 2" xfId="32788"/>
    <cellStyle name="40% - Accent3 3 6 2 4" xfId="32789"/>
    <cellStyle name="40% - Accent3 3 6 3" xfId="32790"/>
    <cellStyle name="40% - Accent3 3 6 3 2" xfId="32791"/>
    <cellStyle name="40% - Accent3 3 6 3 2 2" xfId="32792"/>
    <cellStyle name="40% - Accent3 3 6 3 3" xfId="32793"/>
    <cellStyle name="40% - Accent3 3 6 4" xfId="32794"/>
    <cellStyle name="40% - Accent3 3 6 4 2" xfId="32795"/>
    <cellStyle name="40% - Accent3 3 6 5" xfId="32796"/>
    <cellStyle name="40% - Accent3 3 7" xfId="32797"/>
    <cellStyle name="40% - Accent3 3 7 2" xfId="32798"/>
    <cellStyle name="40% - Accent3 3 7 2 2" xfId="32799"/>
    <cellStyle name="40% - Accent3 3 7 2 2 2" xfId="32800"/>
    <cellStyle name="40% - Accent3 3 7 2 2 2 2" xfId="32801"/>
    <cellStyle name="40% - Accent3 3 7 2 2 3" xfId="32802"/>
    <cellStyle name="40% - Accent3 3 7 2 3" xfId="32803"/>
    <cellStyle name="40% - Accent3 3 7 2 3 2" xfId="32804"/>
    <cellStyle name="40% - Accent3 3 7 2 4" xfId="32805"/>
    <cellStyle name="40% - Accent3 3 7 3" xfId="32806"/>
    <cellStyle name="40% - Accent3 3 7 3 2" xfId="32807"/>
    <cellStyle name="40% - Accent3 3 7 3 2 2" xfId="32808"/>
    <cellStyle name="40% - Accent3 3 7 3 3" xfId="32809"/>
    <cellStyle name="40% - Accent3 3 7 4" xfId="32810"/>
    <cellStyle name="40% - Accent3 3 7 4 2" xfId="32811"/>
    <cellStyle name="40% - Accent3 3 7 5" xfId="32812"/>
    <cellStyle name="40% - Accent3 3 8" xfId="32813"/>
    <cellStyle name="40% - Accent3 3 8 2" xfId="32814"/>
    <cellStyle name="40% - Accent3 3 8 2 2" xfId="32815"/>
    <cellStyle name="40% - Accent3 3 8 2 2 2" xfId="32816"/>
    <cellStyle name="40% - Accent3 3 8 2 3" xfId="32817"/>
    <cellStyle name="40% - Accent3 3 8 3" xfId="32818"/>
    <cellStyle name="40% - Accent3 3 8 3 2" xfId="32819"/>
    <cellStyle name="40% - Accent3 3 8 4" xfId="32820"/>
    <cellStyle name="40% - Accent3 3 9" xfId="32821"/>
    <cellStyle name="40% - Accent3 3 9 2" xfId="32822"/>
    <cellStyle name="40% - Accent3 3 9 2 2" xfId="32823"/>
    <cellStyle name="40% - Accent3 3 9 3" xfId="32824"/>
    <cellStyle name="40% - Accent3 4" xfId="32825"/>
    <cellStyle name="40% - Accent3 4 10" xfId="32826"/>
    <cellStyle name="40% - Accent3 4 10 2" xfId="32827"/>
    <cellStyle name="40% - Accent3 4 11" xfId="32828"/>
    <cellStyle name="40% - Accent3 4 2" xfId="32829"/>
    <cellStyle name="40% - Accent3 4 2 10" xfId="32830"/>
    <cellStyle name="40% - Accent3 4 2 2" xfId="32831"/>
    <cellStyle name="40% - Accent3 4 2 2 2" xfId="32832"/>
    <cellStyle name="40% - Accent3 4 2 2 2 2" xfId="32833"/>
    <cellStyle name="40% - Accent3 4 2 2 2 2 2" xfId="32834"/>
    <cellStyle name="40% - Accent3 4 2 2 2 2 2 2" xfId="32835"/>
    <cellStyle name="40% - Accent3 4 2 2 2 2 3" xfId="32836"/>
    <cellStyle name="40% - Accent3 4 2 2 2 3" xfId="32837"/>
    <cellStyle name="40% - Accent3 4 2 2 2 3 2" xfId="32838"/>
    <cellStyle name="40% - Accent3 4 2 2 2 4" xfId="32839"/>
    <cellStyle name="40% - Accent3 4 2 2 3" xfId="32840"/>
    <cellStyle name="40% - Accent3 4 2 2 3 2" xfId="32841"/>
    <cellStyle name="40% - Accent3 4 2 2 3 2 2" xfId="32842"/>
    <cellStyle name="40% - Accent3 4 2 2 3 3" xfId="32843"/>
    <cellStyle name="40% - Accent3 4 2 2 4" xfId="32844"/>
    <cellStyle name="40% - Accent3 4 2 2 4 2" xfId="32845"/>
    <cellStyle name="40% - Accent3 4 2 2 5" xfId="32846"/>
    <cellStyle name="40% - Accent3 4 2 3" xfId="32847"/>
    <cellStyle name="40% - Accent3 4 2 3 2" xfId="32848"/>
    <cellStyle name="40% - Accent3 4 2 3 2 2" xfId="32849"/>
    <cellStyle name="40% - Accent3 4 2 3 2 2 2" xfId="32850"/>
    <cellStyle name="40% - Accent3 4 2 3 2 2 2 2" xfId="32851"/>
    <cellStyle name="40% - Accent3 4 2 3 2 2 3" xfId="32852"/>
    <cellStyle name="40% - Accent3 4 2 3 2 3" xfId="32853"/>
    <cellStyle name="40% - Accent3 4 2 3 2 3 2" xfId="32854"/>
    <cellStyle name="40% - Accent3 4 2 3 2 4" xfId="32855"/>
    <cellStyle name="40% - Accent3 4 2 3 3" xfId="32856"/>
    <cellStyle name="40% - Accent3 4 2 3 3 2" xfId="32857"/>
    <cellStyle name="40% - Accent3 4 2 3 3 2 2" xfId="32858"/>
    <cellStyle name="40% - Accent3 4 2 3 3 3" xfId="32859"/>
    <cellStyle name="40% - Accent3 4 2 3 4" xfId="32860"/>
    <cellStyle name="40% - Accent3 4 2 3 4 2" xfId="32861"/>
    <cellStyle name="40% - Accent3 4 2 3 5" xfId="32862"/>
    <cellStyle name="40% - Accent3 4 2 4" xfId="32863"/>
    <cellStyle name="40% - Accent3 4 2 4 2" xfId="32864"/>
    <cellStyle name="40% - Accent3 4 2 4 2 2" xfId="32865"/>
    <cellStyle name="40% - Accent3 4 2 4 2 2 2" xfId="32866"/>
    <cellStyle name="40% - Accent3 4 2 4 2 2 2 2" xfId="32867"/>
    <cellStyle name="40% - Accent3 4 2 4 2 2 3" xfId="32868"/>
    <cellStyle name="40% - Accent3 4 2 4 2 3" xfId="32869"/>
    <cellStyle name="40% - Accent3 4 2 4 2 3 2" xfId="32870"/>
    <cellStyle name="40% - Accent3 4 2 4 2 4" xfId="32871"/>
    <cellStyle name="40% - Accent3 4 2 4 3" xfId="32872"/>
    <cellStyle name="40% - Accent3 4 2 4 3 2" xfId="32873"/>
    <cellStyle name="40% - Accent3 4 2 4 3 2 2" xfId="32874"/>
    <cellStyle name="40% - Accent3 4 2 4 3 3" xfId="32875"/>
    <cellStyle name="40% - Accent3 4 2 4 4" xfId="32876"/>
    <cellStyle name="40% - Accent3 4 2 4 4 2" xfId="32877"/>
    <cellStyle name="40% - Accent3 4 2 4 5" xfId="32878"/>
    <cellStyle name="40% - Accent3 4 2 5" xfId="32879"/>
    <cellStyle name="40% - Accent3 4 2 5 2" xfId="32880"/>
    <cellStyle name="40% - Accent3 4 2 5 2 2" xfId="32881"/>
    <cellStyle name="40% - Accent3 4 2 5 2 2 2" xfId="32882"/>
    <cellStyle name="40% - Accent3 4 2 5 2 2 2 2" xfId="32883"/>
    <cellStyle name="40% - Accent3 4 2 5 2 2 3" xfId="32884"/>
    <cellStyle name="40% - Accent3 4 2 5 2 3" xfId="32885"/>
    <cellStyle name="40% - Accent3 4 2 5 2 3 2" xfId="32886"/>
    <cellStyle name="40% - Accent3 4 2 5 2 4" xfId="32887"/>
    <cellStyle name="40% - Accent3 4 2 5 3" xfId="32888"/>
    <cellStyle name="40% - Accent3 4 2 5 3 2" xfId="32889"/>
    <cellStyle name="40% - Accent3 4 2 5 3 2 2" xfId="32890"/>
    <cellStyle name="40% - Accent3 4 2 5 3 3" xfId="32891"/>
    <cellStyle name="40% - Accent3 4 2 5 4" xfId="32892"/>
    <cellStyle name="40% - Accent3 4 2 5 4 2" xfId="32893"/>
    <cellStyle name="40% - Accent3 4 2 5 5" xfId="32894"/>
    <cellStyle name="40% - Accent3 4 2 6" xfId="32895"/>
    <cellStyle name="40% - Accent3 4 2 6 2" xfId="32896"/>
    <cellStyle name="40% - Accent3 4 2 6 2 2" xfId="32897"/>
    <cellStyle name="40% - Accent3 4 2 6 2 2 2" xfId="32898"/>
    <cellStyle name="40% - Accent3 4 2 6 2 2 2 2" xfId="32899"/>
    <cellStyle name="40% - Accent3 4 2 6 2 2 3" xfId="32900"/>
    <cellStyle name="40% - Accent3 4 2 6 2 3" xfId="32901"/>
    <cellStyle name="40% - Accent3 4 2 6 2 3 2" xfId="32902"/>
    <cellStyle name="40% - Accent3 4 2 6 2 4" xfId="32903"/>
    <cellStyle name="40% - Accent3 4 2 6 3" xfId="32904"/>
    <cellStyle name="40% - Accent3 4 2 6 3 2" xfId="32905"/>
    <cellStyle name="40% - Accent3 4 2 6 3 2 2" xfId="32906"/>
    <cellStyle name="40% - Accent3 4 2 6 3 3" xfId="32907"/>
    <cellStyle name="40% - Accent3 4 2 6 4" xfId="32908"/>
    <cellStyle name="40% - Accent3 4 2 6 4 2" xfId="32909"/>
    <cellStyle name="40% - Accent3 4 2 6 5" xfId="32910"/>
    <cellStyle name="40% - Accent3 4 2 7" xfId="32911"/>
    <cellStyle name="40% - Accent3 4 2 7 2" xfId="32912"/>
    <cellStyle name="40% - Accent3 4 2 7 2 2" xfId="32913"/>
    <cellStyle name="40% - Accent3 4 2 7 2 2 2" xfId="32914"/>
    <cellStyle name="40% - Accent3 4 2 7 2 3" xfId="32915"/>
    <cellStyle name="40% - Accent3 4 2 7 3" xfId="32916"/>
    <cellStyle name="40% - Accent3 4 2 7 3 2" xfId="32917"/>
    <cellStyle name="40% - Accent3 4 2 7 4" xfId="32918"/>
    <cellStyle name="40% - Accent3 4 2 8" xfId="32919"/>
    <cellStyle name="40% - Accent3 4 2 8 2" xfId="32920"/>
    <cellStyle name="40% - Accent3 4 2 8 2 2" xfId="32921"/>
    <cellStyle name="40% - Accent3 4 2 8 3" xfId="32922"/>
    <cellStyle name="40% - Accent3 4 2 9" xfId="32923"/>
    <cellStyle name="40% - Accent3 4 2 9 2" xfId="32924"/>
    <cellStyle name="40% - Accent3 4 3" xfId="32925"/>
    <cellStyle name="40% - Accent3 4 3 2" xfId="32926"/>
    <cellStyle name="40% - Accent3 4 3 2 2" xfId="32927"/>
    <cellStyle name="40% - Accent3 4 3 2 2 2" xfId="32928"/>
    <cellStyle name="40% - Accent3 4 3 2 2 2 2" xfId="32929"/>
    <cellStyle name="40% - Accent3 4 3 2 2 3" xfId="32930"/>
    <cellStyle name="40% - Accent3 4 3 2 3" xfId="32931"/>
    <cellStyle name="40% - Accent3 4 3 2 3 2" xfId="32932"/>
    <cellStyle name="40% - Accent3 4 3 2 4" xfId="32933"/>
    <cellStyle name="40% - Accent3 4 3 3" xfId="32934"/>
    <cellStyle name="40% - Accent3 4 3 3 2" xfId="32935"/>
    <cellStyle name="40% - Accent3 4 3 3 2 2" xfId="32936"/>
    <cellStyle name="40% - Accent3 4 3 3 3" xfId="32937"/>
    <cellStyle name="40% - Accent3 4 3 4" xfId="32938"/>
    <cellStyle name="40% - Accent3 4 3 4 2" xfId="32939"/>
    <cellStyle name="40% - Accent3 4 3 5" xfId="32940"/>
    <cellStyle name="40% - Accent3 4 4" xfId="32941"/>
    <cellStyle name="40% - Accent3 4 4 2" xfId="32942"/>
    <cellStyle name="40% - Accent3 4 4 2 2" xfId="32943"/>
    <cellStyle name="40% - Accent3 4 4 2 2 2" xfId="32944"/>
    <cellStyle name="40% - Accent3 4 4 2 2 2 2" xfId="32945"/>
    <cellStyle name="40% - Accent3 4 4 2 2 3" xfId="32946"/>
    <cellStyle name="40% - Accent3 4 4 2 3" xfId="32947"/>
    <cellStyle name="40% - Accent3 4 4 2 3 2" xfId="32948"/>
    <cellStyle name="40% - Accent3 4 4 2 4" xfId="32949"/>
    <cellStyle name="40% - Accent3 4 4 3" xfId="32950"/>
    <cellStyle name="40% - Accent3 4 4 3 2" xfId="32951"/>
    <cellStyle name="40% - Accent3 4 4 3 2 2" xfId="32952"/>
    <cellStyle name="40% - Accent3 4 4 3 3" xfId="32953"/>
    <cellStyle name="40% - Accent3 4 4 4" xfId="32954"/>
    <cellStyle name="40% - Accent3 4 4 4 2" xfId="32955"/>
    <cellStyle name="40% - Accent3 4 4 5" xfId="32956"/>
    <cellStyle name="40% - Accent3 4 5" xfId="32957"/>
    <cellStyle name="40% - Accent3 4 5 2" xfId="32958"/>
    <cellStyle name="40% - Accent3 4 5 2 2" xfId="32959"/>
    <cellStyle name="40% - Accent3 4 5 2 2 2" xfId="32960"/>
    <cellStyle name="40% - Accent3 4 5 2 2 2 2" xfId="32961"/>
    <cellStyle name="40% - Accent3 4 5 2 2 3" xfId="32962"/>
    <cellStyle name="40% - Accent3 4 5 2 3" xfId="32963"/>
    <cellStyle name="40% - Accent3 4 5 2 3 2" xfId="32964"/>
    <cellStyle name="40% - Accent3 4 5 2 4" xfId="32965"/>
    <cellStyle name="40% - Accent3 4 5 3" xfId="32966"/>
    <cellStyle name="40% - Accent3 4 5 3 2" xfId="32967"/>
    <cellStyle name="40% - Accent3 4 5 3 2 2" xfId="32968"/>
    <cellStyle name="40% - Accent3 4 5 3 3" xfId="32969"/>
    <cellStyle name="40% - Accent3 4 5 4" xfId="32970"/>
    <cellStyle name="40% - Accent3 4 5 4 2" xfId="32971"/>
    <cellStyle name="40% - Accent3 4 5 5" xfId="32972"/>
    <cellStyle name="40% - Accent3 4 6" xfId="32973"/>
    <cellStyle name="40% - Accent3 4 6 2" xfId="32974"/>
    <cellStyle name="40% - Accent3 4 6 2 2" xfId="32975"/>
    <cellStyle name="40% - Accent3 4 6 2 2 2" xfId="32976"/>
    <cellStyle name="40% - Accent3 4 6 2 2 2 2" xfId="32977"/>
    <cellStyle name="40% - Accent3 4 6 2 2 3" xfId="32978"/>
    <cellStyle name="40% - Accent3 4 6 2 3" xfId="32979"/>
    <cellStyle name="40% - Accent3 4 6 2 3 2" xfId="32980"/>
    <cellStyle name="40% - Accent3 4 6 2 4" xfId="32981"/>
    <cellStyle name="40% - Accent3 4 6 3" xfId="32982"/>
    <cellStyle name="40% - Accent3 4 6 3 2" xfId="32983"/>
    <cellStyle name="40% - Accent3 4 6 3 2 2" xfId="32984"/>
    <cellStyle name="40% - Accent3 4 6 3 3" xfId="32985"/>
    <cellStyle name="40% - Accent3 4 6 4" xfId="32986"/>
    <cellStyle name="40% - Accent3 4 6 4 2" xfId="32987"/>
    <cellStyle name="40% - Accent3 4 6 5" xfId="32988"/>
    <cellStyle name="40% - Accent3 4 7" xfId="32989"/>
    <cellStyle name="40% - Accent3 4 7 2" xfId="32990"/>
    <cellStyle name="40% - Accent3 4 7 2 2" xfId="32991"/>
    <cellStyle name="40% - Accent3 4 7 2 2 2" xfId="32992"/>
    <cellStyle name="40% - Accent3 4 7 2 2 2 2" xfId="32993"/>
    <cellStyle name="40% - Accent3 4 7 2 2 3" xfId="32994"/>
    <cellStyle name="40% - Accent3 4 7 2 3" xfId="32995"/>
    <cellStyle name="40% - Accent3 4 7 2 3 2" xfId="32996"/>
    <cellStyle name="40% - Accent3 4 7 2 4" xfId="32997"/>
    <cellStyle name="40% - Accent3 4 7 3" xfId="32998"/>
    <cellStyle name="40% - Accent3 4 7 3 2" xfId="32999"/>
    <cellStyle name="40% - Accent3 4 7 3 2 2" xfId="33000"/>
    <cellStyle name="40% - Accent3 4 7 3 3" xfId="33001"/>
    <cellStyle name="40% - Accent3 4 7 4" xfId="33002"/>
    <cellStyle name="40% - Accent3 4 7 4 2" xfId="33003"/>
    <cellStyle name="40% - Accent3 4 7 5" xfId="33004"/>
    <cellStyle name="40% - Accent3 4 8" xfId="33005"/>
    <cellStyle name="40% - Accent3 4 8 2" xfId="33006"/>
    <cellStyle name="40% - Accent3 4 8 2 2" xfId="33007"/>
    <cellStyle name="40% - Accent3 4 8 2 2 2" xfId="33008"/>
    <cellStyle name="40% - Accent3 4 8 2 3" xfId="33009"/>
    <cellStyle name="40% - Accent3 4 8 3" xfId="33010"/>
    <cellStyle name="40% - Accent3 4 8 3 2" xfId="33011"/>
    <cellStyle name="40% - Accent3 4 8 4" xfId="33012"/>
    <cellStyle name="40% - Accent3 4 9" xfId="33013"/>
    <cellStyle name="40% - Accent3 4 9 2" xfId="33014"/>
    <cellStyle name="40% - Accent3 4 9 2 2" xfId="33015"/>
    <cellStyle name="40% - Accent3 4 9 3" xfId="33016"/>
    <cellStyle name="40% - Accent3 5" xfId="33017"/>
    <cellStyle name="40% - Accent3 5 10" xfId="33018"/>
    <cellStyle name="40% - Accent3 5 10 2" xfId="33019"/>
    <cellStyle name="40% - Accent3 5 11" xfId="33020"/>
    <cellStyle name="40% - Accent3 5 2" xfId="33021"/>
    <cellStyle name="40% - Accent3 5 2 10" xfId="33022"/>
    <cellStyle name="40% - Accent3 5 2 2" xfId="33023"/>
    <cellStyle name="40% - Accent3 5 2 2 2" xfId="33024"/>
    <cellStyle name="40% - Accent3 5 2 2 2 2" xfId="33025"/>
    <cellStyle name="40% - Accent3 5 2 2 2 2 2" xfId="33026"/>
    <cellStyle name="40% - Accent3 5 2 2 2 2 2 2" xfId="33027"/>
    <cellStyle name="40% - Accent3 5 2 2 2 2 3" xfId="33028"/>
    <cellStyle name="40% - Accent3 5 2 2 2 3" xfId="33029"/>
    <cellStyle name="40% - Accent3 5 2 2 2 3 2" xfId="33030"/>
    <cellStyle name="40% - Accent3 5 2 2 2 4" xfId="33031"/>
    <cellStyle name="40% - Accent3 5 2 2 3" xfId="33032"/>
    <cellStyle name="40% - Accent3 5 2 2 3 2" xfId="33033"/>
    <cellStyle name="40% - Accent3 5 2 2 3 2 2" xfId="33034"/>
    <cellStyle name="40% - Accent3 5 2 2 3 3" xfId="33035"/>
    <cellStyle name="40% - Accent3 5 2 2 4" xfId="33036"/>
    <cellStyle name="40% - Accent3 5 2 2 4 2" xfId="33037"/>
    <cellStyle name="40% - Accent3 5 2 2 5" xfId="33038"/>
    <cellStyle name="40% - Accent3 5 2 3" xfId="33039"/>
    <cellStyle name="40% - Accent3 5 2 3 2" xfId="33040"/>
    <cellStyle name="40% - Accent3 5 2 3 2 2" xfId="33041"/>
    <cellStyle name="40% - Accent3 5 2 3 2 2 2" xfId="33042"/>
    <cellStyle name="40% - Accent3 5 2 3 2 2 2 2" xfId="33043"/>
    <cellStyle name="40% - Accent3 5 2 3 2 2 3" xfId="33044"/>
    <cellStyle name="40% - Accent3 5 2 3 2 3" xfId="33045"/>
    <cellStyle name="40% - Accent3 5 2 3 2 3 2" xfId="33046"/>
    <cellStyle name="40% - Accent3 5 2 3 2 4" xfId="33047"/>
    <cellStyle name="40% - Accent3 5 2 3 3" xfId="33048"/>
    <cellStyle name="40% - Accent3 5 2 3 3 2" xfId="33049"/>
    <cellStyle name="40% - Accent3 5 2 3 3 2 2" xfId="33050"/>
    <cellStyle name="40% - Accent3 5 2 3 3 3" xfId="33051"/>
    <cellStyle name="40% - Accent3 5 2 3 4" xfId="33052"/>
    <cellStyle name="40% - Accent3 5 2 3 4 2" xfId="33053"/>
    <cellStyle name="40% - Accent3 5 2 3 5" xfId="33054"/>
    <cellStyle name="40% - Accent3 5 2 4" xfId="33055"/>
    <cellStyle name="40% - Accent3 5 2 4 2" xfId="33056"/>
    <cellStyle name="40% - Accent3 5 2 4 2 2" xfId="33057"/>
    <cellStyle name="40% - Accent3 5 2 4 2 2 2" xfId="33058"/>
    <cellStyle name="40% - Accent3 5 2 4 2 2 2 2" xfId="33059"/>
    <cellStyle name="40% - Accent3 5 2 4 2 2 3" xfId="33060"/>
    <cellStyle name="40% - Accent3 5 2 4 2 3" xfId="33061"/>
    <cellStyle name="40% - Accent3 5 2 4 2 3 2" xfId="33062"/>
    <cellStyle name="40% - Accent3 5 2 4 2 4" xfId="33063"/>
    <cellStyle name="40% - Accent3 5 2 4 3" xfId="33064"/>
    <cellStyle name="40% - Accent3 5 2 4 3 2" xfId="33065"/>
    <cellStyle name="40% - Accent3 5 2 4 3 2 2" xfId="33066"/>
    <cellStyle name="40% - Accent3 5 2 4 3 3" xfId="33067"/>
    <cellStyle name="40% - Accent3 5 2 4 4" xfId="33068"/>
    <cellStyle name="40% - Accent3 5 2 4 4 2" xfId="33069"/>
    <cellStyle name="40% - Accent3 5 2 4 5" xfId="33070"/>
    <cellStyle name="40% - Accent3 5 2 5" xfId="33071"/>
    <cellStyle name="40% - Accent3 5 2 5 2" xfId="33072"/>
    <cellStyle name="40% - Accent3 5 2 5 2 2" xfId="33073"/>
    <cellStyle name="40% - Accent3 5 2 5 2 2 2" xfId="33074"/>
    <cellStyle name="40% - Accent3 5 2 5 2 2 2 2" xfId="33075"/>
    <cellStyle name="40% - Accent3 5 2 5 2 2 3" xfId="33076"/>
    <cellStyle name="40% - Accent3 5 2 5 2 3" xfId="33077"/>
    <cellStyle name="40% - Accent3 5 2 5 2 3 2" xfId="33078"/>
    <cellStyle name="40% - Accent3 5 2 5 2 4" xfId="33079"/>
    <cellStyle name="40% - Accent3 5 2 5 3" xfId="33080"/>
    <cellStyle name="40% - Accent3 5 2 5 3 2" xfId="33081"/>
    <cellStyle name="40% - Accent3 5 2 5 3 2 2" xfId="33082"/>
    <cellStyle name="40% - Accent3 5 2 5 3 3" xfId="33083"/>
    <cellStyle name="40% - Accent3 5 2 5 4" xfId="33084"/>
    <cellStyle name="40% - Accent3 5 2 5 4 2" xfId="33085"/>
    <cellStyle name="40% - Accent3 5 2 5 5" xfId="33086"/>
    <cellStyle name="40% - Accent3 5 2 6" xfId="33087"/>
    <cellStyle name="40% - Accent3 5 2 6 2" xfId="33088"/>
    <cellStyle name="40% - Accent3 5 2 6 2 2" xfId="33089"/>
    <cellStyle name="40% - Accent3 5 2 6 2 2 2" xfId="33090"/>
    <cellStyle name="40% - Accent3 5 2 6 2 2 2 2" xfId="33091"/>
    <cellStyle name="40% - Accent3 5 2 6 2 2 3" xfId="33092"/>
    <cellStyle name="40% - Accent3 5 2 6 2 3" xfId="33093"/>
    <cellStyle name="40% - Accent3 5 2 6 2 3 2" xfId="33094"/>
    <cellStyle name="40% - Accent3 5 2 6 2 4" xfId="33095"/>
    <cellStyle name="40% - Accent3 5 2 6 3" xfId="33096"/>
    <cellStyle name="40% - Accent3 5 2 6 3 2" xfId="33097"/>
    <cellStyle name="40% - Accent3 5 2 6 3 2 2" xfId="33098"/>
    <cellStyle name="40% - Accent3 5 2 6 3 3" xfId="33099"/>
    <cellStyle name="40% - Accent3 5 2 6 4" xfId="33100"/>
    <cellStyle name="40% - Accent3 5 2 6 4 2" xfId="33101"/>
    <cellStyle name="40% - Accent3 5 2 6 5" xfId="33102"/>
    <cellStyle name="40% - Accent3 5 2 7" xfId="33103"/>
    <cellStyle name="40% - Accent3 5 2 7 2" xfId="33104"/>
    <cellStyle name="40% - Accent3 5 2 7 2 2" xfId="33105"/>
    <cellStyle name="40% - Accent3 5 2 7 2 2 2" xfId="33106"/>
    <cellStyle name="40% - Accent3 5 2 7 2 3" xfId="33107"/>
    <cellStyle name="40% - Accent3 5 2 7 3" xfId="33108"/>
    <cellStyle name="40% - Accent3 5 2 7 3 2" xfId="33109"/>
    <cellStyle name="40% - Accent3 5 2 7 4" xfId="33110"/>
    <cellStyle name="40% - Accent3 5 2 8" xfId="33111"/>
    <cellStyle name="40% - Accent3 5 2 8 2" xfId="33112"/>
    <cellStyle name="40% - Accent3 5 2 8 2 2" xfId="33113"/>
    <cellStyle name="40% - Accent3 5 2 8 3" xfId="33114"/>
    <cellStyle name="40% - Accent3 5 2 9" xfId="33115"/>
    <cellStyle name="40% - Accent3 5 2 9 2" xfId="33116"/>
    <cellStyle name="40% - Accent3 5 3" xfId="33117"/>
    <cellStyle name="40% - Accent3 5 3 2" xfId="33118"/>
    <cellStyle name="40% - Accent3 5 3 2 2" xfId="33119"/>
    <cellStyle name="40% - Accent3 5 3 2 2 2" xfId="33120"/>
    <cellStyle name="40% - Accent3 5 3 2 2 2 2" xfId="33121"/>
    <cellStyle name="40% - Accent3 5 3 2 2 3" xfId="33122"/>
    <cellStyle name="40% - Accent3 5 3 2 3" xfId="33123"/>
    <cellStyle name="40% - Accent3 5 3 2 3 2" xfId="33124"/>
    <cellStyle name="40% - Accent3 5 3 2 4" xfId="33125"/>
    <cellStyle name="40% - Accent3 5 3 3" xfId="33126"/>
    <cellStyle name="40% - Accent3 5 3 3 2" xfId="33127"/>
    <cellStyle name="40% - Accent3 5 3 3 2 2" xfId="33128"/>
    <cellStyle name="40% - Accent3 5 3 3 3" xfId="33129"/>
    <cellStyle name="40% - Accent3 5 3 4" xfId="33130"/>
    <cellStyle name="40% - Accent3 5 3 4 2" xfId="33131"/>
    <cellStyle name="40% - Accent3 5 3 5" xfId="33132"/>
    <cellStyle name="40% - Accent3 5 4" xfId="33133"/>
    <cellStyle name="40% - Accent3 5 4 2" xfId="33134"/>
    <cellStyle name="40% - Accent3 5 4 2 2" xfId="33135"/>
    <cellStyle name="40% - Accent3 5 4 2 2 2" xfId="33136"/>
    <cellStyle name="40% - Accent3 5 4 2 2 2 2" xfId="33137"/>
    <cellStyle name="40% - Accent3 5 4 2 2 3" xfId="33138"/>
    <cellStyle name="40% - Accent3 5 4 2 3" xfId="33139"/>
    <cellStyle name="40% - Accent3 5 4 2 3 2" xfId="33140"/>
    <cellStyle name="40% - Accent3 5 4 2 4" xfId="33141"/>
    <cellStyle name="40% - Accent3 5 4 3" xfId="33142"/>
    <cellStyle name="40% - Accent3 5 4 3 2" xfId="33143"/>
    <cellStyle name="40% - Accent3 5 4 3 2 2" xfId="33144"/>
    <cellStyle name="40% - Accent3 5 4 3 3" xfId="33145"/>
    <cellStyle name="40% - Accent3 5 4 4" xfId="33146"/>
    <cellStyle name="40% - Accent3 5 4 4 2" xfId="33147"/>
    <cellStyle name="40% - Accent3 5 4 5" xfId="33148"/>
    <cellStyle name="40% - Accent3 5 5" xfId="33149"/>
    <cellStyle name="40% - Accent3 5 5 2" xfId="33150"/>
    <cellStyle name="40% - Accent3 5 5 2 2" xfId="33151"/>
    <cellStyle name="40% - Accent3 5 5 2 2 2" xfId="33152"/>
    <cellStyle name="40% - Accent3 5 5 2 2 2 2" xfId="33153"/>
    <cellStyle name="40% - Accent3 5 5 2 2 3" xfId="33154"/>
    <cellStyle name="40% - Accent3 5 5 2 3" xfId="33155"/>
    <cellStyle name="40% - Accent3 5 5 2 3 2" xfId="33156"/>
    <cellStyle name="40% - Accent3 5 5 2 4" xfId="33157"/>
    <cellStyle name="40% - Accent3 5 5 3" xfId="33158"/>
    <cellStyle name="40% - Accent3 5 5 3 2" xfId="33159"/>
    <cellStyle name="40% - Accent3 5 5 3 2 2" xfId="33160"/>
    <cellStyle name="40% - Accent3 5 5 3 3" xfId="33161"/>
    <cellStyle name="40% - Accent3 5 5 4" xfId="33162"/>
    <cellStyle name="40% - Accent3 5 5 4 2" xfId="33163"/>
    <cellStyle name="40% - Accent3 5 5 5" xfId="33164"/>
    <cellStyle name="40% - Accent3 5 6" xfId="33165"/>
    <cellStyle name="40% - Accent3 5 6 2" xfId="33166"/>
    <cellStyle name="40% - Accent3 5 6 2 2" xfId="33167"/>
    <cellStyle name="40% - Accent3 5 6 2 2 2" xfId="33168"/>
    <cellStyle name="40% - Accent3 5 6 2 2 2 2" xfId="33169"/>
    <cellStyle name="40% - Accent3 5 6 2 2 3" xfId="33170"/>
    <cellStyle name="40% - Accent3 5 6 2 3" xfId="33171"/>
    <cellStyle name="40% - Accent3 5 6 2 3 2" xfId="33172"/>
    <cellStyle name="40% - Accent3 5 6 2 4" xfId="33173"/>
    <cellStyle name="40% - Accent3 5 6 3" xfId="33174"/>
    <cellStyle name="40% - Accent3 5 6 3 2" xfId="33175"/>
    <cellStyle name="40% - Accent3 5 6 3 2 2" xfId="33176"/>
    <cellStyle name="40% - Accent3 5 6 3 3" xfId="33177"/>
    <cellStyle name="40% - Accent3 5 6 4" xfId="33178"/>
    <cellStyle name="40% - Accent3 5 6 4 2" xfId="33179"/>
    <cellStyle name="40% - Accent3 5 6 5" xfId="33180"/>
    <cellStyle name="40% - Accent3 5 7" xfId="33181"/>
    <cellStyle name="40% - Accent3 5 7 2" xfId="33182"/>
    <cellStyle name="40% - Accent3 5 7 2 2" xfId="33183"/>
    <cellStyle name="40% - Accent3 5 7 2 2 2" xfId="33184"/>
    <cellStyle name="40% - Accent3 5 7 2 2 2 2" xfId="33185"/>
    <cellStyle name="40% - Accent3 5 7 2 2 3" xfId="33186"/>
    <cellStyle name="40% - Accent3 5 7 2 3" xfId="33187"/>
    <cellStyle name="40% - Accent3 5 7 2 3 2" xfId="33188"/>
    <cellStyle name="40% - Accent3 5 7 2 4" xfId="33189"/>
    <cellStyle name="40% - Accent3 5 7 3" xfId="33190"/>
    <cellStyle name="40% - Accent3 5 7 3 2" xfId="33191"/>
    <cellStyle name="40% - Accent3 5 7 3 2 2" xfId="33192"/>
    <cellStyle name="40% - Accent3 5 7 3 3" xfId="33193"/>
    <cellStyle name="40% - Accent3 5 7 4" xfId="33194"/>
    <cellStyle name="40% - Accent3 5 7 4 2" xfId="33195"/>
    <cellStyle name="40% - Accent3 5 7 5" xfId="33196"/>
    <cellStyle name="40% - Accent3 5 8" xfId="33197"/>
    <cellStyle name="40% - Accent3 5 8 2" xfId="33198"/>
    <cellStyle name="40% - Accent3 5 8 2 2" xfId="33199"/>
    <cellStyle name="40% - Accent3 5 8 2 2 2" xfId="33200"/>
    <cellStyle name="40% - Accent3 5 8 2 3" xfId="33201"/>
    <cellStyle name="40% - Accent3 5 8 3" xfId="33202"/>
    <cellStyle name="40% - Accent3 5 8 3 2" xfId="33203"/>
    <cellStyle name="40% - Accent3 5 8 4" xfId="33204"/>
    <cellStyle name="40% - Accent3 5 9" xfId="33205"/>
    <cellStyle name="40% - Accent3 5 9 2" xfId="33206"/>
    <cellStyle name="40% - Accent3 5 9 2 2" xfId="33207"/>
    <cellStyle name="40% - Accent3 5 9 3" xfId="33208"/>
    <cellStyle name="40% - Accent3 6" xfId="33209"/>
    <cellStyle name="40% - Accent3 6 10" xfId="33210"/>
    <cellStyle name="40% - Accent3 6 10 2" xfId="33211"/>
    <cellStyle name="40% - Accent3 6 11" xfId="33212"/>
    <cellStyle name="40% - Accent3 6 2" xfId="33213"/>
    <cellStyle name="40% - Accent3 6 2 10" xfId="33214"/>
    <cellStyle name="40% - Accent3 6 2 2" xfId="33215"/>
    <cellStyle name="40% - Accent3 6 2 2 2" xfId="33216"/>
    <cellStyle name="40% - Accent3 6 2 2 2 2" xfId="33217"/>
    <cellStyle name="40% - Accent3 6 2 2 2 2 2" xfId="33218"/>
    <cellStyle name="40% - Accent3 6 2 2 2 2 2 2" xfId="33219"/>
    <cellStyle name="40% - Accent3 6 2 2 2 2 3" xfId="33220"/>
    <cellStyle name="40% - Accent3 6 2 2 2 3" xfId="33221"/>
    <cellStyle name="40% - Accent3 6 2 2 2 3 2" xfId="33222"/>
    <cellStyle name="40% - Accent3 6 2 2 2 4" xfId="33223"/>
    <cellStyle name="40% - Accent3 6 2 2 3" xfId="33224"/>
    <cellStyle name="40% - Accent3 6 2 2 3 2" xfId="33225"/>
    <cellStyle name="40% - Accent3 6 2 2 3 2 2" xfId="33226"/>
    <cellStyle name="40% - Accent3 6 2 2 3 3" xfId="33227"/>
    <cellStyle name="40% - Accent3 6 2 2 4" xfId="33228"/>
    <cellStyle name="40% - Accent3 6 2 2 4 2" xfId="33229"/>
    <cellStyle name="40% - Accent3 6 2 2 5" xfId="33230"/>
    <cellStyle name="40% - Accent3 6 2 3" xfId="33231"/>
    <cellStyle name="40% - Accent3 6 2 3 2" xfId="33232"/>
    <cellStyle name="40% - Accent3 6 2 3 2 2" xfId="33233"/>
    <cellStyle name="40% - Accent3 6 2 3 2 2 2" xfId="33234"/>
    <cellStyle name="40% - Accent3 6 2 3 2 2 2 2" xfId="33235"/>
    <cellStyle name="40% - Accent3 6 2 3 2 2 3" xfId="33236"/>
    <cellStyle name="40% - Accent3 6 2 3 2 3" xfId="33237"/>
    <cellStyle name="40% - Accent3 6 2 3 2 3 2" xfId="33238"/>
    <cellStyle name="40% - Accent3 6 2 3 2 4" xfId="33239"/>
    <cellStyle name="40% - Accent3 6 2 3 3" xfId="33240"/>
    <cellStyle name="40% - Accent3 6 2 3 3 2" xfId="33241"/>
    <cellStyle name="40% - Accent3 6 2 3 3 2 2" xfId="33242"/>
    <cellStyle name="40% - Accent3 6 2 3 3 3" xfId="33243"/>
    <cellStyle name="40% - Accent3 6 2 3 4" xfId="33244"/>
    <cellStyle name="40% - Accent3 6 2 3 4 2" xfId="33245"/>
    <cellStyle name="40% - Accent3 6 2 3 5" xfId="33246"/>
    <cellStyle name="40% - Accent3 6 2 4" xfId="33247"/>
    <cellStyle name="40% - Accent3 6 2 4 2" xfId="33248"/>
    <cellStyle name="40% - Accent3 6 2 4 2 2" xfId="33249"/>
    <cellStyle name="40% - Accent3 6 2 4 2 2 2" xfId="33250"/>
    <cellStyle name="40% - Accent3 6 2 4 2 2 2 2" xfId="33251"/>
    <cellStyle name="40% - Accent3 6 2 4 2 2 3" xfId="33252"/>
    <cellStyle name="40% - Accent3 6 2 4 2 3" xfId="33253"/>
    <cellStyle name="40% - Accent3 6 2 4 2 3 2" xfId="33254"/>
    <cellStyle name="40% - Accent3 6 2 4 2 4" xfId="33255"/>
    <cellStyle name="40% - Accent3 6 2 4 3" xfId="33256"/>
    <cellStyle name="40% - Accent3 6 2 4 3 2" xfId="33257"/>
    <cellStyle name="40% - Accent3 6 2 4 3 2 2" xfId="33258"/>
    <cellStyle name="40% - Accent3 6 2 4 3 3" xfId="33259"/>
    <cellStyle name="40% - Accent3 6 2 4 4" xfId="33260"/>
    <cellStyle name="40% - Accent3 6 2 4 4 2" xfId="33261"/>
    <cellStyle name="40% - Accent3 6 2 4 5" xfId="33262"/>
    <cellStyle name="40% - Accent3 6 2 5" xfId="33263"/>
    <cellStyle name="40% - Accent3 6 2 5 2" xfId="33264"/>
    <cellStyle name="40% - Accent3 6 2 5 2 2" xfId="33265"/>
    <cellStyle name="40% - Accent3 6 2 5 2 2 2" xfId="33266"/>
    <cellStyle name="40% - Accent3 6 2 5 2 2 2 2" xfId="33267"/>
    <cellStyle name="40% - Accent3 6 2 5 2 2 3" xfId="33268"/>
    <cellStyle name="40% - Accent3 6 2 5 2 3" xfId="33269"/>
    <cellStyle name="40% - Accent3 6 2 5 2 3 2" xfId="33270"/>
    <cellStyle name="40% - Accent3 6 2 5 2 4" xfId="33271"/>
    <cellStyle name="40% - Accent3 6 2 5 3" xfId="33272"/>
    <cellStyle name="40% - Accent3 6 2 5 3 2" xfId="33273"/>
    <cellStyle name="40% - Accent3 6 2 5 3 2 2" xfId="33274"/>
    <cellStyle name="40% - Accent3 6 2 5 3 3" xfId="33275"/>
    <cellStyle name="40% - Accent3 6 2 5 4" xfId="33276"/>
    <cellStyle name="40% - Accent3 6 2 5 4 2" xfId="33277"/>
    <cellStyle name="40% - Accent3 6 2 5 5" xfId="33278"/>
    <cellStyle name="40% - Accent3 6 2 6" xfId="33279"/>
    <cellStyle name="40% - Accent3 6 2 6 2" xfId="33280"/>
    <cellStyle name="40% - Accent3 6 2 6 2 2" xfId="33281"/>
    <cellStyle name="40% - Accent3 6 2 6 2 2 2" xfId="33282"/>
    <cellStyle name="40% - Accent3 6 2 6 2 2 2 2" xfId="33283"/>
    <cellStyle name="40% - Accent3 6 2 6 2 2 3" xfId="33284"/>
    <cellStyle name="40% - Accent3 6 2 6 2 3" xfId="33285"/>
    <cellStyle name="40% - Accent3 6 2 6 2 3 2" xfId="33286"/>
    <cellStyle name="40% - Accent3 6 2 6 2 4" xfId="33287"/>
    <cellStyle name="40% - Accent3 6 2 6 3" xfId="33288"/>
    <cellStyle name="40% - Accent3 6 2 6 3 2" xfId="33289"/>
    <cellStyle name="40% - Accent3 6 2 6 3 2 2" xfId="33290"/>
    <cellStyle name="40% - Accent3 6 2 6 3 3" xfId="33291"/>
    <cellStyle name="40% - Accent3 6 2 6 4" xfId="33292"/>
    <cellStyle name="40% - Accent3 6 2 6 4 2" xfId="33293"/>
    <cellStyle name="40% - Accent3 6 2 6 5" xfId="33294"/>
    <cellStyle name="40% - Accent3 6 2 7" xfId="33295"/>
    <cellStyle name="40% - Accent3 6 2 7 2" xfId="33296"/>
    <cellStyle name="40% - Accent3 6 2 7 2 2" xfId="33297"/>
    <cellStyle name="40% - Accent3 6 2 7 2 2 2" xfId="33298"/>
    <cellStyle name="40% - Accent3 6 2 7 2 3" xfId="33299"/>
    <cellStyle name="40% - Accent3 6 2 7 3" xfId="33300"/>
    <cellStyle name="40% - Accent3 6 2 7 3 2" xfId="33301"/>
    <cellStyle name="40% - Accent3 6 2 7 4" xfId="33302"/>
    <cellStyle name="40% - Accent3 6 2 8" xfId="33303"/>
    <cellStyle name="40% - Accent3 6 2 8 2" xfId="33304"/>
    <cellStyle name="40% - Accent3 6 2 8 2 2" xfId="33305"/>
    <cellStyle name="40% - Accent3 6 2 8 3" xfId="33306"/>
    <cellStyle name="40% - Accent3 6 2 9" xfId="33307"/>
    <cellStyle name="40% - Accent3 6 2 9 2" xfId="33308"/>
    <cellStyle name="40% - Accent3 6 3" xfId="33309"/>
    <cellStyle name="40% - Accent3 6 3 2" xfId="33310"/>
    <cellStyle name="40% - Accent3 6 3 2 2" xfId="33311"/>
    <cellStyle name="40% - Accent3 6 3 2 2 2" xfId="33312"/>
    <cellStyle name="40% - Accent3 6 3 2 2 2 2" xfId="33313"/>
    <cellStyle name="40% - Accent3 6 3 2 2 3" xfId="33314"/>
    <cellStyle name="40% - Accent3 6 3 2 3" xfId="33315"/>
    <cellStyle name="40% - Accent3 6 3 2 3 2" xfId="33316"/>
    <cellStyle name="40% - Accent3 6 3 2 4" xfId="33317"/>
    <cellStyle name="40% - Accent3 6 3 3" xfId="33318"/>
    <cellStyle name="40% - Accent3 6 3 3 2" xfId="33319"/>
    <cellStyle name="40% - Accent3 6 3 3 2 2" xfId="33320"/>
    <cellStyle name="40% - Accent3 6 3 3 3" xfId="33321"/>
    <cellStyle name="40% - Accent3 6 3 4" xfId="33322"/>
    <cellStyle name="40% - Accent3 6 3 4 2" xfId="33323"/>
    <cellStyle name="40% - Accent3 6 3 5" xfId="33324"/>
    <cellStyle name="40% - Accent3 6 4" xfId="33325"/>
    <cellStyle name="40% - Accent3 6 4 2" xfId="33326"/>
    <cellStyle name="40% - Accent3 6 4 2 2" xfId="33327"/>
    <cellStyle name="40% - Accent3 6 4 2 2 2" xfId="33328"/>
    <cellStyle name="40% - Accent3 6 4 2 2 2 2" xfId="33329"/>
    <cellStyle name="40% - Accent3 6 4 2 2 3" xfId="33330"/>
    <cellStyle name="40% - Accent3 6 4 2 3" xfId="33331"/>
    <cellStyle name="40% - Accent3 6 4 2 3 2" xfId="33332"/>
    <cellStyle name="40% - Accent3 6 4 2 4" xfId="33333"/>
    <cellStyle name="40% - Accent3 6 4 3" xfId="33334"/>
    <cellStyle name="40% - Accent3 6 4 3 2" xfId="33335"/>
    <cellStyle name="40% - Accent3 6 4 3 2 2" xfId="33336"/>
    <cellStyle name="40% - Accent3 6 4 3 3" xfId="33337"/>
    <cellStyle name="40% - Accent3 6 4 4" xfId="33338"/>
    <cellStyle name="40% - Accent3 6 4 4 2" xfId="33339"/>
    <cellStyle name="40% - Accent3 6 4 5" xfId="33340"/>
    <cellStyle name="40% - Accent3 6 5" xfId="33341"/>
    <cellStyle name="40% - Accent3 6 5 2" xfId="33342"/>
    <cellStyle name="40% - Accent3 6 5 2 2" xfId="33343"/>
    <cellStyle name="40% - Accent3 6 5 2 2 2" xfId="33344"/>
    <cellStyle name="40% - Accent3 6 5 2 2 2 2" xfId="33345"/>
    <cellStyle name="40% - Accent3 6 5 2 2 3" xfId="33346"/>
    <cellStyle name="40% - Accent3 6 5 2 3" xfId="33347"/>
    <cellStyle name="40% - Accent3 6 5 2 3 2" xfId="33348"/>
    <cellStyle name="40% - Accent3 6 5 2 4" xfId="33349"/>
    <cellStyle name="40% - Accent3 6 5 3" xfId="33350"/>
    <cellStyle name="40% - Accent3 6 5 3 2" xfId="33351"/>
    <cellStyle name="40% - Accent3 6 5 3 2 2" xfId="33352"/>
    <cellStyle name="40% - Accent3 6 5 3 3" xfId="33353"/>
    <cellStyle name="40% - Accent3 6 5 4" xfId="33354"/>
    <cellStyle name="40% - Accent3 6 5 4 2" xfId="33355"/>
    <cellStyle name="40% - Accent3 6 5 5" xfId="33356"/>
    <cellStyle name="40% - Accent3 6 6" xfId="33357"/>
    <cellStyle name="40% - Accent3 6 6 2" xfId="33358"/>
    <cellStyle name="40% - Accent3 6 6 2 2" xfId="33359"/>
    <cellStyle name="40% - Accent3 6 6 2 2 2" xfId="33360"/>
    <cellStyle name="40% - Accent3 6 6 2 2 2 2" xfId="33361"/>
    <cellStyle name="40% - Accent3 6 6 2 2 3" xfId="33362"/>
    <cellStyle name="40% - Accent3 6 6 2 3" xfId="33363"/>
    <cellStyle name="40% - Accent3 6 6 2 3 2" xfId="33364"/>
    <cellStyle name="40% - Accent3 6 6 2 4" xfId="33365"/>
    <cellStyle name="40% - Accent3 6 6 3" xfId="33366"/>
    <cellStyle name="40% - Accent3 6 6 3 2" xfId="33367"/>
    <cellStyle name="40% - Accent3 6 6 3 2 2" xfId="33368"/>
    <cellStyle name="40% - Accent3 6 6 3 3" xfId="33369"/>
    <cellStyle name="40% - Accent3 6 6 4" xfId="33370"/>
    <cellStyle name="40% - Accent3 6 6 4 2" xfId="33371"/>
    <cellStyle name="40% - Accent3 6 6 5" xfId="33372"/>
    <cellStyle name="40% - Accent3 6 7" xfId="33373"/>
    <cellStyle name="40% - Accent3 6 7 2" xfId="33374"/>
    <cellStyle name="40% - Accent3 6 7 2 2" xfId="33375"/>
    <cellStyle name="40% - Accent3 6 7 2 2 2" xfId="33376"/>
    <cellStyle name="40% - Accent3 6 7 2 2 2 2" xfId="33377"/>
    <cellStyle name="40% - Accent3 6 7 2 2 3" xfId="33378"/>
    <cellStyle name="40% - Accent3 6 7 2 3" xfId="33379"/>
    <cellStyle name="40% - Accent3 6 7 2 3 2" xfId="33380"/>
    <cellStyle name="40% - Accent3 6 7 2 4" xfId="33381"/>
    <cellStyle name="40% - Accent3 6 7 3" xfId="33382"/>
    <cellStyle name="40% - Accent3 6 7 3 2" xfId="33383"/>
    <cellStyle name="40% - Accent3 6 7 3 2 2" xfId="33384"/>
    <cellStyle name="40% - Accent3 6 7 3 3" xfId="33385"/>
    <cellStyle name="40% - Accent3 6 7 4" xfId="33386"/>
    <cellStyle name="40% - Accent3 6 7 4 2" xfId="33387"/>
    <cellStyle name="40% - Accent3 6 7 5" xfId="33388"/>
    <cellStyle name="40% - Accent3 6 8" xfId="33389"/>
    <cellStyle name="40% - Accent3 6 8 2" xfId="33390"/>
    <cellStyle name="40% - Accent3 6 8 2 2" xfId="33391"/>
    <cellStyle name="40% - Accent3 6 8 2 2 2" xfId="33392"/>
    <cellStyle name="40% - Accent3 6 8 2 3" xfId="33393"/>
    <cellStyle name="40% - Accent3 6 8 3" xfId="33394"/>
    <cellStyle name="40% - Accent3 6 8 3 2" xfId="33395"/>
    <cellStyle name="40% - Accent3 6 8 4" xfId="33396"/>
    <cellStyle name="40% - Accent3 6 9" xfId="33397"/>
    <cellStyle name="40% - Accent3 6 9 2" xfId="33398"/>
    <cellStyle name="40% - Accent3 6 9 2 2" xfId="33399"/>
    <cellStyle name="40% - Accent3 6 9 3" xfId="33400"/>
    <cellStyle name="40% - Accent3 7" xfId="33401"/>
    <cellStyle name="40% - Accent3 7 10" xfId="33402"/>
    <cellStyle name="40% - Accent3 7 10 2" xfId="33403"/>
    <cellStyle name="40% - Accent3 7 11" xfId="33404"/>
    <cellStyle name="40% - Accent3 7 2" xfId="33405"/>
    <cellStyle name="40% - Accent3 7 2 10" xfId="33406"/>
    <cellStyle name="40% - Accent3 7 2 2" xfId="33407"/>
    <cellStyle name="40% - Accent3 7 2 2 2" xfId="33408"/>
    <cellStyle name="40% - Accent3 7 2 2 2 2" xfId="33409"/>
    <cellStyle name="40% - Accent3 7 2 2 2 2 2" xfId="33410"/>
    <cellStyle name="40% - Accent3 7 2 2 2 2 2 2" xfId="33411"/>
    <cellStyle name="40% - Accent3 7 2 2 2 2 3" xfId="33412"/>
    <cellStyle name="40% - Accent3 7 2 2 2 3" xfId="33413"/>
    <cellStyle name="40% - Accent3 7 2 2 2 3 2" xfId="33414"/>
    <cellStyle name="40% - Accent3 7 2 2 2 4" xfId="33415"/>
    <cellStyle name="40% - Accent3 7 2 2 3" xfId="33416"/>
    <cellStyle name="40% - Accent3 7 2 2 3 2" xfId="33417"/>
    <cellStyle name="40% - Accent3 7 2 2 3 2 2" xfId="33418"/>
    <cellStyle name="40% - Accent3 7 2 2 3 3" xfId="33419"/>
    <cellStyle name="40% - Accent3 7 2 2 4" xfId="33420"/>
    <cellStyle name="40% - Accent3 7 2 2 4 2" xfId="33421"/>
    <cellStyle name="40% - Accent3 7 2 2 5" xfId="33422"/>
    <cellStyle name="40% - Accent3 7 2 3" xfId="33423"/>
    <cellStyle name="40% - Accent3 7 2 3 2" xfId="33424"/>
    <cellStyle name="40% - Accent3 7 2 3 2 2" xfId="33425"/>
    <cellStyle name="40% - Accent3 7 2 3 2 2 2" xfId="33426"/>
    <cellStyle name="40% - Accent3 7 2 3 2 2 2 2" xfId="33427"/>
    <cellStyle name="40% - Accent3 7 2 3 2 2 3" xfId="33428"/>
    <cellStyle name="40% - Accent3 7 2 3 2 3" xfId="33429"/>
    <cellStyle name="40% - Accent3 7 2 3 2 3 2" xfId="33430"/>
    <cellStyle name="40% - Accent3 7 2 3 2 4" xfId="33431"/>
    <cellStyle name="40% - Accent3 7 2 3 3" xfId="33432"/>
    <cellStyle name="40% - Accent3 7 2 3 3 2" xfId="33433"/>
    <cellStyle name="40% - Accent3 7 2 3 3 2 2" xfId="33434"/>
    <cellStyle name="40% - Accent3 7 2 3 3 3" xfId="33435"/>
    <cellStyle name="40% - Accent3 7 2 3 4" xfId="33436"/>
    <cellStyle name="40% - Accent3 7 2 3 4 2" xfId="33437"/>
    <cellStyle name="40% - Accent3 7 2 3 5" xfId="33438"/>
    <cellStyle name="40% - Accent3 7 2 4" xfId="33439"/>
    <cellStyle name="40% - Accent3 7 2 4 2" xfId="33440"/>
    <cellStyle name="40% - Accent3 7 2 4 2 2" xfId="33441"/>
    <cellStyle name="40% - Accent3 7 2 4 2 2 2" xfId="33442"/>
    <cellStyle name="40% - Accent3 7 2 4 2 2 2 2" xfId="33443"/>
    <cellStyle name="40% - Accent3 7 2 4 2 2 3" xfId="33444"/>
    <cellStyle name="40% - Accent3 7 2 4 2 3" xfId="33445"/>
    <cellStyle name="40% - Accent3 7 2 4 2 3 2" xfId="33446"/>
    <cellStyle name="40% - Accent3 7 2 4 2 4" xfId="33447"/>
    <cellStyle name="40% - Accent3 7 2 4 3" xfId="33448"/>
    <cellStyle name="40% - Accent3 7 2 4 3 2" xfId="33449"/>
    <cellStyle name="40% - Accent3 7 2 4 3 2 2" xfId="33450"/>
    <cellStyle name="40% - Accent3 7 2 4 3 3" xfId="33451"/>
    <cellStyle name="40% - Accent3 7 2 4 4" xfId="33452"/>
    <cellStyle name="40% - Accent3 7 2 4 4 2" xfId="33453"/>
    <cellStyle name="40% - Accent3 7 2 4 5" xfId="33454"/>
    <cellStyle name="40% - Accent3 7 2 5" xfId="33455"/>
    <cellStyle name="40% - Accent3 7 2 5 2" xfId="33456"/>
    <cellStyle name="40% - Accent3 7 2 5 2 2" xfId="33457"/>
    <cellStyle name="40% - Accent3 7 2 5 2 2 2" xfId="33458"/>
    <cellStyle name="40% - Accent3 7 2 5 2 2 2 2" xfId="33459"/>
    <cellStyle name="40% - Accent3 7 2 5 2 2 3" xfId="33460"/>
    <cellStyle name="40% - Accent3 7 2 5 2 3" xfId="33461"/>
    <cellStyle name="40% - Accent3 7 2 5 2 3 2" xfId="33462"/>
    <cellStyle name="40% - Accent3 7 2 5 2 4" xfId="33463"/>
    <cellStyle name="40% - Accent3 7 2 5 3" xfId="33464"/>
    <cellStyle name="40% - Accent3 7 2 5 3 2" xfId="33465"/>
    <cellStyle name="40% - Accent3 7 2 5 3 2 2" xfId="33466"/>
    <cellStyle name="40% - Accent3 7 2 5 3 3" xfId="33467"/>
    <cellStyle name="40% - Accent3 7 2 5 4" xfId="33468"/>
    <cellStyle name="40% - Accent3 7 2 5 4 2" xfId="33469"/>
    <cellStyle name="40% - Accent3 7 2 5 5" xfId="33470"/>
    <cellStyle name="40% - Accent3 7 2 6" xfId="33471"/>
    <cellStyle name="40% - Accent3 7 2 6 2" xfId="33472"/>
    <cellStyle name="40% - Accent3 7 2 6 2 2" xfId="33473"/>
    <cellStyle name="40% - Accent3 7 2 6 2 2 2" xfId="33474"/>
    <cellStyle name="40% - Accent3 7 2 6 2 2 2 2" xfId="33475"/>
    <cellStyle name="40% - Accent3 7 2 6 2 2 3" xfId="33476"/>
    <cellStyle name="40% - Accent3 7 2 6 2 3" xfId="33477"/>
    <cellStyle name="40% - Accent3 7 2 6 2 3 2" xfId="33478"/>
    <cellStyle name="40% - Accent3 7 2 6 2 4" xfId="33479"/>
    <cellStyle name="40% - Accent3 7 2 6 3" xfId="33480"/>
    <cellStyle name="40% - Accent3 7 2 6 3 2" xfId="33481"/>
    <cellStyle name="40% - Accent3 7 2 6 3 2 2" xfId="33482"/>
    <cellStyle name="40% - Accent3 7 2 6 3 3" xfId="33483"/>
    <cellStyle name="40% - Accent3 7 2 6 4" xfId="33484"/>
    <cellStyle name="40% - Accent3 7 2 6 4 2" xfId="33485"/>
    <cellStyle name="40% - Accent3 7 2 6 5" xfId="33486"/>
    <cellStyle name="40% - Accent3 7 2 7" xfId="33487"/>
    <cellStyle name="40% - Accent3 7 2 7 2" xfId="33488"/>
    <cellStyle name="40% - Accent3 7 2 7 2 2" xfId="33489"/>
    <cellStyle name="40% - Accent3 7 2 7 2 2 2" xfId="33490"/>
    <cellStyle name="40% - Accent3 7 2 7 2 3" xfId="33491"/>
    <cellStyle name="40% - Accent3 7 2 7 3" xfId="33492"/>
    <cellStyle name="40% - Accent3 7 2 7 3 2" xfId="33493"/>
    <cellStyle name="40% - Accent3 7 2 7 4" xfId="33494"/>
    <cellStyle name="40% - Accent3 7 2 8" xfId="33495"/>
    <cellStyle name="40% - Accent3 7 2 8 2" xfId="33496"/>
    <cellStyle name="40% - Accent3 7 2 8 2 2" xfId="33497"/>
    <cellStyle name="40% - Accent3 7 2 8 3" xfId="33498"/>
    <cellStyle name="40% - Accent3 7 2 9" xfId="33499"/>
    <cellStyle name="40% - Accent3 7 2 9 2" xfId="33500"/>
    <cellStyle name="40% - Accent3 7 3" xfId="33501"/>
    <cellStyle name="40% - Accent3 7 3 2" xfId="33502"/>
    <cellStyle name="40% - Accent3 7 3 2 2" xfId="33503"/>
    <cellStyle name="40% - Accent3 7 3 2 2 2" xfId="33504"/>
    <cellStyle name="40% - Accent3 7 3 2 2 2 2" xfId="33505"/>
    <cellStyle name="40% - Accent3 7 3 2 2 3" xfId="33506"/>
    <cellStyle name="40% - Accent3 7 3 2 3" xfId="33507"/>
    <cellStyle name="40% - Accent3 7 3 2 3 2" xfId="33508"/>
    <cellStyle name="40% - Accent3 7 3 2 4" xfId="33509"/>
    <cellStyle name="40% - Accent3 7 3 3" xfId="33510"/>
    <cellStyle name="40% - Accent3 7 3 3 2" xfId="33511"/>
    <cellStyle name="40% - Accent3 7 3 3 2 2" xfId="33512"/>
    <cellStyle name="40% - Accent3 7 3 3 3" xfId="33513"/>
    <cellStyle name="40% - Accent3 7 3 4" xfId="33514"/>
    <cellStyle name="40% - Accent3 7 3 4 2" xfId="33515"/>
    <cellStyle name="40% - Accent3 7 3 5" xfId="33516"/>
    <cellStyle name="40% - Accent3 7 4" xfId="33517"/>
    <cellStyle name="40% - Accent3 7 4 2" xfId="33518"/>
    <cellStyle name="40% - Accent3 7 4 2 2" xfId="33519"/>
    <cellStyle name="40% - Accent3 7 4 2 2 2" xfId="33520"/>
    <cellStyle name="40% - Accent3 7 4 2 2 2 2" xfId="33521"/>
    <cellStyle name="40% - Accent3 7 4 2 2 3" xfId="33522"/>
    <cellStyle name="40% - Accent3 7 4 2 3" xfId="33523"/>
    <cellStyle name="40% - Accent3 7 4 2 3 2" xfId="33524"/>
    <cellStyle name="40% - Accent3 7 4 2 4" xfId="33525"/>
    <cellStyle name="40% - Accent3 7 4 3" xfId="33526"/>
    <cellStyle name="40% - Accent3 7 4 3 2" xfId="33527"/>
    <cellStyle name="40% - Accent3 7 4 3 2 2" xfId="33528"/>
    <cellStyle name="40% - Accent3 7 4 3 3" xfId="33529"/>
    <cellStyle name="40% - Accent3 7 4 4" xfId="33530"/>
    <cellStyle name="40% - Accent3 7 4 4 2" xfId="33531"/>
    <cellStyle name="40% - Accent3 7 4 5" xfId="33532"/>
    <cellStyle name="40% - Accent3 7 5" xfId="33533"/>
    <cellStyle name="40% - Accent3 7 5 2" xfId="33534"/>
    <cellStyle name="40% - Accent3 7 5 2 2" xfId="33535"/>
    <cellStyle name="40% - Accent3 7 5 2 2 2" xfId="33536"/>
    <cellStyle name="40% - Accent3 7 5 2 2 2 2" xfId="33537"/>
    <cellStyle name="40% - Accent3 7 5 2 2 3" xfId="33538"/>
    <cellStyle name="40% - Accent3 7 5 2 3" xfId="33539"/>
    <cellStyle name="40% - Accent3 7 5 2 3 2" xfId="33540"/>
    <cellStyle name="40% - Accent3 7 5 2 4" xfId="33541"/>
    <cellStyle name="40% - Accent3 7 5 3" xfId="33542"/>
    <cellStyle name="40% - Accent3 7 5 3 2" xfId="33543"/>
    <cellStyle name="40% - Accent3 7 5 3 2 2" xfId="33544"/>
    <cellStyle name="40% - Accent3 7 5 3 3" xfId="33545"/>
    <cellStyle name="40% - Accent3 7 5 4" xfId="33546"/>
    <cellStyle name="40% - Accent3 7 5 4 2" xfId="33547"/>
    <cellStyle name="40% - Accent3 7 5 5" xfId="33548"/>
    <cellStyle name="40% - Accent3 7 6" xfId="33549"/>
    <cellStyle name="40% - Accent3 7 6 2" xfId="33550"/>
    <cellStyle name="40% - Accent3 7 6 2 2" xfId="33551"/>
    <cellStyle name="40% - Accent3 7 6 2 2 2" xfId="33552"/>
    <cellStyle name="40% - Accent3 7 6 2 2 2 2" xfId="33553"/>
    <cellStyle name="40% - Accent3 7 6 2 2 3" xfId="33554"/>
    <cellStyle name="40% - Accent3 7 6 2 3" xfId="33555"/>
    <cellStyle name="40% - Accent3 7 6 2 3 2" xfId="33556"/>
    <cellStyle name="40% - Accent3 7 6 2 4" xfId="33557"/>
    <cellStyle name="40% - Accent3 7 6 3" xfId="33558"/>
    <cellStyle name="40% - Accent3 7 6 3 2" xfId="33559"/>
    <cellStyle name="40% - Accent3 7 6 3 2 2" xfId="33560"/>
    <cellStyle name="40% - Accent3 7 6 3 3" xfId="33561"/>
    <cellStyle name="40% - Accent3 7 6 4" xfId="33562"/>
    <cellStyle name="40% - Accent3 7 6 4 2" xfId="33563"/>
    <cellStyle name="40% - Accent3 7 6 5" xfId="33564"/>
    <cellStyle name="40% - Accent3 7 7" xfId="33565"/>
    <cellStyle name="40% - Accent3 7 7 2" xfId="33566"/>
    <cellStyle name="40% - Accent3 7 7 2 2" xfId="33567"/>
    <cellStyle name="40% - Accent3 7 7 2 2 2" xfId="33568"/>
    <cellStyle name="40% - Accent3 7 7 2 2 2 2" xfId="33569"/>
    <cellStyle name="40% - Accent3 7 7 2 2 3" xfId="33570"/>
    <cellStyle name="40% - Accent3 7 7 2 3" xfId="33571"/>
    <cellStyle name="40% - Accent3 7 7 2 3 2" xfId="33572"/>
    <cellStyle name="40% - Accent3 7 7 2 4" xfId="33573"/>
    <cellStyle name="40% - Accent3 7 7 3" xfId="33574"/>
    <cellStyle name="40% - Accent3 7 7 3 2" xfId="33575"/>
    <cellStyle name="40% - Accent3 7 7 3 2 2" xfId="33576"/>
    <cellStyle name="40% - Accent3 7 7 3 3" xfId="33577"/>
    <cellStyle name="40% - Accent3 7 7 4" xfId="33578"/>
    <cellStyle name="40% - Accent3 7 7 4 2" xfId="33579"/>
    <cellStyle name="40% - Accent3 7 7 5" xfId="33580"/>
    <cellStyle name="40% - Accent3 7 8" xfId="33581"/>
    <cellStyle name="40% - Accent3 7 8 2" xfId="33582"/>
    <cellStyle name="40% - Accent3 7 8 2 2" xfId="33583"/>
    <cellStyle name="40% - Accent3 7 8 2 2 2" xfId="33584"/>
    <cellStyle name="40% - Accent3 7 8 2 3" xfId="33585"/>
    <cellStyle name="40% - Accent3 7 8 3" xfId="33586"/>
    <cellStyle name="40% - Accent3 7 8 3 2" xfId="33587"/>
    <cellStyle name="40% - Accent3 7 8 4" xfId="33588"/>
    <cellStyle name="40% - Accent3 7 9" xfId="33589"/>
    <cellStyle name="40% - Accent3 7 9 2" xfId="33590"/>
    <cellStyle name="40% - Accent3 7 9 2 2" xfId="33591"/>
    <cellStyle name="40% - Accent3 7 9 3" xfId="33592"/>
    <cellStyle name="40% - Accent3 8" xfId="33593"/>
    <cellStyle name="40% - Accent3 8 10" xfId="33594"/>
    <cellStyle name="40% - Accent3 8 10 2" xfId="33595"/>
    <cellStyle name="40% - Accent3 8 11" xfId="33596"/>
    <cellStyle name="40% - Accent3 8 2" xfId="33597"/>
    <cellStyle name="40% - Accent3 8 2 10" xfId="33598"/>
    <cellStyle name="40% - Accent3 8 2 2" xfId="33599"/>
    <cellStyle name="40% - Accent3 8 2 2 2" xfId="33600"/>
    <cellStyle name="40% - Accent3 8 2 2 2 2" xfId="33601"/>
    <cellStyle name="40% - Accent3 8 2 2 2 2 2" xfId="33602"/>
    <cellStyle name="40% - Accent3 8 2 2 2 2 2 2" xfId="33603"/>
    <cellStyle name="40% - Accent3 8 2 2 2 2 3" xfId="33604"/>
    <cellStyle name="40% - Accent3 8 2 2 2 3" xfId="33605"/>
    <cellStyle name="40% - Accent3 8 2 2 2 3 2" xfId="33606"/>
    <cellStyle name="40% - Accent3 8 2 2 2 4" xfId="33607"/>
    <cellStyle name="40% - Accent3 8 2 2 3" xfId="33608"/>
    <cellStyle name="40% - Accent3 8 2 2 3 2" xfId="33609"/>
    <cellStyle name="40% - Accent3 8 2 2 3 2 2" xfId="33610"/>
    <cellStyle name="40% - Accent3 8 2 2 3 3" xfId="33611"/>
    <cellStyle name="40% - Accent3 8 2 2 4" xfId="33612"/>
    <cellStyle name="40% - Accent3 8 2 2 4 2" xfId="33613"/>
    <cellStyle name="40% - Accent3 8 2 2 5" xfId="33614"/>
    <cellStyle name="40% - Accent3 8 2 3" xfId="33615"/>
    <cellStyle name="40% - Accent3 8 2 3 2" xfId="33616"/>
    <cellStyle name="40% - Accent3 8 2 3 2 2" xfId="33617"/>
    <cellStyle name="40% - Accent3 8 2 3 2 2 2" xfId="33618"/>
    <cellStyle name="40% - Accent3 8 2 3 2 2 2 2" xfId="33619"/>
    <cellStyle name="40% - Accent3 8 2 3 2 2 3" xfId="33620"/>
    <cellStyle name="40% - Accent3 8 2 3 2 3" xfId="33621"/>
    <cellStyle name="40% - Accent3 8 2 3 2 3 2" xfId="33622"/>
    <cellStyle name="40% - Accent3 8 2 3 2 4" xfId="33623"/>
    <cellStyle name="40% - Accent3 8 2 3 3" xfId="33624"/>
    <cellStyle name="40% - Accent3 8 2 3 3 2" xfId="33625"/>
    <cellStyle name="40% - Accent3 8 2 3 3 2 2" xfId="33626"/>
    <cellStyle name="40% - Accent3 8 2 3 3 3" xfId="33627"/>
    <cellStyle name="40% - Accent3 8 2 3 4" xfId="33628"/>
    <cellStyle name="40% - Accent3 8 2 3 4 2" xfId="33629"/>
    <cellStyle name="40% - Accent3 8 2 3 5" xfId="33630"/>
    <cellStyle name="40% - Accent3 8 2 4" xfId="33631"/>
    <cellStyle name="40% - Accent3 8 2 4 2" xfId="33632"/>
    <cellStyle name="40% - Accent3 8 2 4 2 2" xfId="33633"/>
    <cellStyle name="40% - Accent3 8 2 4 2 2 2" xfId="33634"/>
    <cellStyle name="40% - Accent3 8 2 4 2 2 2 2" xfId="33635"/>
    <cellStyle name="40% - Accent3 8 2 4 2 2 3" xfId="33636"/>
    <cellStyle name="40% - Accent3 8 2 4 2 3" xfId="33637"/>
    <cellStyle name="40% - Accent3 8 2 4 2 3 2" xfId="33638"/>
    <cellStyle name="40% - Accent3 8 2 4 2 4" xfId="33639"/>
    <cellStyle name="40% - Accent3 8 2 4 3" xfId="33640"/>
    <cellStyle name="40% - Accent3 8 2 4 3 2" xfId="33641"/>
    <cellStyle name="40% - Accent3 8 2 4 3 2 2" xfId="33642"/>
    <cellStyle name="40% - Accent3 8 2 4 3 3" xfId="33643"/>
    <cellStyle name="40% - Accent3 8 2 4 4" xfId="33644"/>
    <cellStyle name="40% - Accent3 8 2 4 4 2" xfId="33645"/>
    <cellStyle name="40% - Accent3 8 2 4 5" xfId="33646"/>
    <cellStyle name="40% - Accent3 8 2 5" xfId="33647"/>
    <cellStyle name="40% - Accent3 8 2 5 2" xfId="33648"/>
    <cellStyle name="40% - Accent3 8 2 5 2 2" xfId="33649"/>
    <cellStyle name="40% - Accent3 8 2 5 2 2 2" xfId="33650"/>
    <cellStyle name="40% - Accent3 8 2 5 2 2 2 2" xfId="33651"/>
    <cellStyle name="40% - Accent3 8 2 5 2 2 3" xfId="33652"/>
    <cellStyle name="40% - Accent3 8 2 5 2 3" xfId="33653"/>
    <cellStyle name="40% - Accent3 8 2 5 2 3 2" xfId="33654"/>
    <cellStyle name="40% - Accent3 8 2 5 2 4" xfId="33655"/>
    <cellStyle name="40% - Accent3 8 2 5 3" xfId="33656"/>
    <cellStyle name="40% - Accent3 8 2 5 3 2" xfId="33657"/>
    <cellStyle name="40% - Accent3 8 2 5 3 2 2" xfId="33658"/>
    <cellStyle name="40% - Accent3 8 2 5 3 3" xfId="33659"/>
    <cellStyle name="40% - Accent3 8 2 5 4" xfId="33660"/>
    <cellStyle name="40% - Accent3 8 2 5 4 2" xfId="33661"/>
    <cellStyle name="40% - Accent3 8 2 5 5" xfId="33662"/>
    <cellStyle name="40% - Accent3 8 2 6" xfId="33663"/>
    <cellStyle name="40% - Accent3 8 2 6 2" xfId="33664"/>
    <cellStyle name="40% - Accent3 8 2 6 2 2" xfId="33665"/>
    <cellStyle name="40% - Accent3 8 2 6 2 2 2" xfId="33666"/>
    <cellStyle name="40% - Accent3 8 2 6 2 2 2 2" xfId="33667"/>
    <cellStyle name="40% - Accent3 8 2 6 2 2 3" xfId="33668"/>
    <cellStyle name="40% - Accent3 8 2 6 2 3" xfId="33669"/>
    <cellStyle name="40% - Accent3 8 2 6 2 3 2" xfId="33670"/>
    <cellStyle name="40% - Accent3 8 2 6 2 4" xfId="33671"/>
    <cellStyle name="40% - Accent3 8 2 6 3" xfId="33672"/>
    <cellStyle name="40% - Accent3 8 2 6 3 2" xfId="33673"/>
    <cellStyle name="40% - Accent3 8 2 6 3 2 2" xfId="33674"/>
    <cellStyle name="40% - Accent3 8 2 6 3 3" xfId="33675"/>
    <cellStyle name="40% - Accent3 8 2 6 4" xfId="33676"/>
    <cellStyle name="40% - Accent3 8 2 6 4 2" xfId="33677"/>
    <cellStyle name="40% - Accent3 8 2 6 5" xfId="33678"/>
    <cellStyle name="40% - Accent3 8 2 7" xfId="33679"/>
    <cellStyle name="40% - Accent3 8 2 7 2" xfId="33680"/>
    <cellStyle name="40% - Accent3 8 2 7 2 2" xfId="33681"/>
    <cellStyle name="40% - Accent3 8 2 7 2 2 2" xfId="33682"/>
    <cellStyle name="40% - Accent3 8 2 7 2 3" xfId="33683"/>
    <cellStyle name="40% - Accent3 8 2 7 3" xfId="33684"/>
    <cellStyle name="40% - Accent3 8 2 7 3 2" xfId="33685"/>
    <cellStyle name="40% - Accent3 8 2 7 4" xfId="33686"/>
    <cellStyle name="40% - Accent3 8 2 8" xfId="33687"/>
    <cellStyle name="40% - Accent3 8 2 8 2" xfId="33688"/>
    <cellStyle name="40% - Accent3 8 2 8 2 2" xfId="33689"/>
    <cellStyle name="40% - Accent3 8 2 8 3" xfId="33690"/>
    <cellStyle name="40% - Accent3 8 2 9" xfId="33691"/>
    <cellStyle name="40% - Accent3 8 2 9 2" xfId="33692"/>
    <cellStyle name="40% - Accent3 8 3" xfId="33693"/>
    <cellStyle name="40% - Accent3 8 3 2" xfId="33694"/>
    <cellStyle name="40% - Accent3 8 3 2 2" xfId="33695"/>
    <cellStyle name="40% - Accent3 8 3 2 2 2" xfId="33696"/>
    <cellStyle name="40% - Accent3 8 3 2 2 2 2" xfId="33697"/>
    <cellStyle name="40% - Accent3 8 3 2 2 3" xfId="33698"/>
    <cellStyle name="40% - Accent3 8 3 2 3" xfId="33699"/>
    <cellStyle name="40% - Accent3 8 3 2 3 2" xfId="33700"/>
    <cellStyle name="40% - Accent3 8 3 2 4" xfId="33701"/>
    <cellStyle name="40% - Accent3 8 3 3" xfId="33702"/>
    <cellStyle name="40% - Accent3 8 3 3 2" xfId="33703"/>
    <cellStyle name="40% - Accent3 8 3 3 2 2" xfId="33704"/>
    <cellStyle name="40% - Accent3 8 3 3 3" xfId="33705"/>
    <cellStyle name="40% - Accent3 8 3 4" xfId="33706"/>
    <cellStyle name="40% - Accent3 8 3 4 2" xfId="33707"/>
    <cellStyle name="40% - Accent3 8 3 5" xfId="33708"/>
    <cellStyle name="40% - Accent3 8 4" xfId="33709"/>
    <cellStyle name="40% - Accent3 8 4 2" xfId="33710"/>
    <cellStyle name="40% - Accent3 8 4 2 2" xfId="33711"/>
    <cellStyle name="40% - Accent3 8 4 2 2 2" xfId="33712"/>
    <cellStyle name="40% - Accent3 8 4 2 2 2 2" xfId="33713"/>
    <cellStyle name="40% - Accent3 8 4 2 2 3" xfId="33714"/>
    <cellStyle name="40% - Accent3 8 4 2 3" xfId="33715"/>
    <cellStyle name="40% - Accent3 8 4 2 3 2" xfId="33716"/>
    <cellStyle name="40% - Accent3 8 4 2 4" xfId="33717"/>
    <cellStyle name="40% - Accent3 8 4 3" xfId="33718"/>
    <cellStyle name="40% - Accent3 8 4 3 2" xfId="33719"/>
    <cellStyle name="40% - Accent3 8 4 3 2 2" xfId="33720"/>
    <cellStyle name="40% - Accent3 8 4 3 3" xfId="33721"/>
    <cellStyle name="40% - Accent3 8 4 4" xfId="33722"/>
    <cellStyle name="40% - Accent3 8 4 4 2" xfId="33723"/>
    <cellStyle name="40% - Accent3 8 4 5" xfId="33724"/>
    <cellStyle name="40% - Accent3 8 5" xfId="33725"/>
    <cellStyle name="40% - Accent3 8 5 2" xfId="33726"/>
    <cellStyle name="40% - Accent3 8 5 2 2" xfId="33727"/>
    <cellStyle name="40% - Accent3 8 5 2 2 2" xfId="33728"/>
    <cellStyle name="40% - Accent3 8 5 2 2 2 2" xfId="33729"/>
    <cellStyle name="40% - Accent3 8 5 2 2 3" xfId="33730"/>
    <cellStyle name="40% - Accent3 8 5 2 3" xfId="33731"/>
    <cellStyle name="40% - Accent3 8 5 2 3 2" xfId="33732"/>
    <cellStyle name="40% - Accent3 8 5 2 4" xfId="33733"/>
    <cellStyle name="40% - Accent3 8 5 3" xfId="33734"/>
    <cellStyle name="40% - Accent3 8 5 3 2" xfId="33735"/>
    <cellStyle name="40% - Accent3 8 5 3 2 2" xfId="33736"/>
    <cellStyle name="40% - Accent3 8 5 3 3" xfId="33737"/>
    <cellStyle name="40% - Accent3 8 5 4" xfId="33738"/>
    <cellStyle name="40% - Accent3 8 5 4 2" xfId="33739"/>
    <cellStyle name="40% - Accent3 8 5 5" xfId="33740"/>
    <cellStyle name="40% - Accent3 8 6" xfId="33741"/>
    <cellStyle name="40% - Accent3 8 6 2" xfId="33742"/>
    <cellStyle name="40% - Accent3 8 6 2 2" xfId="33743"/>
    <cellStyle name="40% - Accent3 8 6 2 2 2" xfId="33744"/>
    <cellStyle name="40% - Accent3 8 6 2 2 2 2" xfId="33745"/>
    <cellStyle name="40% - Accent3 8 6 2 2 3" xfId="33746"/>
    <cellStyle name="40% - Accent3 8 6 2 3" xfId="33747"/>
    <cellStyle name="40% - Accent3 8 6 2 3 2" xfId="33748"/>
    <cellStyle name="40% - Accent3 8 6 2 4" xfId="33749"/>
    <cellStyle name="40% - Accent3 8 6 3" xfId="33750"/>
    <cellStyle name="40% - Accent3 8 6 3 2" xfId="33751"/>
    <cellStyle name="40% - Accent3 8 6 3 2 2" xfId="33752"/>
    <cellStyle name="40% - Accent3 8 6 3 3" xfId="33753"/>
    <cellStyle name="40% - Accent3 8 6 4" xfId="33754"/>
    <cellStyle name="40% - Accent3 8 6 4 2" xfId="33755"/>
    <cellStyle name="40% - Accent3 8 6 5" xfId="33756"/>
    <cellStyle name="40% - Accent3 8 7" xfId="33757"/>
    <cellStyle name="40% - Accent3 8 7 2" xfId="33758"/>
    <cellStyle name="40% - Accent3 8 7 2 2" xfId="33759"/>
    <cellStyle name="40% - Accent3 8 7 2 2 2" xfId="33760"/>
    <cellStyle name="40% - Accent3 8 7 2 2 2 2" xfId="33761"/>
    <cellStyle name="40% - Accent3 8 7 2 2 3" xfId="33762"/>
    <cellStyle name="40% - Accent3 8 7 2 3" xfId="33763"/>
    <cellStyle name="40% - Accent3 8 7 2 3 2" xfId="33764"/>
    <cellStyle name="40% - Accent3 8 7 2 4" xfId="33765"/>
    <cellStyle name="40% - Accent3 8 7 3" xfId="33766"/>
    <cellStyle name="40% - Accent3 8 7 3 2" xfId="33767"/>
    <cellStyle name="40% - Accent3 8 7 3 2 2" xfId="33768"/>
    <cellStyle name="40% - Accent3 8 7 3 3" xfId="33769"/>
    <cellStyle name="40% - Accent3 8 7 4" xfId="33770"/>
    <cellStyle name="40% - Accent3 8 7 4 2" xfId="33771"/>
    <cellStyle name="40% - Accent3 8 7 5" xfId="33772"/>
    <cellStyle name="40% - Accent3 8 8" xfId="33773"/>
    <cellStyle name="40% - Accent3 8 8 2" xfId="33774"/>
    <cellStyle name="40% - Accent3 8 8 2 2" xfId="33775"/>
    <cellStyle name="40% - Accent3 8 8 2 2 2" xfId="33776"/>
    <cellStyle name="40% - Accent3 8 8 2 3" xfId="33777"/>
    <cellStyle name="40% - Accent3 8 8 3" xfId="33778"/>
    <cellStyle name="40% - Accent3 8 8 3 2" xfId="33779"/>
    <cellStyle name="40% - Accent3 8 8 4" xfId="33780"/>
    <cellStyle name="40% - Accent3 8 9" xfId="33781"/>
    <cellStyle name="40% - Accent3 8 9 2" xfId="33782"/>
    <cellStyle name="40% - Accent3 8 9 2 2" xfId="33783"/>
    <cellStyle name="40% - Accent3 8 9 3" xfId="33784"/>
    <cellStyle name="40% - Accent3 9" xfId="33785"/>
    <cellStyle name="40% - Accent3 9 10" xfId="33786"/>
    <cellStyle name="40% - Accent3 9 10 2" xfId="33787"/>
    <cellStyle name="40% - Accent3 9 11" xfId="33788"/>
    <cellStyle name="40% - Accent3 9 2" xfId="33789"/>
    <cellStyle name="40% - Accent3 9 2 10" xfId="33790"/>
    <cellStyle name="40% - Accent3 9 2 2" xfId="33791"/>
    <cellStyle name="40% - Accent3 9 2 2 2" xfId="33792"/>
    <cellStyle name="40% - Accent3 9 2 2 2 2" xfId="33793"/>
    <cellStyle name="40% - Accent3 9 2 2 2 2 2" xfId="33794"/>
    <cellStyle name="40% - Accent3 9 2 2 2 2 2 2" xfId="33795"/>
    <cellStyle name="40% - Accent3 9 2 2 2 2 3" xfId="33796"/>
    <cellStyle name="40% - Accent3 9 2 2 2 3" xfId="33797"/>
    <cellStyle name="40% - Accent3 9 2 2 2 3 2" xfId="33798"/>
    <cellStyle name="40% - Accent3 9 2 2 2 4" xfId="33799"/>
    <cellStyle name="40% - Accent3 9 2 2 3" xfId="33800"/>
    <cellStyle name="40% - Accent3 9 2 2 3 2" xfId="33801"/>
    <cellStyle name="40% - Accent3 9 2 2 3 2 2" xfId="33802"/>
    <cellStyle name="40% - Accent3 9 2 2 3 3" xfId="33803"/>
    <cellStyle name="40% - Accent3 9 2 2 4" xfId="33804"/>
    <cellStyle name="40% - Accent3 9 2 2 4 2" xfId="33805"/>
    <cellStyle name="40% - Accent3 9 2 2 5" xfId="33806"/>
    <cellStyle name="40% - Accent3 9 2 3" xfId="33807"/>
    <cellStyle name="40% - Accent3 9 2 3 2" xfId="33808"/>
    <cellStyle name="40% - Accent3 9 2 3 2 2" xfId="33809"/>
    <cellStyle name="40% - Accent3 9 2 3 2 2 2" xfId="33810"/>
    <cellStyle name="40% - Accent3 9 2 3 2 2 2 2" xfId="33811"/>
    <cellStyle name="40% - Accent3 9 2 3 2 2 3" xfId="33812"/>
    <cellStyle name="40% - Accent3 9 2 3 2 3" xfId="33813"/>
    <cellStyle name="40% - Accent3 9 2 3 2 3 2" xfId="33814"/>
    <cellStyle name="40% - Accent3 9 2 3 2 4" xfId="33815"/>
    <cellStyle name="40% - Accent3 9 2 3 3" xfId="33816"/>
    <cellStyle name="40% - Accent3 9 2 3 3 2" xfId="33817"/>
    <cellStyle name="40% - Accent3 9 2 3 3 2 2" xfId="33818"/>
    <cellStyle name="40% - Accent3 9 2 3 3 3" xfId="33819"/>
    <cellStyle name="40% - Accent3 9 2 3 4" xfId="33820"/>
    <cellStyle name="40% - Accent3 9 2 3 4 2" xfId="33821"/>
    <cellStyle name="40% - Accent3 9 2 3 5" xfId="33822"/>
    <cellStyle name="40% - Accent3 9 2 4" xfId="33823"/>
    <cellStyle name="40% - Accent3 9 2 4 2" xfId="33824"/>
    <cellStyle name="40% - Accent3 9 2 4 2 2" xfId="33825"/>
    <cellStyle name="40% - Accent3 9 2 4 2 2 2" xfId="33826"/>
    <cellStyle name="40% - Accent3 9 2 4 2 2 2 2" xfId="33827"/>
    <cellStyle name="40% - Accent3 9 2 4 2 2 3" xfId="33828"/>
    <cellStyle name="40% - Accent3 9 2 4 2 3" xfId="33829"/>
    <cellStyle name="40% - Accent3 9 2 4 2 3 2" xfId="33830"/>
    <cellStyle name="40% - Accent3 9 2 4 2 4" xfId="33831"/>
    <cellStyle name="40% - Accent3 9 2 4 3" xfId="33832"/>
    <cellStyle name="40% - Accent3 9 2 4 3 2" xfId="33833"/>
    <cellStyle name="40% - Accent3 9 2 4 3 2 2" xfId="33834"/>
    <cellStyle name="40% - Accent3 9 2 4 3 3" xfId="33835"/>
    <cellStyle name="40% - Accent3 9 2 4 4" xfId="33836"/>
    <cellStyle name="40% - Accent3 9 2 4 4 2" xfId="33837"/>
    <cellStyle name="40% - Accent3 9 2 4 5" xfId="33838"/>
    <cellStyle name="40% - Accent3 9 2 5" xfId="33839"/>
    <cellStyle name="40% - Accent3 9 2 5 2" xfId="33840"/>
    <cellStyle name="40% - Accent3 9 2 5 2 2" xfId="33841"/>
    <cellStyle name="40% - Accent3 9 2 5 2 2 2" xfId="33842"/>
    <cellStyle name="40% - Accent3 9 2 5 2 2 2 2" xfId="33843"/>
    <cellStyle name="40% - Accent3 9 2 5 2 2 3" xfId="33844"/>
    <cellStyle name="40% - Accent3 9 2 5 2 3" xfId="33845"/>
    <cellStyle name="40% - Accent3 9 2 5 2 3 2" xfId="33846"/>
    <cellStyle name="40% - Accent3 9 2 5 2 4" xfId="33847"/>
    <cellStyle name="40% - Accent3 9 2 5 3" xfId="33848"/>
    <cellStyle name="40% - Accent3 9 2 5 3 2" xfId="33849"/>
    <cellStyle name="40% - Accent3 9 2 5 3 2 2" xfId="33850"/>
    <cellStyle name="40% - Accent3 9 2 5 3 3" xfId="33851"/>
    <cellStyle name="40% - Accent3 9 2 5 4" xfId="33852"/>
    <cellStyle name="40% - Accent3 9 2 5 4 2" xfId="33853"/>
    <cellStyle name="40% - Accent3 9 2 5 5" xfId="33854"/>
    <cellStyle name="40% - Accent3 9 2 6" xfId="33855"/>
    <cellStyle name="40% - Accent3 9 2 6 2" xfId="33856"/>
    <cellStyle name="40% - Accent3 9 2 6 2 2" xfId="33857"/>
    <cellStyle name="40% - Accent3 9 2 6 2 2 2" xfId="33858"/>
    <cellStyle name="40% - Accent3 9 2 6 2 2 2 2" xfId="33859"/>
    <cellStyle name="40% - Accent3 9 2 6 2 2 3" xfId="33860"/>
    <cellStyle name="40% - Accent3 9 2 6 2 3" xfId="33861"/>
    <cellStyle name="40% - Accent3 9 2 6 2 3 2" xfId="33862"/>
    <cellStyle name="40% - Accent3 9 2 6 2 4" xfId="33863"/>
    <cellStyle name="40% - Accent3 9 2 6 3" xfId="33864"/>
    <cellStyle name="40% - Accent3 9 2 6 3 2" xfId="33865"/>
    <cellStyle name="40% - Accent3 9 2 6 3 2 2" xfId="33866"/>
    <cellStyle name="40% - Accent3 9 2 6 3 3" xfId="33867"/>
    <cellStyle name="40% - Accent3 9 2 6 4" xfId="33868"/>
    <cellStyle name="40% - Accent3 9 2 6 4 2" xfId="33869"/>
    <cellStyle name="40% - Accent3 9 2 6 5" xfId="33870"/>
    <cellStyle name="40% - Accent3 9 2 7" xfId="33871"/>
    <cellStyle name="40% - Accent3 9 2 7 2" xfId="33872"/>
    <cellStyle name="40% - Accent3 9 2 7 2 2" xfId="33873"/>
    <cellStyle name="40% - Accent3 9 2 7 2 2 2" xfId="33874"/>
    <cellStyle name="40% - Accent3 9 2 7 2 3" xfId="33875"/>
    <cellStyle name="40% - Accent3 9 2 7 3" xfId="33876"/>
    <cellStyle name="40% - Accent3 9 2 7 3 2" xfId="33877"/>
    <cellStyle name="40% - Accent3 9 2 7 4" xfId="33878"/>
    <cellStyle name="40% - Accent3 9 2 8" xfId="33879"/>
    <cellStyle name="40% - Accent3 9 2 8 2" xfId="33880"/>
    <cellStyle name="40% - Accent3 9 2 8 2 2" xfId="33881"/>
    <cellStyle name="40% - Accent3 9 2 8 3" xfId="33882"/>
    <cellStyle name="40% - Accent3 9 2 9" xfId="33883"/>
    <cellStyle name="40% - Accent3 9 2 9 2" xfId="33884"/>
    <cellStyle name="40% - Accent3 9 3" xfId="33885"/>
    <cellStyle name="40% - Accent3 9 3 2" xfId="33886"/>
    <cellStyle name="40% - Accent3 9 3 2 2" xfId="33887"/>
    <cellStyle name="40% - Accent3 9 3 2 2 2" xfId="33888"/>
    <cellStyle name="40% - Accent3 9 3 2 2 2 2" xfId="33889"/>
    <cellStyle name="40% - Accent3 9 3 2 2 3" xfId="33890"/>
    <cellStyle name="40% - Accent3 9 3 2 3" xfId="33891"/>
    <cellStyle name="40% - Accent3 9 3 2 3 2" xfId="33892"/>
    <cellStyle name="40% - Accent3 9 3 2 4" xfId="33893"/>
    <cellStyle name="40% - Accent3 9 3 3" xfId="33894"/>
    <cellStyle name="40% - Accent3 9 3 3 2" xfId="33895"/>
    <cellStyle name="40% - Accent3 9 3 3 2 2" xfId="33896"/>
    <cellStyle name="40% - Accent3 9 3 3 3" xfId="33897"/>
    <cellStyle name="40% - Accent3 9 3 4" xfId="33898"/>
    <cellStyle name="40% - Accent3 9 3 4 2" xfId="33899"/>
    <cellStyle name="40% - Accent3 9 3 5" xfId="33900"/>
    <cellStyle name="40% - Accent3 9 4" xfId="33901"/>
    <cellStyle name="40% - Accent3 9 4 2" xfId="33902"/>
    <cellStyle name="40% - Accent3 9 4 2 2" xfId="33903"/>
    <cellStyle name="40% - Accent3 9 4 2 2 2" xfId="33904"/>
    <cellStyle name="40% - Accent3 9 4 2 2 2 2" xfId="33905"/>
    <cellStyle name="40% - Accent3 9 4 2 2 3" xfId="33906"/>
    <cellStyle name="40% - Accent3 9 4 2 3" xfId="33907"/>
    <cellStyle name="40% - Accent3 9 4 2 3 2" xfId="33908"/>
    <cellStyle name="40% - Accent3 9 4 2 4" xfId="33909"/>
    <cellStyle name="40% - Accent3 9 4 3" xfId="33910"/>
    <cellStyle name="40% - Accent3 9 4 3 2" xfId="33911"/>
    <cellStyle name="40% - Accent3 9 4 3 2 2" xfId="33912"/>
    <cellStyle name="40% - Accent3 9 4 3 3" xfId="33913"/>
    <cellStyle name="40% - Accent3 9 4 4" xfId="33914"/>
    <cellStyle name="40% - Accent3 9 4 4 2" xfId="33915"/>
    <cellStyle name="40% - Accent3 9 4 5" xfId="33916"/>
    <cellStyle name="40% - Accent3 9 5" xfId="33917"/>
    <cellStyle name="40% - Accent3 9 5 2" xfId="33918"/>
    <cellStyle name="40% - Accent3 9 5 2 2" xfId="33919"/>
    <cellStyle name="40% - Accent3 9 5 2 2 2" xfId="33920"/>
    <cellStyle name="40% - Accent3 9 5 2 2 2 2" xfId="33921"/>
    <cellStyle name="40% - Accent3 9 5 2 2 3" xfId="33922"/>
    <cellStyle name="40% - Accent3 9 5 2 3" xfId="33923"/>
    <cellStyle name="40% - Accent3 9 5 2 3 2" xfId="33924"/>
    <cellStyle name="40% - Accent3 9 5 2 4" xfId="33925"/>
    <cellStyle name="40% - Accent3 9 5 3" xfId="33926"/>
    <cellStyle name="40% - Accent3 9 5 3 2" xfId="33927"/>
    <cellStyle name="40% - Accent3 9 5 3 2 2" xfId="33928"/>
    <cellStyle name="40% - Accent3 9 5 3 3" xfId="33929"/>
    <cellStyle name="40% - Accent3 9 5 4" xfId="33930"/>
    <cellStyle name="40% - Accent3 9 5 4 2" xfId="33931"/>
    <cellStyle name="40% - Accent3 9 5 5" xfId="33932"/>
    <cellStyle name="40% - Accent3 9 6" xfId="33933"/>
    <cellStyle name="40% - Accent3 9 6 2" xfId="33934"/>
    <cellStyle name="40% - Accent3 9 6 2 2" xfId="33935"/>
    <cellStyle name="40% - Accent3 9 6 2 2 2" xfId="33936"/>
    <cellStyle name="40% - Accent3 9 6 2 2 2 2" xfId="33937"/>
    <cellStyle name="40% - Accent3 9 6 2 2 3" xfId="33938"/>
    <cellStyle name="40% - Accent3 9 6 2 3" xfId="33939"/>
    <cellStyle name="40% - Accent3 9 6 2 3 2" xfId="33940"/>
    <cellStyle name="40% - Accent3 9 6 2 4" xfId="33941"/>
    <cellStyle name="40% - Accent3 9 6 3" xfId="33942"/>
    <cellStyle name="40% - Accent3 9 6 3 2" xfId="33943"/>
    <cellStyle name="40% - Accent3 9 6 3 2 2" xfId="33944"/>
    <cellStyle name="40% - Accent3 9 6 3 3" xfId="33945"/>
    <cellStyle name="40% - Accent3 9 6 4" xfId="33946"/>
    <cellStyle name="40% - Accent3 9 6 4 2" xfId="33947"/>
    <cellStyle name="40% - Accent3 9 6 5" xfId="33948"/>
    <cellStyle name="40% - Accent3 9 7" xfId="33949"/>
    <cellStyle name="40% - Accent3 9 7 2" xfId="33950"/>
    <cellStyle name="40% - Accent3 9 7 2 2" xfId="33951"/>
    <cellStyle name="40% - Accent3 9 7 2 2 2" xfId="33952"/>
    <cellStyle name="40% - Accent3 9 7 2 2 2 2" xfId="33953"/>
    <cellStyle name="40% - Accent3 9 7 2 2 3" xfId="33954"/>
    <cellStyle name="40% - Accent3 9 7 2 3" xfId="33955"/>
    <cellStyle name="40% - Accent3 9 7 2 3 2" xfId="33956"/>
    <cellStyle name="40% - Accent3 9 7 2 4" xfId="33957"/>
    <cellStyle name="40% - Accent3 9 7 3" xfId="33958"/>
    <cellStyle name="40% - Accent3 9 7 3 2" xfId="33959"/>
    <cellStyle name="40% - Accent3 9 7 3 2 2" xfId="33960"/>
    <cellStyle name="40% - Accent3 9 7 3 3" xfId="33961"/>
    <cellStyle name="40% - Accent3 9 7 4" xfId="33962"/>
    <cellStyle name="40% - Accent3 9 7 4 2" xfId="33963"/>
    <cellStyle name="40% - Accent3 9 7 5" xfId="33964"/>
    <cellStyle name="40% - Accent3 9 8" xfId="33965"/>
    <cellStyle name="40% - Accent3 9 8 2" xfId="33966"/>
    <cellStyle name="40% - Accent3 9 8 2 2" xfId="33967"/>
    <cellStyle name="40% - Accent3 9 8 2 2 2" xfId="33968"/>
    <cellStyle name="40% - Accent3 9 8 2 3" xfId="33969"/>
    <cellStyle name="40% - Accent3 9 8 3" xfId="33970"/>
    <cellStyle name="40% - Accent3 9 8 3 2" xfId="33971"/>
    <cellStyle name="40% - Accent3 9 8 4" xfId="33972"/>
    <cellStyle name="40% - Accent3 9 9" xfId="33973"/>
    <cellStyle name="40% - Accent3 9 9 2" xfId="33974"/>
    <cellStyle name="40% - Accent3 9 9 2 2" xfId="33975"/>
    <cellStyle name="40% - Accent3 9 9 3" xfId="33976"/>
    <cellStyle name="40% - Accent4" xfId="52862" builtinId="43" customBuiltin="1"/>
    <cellStyle name="40% - Accent4 10" xfId="33977"/>
    <cellStyle name="40% - Accent4 10 10" xfId="33978"/>
    <cellStyle name="40% - Accent4 10 10 2" xfId="33979"/>
    <cellStyle name="40% - Accent4 10 11" xfId="33980"/>
    <cellStyle name="40% - Accent4 10 2" xfId="33981"/>
    <cellStyle name="40% - Accent4 10 2 10" xfId="33982"/>
    <cellStyle name="40% - Accent4 10 2 2" xfId="33983"/>
    <cellStyle name="40% - Accent4 10 2 2 2" xfId="33984"/>
    <cellStyle name="40% - Accent4 10 2 2 2 2" xfId="33985"/>
    <cellStyle name="40% - Accent4 10 2 2 2 2 2" xfId="33986"/>
    <cellStyle name="40% - Accent4 10 2 2 2 2 2 2" xfId="33987"/>
    <cellStyle name="40% - Accent4 10 2 2 2 2 3" xfId="33988"/>
    <cellStyle name="40% - Accent4 10 2 2 2 3" xfId="33989"/>
    <cellStyle name="40% - Accent4 10 2 2 2 3 2" xfId="33990"/>
    <cellStyle name="40% - Accent4 10 2 2 2 4" xfId="33991"/>
    <cellStyle name="40% - Accent4 10 2 2 3" xfId="33992"/>
    <cellStyle name="40% - Accent4 10 2 2 3 2" xfId="33993"/>
    <cellStyle name="40% - Accent4 10 2 2 3 2 2" xfId="33994"/>
    <cellStyle name="40% - Accent4 10 2 2 3 3" xfId="33995"/>
    <cellStyle name="40% - Accent4 10 2 2 4" xfId="33996"/>
    <cellStyle name="40% - Accent4 10 2 2 4 2" xfId="33997"/>
    <cellStyle name="40% - Accent4 10 2 2 5" xfId="33998"/>
    <cellStyle name="40% - Accent4 10 2 3" xfId="33999"/>
    <cellStyle name="40% - Accent4 10 2 3 2" xfId="34000"/>
    <cellStyle name="40% - Accent4 10 2 3 2 2" xfId="34001"/>
    <cellStyle name="40% - Accent4 10 2 3 2 2 2" xfId="34002"/>
    <cellStyle name="40% - Accent4 10 2 3 2 2 2 2" xfId="34003"/>
    <cellStyle name="40% - Accent4 10 2 3 2 2 3" xfId="34004"/>
    <cellStyle name="40% - Accent4 10 2 3 2 3" xfId="34005"/>
    <cellStyle name="40% - Accent4 10 2 3 2 3 2" xfId="34006"/>
    <cellStyle name="40% - Accent4 10 2 3 2 4" xfId="34007"/>
    <cellStyle name="40% - Accent4 10 2 3 3" xfId="34008"/>
    <cellStyle name="40% - Accent4 10 2 3 3 2" xfId="34009"/>
    <cellStyle name="40% - Accent4 10 2 3 3 2 2" xfId="34010"/>
    <cellStyle name="40% - Accent4 10 2 3 3 3" xfId="34011"/>
    <cellStyle name="40% - Accent4 10 2 3 4" xfId="34012"/>
    <cellStyle name="40% - Accent4 10 2 3 4 2" xfId="34013"/>
    <cellStyle name="40% - Accent4 10 2 3 5" xfId="34014"/>
    <cellStyle name="40% - Accent4 10 2 4" xfId="34015"/>
    <cellStyle name="40% - Accent4 10 2 4 2" xfId="34016"/>
    <cellStyle name="40% - Accent4 10 2 4 2 2" xfId="34017"/>
    <cellStyle name="40% - Accent4 10 2 4 2 2 2" xfId="34018"/>
    <cellStyle name="40% - Accent4 10 2 4 2 2 2 2" xfId="34019"/>
    <cellStyle name="40% - Accent4 10 2 4 2 2 3" xfId="34020"/>
    <cellStyle name="40% - Accent4 10 2 4 2 3" xfId="34021"/>
    <cellStyle name="40% - Accent4 10 2 4 2 3 2" xfId="34022"/>
    <cellStyle name="40% - Accent4 10 2 4 2 4" xfId="34023"/>
    <cellStyle name="40% - Accent4 10 2 4 3" xfId="34024"/>
    <cellStyle name="40% - Accent4 10 2 4 3 2" xfId="34025"/>
    <cellStyle name="40% - Accent4 10 2 4 3 2 2" xfId="34026"/>
    <cellStyle name="40% - Accent4 10 2 4 3 3" xfId="34027"/>
    <cellStyle name="40% - Accent4 10 2 4 4" xfId="34028"/>
    <cellStyle name="40% - Accent4 10 2 4 4 2" xfId="34029"/>
    <cellStyle name="40% - Accent4 10 2 4 5" xfId="34030"/>
    <cellStyle name="40% - Accent4 10 2 5" xfId="34031"/>
    <cellStyle name="40% - Accent4 10 2 5 2" xfId="34032"/>
    <cellStyle name="40% - Accent4 10 2 5 2 2" xfId="34033"/>
    <cellStyle name="40% - Accent4 10 2 5 2 2 2" xfId="34034"/>
    <cellStyle name="40% - Accent4 10 2 5 2 2 2 2" xfId="34035"/>
    <cellStyle name="40% - Accent4 10 2 5 2 2 3" xfId="34036"/>
    <cellStyle name="40% - Accent4 10 2 5 2 3" xfId="34037"/>
    <cellStyle name="40% - Accent4 10 2 5 2 3 2" xfId="34038"/>
    <cellStyle name="40% - Accent4 10 2 5 2 4" xfId="34039"/>
    <cellStyle name="40% - Accent4 10 2 5 3" xfId="34040"/>
    <cellStyle name="40% - Accent4 10 2 5 3 2" xfId="34041"/>
    <cellStyle name="40% - Accent4 10 2 5 3 2 2" xfId="34042"/>
    <cellStyle name="40% - Accent4 10 2 5 3 3" xfId="34043"/>
    <cellStyle name="40% - Accent4 10 2 5 4" xfId="34044"/>
    <cellStyle name="40% - Accent4 10 2 5 4 2" xfId="34045"/>
    <cellStyle name="40% - Accent4 10 2 5 5" xfId="34046"/>
    <cellStyle name="40% - Accent4 10 2 6" xfId="34047"/>
    <cellStyle name="40% - Accent4 10 2 6 2" xfId="34048"/>
    <cellStyle name="40% - Accent4 10 2 6 2 2" xfId="34049"/>
    <cellStyle name="40% - Accent4 10 2 6 2 2 2" xfId="34050"/>
    <cellStyle name="40% - Accent4 10 2 6 2 2 2 2" xfId="34051"/>
    <cellStyle name="40% - Accent4 10 2 6 2 2 3" xfId="34052"/>
    <cellStyle name="40% - Accent4 10 2 6 2 3" xfId="34053"/>
    <cellStyle name="40% - Accent4 10 2 6 2 3 2" xfId="34054"/>
    <cellStyle name="40% - Accent4 10 2 6 2 4" xfId="34055"/>
    <cellStyle name="40% - Accent4 10 2 6 3" xfId="34056"/>
    <cellStyle name="40% - Accent4 10 2 6 3 2" xfId="34057"/>
    <cellStyle name="40% - Accent4 10 2 6 3 2 2" xfId="34058"/>
    <cellStyle name="40% - Accent4 10 2 6 3 3" xfId="34059"/>
    <cellStyle name="40% - Accent4 10 2 6 4" xfId="34060"/>
    <cellStyle name="40% - Accent4 10 2 6 4 2" xfId="34061"/>
    <cellStyle name="40% - Accent4 10 2 6 5" xfId="34062"/>
    <cellStyle name="40% - Accent4 10 2 7" xfId="34063"/>
    <cellStyle name="40% - Accent4 10 2 7 2" xfId="34064"/>
    <cellStyle name="40% - Accent4 10 2 7 2 2" xfId="34065"/>
    <cellStyle name="40% - Accent4 10 2 7 2 2 2" xfId="34066"/>
    <cellStyle name="40% - Accent4 10 2 7 2 3" xfId="34067"/>
    <cellStyle name="40% - Accent4 10 2 7 3" xfId="34068"/>
    <cellStyle name="40% - Accent4 10 2 7 3 2" xfId="34069"/>
    <cellStyle name="40% - Accent4 10 2 7 4" xfId="34070"/>
    <cellStyle name="40% - Accent4 10 2 8" xfId="34071"/>
    <cellStyle name="40% - Accent4 10 2 8 2" xfId="34072"/>
    <cellStyle name="40% - Accent4 10 2 8 2 2" xfId="34073"/>
    <cellStyle name="40% - Accent4 10 2 8 3" xfId="34074"/>
    <cellStyle name="40% - Accent4 10 2 9" xfId="34075"/>
    <cellStyle name="40% - Accent4 10 2 9 2" xfId="34076"/>
    <cellStyle name="40% - Accent4 10 3" xfId="34077"/>
    <cellStyle name="40% - Accent4 10 3 2" xfId="34078"/>
    <cellStyle name="40% - Accent4 10 3 2 2" xfId="34079"/>
    <cellStyle name="40% - Accent4 10 3 2 2 2" xfId="34080"/>
    <cellStyle name="40% - Accent4 10 3 2 2 2 2" xfId="34081"/>
    <cellStyle name="40% - Accent4 10 3 2 2 3" xfId="34082"/>
    <cellStyle name="40% - Accent4 10 3 2 3" xfId="34083"/>
    <cellStyle name="40% - Accent4 10 3 2 3 2" xfId="34084"/>
    <cellStyle name="40% - Accent4 10 3 2 4" xfId="34085"/>
    <cellStyle name="40% - Accent4 10 3 3" xfId="34086"/>
    <cellStyle name="40% - Accent4 10 3 3 2" xfId="34087"/>
    <cellStyle name="40% - Accent4 10 3 3 2 2" xfId="34088"/>
    <cellStyle name="40% - Accent4 10 3 3 3" xfId="34089"/>
    <cellStyle name="40% - Accent4 10 3 4" xfId="34090"/>
    <cellStyle name="40% - Accent4 10 3 4 2" xfId="34091"/>
    <cellStyle name="40% - Accent4 10 3 5" xfId="34092"/>
    <cellStyle name="40% - Accent4 10 4" xfId="34093"/>
    <cellStyle name="40% - Accent4 10 4 2" xfId="34094"/>
    <cellStyle name="40% - Accent4 10 4 2 2" xfId="34095"/>
    <cellStyle name="40% - Accent4 10 4 2 2 2" xfId="34096"/>
    <cellStyle name="40% - Accent4 10 4 2 2 2 2" xfId="34097"/>
    <cellStyle name="40% - Accent4 10 4 2 2 3" xfId="34098"/>
    <cellStyle name="40% - Accent4 10 4 2 3" xfId="34099"/>
    <cellStyle name="40% - Accent4 10 4 2 3 2" xfId="34100"/>
    <cellStyle name="40% - Accent4 10 4 2 4" xfId="34101"/>
    <cellStyle name="40% - Accent4 10 4 3" xfId="34102"/>
    <cellStyle name="40% - Accent4 10 4 3 2" xfId="34103"/>
    <cellStyle name="40% - Accent4 10 4 3 2 2" xfId="34104"/>
    <cellStyle name="40% - Accent4 10 4 3 3" xfId="34105"/>
    <cellStyle name="40% - Accent4 10 4 4" xfId="34106"/>
    <cellStyle name="40% - Accent4 10 4 4 2" xfId="34107"/>
    <cellStyle name="40% - Accent4 10 4 5" xfId="34108"/>
    <cellStyle name="40% - Accent4 10 5" xfId="34109"/>
    <cellStyle name="40% - Accent4 10 5 2" xfId="34110"/>
    <cellStyle name="40% - Accent4 10 5 2 2" xfId="34111"/>
    <cellStyle name="40% - Accent4 10 5 2 2 2" xfId="34112"/>
    <cellStyle name="40% - Accent4 10 5 2 2 2 2" xfId="34113"/>
    <cellStyle name="40% - Accent4 10 5 2 2 3" xfId="34114"/>
    <cellStyle name="40% - Accent4 10 5 2 3" xfId="34115"/>
    <cellStyle name="40% - Accent4 10 5 2 3 2" xfId="34116"/>
    <cellStyle name="40% - Accent4 10 5 2 4" xfId="34117"/>
    <cellStyle name="40% - Accent4 10 5 3" xfId="34118"/>
    <cellStyle name="40% - Accent4 10 5 3 2" xfId="34119"/>
    <cellStyle name="40% - Accent4 10 5 3 2 2" xfId="34120"/>
    <cellStyle name="40% - Accent4 10 5 3 3" xfId="34121"/>
    <cellStyle name="40% - Accent4 10 5 4" xfId="34122"/>
    <cellStyle name="40% - Accent4 10 5 4 2" xfId="34123"/>
    <cellStyle name="40% - Accent4 10 5 5" xfId="34124"/>
    <cellStyle name="40% - Accent4 10 6" xfId="34125"/>
    <cellStyle name="40% - Accent4 10 6 2" xfId="34126"/>
    <cellStyle name="40% - Accent4 10 6 2 2" xfId="34127"/>
    <cellStyle name="40% - Accent4 10 6 2 2 2" xfId="34128"/>
    <cellStyle name="40% - Accent4 10 6 2 2 2 2" xfId="34129"/>
    <cellStyle name="40% - Accent4 10 6 2 2 3" xfId="34130"/>
    <cellStyle name="40% - Accent4 10 6 2 3" xfId="34131"/>
    <cellStyle name="40% - Accent4 10 6 2 3 2" xfId="34132"/>
    <cellStyle name="40% - Accent4 10 6 2 4" xfId="34133"/>
    <cellStyle name="40% - Accent4 10 6 3" xfId="34134"/>
    <cellStyle name="40% - Accent4 10 6 3 2" xfId="34135"/>
    <cellStyle name="40% - Accent4 10 6 3 2 2" xfId="34136"/>
    <cellStyle name="40% - Accent4 10 6 3 3" xfId="34137"/>
    <cellStyle name="40% - Accent4 10 6 4" xfId="34138"/>
    <cellStyle name="40% - Accent4 10 6 4 2" xfId="34139"/>
    <cellStyle name="40% - Accent4 10 6 5" xfId="34140"/>
    <cellStyle name="40% - Accent4 10 7" xfId="34141"/>
    <cellStyle name="40% - Accent4 10 7 2" xfId="34142"/>
    <cellStyle name="40% - Accent4 10 7 2 2" xfId="34143"/>
    <cellStyle name="40% - Accent4 10 7 2 2 2" xfId="34144"/>
    <cellStyle name="40% - Accent4 10 7 2 2 2 2" xfId="34145"/>
    <cellStyle name="40% - Accent4 10 7 2 2 3" xfId="34146"/>
    <cellStyle name="40% - Accent4 10 7 2 3" xfId="34147"/>
    <cellStyle name="40% - Accent4 10 7 2 3 2" xfId="34148"/>
    <cellStyle name="40% - Accent4 10 7 2 4" xfId="34149"/>
    <cellStyle name="40% - Accent4 10 7 3" xfId="34150"/>
    <cellStyle name="40% - Accent4 10 7 3 2" xfId="34151"/>
    <cellStyle name="40% - Accent4 10 7 3 2 2" xfId="34152"/>
    <cellStyle name="40% - Accent4 10 7 3 3" xfId="34153"/>
    <cellStyle name="40% - Accent4 10 7 4" xfId="34154"/>
    <cellStyle name="40% - Accent4 10 7 4 2" xfId="34155"/>
    <cellStyle name="40% - Accent4 10 7 5" xfId="34156"/>
    <cellStyle name="40% - Accent4 10 8" xfId="34157"/>
    <cellStyle name="40% - Accent4 10 8 2" xfId="34158"/>
    <cellStyle name="40% - Accent4 10 8 2 2" xfId="34159"/>
    <cellStyle name="40% - Accent4 10 8 2 2 2" xfId="34160"/>
    <cellStyle name="40% - Accent4 10 8 2 3" xfId="34161"/>
    <cellStyle name="40% - Accent4 10 8 3" xfId="34162"/>
    <cellStyle name="40% - Accent4 10 8 3 2" xfId="34163"/>
    <cellStyle name="40% - Accent4 10 8 4" xfId="34164"/>
    <cellStyle name="40% - Accent4 10 9" xfId="34165"/>
    <cellStyle name="40% - Accent4 10 9 2" xfId="34166"/>
    <cellStyle name="40% - Accent4 10 9 2 2" xfId="34167"/>
    <cellStyle name="40% - Accent4 10 9 3" xfId="34168"/>
    <cellStyle name="40% - Accent4 11" xfId="34169"/>
    <cellStyle name="40% - Accent4 11 10" xfId="34170"/>
    <cellStyle name="40% - Accent4 11 10 2" xfId="34171"/>
    <cellStyle name="40% - Accent4 11 11" xfId="34172"/>
    <cellStyle name="40% - Accent4 11 2" xfId="34173"/>
    <cellStyle name="40% - Accent4 11 2 10" xfId="34174"/>
    <cellStyle name="40% - Accent4 11 2 2" xfId="34175"/>
    <cellStyle name="40% - Accent4 11 2 2 2" xfId="34176"/>
    <cellStyle name="40% - Accent4 11 2 2 2 2" xfId="34177"/>
    <cellStyle name="40% - Accent4 11 2 2 2 2 2" xfId="34178"/>
    <cellStyle name="40% - Accent4 11 2 2 2 2 2 2" xfId="34179"/>
    <cellStyle name="40% - Accent4 11 2 2 2 2 3" xfId="34180"/>
    <cellStyle name="40% - Accent4 11 2 2 2 3" xfId="34181"/>
    <cellStyle name="40% - Accent4 11 2 2 2 3 2" xfId="34182"/>
    <cellStyle name="40% - Accent4 11 2 2 2 4" xfId="34183"/>
    <cellStyle name="40% - Accent4 11 2 2 3" xfId="34184"/>
    <cellStyle name="40% - Accent4 11 2 2 3 2" xfId="34185"/>
    <cellStyle name="40% - Accent4 11 2 2 3 2 2" xfId="34186"/>
    <cellStyle name="40% - Accent4 11 2 2 3 3" xfId="34187"/>
    <cellStyle name="40% - Accent4 11 2 2 4" xfId="34188"/>
    <cellStyle name="40% - Accent4 11 2 2 4 2" xfId="34189"/>
    <cellStyle name="40% - Accent4 11 2 2 5" xfId="34190"/>
    <cellStyle name="40% - Accent4 11 2 3" xfId="34191"/>
    <cellStyle name="40% - Accent4 11 2 3 2" xfId="34192"/>
    <cellStyle name="40% - Accent4 11 2 3 2 2" xfId="34193"/>
    <cellStyle name="40% - Accent4 11 2 3 2 2 2" xfId="34194"/>
    <cellStyle name="40% - Accent4 11 2 3 2 2 2 2" xfId="34195"/>
    <cellStyle name="40% - Accent4 11 2 3 2 2 3" xfId="34196"/>
    <cellStyle name="40% - Accent4 11 2 3 2 3" xfId="34197"/>
    <cellStyle name="40% - Accent4 11 2 3 2 3 2" xfId="34198"/>
    <cellStyle name="40% - Accent4 11 2 3 2 4" xfId="34199"/>
    <cellStyle name="40% - Accent4 11 2 3 3" xfId="34200"/>
    <cellStyle name="40% - Accent4 11 2 3 3 2" xfId="34201"/>
    <cellStyle name="40% - Accent4 11 2 3 3 2 2" xfId="34202"/>
    <cellStyle name="40% - Accent4 11 2 3 3 3" xfId="34203"/>
    <cellStyle name="40% - Accent4 11 2 3 4" xfId="34204"/>
    <cellStyle name="40% - Accent4 11 2 3 4 2" xfId="34205"/>
    <cellStyle name="40% - Accent4 11 2 3 5" xfId="34206"/>
    <cellStyle name="40% - Accent4 11 2 4" xfId="34207"/>
    <cellStyle name="40% - Accent4 11 2 4 2" xfId="34208"/>
    <cellStyle name="40% - Accent4 11 2 4 2 2" xfId="34209"/>
    <cellStyle name="40% - Accent4 11 2 4 2 2 2" xfId="34210"/>
    <cellStyle name="40% - Accent4 11 2 4 2 2 2 2" xfId="34211"/>
    <cellStyle name="40% - Accent4 11 2 4 2 2 3" xfId="34212"/>
    <cellStyle name="40% - Accent4 11 2 4 2 3" xfId="34213"/>
    <cellStyle name="40% - Accent4 11 2 4 2 3 2" xfId="34214"/>
    <cellStyle name="40% - Accent4 11 2 4 2 4" xfId="34215"/>
    <cellStyle name="40% - Accent4 11 2 4 3" xfId="34216"/>
    <cellStyle name="40% - Accent4 11 2 4 3 2" xfId="34217"/>
    <cellStyle name="40% - Accent4 11 2 4 3 2 2" xfId="34218"/>
    <cellStyle name="40% - Accent4 11 2 4 3 3" xfId="34219"/>
    <cellStyle name="40% - Accent4 11 2 4 4" xfId="34220"/>
    <cellStyle name="40% - Accent4 11 2 4 4 2" xfId="34221"/>
    <cellStyle name="40% - Accent4 11 2 4 5" xfId="34222"/>
    <cellStyle name="40% - Accent4 11 2 5" xfId="34223"/>
    <cellStyle name="40% - Accent4 11 2 5 2" xfId="34224"/>
    <cellStyle name="40% - Accent4 11 2 5 2 2" xfId="34225"/>
    <cellStyle name="40% - Accent4 11 2 5 2 2 2" xfId="34226"/>
    <cellStyle name="40% - Accent4 11 2 5 2 2 2 2" xfId="34227"/>
    <cellStyle name="40% - Accent4 11 2 5 2 2 3" xfId="34228"/>
    <cellStyle name="40% - Accent4 11 2 5 2 3" xfId="34229"/>
    <cellStyle name="40% - Accent4 11 2 5 2 3 2" xfId="34230"/>
    <cellStyle name="40% - Accent4 11 2 5 2 4" xfId="34231"/>
    <cellStyle name="40% - Accent4 11 2 5 3" xfId="34232"/>
    <cellStyle name="40% - Accent4 11 2 5 3 2" xfId="34233"/>
    <cellStyle name="40% - Accent4 11 2 5 3 2 2" xfId="34234"/>
    <cellStyle name="40% - Accent4 11 2 5 3 3" xfId="34235"/>
    <cellStyle name="40% - Accent4 11 2 5 4" xfId="34236"/>
    <cellStyle name="40% - Accent4 11 2 5 4 2" xfId="34237"/>
    <cellStyle name="40% - Accent4 11 2 5 5" xfId="34238"/>
    <cellStyle name="40% - Accent4 11 2 6" xfId="34239"/>
    <cellStyle name="40% - Accent4 11 2 6 2" xfId="34240"/>
    <cellStyle name="40% - Accent4 11 2 6 2 2" xfId="34241"/>
    <cellStyle name="40% - Accent4 11 2 6 2 2 2" xfId="34242"/>
    <cellStyle name="40% - Accent4 11 2 6 2 2 2 2" xfId="34243"/>
    <cellStyle name="40% - Accent4 11 2 6 2 2 3" xfId="34244"/>
    <cellStyle name="40% - Accent4 11 2 6 2 3" xfId="34245"/>
    <cellStyle name="40% - Accent4 11 2 6 2 3 2" xfId="34246"/>
    <cellStyle name="40% - Accent4 11 2 6 2 4" xfId="34247"/>
    <cellStyle name="40% - Accent4 11 2 6 3" xfId="34248"/>
    <cellStyle name="40% - Accent4 11 2 6 3 2" xfId="34249"/>
    <cellStyle name="40% - Accent4 11 2 6 3 2 2" xfId="34250"/>
    <cellStyle name="40% - Accent4 11 2 6 3 3" xfId="34251"/>
    <cellStyle name="40% - Accent4 11 2 6 4" xfId="34252"/>
    <cellStyle name="40% - Accent4 11 2 6 4 2" xfId="34253"/>
    <cellStyle name="40% - Accent4 11 2 6 5" xfId="34254"/>
    <cellStyle name="40% - Accent4 11 2 7" xfId="34255"/>
    <cellStyle name="40% - Accent4 11 2 7 2" xfId="34256"/>
    <cellStyle name="40% - Accent4 11 2 7 2 2" xfId="34257"/>
    <cellStyle name="40% - Accent4 11 2 7 2 2 2" xfId="34258"/>
    <cellStyle name="40% - Accent4 11 2 7 2 3" xfId="34259"/>
    <cellStyle name="40% - Accent4 11 2 7 3" xfId="34260"/>
    <cellStyle name="40% - Accent4 11 2 7 3 2" xfId="34261"/>
    <cellStyle name="40% - Accent4 11 2 7 4" xfId="34262"/>
    <cellStyle name="40% - Accent4 11 2 8" xfId="34263"/>
    <cellStyle name="40% - Accent4 11 2 8 2" xfId="34264"/>
    <cellStyle name="40% - Accent4 11 2 8 2 2" xfId="34265"/>
    <cellStyle name="40% - Accent4 11 2 8 3" xfId="34266"/>
    <cellStyle name="40% - Accent4 11 2 9" xfId="34267"/>
    <cellStyle name="40% - Accent4 11 2 9 2" xfId="34268"/>
    <cellStyle name="40% - Accent4 11 3" xfId="34269"/>
    <cellStyle name="40% - Accent4 11 3 2" xfId="34270"/>
    <cellStyle name="40% - Accent4 11 3 2 2" xfId="34271"/>
    <cellStyle name="40% - Accent4 11 3 2 2 2" xfId="34272"/>
    <cellStyle name="40% - Accent4 11 3 2 2 2 2" xfId="34273"/>
    <cellStyle name="40% - Accent4 11 3 2 2 3" xfId="34274"/>
    <cellStyle name="40% - Accent4 11 3 2 3" xfId="34275"/>
    <cellStyle name="40% - Accent4 11 3 2 3 2" xfId="34276"/>
    <cellStyle name="40% - Accent4 11 3 2 4" xfId="34277"/>
    <cellStyle name="40% - Accent4 11 3 3" xfId="34278"/>
    <cellStyle name="40% - Accent4 11 3 3 2" xfId="34279"/>
    <cellStyle name="40% - Accent4 11 3 3 2 2" xfId="34280"/>
    <cellStyle name="40% - Accent4 11 3 3 3" xfId="34281"/>
    <cellStyle name="40% - Accent4 11 3 4" xfId="34282"/>
    <cellStyle name="40% - Accent4 11 3 4 2" xfId="34283"/>
    <cellStyle name="40% - Accent4 11 3 5" xfId="34284"/>
    <cellStyle name="40% - Accent4 11 4" xfId="34285"/>
    <cellStyle name="40% - Accent4 11 4 2" xfId="34286"/>
    <cellStyle name="40% - Accent4 11 4 2 2" xfId="34287"/>
    <cellStyle name="40% - Accent4 11 4 2 2 2" xfId="34288"/>
    <cellStyle name="40% - Accent4 11 4 2 2 2 2" xfId="34289"/>
    <cellStyle name="40% - Accent4 11 4 2 2 3" xfId="34290"/>
    <cellStyle name="40% - Accent4 11 4 2 3" xfId="34291"/>
    <cellStyle name="40% - Accent4 11 4 2 3 2" xfId="34292"/>
    <cellStyle name="40% - Accent4 11 4 2 4" xfId="34293"/>
    <cellStyle name="40% - Accent4 11 4 3" xfId="34294"/>
    <cellStyle name="40% - Accent4 11 4 3 2" xfId="34295"/>
    <cellStyle name="40% - Accent4 11 4 3 2 2" xfId="34296"/>
    <cellStyle name="40% - Accent4 11 4 3 3" xfId="34297"/>
    <cellStyle name="40% - Accent4 11 4 4" xfId="34298"/>
    <cellStyle name="40% - Accent4 11 4 4 2" xfId="34299"/>
    <cellStyle name="40% - Accent4 11 4 5" xfId="34300"/>
    <cellStyle name="40% - Accent4 11 5" xfId="34301"/>
    <cellStyle name="40% - Accent4 11 5 2" xfId="34302"/>
    <cellStyle name="40% - Accent4 11 5 2 2" xfId="34303"/>
    <cellStyle name="40% - Accent4 11 5 2 2 2" xfId="34304"/>
    <cellStyle name="40% - Accent4 11 5 2 2 2 2" xfId="34305"/>
    <cellStyle name="40% - Accent4 11 5 2 2 3" xfId="34306"/>
    <cellStyle name="40% - Accent4 11 5 2 3" xfId="34307"/>
    <cellStyle name="40% - Accent4 11 5 2 3 2" xfId="34308"/>
    <cellStyle name="40% - Accent4 11 5 2 4" xfId="34309"/>
    <cellStyle name="40% - Accent4 11 5 3" xfId="34310"/>
    <cellStyle name="40% - Accent4 11 5 3 2" xfId="34311"/>
    <cellStyle name="40% - Accent4 11 5 3 2 2" xfId="34312"/>
    <cellStyle name="40% - Accent4 11 5 3 3" xfId="34313"/>
    <cellStyle name="40% - Accent4 11 5 4" xfId="34314"/>
    <cellStyle name="40% - Accent4 11 5 4 2" xfId="34315"/>
    <cellStyle name="40% - Accent4 11 5 5" xfId="34316"/>
    <cellStyle name="40% - Accent4 11 6" xfId="34317"/>
    <cellStyle name="40% - Accent4 11 6 2" xfId="34318"/>
    <cellStyle name="40% - Accent4 11 6 2 2" xfId="34319"/>
    <cellStyle name="40% - Accent4 11 6 2 2 2" xfId="34320"/>
    <cellStyle name="40% - Accent4 11 6 2 2 2 2" xfId="34321"/>
    <cellStyle name="40% - Accent4 11 6 2 2 3" xfId="34322"/>
    <cellStyle name="40% - Accent4 11 6 2 3" xfId="34323"/>
    <cellStyle name="40% - Accent4 11 6 2 3 2" xfId="34324"/>
    <cellStyle name="40% - Accent4 11 6 2 4" xfId="34325"/>
    <cellStyle name="40% - Accent4 11 6 3" xfId="34326"/>
    <cellStyle name="40% - Accent4 11 6 3 2" xfId="34327"/>
    <cellStyle name="40% - Accent4 11 6 3 2 2" xfId="34328"/>
    <cellStyle name="40% - Accent4 11 6 3 3" xfId="34329"/>
    <cellStyle name="40% - Accent4 11 6 4" xfId="34330"/>
    <cellStyle name="40% - Accent4 11 6 4 2" xfId="34331"/>
    <cellStyle name="40% - Accent4 11 6 5" xfId="34332"/>
    <cellStyle name="40% - Accent4 11 7" xfId="34333"/>
    <cellStyle name="40% - Accent4 11 7 2" xfId="34334"/>
    <cellStyle name="40% - Accent4 11 7 2 2" xfId="34335"/>
    <cellStyle name="40% - Accent4 11 7 2 2 2" xfId="34336"/>
    <cellStyle name="40% - Accent4 11 7 2 2 2 2" xfId="34337"/>
    <cellStyle name="40% - Accent4 11 7 2 2 3" xfId="34338"/>
    <cellStyle name="40% - Accent4 11 7 2 3" xfId="34339"/>
    <cellStyle name="40% - Accent4 11 7 2 3 2" xfId="34340"/>
    <cellStyle name="40% - Accent4 11 7 2 4" xfId="34341"/>
    <cellStyle name="40% - Accent4 11 7 3" xfId="34342"/>
    <cellStyle name="40% - Accent4 11 7 3 2" xfId="34343"/>
    <cellStyle name="40% - Accent4 11 7 3 2 2" xfId="34344"/>
    <cellStyle name="40% - Accent4 11 7 3 3" xfId="34345"/>
    <cellStyle name="40% - Accent4 11 7 4" xfId="34346"/>
    <cellStyle name="40% - Accent4 11 7 4 2" xfId="34347"/>
    <cellStyle name="40% - Accent4 11 7 5" xfId="34348"/>
    <cellStyle name="40% - Accent4 11 8" xfId="34349"/>
    <cellStyle name="40% - Accent4 11 8 2" xfId="34350"/>
    <cellStyle name="40% - Accent4 11 8 2 2" xfId="34351"/>
    <cellStyle name="40% - Accent4 11 8 2 2 2" xfId="34352"/>
    <cellStyle name="40% - Accent4 11 8 2 3" xfId="34353"/>
    <cellStyle name="40% - Accent4 11 8 3" xfId="34354"/>
    <cellStyle name="40% - Accent4 11 8 3 2" xfId="34355"/>
    <cellStyle name="40% - Accent4 11 8 4" xfId="34356"/>
    <cellStyle name="40% - Accent4 11 9" xfId="34357"/>
    <cellStyle name="40% - Accent4 11 9 2" xfId="34358"/>
    <cellStyle name="40% - Accent4 11 9 2 2" xfId="34359"/>
    <cellStyle name="40% - Accent4 11 9 3" xfId="34360"/>
    <cellStyle name="40% - Accent4 12" xfId="34361"/>
    <cellStyle name="40% - Accent4 12 10" xfId="34362"/>
    <cellStyle name="40% - Accent4 12 2" xfId="34363"/>
    <cellStyle name="40% - Accent4 12 2 2" xfId="34364"/>
    <cellStyle name="40% - Accent4 12 2 2 2" xfId="34365"/>
    <cellStyle name="40% - Accent4 12 2 2 2 2" xfId="34366"/>
    <cellStyle name="40% - Accent4 12 2 2 2 2 2" xfId="34367"/>
    <cellStyle name="40% - Accent4 12 2 2 2 3" xfId="34368"/>
    <cellStyle name="40% - Accent4 12 2 2 3" xfId="34369"/>
    <cellStyle name="40% - Accent4 12 2 2 3 2" xfId="34370"/>
    <cellStyle name="40% - Accent4 12 2 2 4" xfId="34371"/>
    <cellStyle name="40% - Accent4 12 2 3" xfId="34372"/>
    <cellStyle name="40% - Accent4 12 2 3 2" xfId="34373"/>
    <cellStyle name="40% - Accent4 12 2 3 2 2" xfId="34374"/>
    <cellStyle name="40% - Accent4 12 2 3 3" xfId="34375"/>
    <cellStyle name="40% - Accent4 12 2 4" xfId="34376"/>
    <cellStyle name="40% - Accent4 12 2 4 2" xfId="34377"/>
    <cellStyle name="40% - Accent4 12 2 5" xfId="34378"/>
    <cellStyle name="40% - Accent4 12 3" xfId="34379"/>
    <cellStyle name="40% - Accent4 12 3 2" xfId="34380"/>
    <cellStyle name="40% - Accent4 12 3 2 2" xfId="34381"/>
    <cellStyle name="40% - Accent4 12 3 2 2 2" xfId="34382"/>
    <cellStyle name="40% - Accent4 12 3 2 2 2 2" xfId="34383"/>
    <cellStyle name="40% - Accent4 12 3 2 2 3" xfId="34384"/>
    <cellStyle name="40% - Accent4 12 3 2 3" xfId="34385"/>
    <cellStyle name="40% - Accent4 12 3 2 3 2" xfId="34386"/>
    <cellStyle name="40% - Accent4 12 3 2 4" xfId="34387"/>
    <cellStyle name="40% - Accent4 12 3 3" xfId="34388"/>
    <cellStyle name="40% - Accent4 12 3 3 2" xfId="34389"/>
    <cellStyle name="40% - Accent4 12 3 3 2 2" xfId="34390"/>
    <cellStyle name="40% - Accent4 12 3 3 3" xfId="34391"/>
    <cellStyle name="40% - Accent4 12 3 4" xfId="34392"/>
    <cellStyle name="40% - Accent4 12 3 4 2" xfId="34393"/>
    <cellStyle name="40% - Accent4 12 3 5" xfId="34394"/>
    <cellStyle name="40% - Accent4 12 4" xfId="34395"/>
    <cellStyle name="40% - Accent4 12 4 2" xfId="34396"/>
    <cellStyle name="40% - Accent4 12 4 2 2" xfId="34397"/>
    <cellStyle name="40% - Accent4 12 4 2 2 2" xfId="34398"/>
    <cellStyle name="40% - Accent4 12 4 2 2 2 2" xfId="34399"/>
    <cellStyle name="40% - Accent4 12 4 2 2 3" xfId="34400"/>
    <cellStyle name="40% - Accent4 12 4 2 3" xfId="34401"/>
    <cellStyle name="40% - Accent4 12 4 2 3 2" xfId="34402"/>
    <cellStyle name="40% - Accent4 12 4 2 4" xfId="34403"/>
    <cellStyle name="40% - Accent4 12 4 3" xfId="34404"/>
    <cellStyle name="40% - Accent4 12 4 3 2" xfId="34405"/>
    <cellStyle name="40% - Accent4 12 4 3 2 2" xfId="34406"/>
    <cellStyle name="40% - Accent4 12 4 3 3" xfId="34407"/>
    <cellStyle name="40% - Accent4 12 4 4" xfId="34408"/>
    <cellStyle name="40% - Accent4 12 4 4 2" xfId="34409"/>
    <cellStyle name="40% - Accent4 12 4 5" xfId="34410"/>
    <cellStyle name="40% - Accent4 12 5" xfId="34411"/>
    <cellStyle name="40% - Accent4 12 5 2" xfId="34412"/>
    <cellStyle name="40% - Accent4 12 5 2 2" xfId="34413"/>
    <cellStyle name="40% - Accent4 12 5 2 2 2" xfId="34414"/>
    <cellStyle name="40% - Accent4 12 5 2 2 2 2" xfId="34415"/>
    <cellStyle name="40% - Accent4 12 5 2 2 3" xfId="34416"/>
    <cellStyle name="40% - Accent4 12 5 2 3" xfId="34417"/>
    <cellStyle name="40% - Accent4 12 5 2 3 2" xfId="34418"/>
    <cellStyle name="40% - Accent4 12 5 2 4" xfId="34419"/>
    <cellStyle name="40% - Accent4 12 5 3" xfId="34420"/>
    <cellStyle name="40% - Accent4 12 5 3 2" xfId="34421"/>
    <cellStyle name="40% - Accent4 12 5 3 2 2" xfId="34422"/>
    <cellStyle name="40% - Accent4 12 5 3 3" xfId="34423"/>
    <cellStyle name="40% - Accent4 12 5 4" xfId="34424"/>
    <cellStyle name="40% - Accent4 12 5 4 2" xfId="34425"/>
    <cellStyle name="40% - Accent4 12 5 5" xfId="34426"/>
    <cellStyle name="40% - Accent4 12 6" xfId="34427"/>
    <cellStyle name="40% - Accent4 12 6 2" xfId="34428"/>
    <cellStyle name="40% - Accent4 12 6 2 2" xfId="34429"/>
    <cellStyle name="40% - Accent4 12 6 2 2 2" xfId="34430"/>
    <cellStyle name="40% - Accent4 12 6 2 2 2 2" xfId="34431"/>
    <cellStyle name="40% - Accent4 12 6 2 2 3" xfId="34432"/>
    <cellStyle name="40% - Accent4 12 6 2 3" xfId="34433"/>
    <cellStyle name="40% - Accent4 12 6 2 3 2" xfId="34434"/>
    <cellStyle name="40% - Accent4 12 6 2 4" xfId="34435"/>
    <cellStyle name="40% - Accent4 12 6 3" xfId="34436"/>
    <cellStyle name="40% - Accent4 12 6 3 2" xfId="34437"/>
    <cellStyle name="40% - Accent4 12 6 3 2 2" xfId="34438"/>
    <cellStyle name="40% - Accent4 12 6 3 3" xfId="34439"/>
    <cellStyle name="40% - Accent4 12 6 4" xfId="34440"/>
    <cellStyle name="40% - Accent4 12 6 4 2" xfId="34441"/>
    <cellStyle name="40% - Accent4 12 6 5" xfId="34442"/>
    <cellStyle name="40% - Accent4 12 7" xfId="34443"/>
    <cellStyle name="40% - Accent4 12 7 2" xfId="34444"/>
    <cellStyle name="40% - Accent4 12 7 2 2" xfId="34445"/>
    <cellStyle name="40% - Accent4 12 7 2 2 2" xfId="34446"/>
    <cellStyle name="40% - Accent4 12 7 2 3" xfId="34447"/>
    <cellStyle name="40% - Accent4 12 7 3" xfId="34448"/>
    <cellStyle name="40% - Accent4 12 7 3 2" xfId="34449"/>
    <cellStyle name="40% - Accent4 12 7 4" xfId="34450"/>
    <cellStyle name="40% - Accent4 12 8" xfId="34451"/>
    <cellStyle name="40% - Accent4 12 8 2" xfId="34452"/>
    <cellStyle name="40% - Accent4 12 8 2 2" xfId="34453"/>
    <cellStyle name="40% - Accent4 12 8 3" xfId="34454"/>
    <cellStyle name="40% - Accent4 12 9" xfId="34455"/>
    <cellStyle name="40% - Accent4 12 9 2" xfId="34456"/>
    <cellStyle name="40% - Accent4 13" xfId="34457"/>
    <cellStyle name="40% - Accent4 13 10" xfId="34458"/>
    <cellStyle name="40% - Accent4 13 2" xfId="34459"/>
    <cellStyle name="40% - Accent4 13 2 2" xfId="34460"/>
    <cellStyle name="40% - Accent4 13 2 2 2" xfId="34461"/>
    <cellStyle name="40% - Accent4 13 2 2 2 2" xfId="34462"/>
    <cellStyle name="40% - Accent4 13 2 2 2 2 2" xfId="34463"/>
    <cellStyle name="40% - Accent4 13 2 2 2 3" xfId="34464"/>
    <cellStyle name="40% - Accent4 13 2 2 3" xfId="34465"/>
    <cellStyle name="40% - Accent4 13 2 2 3 2" xfId="34466"/>
    <cellStyle name="40% - Accent4 13 2 2 4" xfId="34467"/>
    <cellStyle name="40% - Accent4 13 2 3" xfId="34468"/>
    <cellStyle name="40% - Accent4 13 2 3 2" xfId="34469"/>
    <cellStyle name="40% - Accent4 13 2 3 2 2" xfId="34470"/>
    <cellStyle name="40% - Accent4 13 2 3 3" xfId="34471"/>
    <cellStyle name="40% - Accent4 13 2 4" xfId="34472"/>
    <cellStyle name="40% - Accent4 13 2 4 2" xfId="34473"/>
    <cellStyle name="40% - Accent4 13 2 5" xfId="34474"/>
    <cellStyle name="40% - Accent4 13 3" xfId="34475"/>
    <cellStyle name="40% - Accent4 13 3 2" xfId="34476"/>
    <cellStyle name="40% - Accent4 13 3 2 2" xfId="34477"/>
    <cellStyle name="40% - Accent4 13 3 2 2 2" xfId="34478"/>
    <cellStyle name="40% - Accent4 13 3 2 2 2 2" xfId="34479"/>
    <cellStyle name="40% - Accent4 13 3 2 2 3" xfId="34480"/>
    <cellStyle name="40% - Accent4 13 3 2 3" xfId="34481"/>
    <cellStyle name="40% - Accent4 13 3 2 3 2" xfId="34482"/>
    <cellStyle name="40% - Accent4 13 3 2 4" xfId="34483"/>
    <cellStyle name="40% - Accent4 13 3 3" xfId="34484"/>
    <cellStyle name="40% - Accent4 13 3 3 2" xfId="34485"/>
    <cellStyle name="40% - Accent4 13 3 3 2 2" xfId="34486"/>
    <cellStyle name="40% - Accent4 13 3 3 3" xfId="34487"/>
    <cellStyle name="40% - Accent4 13 3 4" xfId="34488"/>
    <cellStyle name="40% - Accent4 13 3 4 2" xfId="34489"/>
    <cellStyle name="40% - Accent4 13 3 5" xfId="34490"/>
    <cellStyle name="40% - Accent4 13 4" xfId="34491"/>
    <cellStyle name="40% - Accent4 13 4 2" xfId="34492"/>
    <cellStyle name="40% - Accent4 13 4 2 2" xfId="34493"/>
    <cellStyle name="40% - Accent4 13 4 2 2 2" xfId="34494"/>
    <cellStyle name="40% - Accent4 13 4 2 2 2 2" xfId="34495"/>
    <cellStyle name="40% - Accent4 13 4 2 2 3" xfId="34496"/>
    <cellStyle name="40% - Accent4 13 4 2 3" xfId="34497"/>
    <cellStyle name="40% - Accent4 13 4 2 3 2" xfId="34498"/>
    <cellStyle name="40% - Accent4 13 4 2 4" xfId="34499"/>
    <cellStyle name="40% - Accent4 13 4 3" xfId="34500"/>
    <cellStyle name="40% - Accent4 13 4 3 2" xfId="34501"/>
    <cellStyle name="40% - Accent4 13 4 3 2 2" xfId="34502"/>
    <cellStyle name="40% - Accent4 13 4 3 3" xfId="34503"/>
    <cellStyle name="40% - Accent4 13 4 4" xfId="34504"/>
    <cellStyle name="40% - Accent4 13 4 4 2" xfId="34505"/>
    <cellStyle name="40% - Accent4 13 4 5" xfId="34506"/>
    <cellStyle name="40% - Accent4 13 5" xfId="34507"/>
    <cellStyle name="40% - Accent4 13 5 2" xfId="34508"/>
    <cellStyle name="40% - Accent4 13 5 2 2" xfId="34509"/>
    <cellStyle name="40% - Accent4 13 5 2 2 2" xfId="34510"/>
    <cellStyle name="40% - Accent4 13 5 2 2 2 2" xfId="34511"/>
    <cellStyle name="40% - Accent4 13 5 2 2 3" xfId="34512"/>
    <cellStyle name="40% - Accent4 13 5 2 3" xfId="34513"/>
    <cellStyle name="40% - Accent4 13 5 2 3 2" xfId="34514"/>
    <cellStyle name="40% - Accent4 13 5 2 4" xfId="34515"/>
    <cellStyle name="40% - Accent4 13 5 3" xfId="34516"/>
    <cellStyle name="40% - Accent4 13 5 3 2" xfId="34517"/>
    <cellStyle name="40% - Accent4 13 5 3 2 2" xfId="34518"/>
    <cellStyle name="40% - Accent4 13 5 3 3" xfId="34519"/>
    <cellStyle name="40% - Accent4 13 5 4" xfId="34520"/>
    <cellStyle name="40% - Accent4 13 5 4 2" xfId="34521"/>
    <cellStyle name="40% - Accent4 13 5 5" xfId="34522"/>
    <cellStyle name="40% - Accent4 13 6" xfId="34523"/>
    <cellStyle name="40% - Accent4 13 6 2" xfId="34524"/>
    <cellStyle name="40% - Accent4 13 6 2 2" xfId="34525"/>
    <cellStyle name="40% - Accent4 13 6 2 2 2" xfId="34526"/>
    <cellStyle name="40% - Accent4 13 6 2 2 2 2" xfId="34527"/>
    <cellStyle name="40% - Accent4 13 6 2 2 3" xfId="34528"/>
    <cellStyle name="40% - Accent4 13 6 2 3" xfId="34529"/>
    <cellStyle name="40% - Accent4 13 6 2 3 2" xfId="34530"/>
    <cellStyle name="40% - Accent4 13 6 2 4" xfId="34531"/>
    <cellStyle name="40% - Accent4 13 6 3" xfId="34532"/>
    <cellStyle name="40% - Accent4 13 6 3 2" xfId="34533"/>
    <cellStyle name="40% - Accent4 13 6 3 2 2" xfId="34534"/>
    <cellStyle name="40% - Accent4 13 6 3 3" xfId="34535"/>
    <cellStyle name="40% - Accent4 13 6 4" xfId="34536"/>
    <cellStyle name="40% - Accent4 13 6 4 2" xfId="34537"/>
    <cellStyle name="40% - Accent4 13 6 5" xfId="34538"/>
    <cellStyle name="40% - Accent4 13 7" xfId="34539"/>
    <cellStyle name="40% - Accent4 13 7 2" xfId="34540"/>
    <cellStyle name="40% - Accent4 13 7 2 2" xfId="34541"/>
    <cellStyle name="40% - Accent4 13 7 2 2 2" xfId="34542"/>
    <cellStyle name="40% - Accent4 13 7 2 3" xfId="34543"/>
    <cellStyle name="40% - Accent4 13 7 3" xfId="34544"/>
    <cellStyle name="40% - Accent4 13 7 3 2" xfId="34545"/>
    <cellStyle name="40% - Accent4 13 7 4" xfId="34546"/>
    <cellStyle name="40% - Accent4 13 8" xfId="34547"/>
    <cellStyle name="40% - Accent4 13 8 2" xfId="34548"/>
    <cellStyle name="40% - Accent4 13 8 2 2" xfId="34549"/>
    <cellStyle name="40% - Accent4 13 8 3" xfId="34550"/>
    <cellStyle name="40% - Accent4 13 9" xfId="34551"/>
    <cellStyle name="40% - Accent4 13 9 2" xfId="34552"/>
    <cellStyle name="40% - Accent4 14" xfId="34553"/>
    <cellStyle name="40% - Accent4 14 2" xfId="34554"/>
    <cellStyle name="40% - Accent4 14 2 2" xfId="34555"/>
    <cellStyle name="40% - Accent4 14 2 2 2" xfId="34556"/>
    <cellStyle name="40% - Accent4 14 2 2 2 2" xfId="34557"/>
    <cellStyle name="40% - Accent4 14 2 2 3" xfId="34558"/>
    <cellStyle name="40% - Accent4 14 2 3" xfId="34559"/>
    <cellStyle name="40% - Accent4 14 2 3 2" xfId="34560"/>
    <cellStyle name="40% - Accent4 14 2 4" xfId="34561"/>
    <cellStyle name="40% - Accent4 14 3" xfId="34562"/>
    <cellStyle name="40% - Accent4 14 3 2" xfId="34563"/>
    <cellStyle name="40% - Accent4 14 3 2 2" xfId="34564"/>
    <cellStyle name="40% - Accent4 14 3 3" xfId="34565"/>
    <cellStyle name="40% - Accent4 14 4" xfId="34566"/>
    <cellStyle name="40% - Accent4 14 4 2" xfId="34567"/>
    <cellStyle name="40% - Accent4 14 5" xfId="34568"/>
    <cellStyle name="40% - Accent4 15" xfId="34569"/>
    <cellStyle name="40% - Accent4 15 2" xfId="34570"/>
    <cellStyle name="40% - Accent4 15 2 2" xfId="34571"/>
    <cellStyle name="40% - Accent4 15 2 2 2" xfId="34572"/>
    <cellStyle name="40% - Accent4 15 2 2 2 2" xfId="34573"/>
    <cellStyle name="40% - Accent4 15 2 2 3" xfId="34574"/>
    <cellStyle name="40% - Accent4 15 2 3" xfId="34575"/>
    <cellStyle name="40% - Accent4 15 2 3 2" xfId="34576"/>
    <cellStyle name="40% - Accent4 15 2 4" xfId="34577"/>
    <cellStyle name="40% - Accent4 15 3" xfId="34578"/>
    <cellStyle name="40% - Accent4 15 3 2" xfId="34579"/>
    <cellStyle name="40% - Accent4 15 3 2 2" xfId="34580"/>
    <cellStyle name="40% - Accent4 15 3 3" xfId="34581"/>
    <cellStyle name="40% - Accent4 15 4" xfId="34582"/>
    <cellStyle name="40% - Accent4 15 4 2" xfId="34583"/>
    <cellStyle name="40% - Accent4 15 5" xfId="34584"/>
    <cellStyle name="40% - Accent4 16" xfId="34585"/>
    <cellStyle name="40% - Accent4 16 2" xfId="34586"/>
    <cellStyle name="40% - Accent4 16 2 2" xfId="34587"/>
    <cellStyle name="40% - Accent4 16 2 2 2" xfId="34588"/>
    <cellStyle name="40% - Accent4 16 2 2 2 2" xfId="34589"/>
    <cellStyle name="40% - Accent4 16 2 2 3" xfId="34590"/>
    <cellStyle name="40% - Accent4 16 2 3" xfId="34591"/>
    <cellStyle name="40% - Accent4 16 2 3 2" xfId="34592"/>
    <cellStyle name="40% - Accent4 16 2 4" xfId="34593"/>
    <cellStyle name="40% - Accent4 16 3" xfId="34594"/>
    <cellStyle name="40% - Accent4 16 3 2" xfId="34595"/>
    <cellStyle name="40% - Accent4 16 3 2 2" xfId="34596"/>
    <cellStyle name="40% - Accent4 16 3 3" xfId="34597"/>
    <cellStyle name="40% - Accent4 16 4" xfId="34598"/>
    <cellStyle name="40% - Accent4 16 4 2" xfId="34599"/>
    <cellStyle name="40% - Accent4 16 5" xfId="34600"/>
    <cellStyle name="40% - Accent4 17" xfId="34601"/>
    <cellStyle name="40% - Accent4 17 2" xfId="34602"/>
    <cellStyle name="40% - Accent4 17 2 2" xfId="34603"/>
    <cellStyle name="40% - Accent4 17 2 2 2" xfId="34604"/>
    <cellStyle name="40% - Accent4 17 2 2 2 2" xfId="34605"/>
    <cellStyle name="40% - Accent4 17 2 2 3" xfId="34606"/>
    <cellStyle name="40% - Accent4 17 2 3" xfId="34607"/>
    <cellStyle name="40% - Accent4 17 2 3 2" xfId="34608"/>
    <cellStyle name="40% - Accent4 17 2 4" xfId="34609"/>
    <cellStyle name="40% - Accent4 17 3" xfId="34610"/>
    <cellStyle name="40% - Accent4 17 3 2" xfId="34611"/>
    <cellStyle name="40% - Accent4 17 3 2 2" xfId="34612"/>
    <cellStyle name="40% - Accent4 17 3 3" xfId="34613"/>
    <cellStyle name="40% - Accent4 17 4" xfId="34614"/>
    <cellStyle name="40% - Accent4 17 4 2" xfId="34615"/>
    <cellStyle name="40% - Accent4 17 5" xfId="34616"/>
    <cellStyle name="40% - Accent4 18" xfId="34617"/>
    <cellStyle name="40% - Accent4 18 2" xfId="34618"/>
    <cellStyle name="40% - Accent4 18 2 2" xfId="34619"/>
    <cellStyle name="40% - Accent4 18 2 2 2" xfId="34620"/>
    <cellStyle name="40% - Accent4 18 2 2 2 2" xfId="34621"/>
    <cellStyle name="40% - Accent4 18 2 2 3" xfId="34622"/>
    <cellStyle name="40% - Accent4 18 2 3" xfId="34623"/>
    <cellStyle name="40% - Accent4 18 2 3 2" xfId="34624"/>
    <cellStyle name="40% - Accent4 18 2 4" xfId="34625"/>
    <cellStyle name="40% - Accent4 18 3" xfId="34626"/>
    <cellStyle name="40% - Accent4 18 3 2" xfId="34627"/>
    <cellStyle name="40% - Accent4 18 3 2 2" xfId="34628"/>
    <cellStyle name="40% - Accent4 18 3 3" xfId="34629"/>
    <cellStyle name="40% - Accent4 18 4" xfId="34630"/>
    <cellStyle name="40% - Accent4 18 4 2" xfId="34631"/>
    <cellStyle name="40% - Accent4 18 5" xfId="34632"/>
    <cellStyle name="40% - Accent4 19" xfId="34633"/>
    <cellStyle name="40% - Accent4 19 2" xfId="34634"/>
    <cellStyle name="40% - Accent4 19 2 2" xfId="34635"/>
    <cellStyle name="40% - Accent4 19 2 2 2" xfId="34636"/>
    <cellStyle name="40% - Accent4 19 2 2 2 2" xfId="34637"/>
    <cellStyle name="40% - Accent4 19 2 2 3" xfId="34638"/>
    <cellStyle name="40% - Accent4 19 2 3" xfId="34639"/>
    <cellStyle name="40% - Accent4 19 2 3 2" xfId="34640"/>
    <cellStyle name="40% - Accent4 19 2 4" xfId="34641"/>
    <cellStyle name="40% - Accent4 19 3" xfId="34642"/>
    <cellStyle name="40% - Accent4 19 3 2" xfId="34643"/>
    <cellStyle name="40% - Accent4 19 3 2 2" xfId="34644"/>
    <cellStyle name="40% - Accent4 19 3 3" xfId="34645"/>
    <cellStyle name="40% - Accent4 19 4" xfId="34646"/>
    <cellStyle name="40% - Accent4 19 4 2" xfId="34647"/>
    <cellStyle name="40% - Accent4 19 5" xfId="34648"/>
    <cellStyle name="40% - Accent4 2" xfId="34649"/>
    <cellStyle name="40% - Accent4 2 10" xfId="34650"/>
    <cellStyle name="40% - Accent4 2 10 10" xfId="34651"/>
    <cellStyle name="40% - Accent4 2 10 2" xfId="34652"/>
    <cellStyle name="40% - Accent4 2 10 2 2" xfId="34653"/>
    <cellStyle name="40% - Accent4 2 10 2 2 2" xfId="34654"/>
    <cellStyle name="40% - Accent4 2 10 2 2 2 2" xfId="34655"/>
    <cellStyle name="40% - Accent4 2 10 2 2 2 2 2" xfId="34656"/>
    <cellStyle name="40% - Accent4 2 10 2 2 2 3" xfId="34657"/>
    <cellStyle name="40% - Accent4 2 10 2 2 3" xfId="34658"/>
    <cellStyle name="40% - Accent4 2 10 2 2 3 2" xfId="34659"/>
    <cellStyle name="40% - Accent4 2 10 2 2 4" xfId="34660"/>
    <cellStyle name="40% - Accent4 2 10 2 3" xfId="34661"/>
    <cellStyle name="40% - Accent4 2 10 2 3 2" xfId="34662"/>
    <cellStyle name="40% - Accent4 2 10 2 3 2 2" xfId="34663"/>
    <cellStyle name="40% - Accent4 2 10 2 3 3" xfId="34664"/>
    <cellStyle name="40% - Accent4 2 10 2 4" xfId="34665"/>
    <cellStyle name="40% - Accent4 2 10 2 4 2" xfId="34666"/>
    <cellStyle name="40% - Accent4 2 10 2 5" xfId="34667"/>
    <cellStyle name="40% - Accent4 2 10 3" xfId="34668"/>
    <cellStyle name="40% - Accent4 2 10 3 2" xfId="34669"/>
    <cellStyle name="40% - Accent4 2 10 3 2 2" xfId="34670"/>
    <cellStyle name="40% - Accent4 2 10 3 2 2 2" xfId="34671"/>
    <cellStyle name="40% - Accent4 2 10 3 2 2 2 2" xfId="34672"/>
    <cellStyle name="40% - Accent4 2 10 3 2 2 3" xfId="34673"/>
    <cellStyle name="40% - Accent4 2 10 3 2 3" xfId="34674"/>
    <cellStyle name="40% - Accent4 2 10 3 2 3 2" xfId="34675"/>
    <cellStyle name="40% - Accent4 2 10 3 2 4" xfId="34676"/>
    <cellStyle name="40% - Accent4 2 10 3 3" xfId="34677"/>
    <cellStyle name="40% - Accent4 2 10 3 3 2" xfId="34678"/>
    <cellStyle name="40% - Accent4 2 10 3 3 2 2" xfId="34679"/>
    <cellStyle name="40% - Accent4 2 10 3 3 3" xfId="34680"/>
    <cellStyle name="40% - Accent4 2 10 3 4" xfId="34681"/>
    <cellStyle name="40% - Accent4 2 10 3 4 2" xfId="34682"/>
    <cellStyle name="40% - Accent4 2 10 3 5" xfId="34683"/>
    <cellStyle name="40% - Accent4 2 10 4" xfId="34684"/>
    <cellStyle name="40% - Accent4 2 10 4 2" xfId="34685"/>
    <cellStyle name="40% - Accent4 2 10 4 2 2" xfId="34686"/>
    <cellStyle name="40% - Accent4 2 10 4 2 2 2" xfId="34687"/>
    <cellStyle name="40% - Accent4 2 10 4 2 2 2 2" xfId="34688"/>
    <cellStyle name="40% - Accent4 2 10 4 2 2 3" xfId="34689"/>
    <cellStyle name="40% - Accent4 2 10 4 2 3" xfId="34690"/>
    <cellStyle name="40% - Accent4 2 10 4 2 3 2" xfId="34691"/>
    <cellStyle name="40% - Accent4 2 10 4 2 4" xfId="34692"/>
    <cellStyle name="40% - Accent4 2 10 4 3" xfId="34693"/>
    <cellStyle name="40% - Accent4 2 10 4 3 2" xfId="34694"/>
    <cellStyle name="40% - Accent4 2 10 4 3 2 2" xfId="34695"/>
    <cellStyle name="40% - Accent4 2 10 4 3 3" xfId="34696"/>
    <cellStyle name="40% - Accent4 2 10 4 4" xfId="34697"/>
    <cellStyle name="40% - Accent4 2 10 4 4 2" xfId="34698"/>
    <cellStyle name="40% - Accent4 2 10 4 5" xfId="34699"/>
    <cellStyle name="40% - Accent4 2 10 5" xfId="34700"/>
    <cellStyle name="40% - Accent4 2 10 5 2" xfId="34701"/>
    <cellStyle name="40% - Accent4 2 10 5 2 2" xfId="34702"/>
    <cellStyle name="40% - Accent4 2 10 5 2 2 2" xfId="34703"/>
    <cellStyle name="40% - Accent4 2 10 5 2 2 2 2" xfId="34704"/>
    <cellStyle name="40% - Accent4 2 10 5 2 2 3" xfId="34705"/>
    <cellStyle name="40% - Accent4 2 10 5 2 3" xfId="34706"/>
    <cellStyle name="40% - Accent4 2 10 5 2 3 2" xfId="34707"/>
    <cellStyle name="40% - Accent4 2 10 5 2 4" xfId="34708"/>
    <cellStyle name="40% - Accent4 2 10 5 3" xfId="34709"/>
    <cellStyle name="40% - Accent4 2 10 5 3 2" xfId="34710"/>
    <cellStyle name="40% - Accent4 2 10 5 3 2 2" xfId="34711"/>
    <cellStyle name="40% - Accent4 2 10 5 3 3" xfId="34712"/>
    <cellStyle name="40% - Accent4 2 10 5 4" xfId="34713"/>
    <cellStyle name="40% - Accent4 2 10 5 4 2" xfId="34714"/>
    <cellStyle name="40% - Accent4 2 10 5 5" xfId="34715"/>
    <cellStyle name="40% - Accent4 2 10 6" xfId="34716"/>
    <cellStyle name="40% - Accent4 2 10 6 2" xfId="34717"/>
    <cellStyle name="40% - Accent4 2 10 6 2 2" xfId="34718"/>
    <cellStyle name="40% - Accent4 2 10 6 2 2 2" xfId="34719"/>
    <cellStyle name="40% - Accent4 2 10 6 2 2 2 2" xfId="34720"/>
    <cellStyle name="40% - Accent4 2 10 6 2 2 3" xfId="34721"/>
    <cellStyle name="40% - Accent4 2 10 6 2 3" xfId="34722"/>
    <cellStyle name="40% - Accent4 2 10 6 2 3 2" xfId="34723"/>
    <cellStyle name="40% - Accent4 2 10 6 2 4" xfId="34724"/>
    <cellStyle name="40% - Accent4 2 10 6 3" xfId="34725"/>
    <cellStyle name="40% - Accent4 2 10 6 3 2" xfId="34726"/>
    <cellStyle name="40% - Accent4 2 10 6 3 2 2" xfId="34727"/>
    <cellStyle name="40% - Accent4 2 10 6 3 3" xfId="34728"/>
    <cellStyle name="40% - Accent4 2 10 6 4" xfId="34729"/>
    <cellStyle name="40% - Accent4 2 10 6 4 2" xfId="34730"/>
    <cellStyle name="40% - Accent4 2 10 6 5" xfId="34731"/>
    <cellStyle name="40% - Accent4 2 10 7" xfId="34732"/>
    <cellStyle name="40% - Accent4 2 10 7 2" xfId="34733"/>
    <cellStyle name="40% - Accent4 2 10 7 2 2" xfId="34734"/>
    <cellStyle name="40% - Accent4 2 10 7 2 2 2" xfId="34735"/>
    <cellStyle name="40% - Accent4 2 10 7 2 3" xfId="34736"/>
    <cellStyle name="40% - Accent4 2 10 7 3" xfId="34737"/>
    <cellStyle name="40% - Accent4 2 10 7 3 2" xfId="34738"/>
    <cellStyle name="40% - Accent4 2 10 7 4" xfId="34739"/>
    <cellStyle name="40% - Accent4 2 10 8" xfId="34740"/>
    <cellStyle name="40% - Accent4 2 10 8 2" xfId="34741"/>
    <cellStyle name="40% - Accent4 2 10 8 2 2" xfId="34742"/>
    <cellStyle name="40% - Accent4 2 10 8 3" xfId="34743"/>
    <cellStyle name="40% - Accent4 2 10 9" xfId="34744"/>
    <cellStyle name="40% - Accent4 2 10 9 2" xfId="34745"/>
    <cellStyle name="40% - Accent4 2 11" xfId="34746"/>
    <cellStyle name="40% - Accent4 2 11 2" xfId="34747"/>
    <cellStyle name="40% - Accent4 2 11 2 2" xfId="34748"/>
    <cellStyle name="40% - Accent4 2 11 2 2 2" xfId="34749"/>
    <cellStyle name="40% - Accent4 2 11 2 2 2 2" xfId="34750"/>
    <cellStyle name="40% - Accent4 2 11 2 2 3" xfId="34751"/>
    <cellStyle name="40% - Accent4 2 11 2 3" xfId="34752"/>
    <cellStyle name="40% - Accent4 2 11 2 3 2" xfId="34753"/>
    <cellStyle name="40% - Accent4 2 11 2 4" xfId="34754"/>
    <cellStyle name="40% - Accent4 2 11 3" xfId="34755"/>
    <cellStyle name="40% - Accent4 2 11 3 2" xfId="34756"/>
    <cellStyle name="40% - Accent4 2 11 3 2 2" xfId="34757"/>
    <cellStyle name="40% - Accent4 2 11 3 3" xfId="34758"/>
    <cellStyle name="40% - Accent4 2 11 4" xfId="34759"/>
    <cellStyle name="40% - Accent4 2 11 4 2" xfId="34760"/>
    <cellStyle name="40% - Accent4 2 11 5" xfId="34761"/>
    <cellStyle name="40% - Accent4 2 12" xfId="34762"/>
    <cellStyle name="40% - Accent4 2 12 2" xfId="34763"/>
    <cellStyle name="40% - Accent4 2 12 2 2" xfId="34764"/>
    <cellStyle name="40% - Accent4 2 12 2 2 2" xfId="34765"/>
    <cellStyle name="40% - Accent4 2 12 2 2 2 2" xfId="34766"/>
    <cellStyle name="40% - Accent4 2 12 2 2 3" xfId="34767"/>
    <cellStyle name="40% - Accent4 2 12 2 3" xfId="34768"/>
    <cellStyle name="40% - Accent4 2 12 2 3 2" xfId="34769"/>
    <cellStyle name="40% - Accent4 2 12 2 4" xfId="34770"/>
    <cellStyle name="40% - Accent4 2 12 3" xfId="34771"/>
    <cellStyle name="40% - Accent4 2 12 3 2" xfId="34772"/>
    <cellStyle name="40% - Accent4 2 12 3 2 2" xfId="34773"/>
    <cellStyle name="40% - Accent4 2 12 3 3" xfId="34774"/>
    <cellStyle name="40% - Accent4 2 12 4" xfId="34775"/>
    <cellStyle name="40% - Accent4 2 12 4 2" xfId="34776"/>
    <cellStyle name="40% - Accent4 2 12 5" xfId="34777"/>
    <cellStyle name="40% - Accent4 2 13" xfId="34778"/>
    <cellStyle name="40% - Accent4 2 13 2" xfId="34779"/>
    <cellStyle name="40% - Accent4 2 13 2 2" xfId="34780"/>
    <cellStyle name="40% - Accent4 2 13 2 2 2" xfId="34781"/>
    <cellStyle name="40% - Accent4 2 13 2 2 2 2" xfId="34782"/>
    <cellStyle name="40% - Accent4 2 13 2 2 3" xfId="34783"/>
    <cellStyle name="40% - Accent4 2 13 2 3" xfId="34784"/>
    <cellStyle name="40% - Accent4 2 13 2 3 2" xfId="34785"/>
    <cellStyle name="40% - Accent4 2 13 2 4" xfId="34786"/>
    <cellStyle name="40% - Accent4 2 13 3" xfId="34787"/>
    <cellStyle name="40% - Accent4 2 13 3 2" xfId="34788"/>
    <cellStyle name="40% - Accent4 2 13 3 2 2" xfId="34789"/>
    <cellStyle name="40% - Accent4 2 13 3 3" xfId="34790"/>
    <cellStyle name="40% - Accent4 2 13 4" xfId="34791"/>
    <cellStyle name="40% - Accent4 2 13 4 2" xfId="34792"/>
    <cellStyle name="40% - Accent4 2 13 5" xfId="34793"/>
    <cellStyle name="40% - Accent4 2 14" xfId="34794"/>
    <cellStyle name="40% - Accent4 2 14 2" xfId="34795"/>
    <cellStyle name="40% - Accent4 2 14 2 2" xfId="34796"/>
    <cellStyle name="40% - Accent4 2 14 2 2 2" xfId="34797"/>
    <cellStyle name="40% - Accent4 2 14 2 2 2 2" xfId="34798"/>
    <cellStyle name="40% - Accent4 2 14 2 2 3" xfId="34799"/>
    <cellStyle name="40% - Accent4 2 14 2 3" xfId="34800"/>
    <cellStyle name="40% - Accent4 2 14 2 3 2" xfId="34801"/>
    <cellStyle name="40% - Accent4 2 14 2 4" xfId="34802"/>
    <cellStyle name="40% - Accent4 2 14 3" xfId="34803"/>
    <cellStyle name="40% - Accent4 2 14 3 2" xfId="34804"/>
    <cellStyle name="40% - Accent4 2 14 3 2 2" xfId="34805"/>
    <cellStyle name="40% - Accent4 2 14 3 3" xfId="34806"/>
    <cellStyle name="40% - Accent4 2 14 4" xfId="34807"/>
    <cellStyle name="40% - Accent4 2 14 4 2" xfId="34808"/>
    <cellStyle name="40% - Accent4 2 14 5" xfId="34809"/>
    <cellStyle name="40% - Accent4 2 15" xfId="34810"/>
    <cellStyle name="40% - Accent4 2 15 2" xfId="34811"/>
    <cellStyle name="40% - Accent4 2 15 2 2" xfId="34812"/>
    <cellStyle name="40% - Accent4 2 15 2 2 2" xfId="34813"/>
    <cellStyle name="40% - Accent4 2 15 2 2 2 2" xfId="34814"/>
    <cellStyle name="40% - Accent4 2 15 2 2 3" xfId="34815"/>
    <cellStyle name="40% - Accent4 2 15 2 3" xfId="34816"/>
    <cellStyle name="40% - Accent4 2 15 2 3 2" xfId="34817"/>
    <cellStyle name="40% - Accent4 2 15 2 4" xfId="34818"/>
    <cellStyle name="40% - Accent4 2 15 3" xfId="34819"/>
    <cellStyle name="40% - Accent4 2 15 3 2" xfId="34820"/>
    <cellStyle name="40% - Accent4 2 15 3 2 2" xfId="34821"/>
    <cellStyle name="40% - Accent4 2 15 3 3" xfId="34822"/>
    <cellStyle name="40% - Accent4 2 15 4" xfId="34823"/>
    <cellStyle name="40% - Accent4 2 15 4 2" xfId="34824"/>
    <cellStyle name="40% - Accent4 2 15 5" xfId="34825"/>
    <cellStyle name="40% - Accent4 2 16" xfId="34826"/>
    <cellStyle name="40% - Accent4 2 16 2" xfId="34827"/>
    <cellStyle name="40% - Accent4 2 16 2 2" xfId="34828"/>
    <cellStyle name="40% - Accent4 2 16 2 2 2" xfId="34829"/>
    <cellStyle name="40% - Accent4 2 16 2 3" xfId="34830"/>
    <cellStyle name="40% - Accent4 2 16 3" xfId="34831"/>
    <cellStyle name="40% - Accent4 2 16 3 2" xfId="34832"/>
    <cellStyle name="40% - Accent4 2 16 4" xfId="34833"/>
    <cellStyle name="40% - Accent4 2 17" xfId="34834"/>
    <cellStyle name="40% - Accent4 2 17 2" xfId="34835"/>
    <cellStyle name="40% - Accent4 2 17 2 2" xfId="34836"/>
    <cellStyle name="40% - Accent4 2 17 3" xfId="34837"/>
    <cellStyle name="40% - Accent4 2 18" xfId="34838"/>
    <cellStyle name="40% - Accent4 2 18 2" xfId="34839"/>
    <cellStyle name="40% - Accent4 2 19" xfId="34840"/>
    <cellStyle name="40% - Accent4 2 2" xfId="34841"/>
    <cellStyle name="40% - Accent4 2 2 10" xfId="34842"/>
    <cellStyle name="40% - Accent4 2 2 10 2" xfId="34843"/>
    <cellStyle name="40% - Accent4 2 2 11" xfId="34844"/>
    <cellStyle name="40% - Accent4 2 2 2" xfId="34845"/>
    <cellStyle name="40% - Accent4 2 2 2 10" xfId="34846"/>
    <cellStyle name="40% - Accent4 2 2 2 2" xfId="34847"/>
    <cellStyle name="40% - Accent4 2 2 2 2 2" xfId="34848"/>
    <cellStyle name="40% - Accent4 2 2 2 2 2 2" xfId="34849"/>
    <cellStyle name="40% - Accent4 2 2 2 2 2 2 2" xfId="34850"/>
    <cellStyle name="40% - Accent4 2 2 2 2 2 2 2 2" xfId="34851"/>
    <cellStyle name="40% - Accent4 2 2 2 2 2 2 3" xfId="34852"/>
    <cellStyle name="40% - Accent4 2 2 2 2 2 3" xfId="34853"/>
    <cellStyle name="40% - Accent4 2 2 2 2 2 3 2" xfId="34854"/>
    <cellStyle name="40% - Accent4 2 2 2 2 2 4" xfId="34855"/>
    <cellStyle name="40% - Accent4 2 2 2 2 3" xfId="34856"/>
    <cellStyle name="40% - Accent4 2 2 2 2 3 2" xfId="34857"/>
    <cellStyle name="40% - Accent4 2 2 2 2 3 2 2" xfId="34858"/>
    <cellStyle name="40% - Accent4 2 2 2 2 3 3" xfId="34859"/>
    <cellStyle name="40% - Accent4 2 2 2 2 4" xfId="34860"/>
    <cellStyle name="40% - Accent4 2 2 2 2 4 2" xfId="34861"/>
    <cellStyle name="40% - Accent4 2 2 2 2 5" xfId="34862"/>
    <cellStyle name="40% - Accent4 2 2 2 3" xfId="34863"/>
    <cellStyle name="40% - Accent4 2 2 2 3 2" xfId="34864"/>
    <cellStyle name="40% - Accent4 2 2 2 3 2 2" xfId="34865"/>
    <cellStyle name="40% - Accent4 2 2 2 3 2 2 2" xfId="34866"/>
    <cellStyle name="40% - Accent4 2 2 2 3 2 2 2 2" xfId="34867"/>
    <cellStyle name="40% - Accent4 2 2 2 3 2 2 3" xfId="34868"/>
    <cellStyle name="40% - Accent4 2 2 2 3 2 3" xfId="34869"/>
    <cellStyle name="40% - Accent4 2 2 2 3 2 3 2" xfId="34870"/>
    <cellStyle name="40% - Accent4 2 2 2 3 2 4" xfId="34871"/>
    <cellStyle name="40% - Accent4 2 2 2 3 3" xfId="34872"/>
    <cellStyle name="40% - Accent4 2 2 2 3 3 2" xfId="34873"/>
    <cellStyle name="40% - Accent4 2 2 2 3 3 2 2" xfId="34874"/>
    <cellStyle name="40% - Accent4 2 2 2 3 3 3" xfId="34875"/>
    <cellStyle name="40% - Accent4 2 2 2 3 4" xfId="34876"/>
    <cellStyle name="40% - Accent4 2 2 2 3 4 2" xfId="34877"/>
    <cellStyle name="40% - Accent4 2 2 2 3 5" xfId="34878"/>
    <cellStyle name="40% - Accent4 2 2 2 4" xfId="34879"/>
    <cellStyle name="40% - Accent4 2 2 2 4 2" xfId="34880"/>
    <cellStyle name="40% - Accent4 2 2 2 4 2 2" xfId="34881"/>
    <cellStyle name="40% - Accent4 2 2 2 4 2 2 2" xfId="34882"/>
    <cellStyle name="40% - Accent4 2 2 2 4 2 2 2 2" xfId="34883"/>
    <cellStyle name="40% - Accent4 2 2 2 4 2 2 3" xfId="34884"/>
    <cellStyle name="40% - Accent4 2 2 2 4 2 3" xfId="34885"/>
    <cellStyle name="40% - Accent4 2 2 2 4 2 3 2" xfId="34886"/>
    <cellStyle name="40% - Accent4 2 2 2 4 2 4" xfId="34887"/>
    <cellStyle name="40% - Accent4 2 2 2 4 3" xfId="34888"/>
    <cellStyle name="40% - Accent4 2 2 2 4 3 2" xfId="34889"/>
    <cellStyle name="40% - Accent4 2 2 2 4 3 2 2" xfId="34890"/>
    <cellStyle name="40% - Accent4 2 2 2 4 3 3" xfId="34891"/>
    <cellStyle name="40% - Accent4 2 2 2 4 4" xfId="34892"/>
    <cellStyle name="40% - Accent4 2 2 2 4 4 2" xfId="34893"/>
    <cellStyle name="40% - Accent4 2 2 2 4 5" xfId="34894"/>
    <cellStyle name="40% - Accent4 2 2 2 5" xfId="34895"/>
    <cellStyle name="40% - Accent4 2 2 2 5 2" xfId="34896"/>
    <cellStyle name="40% - Accent4 2 2 2 5 2 2" xfId="34897"/>
    <cellStyle name="40% - Accent4 2 2 2 5 2 2 2" xfId="34898"/>
    <cellStyle name="40% - Accent4 2 2 2 5 2 2 2 2" xfId="34899"/>
    <cellStyle name="40% - Accent4 2 2 2 5 2 2 3" xfId="34900"/>
    <cellStyle name="40% - Accent4 2 2 2 5 2 3" xfId="34901"/>
    <cellStyle name="40% - Accent4 2 2 2 5 2 3 2" xfId="34902"/>
    <cellStyle name="40% - Accent4 2 2 2 5 2 4" xfId="34903"/>
    <cellStyle name="40% - Accent4 2 2 2 5 3" xfId="34904"/>
    <cellStyle name="40% - Accent4 2 2 2 5 3 2" xfId="34905"/>
    <cellStyle name="40% - Accent4 2 2 2 5 3 2 2" xfId="34906"/>
    <cellStyle name="40% - Accent4 2 2 2 5 3 3" xfId="34907"/>
    <cellStyle name="40% - Accent4 2 2 2 5 4" xfId="34908"/>
    <cellStyle name="40% - Accent4 2 2 2 5 4 2" xfId="34909"/>
    <cellStyle name="40% - Accent4 2 2 2 5 5" xfId="34910"/>
    <cellStyle name="40% - Accent4 2 2 2 6" xfId="34911"/>
    <cellStyle name="40% - Accent4 2 2 2 6 2" xfId="34912"/>
    <cellStyle name="40% - Accent4 2 2 2 6 2 2" xfId="34913"/>
    <cellStyle name="40% - Accent4 2 2 2 6 2 2 2" xfId="34914"/>
    <cellStyle name="40% - Accent4 2 2 2 6 2 2 2 2" xfId="34915"/>
    <cellStyle name="40% - Accent4 2 2 2 6 2 2 3" xfId="34916"/>
    <cellStyle name="40% - Accent4 2 2 2 6 2 3" xfId="34917"/>
    <cellStyle name="40% - Accent4 2 2 2 6 2 3 2" xfId="34918"/>
    <cellStyle name="40% - Accent4 2 2 2 6 2 4" xfId="34919"/>
    <cellStyle name="40% - Accent4 2 2 2 6 3" xfId="34920"/>
    <cellStyle name="40% - Accent4 2 2 2 6 3 2" xfId="34921"/>
    <cellStyle name="40% - Accent4 2 2 2 6 3 2 2" xfId="34922"/>
    <cellStyle name="40% - Accent4 2 2 2 6 3 3" xfId="34923"/>
    <cellStyle name="40% - Accent4 2 2 2 6 4" xfId="34924"/>
    <cellStyle name="40% - Accent4 2 2 2 6 4 2" xfId="34925"/>
    <cellStyle name="40% - Accent4 2 2 2 6 5" xfId="34926"/>
    <cellStyle name="40% - Accent4 2 2 2 7" xfId="34927"/>
    <cellStyle name="40% - Accent4 2 2 2 7 2" xfId="34928"/>
    <cellStyle name="40% - Accent4 2 2 2 7 2 2" xfId="34929"/>
    <cellStyle name="40% - Accent4 2 2 2 7 2 2 2" xfId="34930"/>
    <cellStyle name="40% - Accent4 2 2 2 7 2 3" xfId="34931"/>
    <cellStyle name="40% - Accent4 2 2 2 7 3" xfId="34932"/>
    <cellStyle name="40% - Accent4 2 2 2 7 3 2" xfId="34933"/>
    <cellStyle name="40% - Accent4 2 2 2 7 4" xfId="34934"/>
    <cellStyle name="40% - Accent4 2 2 2 8" xfId="34935"/>
    <cellStyle name="40% - Accent4 2 2 2 8 2" xfId="34936"/>
    <cellStyle name="40% - Accent4 2 2 2 8 2 2" xfId="34937"/>
    <cellStyle name="40% - Accent4 2 2 2 8 3" xfId="34938"/>
    <cellStyle name="40% - Accent4 2 2 2 9" xfId="34939"/>
    <cellStyle name="40% - Accent4 2 2 2 9 2" xfId="34940"/>
    <cellStyle name="40% - Accent4 2 2 3" xfId="34941"/>
    <cellStyle name="40% - Accent4 2 2 3 2" xfId="34942"/>
    <cellStyle name="40% - Accent4 2 2 3 2 2" xfId="34943"/>
    <cellStyle name="40% - Accent4 2 2 3 2 2 2" xfId="34944"/>
    <cellStyle name="40% - Accent4 2 2 3 2 2 2 2" xfId="34945"/>
    <cellStyle name="40% - Accent4 2 2 3 2 2 3" xfId="34946"/>
    <cellStyle name="40% - Accent4 2 2 3 2 3" xfId="34947"/>
    <cellStyle name="40% - Accent4 2 2 3 2 3 2" xfId="34948"/>
    <cellStyle name="40% - Accent4 2 2 3 2 4" xfId="34949"/>
    <cellStyle name="40% - Accent4 2 2 3 3" xfId="34950"/>
    <cellStyle name="40% - Accent4 2 2 3 3 2" xfId="34951"/>
    <cellStyle name="40% - Accent4 2 2 3 3 2 2" xfId="34952"/>
    <cellStyle name="40% - Accent4 2 2 3 3 3" xfId="34953"/>
    <cellStyle name="40% - Accent4 2 2 3 4" xfId="34954"/>
    <cellStyle name="40% - Accent4 2 2 3 4 2" xfId="34955"/>
    <cellStyle name="40% - Accent4 2 2 3 5" xfId="34956"/>
    <cellStyle name="40% - Accent4 2 2 4" xfId="34957"/>
    <cellStyle name="40% - Accent4 2 2 4 2" xfId="34958"/>
    <cellStyle name="40% - Accent4 2 2 4 2 2" xfId="34959"/>
    <cellStyle name="40% - Accent4 2 2 4 2 2 2" xfId="34960"/>
    <cellStyle name="40% - Accent4 2 2 4 2 2 2 2" xfId="34961"/>
    <cellStyle name="40% - Accent4 2 2 4 2 2 3" xfId="34962"/>
    <cellStyle name="40% - Accent4 2 2 4 2 3" xfId="34963"/>
    <cellStyle name="40% - Accent4 2 2 4 2 3 2" xfId="34964"/>
    <cellStyle name="40% - Accent4 2 2 4 2 4" xfId="34965"/>
    <cellStyle name="40% - Accent4 2 2 4 3" xfId="34966"/>
    <cellStyle name="40% - Accent4 2 2 4 3 2" xfId="34967"/>
    <cellStyle name="40% - Accent4 2 2 4 3 2 2" xfId="34968"/>
    <cellStyle name="40% - Accent4 2 2 4 3 3" xfId="34969"/>
    <cellStyle name="40% - Accent4 2 2 4 4" xfId="34970"/>
    <cellStyle name="40% - Accent4 2 2 4 4 2" xfId="34971"/>
    <cellStyle name="40% - Accent4 2 2 4 5" xfId="34972"/>
    <cellStyle name="40% - Accent4 2 2 5" xfId="34973"/>
    <cellStyle name="40% - Accent4 2 2 5 2" xfId="34974"/>
    <cellStyle name="40% - Accent4 2 2 5 2 2" xfId="34975"/>
    <cellStyle name="40% - Accent4 2 2 5 2 2 2" xfId="34976"/>
    <cellStyle name="40% - Accent4 2 2 5 2 2 2 2" xfId="34977"/>
    <cellStyle name="40% - Accent4 2 2 5 2 2 3" xfId="34978"/>
    <cellStyle name="40% - Accent4 2 2 5 2 3" xfId="34979"/>
    <cellStyle name="40% - Accent4 2 2 5 2 3 2" xfId="34980"/>
    <cellStyle name="40% - Accent4 2 2 5 2 4" xfId="34981"/>
    <cellStyle name="40% - Accent4 2 2 5 3" xfId="34982"/>
    <cellStyle name="40% - Accent4 2 2 5 3 2" xfId="34983"/>
    <cellStyle name="40% - Accent4 2 2 5 3 2 2" xfId="34984"/>
    <cellStyle name="40% - Accent4 2 2 5 3 3" xfId="34985"/>
    <cellStyle name="40% - Accent4 2 2 5 4" xfId="34986"/>
    <cellStyle name="40% - Accent4 2 2 5 4 2" xfId="34987"/>
    <cellStyle name="40% - Accent4 2 2 5 5" xfId="34988"/>
    <cellStyle name="40% - Accent4 2 2 6" xfId="34989"/>
    <cellStyle name="40% - Accent4 2 2 6 2" xfId="34990"/>
    <cellStyle name="40% - Accent4 2 2 6 2 2" xfId="34991"/>
    <cellStyle name="40% - Accent4 2 2 6 2 2 2" xfId="34992"/>
    <cellStyle name="40% - Accent4 2 2 6 2 2 2 2" xfId="34993"/>
    <cellStyle name="40% - Accent4 2 2 6 2 2 3" xfId="34994"/>
    <cellStyle name="40% - Accent4 2 2 6 2 3" xfId="34995"/>
    <cellStyle name="40% - Accent4 2 2 6 2 3 2" xfId="34996"/>
    <cellStyle name="40% - Accent4 2 2 6 2 4" xfId="34997"/>
    <cellStyle name="40% - Accent4 2 2 6 3" xfId="34998"/>
    <cellStyle name="40% - Accent4 2 2 6 3 2" xfId="34999"/>
    <cellStyle name="40% - Accent4 2 2 6 3 2 2" xfId="35000"/>
    <cellStyle name="40% - Accent4 2 2 6 3 3" xfId="35001"/>
    <cellStyle name="40% - Accent4 2 2 6 4" xfId="35002"/>
    <cellStyle name="40% - Accent4 2 2 6 4 2" xfId="35003"/>
    <cellStyle name="40% - Accent4 2 2 6 5" xfId="35004"/>
    <cellStyle name="40% - Accent4 2 2 7" xfId="35005"/>
    <cellStyle name="40% - Accent4 2 2 7 2" xfId="35006"/>
    <cellStyle name="40% - Accent4 2 2 7 2 2" xfId="35007"/>
    <cellStyle name="40% - Accent4 2 2 7 2 2 2" xfId="35008"/>
    <cellStyle name="40% - Accent4 2 2 7 2 2 2 2" xfId="35009"/>
    <cellStyle name="40% - Accent4 2 2 7 2 2 3" xfId="35010"/>
    <cellStyle name="40% - Accent4 2 2 7 2 3" xfId="35011"/>
    <cellStyle name="40% - Accent4 2 2 7 2 3 2" xfId="35012"/>
    <cellStyle name="40% - Accent4 2 2 7 2 4" xfId="35013"/>
    <cellStyle name="40% - Accent4 2 2 7 3" xfId="35014"/>
    <cellStyle name="40% - Accent4 2 2 7 3 2" xfId="35015"/>
    <cellStyle name="40% - Accent4 2 2 7 3 2 2" xfId="35016"/>
    <cellStyle name="40% - Accent4 2 2 7 3 3" xfId="35017"/>
    <cellStyle name="40% - Accent4 2 2 7 4" xfId="35018"/>
    <cellStyle name="40% - Accent4 2 2 7 4 2" xfId="35019"/>
    <cellStyle name="40% - Accent4 2 2 7 5" xfId="35020"/>
    <cellStyle name="40% - Accent4 2 2 8" xfId="35021"/>
    <cellStyle name="40% - Accent4 2 2 8 2" xfId="35022"/>
    <cellStyle name="40% - Accent4 2 2 8 2 2" xfId="35023"/>
    <cellStyle name="40% - Accent4 2 2 8 2 2 2" xfId="35024"/>
    <cellStyle name="40% - Accent4 2 2 8 2 3" xfId="35025"/>
    <cellStyle name="40% - Accent4 2 2 8 3" xfId="35026"/>
    <cellStyle name="40% - Accent4 2 2 8 3 2" xfId="35027"/>
    <cellStyle name="40% - Accent4 2 2 8 4" xfId="35028"/>
    <cellStyle name="40% - Accent4 2 2 9" xfId="35029"/>
    <cellStyle name="40% - Accent4 2 2 9 2" xfId="35030"/>
    <cellStyle name="40% - Accent4 2 2 9 2 2" xfId="35031"/>
    <cellStyle name="40% - Accent4 2 2 9 3" xfId="35032"/>
    <cellStyle name="40% - Accent4 2 3" xfId="35033"/>
    <cellStyle name="40% - Accent4 2 3 10" xfId="35034"/>
    <cellStyle name="40% - Accent4 2 3 10 2" xfId="35035"/>
    <cellStyle name="40% - Accent4 2 3 11" xfId="35036"/>
    <cellStyle name="40% - Accent4 2 3 2" xfId="35037"/>
    <cellStyle name="40% - Accent4 2 3 2 10" xfId="35038"/>
    <cellStyle name="40% - Accent4 2 3 2 2" xfId="35039"/>
    <cellStyle name="40% - Accent4 2 3 2 2 2" xfId="35040"/>
    <cellStyle name="40% - Accent4 2 3 2 2 2 2" xfId="35041"/>
    <cellStyle name="40% - Accent4 2 3 2 2 2 2 2" xfId="35042"/>
    <cellStyle name="40% - Accent4 2 3 2 2 2 2 2 2" xfId="35043"/>
    <cellStyle name="40% - Accent4 2 3 2 2 2 2 3" xfId="35044"/>
    <cellStyle name="40% - Accent4 2 3 2 2 2 3" xfId="35045"/>
    <cellStyle name="40% - Accent4 2 3 2 2 2 3 2" xfId="35046"/>
    <cellStyle name="40% - Accent4 2 3 2 2 2 4" xfId="35047"/>
    <cellStyle name="40% - Accent4 2 3 2 2 3" xfId="35048"/>
    <cellStyle name="40% - Accent4 2 3 2 2 3 2" xfId="35049"/>
    <cellStyle name="40% - Accent4 2 3 2 2 3 2 2" xfId="35050"/>
    <cellStyle name="40% - Accent4 2 3 2 2 3 3" xfId="35051"/>
    <cellStyle name="40% - Accent4 2 3 2 2 4" xfId="35052"/>
    <cellStyle name="40% - Accent4 2 3 2 2 4 2" xfId="35053"/>
    <cellStyle name="40% - Accent4 2 3 2 2 5" xfId="35054"/>
    <cellStyle name="40% - Accent4 2 3 2 3" xfId="35055"/>
    <cellStyle name="40% - Accent4 2 3 2 3 2" xfId="35056"/>
    <cellStyle name="40% - Accent4 2 3 2 3 2 2" xfId="35057"/>
    <cellStyle name="40% - Accent4 2 3 2 3 2 2 2" xfId="35058"/>
    <cellStyle name="40% - Accent4 2 3 2 3 2 2 2 2" xfId="35059"/>
    <cellStyle name="40% - Accent4 2 3 2 3 2 2 3" xfId="35060"/>
    <cellStyle name="40% - Accent4 2 3 2 3 2 3" xfId="35061"/>
    <cellStyle name="40% - Accent4 2 3 2 3 2 3 2" xfId="35062"/>
    <cellStyle name="40% - Accent4 2 3 2 3 2 4" xfId="35063"/>
    <cellStyle name="40% - Accent4 2 3 2 3 3" xfId="35064"/>
    <cellStyle name="40% - Accent4 2 3 2 3 3 2" xfId="35065"/>
    <cellStyle name="40% - Accent4 2 3 2 3 3 2 2" xfId="35066"/>
    <cellStyle name="40% - Accent4 2 3 2 3 3 3" xfId="35067"/>
    <cellStyle name="40% - Accent4 2 3 2 3 4" xfId="35068"/>
    <cellStyle name="40% - Accent4 2 3 2 3 4 2" xfId="35069"/>
    <cellStyle name="40% - Accent4 2 3 2 3 5" xfId="35070"/>
    <cellStyle name="40% - Accent4 2 3 2 4" xfId="35071"/>
    <cellStyle name="40% - Accent4 2 3 2 4 2" xfId="35072"/>
    <cellStyle name="40% - Accent4 2 3 2 4 2 2" xfId="35073"/>
    <cellStyle name="40% - Accent4 2 3 2 4 2 2 2" xfId="35074"/>
    <cellStyle name="40% - Accent4 2 3 2 4 2 2 2 2" xfId="35075"/>
    <cellStyle name="40% - Accent4 2 3 2 4 2 2 3" xfId="35076"/>
    <cellStyle name="40% - Accent4 2 3 2 4 2 3" xfId="35077"/>
    <cellStyle name="40% - Accent4 2 3 2 4 2 3 2" xfId="35078"/>
    <cellStyle name="40% - Accent4 2 3 2 4 2 4" xfId="35079"/>
    <cellStyle name="40% - Accent4 2 3 2 4 3" xfId="35080"/>
    <cellStyle name="40% - Accent4 2 3 2 4 3 2" xfId="35081"/>
    <cellStyle name="40% - Accent4 2 3 2 4 3 2 2" xfId="35082"/>
    <cellStyle name="40% - Accent4 2 3 2 4 3 3" xfId="35083"/>
    <cellStyle name="40% - Accent4 2 3 2 4 4" xfId="35084"/>
    <cellStyle name="40% - Accent4 2 3 2 4 4 2" xfId="35085"/>
    <cellStyle name="40% - Accent4 2 3 2 4 5" xfId="35086"/>
    <cellStyle name="40% - Accent4 2 3 2 5" xfId="35087"/>
    <cellStyle name="40% - Accent4 2 3 2 5 2" xfId="35088"/>
    <cellStyle name="40% - Accent4 2 3 2 5 2 2" xfId="35089"/>
    <cellStyle name="40% - Accent4 2 3 2 5 2 2 2" xfId="35090"/>
    <cellStyle name="40% - Accent4 2 3 2 5 2 2 2 2" xfId="35091"/>
    <cellStyle name="40% - Accent4 2 3 2 5 2 2 3" xfId="35092"/>
    <cellStyle name="40% - Accent4 2 3 2 5 2 3" xfId="35093"/>
    <cellStyle name="40% - Accent4 2 3 2 5 2 3 2" xfId="35094"/>
    <cellStyle name="40% - Accent4 2 3 2 5 2 4" xfId="35095"/>
    <cellStyle name="40% - Accent4 2 3 2 5 3" xfId="35096"/>
    <cellStyle name="40% - Accent4 2 3 2 5 3 2" xfId="35097"/>
    <cellStyle name="40% - Accent4 2 3 2 5 3 2 2" xfId="35098"/>
    <cellStyle name="40% - Accent4 2 3 2 5 3 3" xfId="35099"/>
    <cellStyle name="40% - Accent4 2 3 2 5 4" xfId="35100"/>
    <cellStyle name="40% - Accent4 2 3 2 5 4 2" xfId="35101"/>
    <cellStyle name="40% - Accent4 2 3 2 5 5" xfId="35102"/>
    <cellStyle name="40% - Accent4 2 3 2 6" xfId="35103"/>
    <cellStyle name="40% - Accent4 2 3 2 6 2" xfId="35104"/>
    <cellStyle name="40% - Accent4 2 3 2 6 2 2" xfId="35105"/>
    <cellStyle name="40% - Accent4 2 3 2 6 2 2 2" xfId="35106"/>
    <cellStyle name="40% - Accent4 2 3 2 6 2 2 2 2" xfId="35107"/>
    <cellStyle name="40% - Accent4 2 3 2 6 2 2 3" xfId="35108"/>
    <cellStyle name="40% - Accent4 2 3 2 6 2 3" xfId="35109"/>
    <cellStyle name="40% - Accent4 2 3 2 6 2 3 2" xfId="35110"/>
    <cellStyle name="40% - Accent4 2 3 2 6 2 4" xfId="35111"/>
    <cellStyle name="40% - Accent4 2 3 2 6 3" xfId="35112"/>
    <cellStyle name="40% - Accent4 2 3 2 6 3 2" xfId="35113"/>
    <cellStyle name="40% - Accent4 2 3 2 6 3 2 2" xfId="35114"/>
    <cellStyle name="40% - Accent4 2 3 2 6 3 3" xfId="35115"/>
    <cellStyle name="40% - Accent4 2 3 2 6 4" xfId="35116"/>
    <cellStyle name="40% - Accent4 2 3 2 6 4 2" xfId="35117"/>
    <cellStyle name="40% - Accent4 2 3 2 6 5" xfId="35118"/>
    <cellStyle name="40% - Accent4 2 3 2 7" xfId="35119"/>
    <cellStyle name="40% - Accent4 2 3 2 7 2" xfId="35120"/>
    <cellStyle name="40% - Accent4 2 3 2 7 2 2" xfId="35121"/>
    <cellStyle name="40% - Accent4 2 3 2 7 2 2 2" xfId="35122"/>
    <cellStyle name="40% - Accent4 2 3 2 7 2 3" xfId="35123"/>
    <cellStyle name="40% - Accent4 2 3 2 7 3" xfId="35124"/>
    <cellStyle name="40% - Accent4 2 3 2 7 3 2" xfId="35125"/>
    <cellStyle name="40% - Accent4 2 3 2 7 4" xfId="35126"/>
    <cellStyle name="40% - Accent4 2 3 2 8" xfId="35127"/>
    <cellStyle name="40% - Accent4 2 3 2 8 2" xfId="35128"/>
    <cellStyle name="40% - Accent4 2 3 2 8 2 2" xfId="35129"/>
    <cellStyle name="40% - Accent4 2 3 2 8 3" xfId="35130"/>
    <cellStyle name="40% - Accent4 2 3 2 9" xfId="35131"/>
    <cellStyle name="40% - Accent4 2 3 2 9 2" xfId="35132"/>
    <cellStyle name="40% - Accent4 2 3 3" xfId="35133"/>
    <cellStyle name="40% - Accent4 2 3 3 2" xfId="35134"/>
    <cellStyle name="40% - Accent4 2 3 3 2 2" xfId="35135"/>
    <cellStyle name="40% - Accent4 2 3 3 2 2 2" xfId="35136"/>
    <cellStyle name="40% - Accent4 2 3 3 2 2 2 2" xfId="35137"/>
    <cellStyle name="40% - Accent4 2 3 3 2 2 3" xfId="35138"/>
    <cellStyle name="40% - Accent4 2 3 3 2 3" xfId="35139"/>
    <cellStyle name="40% - Accent4 2 3 3 2 3 2" xfId="35140"/>
    <cellStyle name="40% - Accent4 2 3 3 2 4" xfId="35141"/>
    <cellStyle name="40% - Accent4 2 3 3 3" xfId="35142"/>
    <cellStyle name="40% - Accent4 2 3 3 3 2" xfId="35143"/>
    <cellStyle name="40% - Accent4 2 3 3 3 2 2" xfId="35144"/>
    <cellStyle name="40% - Accent4 2 3 3 3 3" xfId="35145"/>
    <cellStyle name="40% - Accent4 2 3 3 4" xfId="35146"/>
    <cellStyle name="40% - Accent4 2 3 3 4 2" xfId="35147"/>
    <cellStyle name="40% - Accent4 2 3 3 5" xfId="35148"/>
    <cellStyle name="40% - Accent4 2 3 4" xfId="35149"/>
    <cellStyle name="40% - Accent4 2 3 4 2" xfId="35150"/>
    <cellStyle name="40% - Accent4 2 3 4 2 2" xfId="35151"/>
    <cellStyle name="40% - Accent4 2 3 4 2 2 2" xfId="35152"/>
    <cellStyle name="40% - Accent4 2 3 4 2 2 2 2" xfId="35153"/>
    <cellStyle name="40% - Accent4 2 3 4 2 2 3" xfId="35154"/>
    <cellStyle name="40% - Accent4 2 3 4 2 3" xfId="35155"/>
    <cellStyle name="40% - Accent4 2 3 4 2 3 2" xfId="35156"/>
    <cellStyle name="40% - Accent4 2 3 4 2 4" xfId="35157"/>
    <cellStyle name="40% - Accent4 2 3 4 3" xfId="35158"/>
    <cellStyle name="40% - Accent4 2 3 4 3 2" xfId="35159"/>
    <cellStyle name="40% - Accent4 2 3 4 3 2 2" xfId="35160"/>
    <cellStyle name="40% - Accent4 2 3 4 3 3" xfId="35161"/>
    <cellStyle name="40% - Accent4 2 3 4 4" xfId="35162"/>
    <cellStyle name="40% - Accent4 2 3 4 4 2" xfId="35163"/>
    <cellStyle name="40% - Accent4 2 3 4 5" xfId="35164"/>
    <cellStyle name="40% - Accent4 2 3 5" xfId="35165"/>
    <cellStyle name="40% - Accent4 2 3 5 2" xfId="35166"/>
    <cellStyle name="40% - Accent4 2 3 5 2 2" xfId="35167"/>
    <cellStyle name="40% - Accent4 2 3 5 2 2 2" xfId="35168"/>
    <cellStyle name="40% - Accent4 2 3 5 2 2 2 2" xfId="35169"/>
    <cellStyle name="40% - Accent4 2 3 5 2 2 3" xfId="35170"/>
    <cellStyle name="40% - Accent4 2 3 5 2 3" xfId="35171"/>
    <cellStyle name="40% - Accent4 2 3 5 2 3 2" xfId="35172"/>
    <cellStyle name="40% - Accent4 2 3 5 2 4" xfId="35173"/>
    <cellStyle name="40% - Accent4 2 3 5 3" xfId="35174"/>
    <cellStyle name="40% - Accent4 2 3 5 3 2" xfId="35175"/>
    <cellStyle name="40% - Accent4 2 3 5 3 2 2" xfId="35176"/>
    <cellStyle name="40% - Accent4 2 3 5 3 3" xfId="35177"/>
    <cellStyle name="40% - Accent4 2 3 5 4" xfId="35178"/>
    <cellStyle name="40% - Accent4 2 3 5 4 2" xfId="35179"/>
    <cellStyle name="40% - Accent4 2 3 5 5" xfId="35180"/>
    <cellStyle name="40% - Accent4 2 3 6" xfId="35181"/>
    <cellStyle name="40% - Accent4 2 3 6 2" xfId="35182"/>
    <cellStyle name="40% - Accent4 2 3 6 2 2" xfId="35183"/>
    <cellStyle name="40% - Accent4 2 3 6 2 2 2" xfId="35184"/>
    <cellStyle name="40% - Accent4 2 3 6 2 2 2 2" xfId="35185"/>
    <cellStyle name="40% - Accent4 2 3 6 2 2 3" xfId="35186"/>
    <cellStyle name="40% - Accent4 2 3 6 2 3" xfId="35187"/>
    <cellStyle name="40% - Accent4 2 3 6 2 3 2" xfId="35188"/>
    <cellStyle name="40% - Accent4 2 3 6 2 4" xfId="35189"/>
    <cellStyle name="40% - Accent4 2 3 6 3" xfId="35190"/>
    <cellStyle name="40% - Accent4 2 3 6 3 2" xfId="35191"/>
    <cellStyle name="40% - Accent4 2 3 6 3 2 2" xfId="35192"/>
    <cellStyle name="40% - Accent4 2 3 6 3 3" xfId="35193"/>
    <cellStyle name="40% - Accent4 2 3 6 4" xfId="35194"/>
    <cellStyle name="40% - Accent4 2 3 6 4 2" xfId="35195"/>
    <cellStyle name="40% - Accent4 2 3 6 5" xfId="35196"/>
    <cellStyle name="40% - Accent4 2 3 7" xfId="35197"/>
    <cellStyle name="40% - Accent4 2 3 7 2" xfId="35198"/>
    <cellStyle name="40% - Accent4 2 3 7 2 2" xfId="35199"/>
    <cellStyle name="40% - Accent4 2 3 7 2 2 2" xfId="35200"/>
    <cellStyle name="40% - Accent4 2 3 7 2 2 2 2" xfId="35201"/>
    <cellStyle name="40% - Accent4 2 3 7 2 2 3" xfId="35202"/>
    <cellStyle name="40% - Accent4 2 3 7 2 3" xfId="35203"/>
    <cellStyle name="40% - Accent4 2 3 7 2 3 2" xfId="35204"/>
    <cellStyle name="40% - Accent4 2 3 7 2 4" xfId="35205"/>
    <cellStyle name="40% - Accent4 2 3 7 3" xfId="35206"/>
    <cellStyle name="40% - Accent4 2 3 7 3 2" xfId="35207"/>
    <cellStyle name="40% - Accent4 2 3 7 3 2 2" xfId="35208"/>
    <cellStyle name="40% - Accent4 2 3 7 3 3" xfId="35209"/>
    <cellStyle name="40% - Accent4 2 3 7 4" xfId="35210"/>
    <cellStyle name="40% - Accent4 2 3 7 4 2" xfId="35211"/>
    <cellStyle name="40% - Accent4 2 3 7 5" xfId="35212"/>
    <cellStyle name="40% - Accent4 2 3 8" xfId="35213"/>
    <cellStyle name="40% - Accent4 2 3 8 2" xfId="35214"/>
    <cellStyle name="40% - Accent4 2 3 8 2 2" xfId="35215"/>
    <cellStyle name="40% - Accent4 2 3 8 2 2 2" xfId="35216"/>
    <cellStyle name="40% - Accent4 2 3 8 2 3" xfId="35217"/>
    <cellStyle name="40% - Accent4 2 3 8 3" xfId="35218"/>
    <cellStyle name="40% - Accent4 2 3 8 3 2" xfId="35219"/>
    <cellStyle name="40% - Accent4 2 3 8 4" xfId="35220"/>
    <cellStyle name="40% - Accent4 2 3 9" xfId="35221"/>
    <cellStyle name="40% - Accent4 2 3 9 2" xfId="35222"/>
    <cellStyle name="40% - Accent4 2 3 9 2 2" xfId="35223"/>
    <cellStyle name="40% - Accent4 2 3 9 3" xfId="35224"/>
    <cellStyle name="40% - Accent4 2 4" xfId="35225"/>
    <cellStyle name="40% - Accent4 2 4 10" xfId="35226"/>
    <cellStyle name="40% - Accent4 2 4 10 2" xfId="35227"/>
    <cellStyle name="40% - Accent4 2 4 11" xfId="35228"/>
    <cellStyle name="40% - Accent4 2 4 2" xfId="35229"/>
    <cellStyle name="40% - Accent4 2 4 2 10" xfId="35230"/>
    <cellStyle name="40% - Accent4 2 4 2 2" xfId="35231"/>
    <cellStyle name="40% - Accent4 2 4 2 2 2" xfId="35232"/>
    <cellStyle name="40% - Accent4 2 4 2 2 2 2" xfId="35233"/>
    <cellStyle name="40% - Accent4 2 4 2 2 2 2 2" xfId="35234"/>
    <cellStyle name="40% - Accent4 2 4 2 2 2 2 2 2" xfId="35235"/>
    <cellStyle name="40% - Accent4 2 4 2 2 2 2 3" xfId="35236"/>
    <cellStyle name="40% - Accent4 2 4 2 2 2 3" xfId="35237"/>
    <cellStyle name="40% - Accent4 2 4 2 2 2 3 2" xfId="35238"/>
    <cellStyle name="40% - Accent4 2 4 2 2 2 4" xfId="35239"/>
    <cellStyle name="40% - Accent4 2 4 2 2 3" xfId="35240"/>
    <cellStyle name="40% - Accent4 2 4 2 2 3 2" xfId="35241"/>
    <cellStyle name="40% - Accent4 2 4 2 2 3 2 2" xfId="35242"/>
    <cellStyle name="40% - Accent4 2 4 2 2 3 3" xfId="35243"/>
    <cellStyle name="40% - Accent4 2 4 2 2 4" xfId="35244"/>
    <cellStyle name="40% - Accent4 2 4 2 2 4 2" xfId="35245"/>
    <cellStyle name="40% - Accent4 2 4 2 2 5" xfId="35246"/>
    <cellStyle name="40% - Accent4 2 4 2 3" xfId="35247"/>
    <cellStyle name="40% - Accent4 2 4 2 3 2" xfId="35248"/>
    <cellStyle name="40% - Accent4 2 4 2 3 2 2" xfId="35249"/>
    <cellStyle name="40% - Accent4 2 4 2 3 2 2 2" xfId="35250"/>
    <cellStyle name="40% - Accent4 2 4 2 3 2 2 2 2" xfId="35251"/>
    <cellStyle name="40% - Accent4 2 4 2 3 2 2 3" xfId="35252"/>
    <cellStyle name="40% - Accent4 2 4 2 3 2 3" xfId="35253"/>
    <cellStyle name="40% - Accent4 2 4 2 3 2 3 2" xfId="35254"/>
    <cellStyle name="40% - Accent4 2 4 2 3 2 4" xfId="35255"/>
    <cellStyle name="40% - Accent4 2 4 2 3 3" xfId="35256"/>
    <cellStyle name="40% - Accent4 2 4 2 3 3 2" xfId="35257"/>
    <cellStyle name="40% - Accent4 2 4 2 3 3 2 2" xfId="35258"/>
    <cellStyle name="40% - Accent4 2 4 2 3 3 3" xfId="35259"/>
    <cellStyle name="40% - Accent4 2 4 2 3 4" xfId="35260"/>
    <cellStyle name="40% - Accent4 2 4 2 3 4 2" xfId="35261"/>
    <cellStyle name="40% - Accent4 2 4 2 3 5" xfId="35262"/>
    <cellStyle name="40% - Accent4 2 4 2 4" xfId="35263"/>
    <cellStyle name="40% - Accent4 2 4 2 4 2" xfId="35264"/>
    <cellStyle name="40% - Accent4 2 4 2 4 2 2" xfId="35265"/>
    <cellStyle name="40% - Accent4 2 4 2 4 2 2 2" xfId="35266"/>
    <cellStyle name="40% - Accent4 2 4 2 4 2 2 2 2" xfId="35267"/>
    <cellStyle name="40% - Accent4 2 4 2 4 2 2 3" xfId="35268"/>
    <cellStyle name="40% - Accent4 2 4 2 4 2 3" xfId="35269"/>
    <cellStyle name="40% - Accent4 2 4 2 4 2 3 2" xfId="35270"/>
    <cellStyle name="40% - Accent4 2 4 2 4 2 4" xfId="35271"/>
    <cellStyle name="40% - Accent4 2 4 2 4 3" xfId="35272"/>
    <cellStyle name="40% - Accent4 2 4 2 4 3 2" xfId="35273"/>
    <cellStyle name="40% - Accent4 2 4 2 4 3 2 2" xfId="35274"/>
    <cellStyle name="40% - Accent4 2 4 2 4 3 3" xfId="35275"/>
    <cellStyle name="40% - Accent4 2 4 2 4 4" xfId="35276"/>
    <cellStyle name="40% - Accent4 2 4 2 4 4 2" xfId="35277"/>
    <cellStyle name="40% - Accent4 2 4 2 4 5" xfId="35278"/>
    <cellStyle name="40% - Accent4 2 4 2 5" xfId="35279"/>
    <cellStyle name="40% - Accent4 2 4 2 5 2" xfId="35280"/>
    <cellStyle name="40% - Accent4 2 4 2 5 2 2" xfId="35281"/>
    <cellStyle name="40% - Accent4 2 4 2 5 2 2 2" xfId="35282"/>
    <cellStyle name="40% - Accent4 2 4 2 5 2 2 2 2" xfId="35283"/>
    <cellStyle name="40% - Accent4 2 4 2 5 2 2 3" xfId="35284"/>
    <cellStyle name="40% - Accent4 2 4 2 5 2 3" xfId="35285"/>
    <cellStyle name="40% - Accent4 2 4 2 5 2 3 2" xfId="35286"/>
    <cellStyle name="40% - Accent4 2 4 2 5 2 4" xfId="35287"/>
    <cellStyle name="40% - Accent4 2 4 2 5 3" xfId="35288"/>
    <cellStyle name="40% - Accent4 2 4 2 5 3 2" xfId="35289"/>
    <cellStyle name="40% - Accent4 2 4 2 5 3 2 2" xfId="35290"/>
    <cellStyle name="40% - Accent4 2 4 2 5 3 3" xfId="35291"/>
    <cellStyle name="40% - Accent4 2 4 2 5 4" xfId="35292"/>
    <cellStyle name="40% - Accent4 2 4 2 5 4 2" xfId="35293"/>
    <cellStyle name="40% - Accent4 2 4 2 5 5" xfId="35294"/>
    <cellStyle name="40% - Accent4 2 4 2 6" xfId="35295"/>
    <cellStyle name="40% - Accent4 2 4 2 6 2" xfId="35296"/>
    <cellStyle name="40% - Accent4 2 4 2 6 2 2" xfId="35297"/>
    <cellStyle name="40% - Accent4 2 4 2 6 2 2 2" xfId="35298"/>
    <cellStyle name="40% - Accent4 2 4 2 6 2 2 2 2" xfId="35299"/>
    <cellStyle name="40% - Accent4 2 4 2 6 2 2 3" xfId="35300"/>
    <cellStyle name="40% - Accent4 2 4 2 6 2 3" xfId="35301"/>
    <cellStyle name="40% - Accent4 2 4 2 6 2 3 2" xfId="35302"/>
    <cellStyle name="40% - Accent4 2 4 2 6 2 4" xfId="35303"/>
    <cellStyle name="40% - Accent4 2 4 2 6 3" xfId="35304"/>
    <cellStyle name="40% - Accent4 2 4 2 6 3 2" xfId="35305"/>
    <cellStyle name="40% - Accent4 2 4 2 6 3 2 2" xfId="35306"/>
    <cellStyle name="40% - Accent4 2 4 2 6 3 3" xfId="35307"/>
    <cellStyle name="40% - Accent4 2 4 2 6 4" xfId="35308"/>
    <cellStyle name="40% - Accent4 2 4 2 6 4 2" xfId="35309"/>
    <cellStyle name="40% - Accent4 2 4 2 6 5" xfId="35310"/>
    <cellStyle name="40% - Accent4 2 4 2 7" xfId="35311"/>
    <cellStyle name="40% - Accent4 2 4 2 7 2" xfId="35312"/>
    <cellStyle name="40% - Accent4 2 4 2 7 2 2" xfId="35313"/>
    <cellStyle name="40% - Accent4 2 4 2 7 2 2 2" xfId="35314"/>
    <cellStyle name="40% - Accent4 2 4 2 7 2 3" xfId="35315"/>
    <cellStyle name="40% - Accent4 2 4 2 7 3" xfId="35316"/>
    <cellStyle name="40% - Accent4 2 4 2 7 3 2" xfId="35317"/>
    <cellStyle name="40% - Accent4 2 4 2 7 4" xfId="35318"/>
    <cellStyle name="40% - Accent4 2 4 2 8" xfId="35319"/>
    <cellStyle name="40% - Accent4 2 4 2 8 2" xfId="35320"/>
    <cellStyle name="40% - Accent4 2 4 2 8 2 2" xfId="35321"/>
    <cellStyle name="40% - Accent4 2 4 2 8 3" xfId="35322"/>
    <cellStyle name="40% - Accent4 2 4 2 9" xfId="35323"/>
    <cellStyle name="40% - Accent4 2 4 2 9 2" xfId="35324"/>
    <cellStyle name="40% - Accent4 2 4 3" xfId="35325"/>
    <cellStyle name="40% - Accent4 2 4 3 2" xfId="35326"/>
    <cellStyle name="40% - Accent4 2 4 3 2 2" xfId="35327"/>
    <cellStyle name="40% - Accent4 2 4 3 2 2 2" xfId="35328"/>
    <cellStyle name="40% - Accent4 2 4 3 2 2 2 2" xfId="35329"/>
    <cellStyle name="40% - Accent4 2 4 3 2 2 3" xfId="35330"/>
    <cellStyle name="40% - Accent4 2 4 3 2 3" xfId="35331"/>
    <cellStyle name="40% - Accent4 2 4 3 2 3 2" xfId="35332"/>
    <cellStyle name="40% - Accent4 2 4 3 2 4" xfId="35333"/>
    <cellStyle name="40% - Accent4 2 4 3 3" xfId="35334"/>
    <cellStyle name="40% - Accent4 2 4 3 3 2" xfId="35335"/>
    <cellStyle name="40% - Accent4 2 4 3 3 2 2" xfId="35336"/>
    <cellStyle name="40% - Accent4 2 4 3 3 3" xfId="35337"/>
    <cellStyle name="40% - Accent4 2 4 3 4" xfId="35338"/>
    <cellStyle name="40% - Accent4 2 4 3 4 2" xfId="35339"/>
    <cellStyle name="40% - Accent4 2 4 3 5" xfId="35340"/>
    <cellStyle name="40% - Accent4 2 4 4" xfId="35341"/>
    <cellStyle name="40% - Accent4 2 4 4 2" xfId="35342"/>
    <cellStyle name="40% - Accent4 2 4 4 2 2" xfId="35343"/>
    <cellStyle name="40% - Accent4 2 4 4 2 2 2" xfId="35344"/>
    <cellStyle name="40% - Accent4 2 4 4 2 2 2 2" xfId="35345"/>
    <cellStyle name="40% - Accent4 2 4 4 2 2 3" xfId="35346"/>
    <cellStyle name="40% - Accent4 2 4 4 2 3" xfId="35347"/>
    <cellStyle name="40% - Accent4 2 4 4 2 3 2" xfId="35348"/>
    <cellStyle name="40% - Accent4 2 4 4 2 4" xfId="35349"/>
    <cellStyle name="40% - Accent4 2 4 4 3" xfId="35350"/>
    <cellStyle name="40% - Accent4 2 4 4 3 2" xfId="35351"/>
    <cellStyle name="40% - Accent4 2 4 4 3 2 2" xfId="35352"/>
    <cellStyle name="40% - Accent4 2 4 4 3 3" xfId="35353"/>
    <cellStyle name="40% - Accent4 2 4 4 4" xfId="35354"/>
    <cellStyle name="40% - Accent4 2 4 4 4 2" xfId="35355"/>
    <cellStyle name="40% - Accent4 2 4 4 5" xfId="35356"/>
    <cellStyle name="40% - Accent4 2 4 5" xfId="35357"/>
    <cellStyle name="40% - Accent4 2 4 5 2" xfId="35358"/>
    <cellStyle name="40% - Accent4 2 4 5 2 2" xfId="35359"/>
    <cellStyle name="40% - Accent4 2 4 5 2 2 2" xfId="35360"/>
    <cellStyle name="40% - Accent4 2 4 5 2 2 2 2" xfId="35361"/>
    <cellStyle name="40% - Accent4 2 4 5 2 2 3" xfId="35362"/>
    <cellStyle name="40% - Accent4 2 4 5 2 3" xfId="35363"/>
    <cellStyle name="40% - Accent4 2 4 5 2 3 2" xfId="35364"/>
    <cellStyle name="40% - Accent4 2 4 5 2 4" xfId="35365"/>
    <cellStyle name="40% - Accent4 2 4 5 3" xfId="35366"/>
    <cellStyle name="40% - Accent4 2 4 5 3 2" xfId="35367"/>
    <cellStyle name="40% - Accent4 2 4 5 3 2 2" xfId="35368"/>
    <cellStyle name="40% - Accent4 2 4 5 3 3" xfId="35369"/>
    <cellStyle name="40% - Accent4 2 4 5 4" xfId="35370"/>
    <cellStyle name="40% - Accent4 2 4 5 4 2" xfId="35371"/>
    <cellStyle name="40% - Accent4 2 4 5 5" xfId="35372"/>
    <cellStyle name="40% - Accent4 2 4 6" xfId="35373"/>
    <cellStyle name="40% - Accent4 2 4 6 2" xfId="35374"/>
    <cellStyle name="40% - Accent4 2 4 6 2 2" xfId="35375"/>
    <cellStyle name="40% - Accent4 2 4 6 2 2 2" xfId="35376"/>
    <cellStyle name="40% - Accent4 2 4 6 2 2 2 2" xfId="35377"/>
    <cellStyle name="40% - Accent4 2 4 6 2 2 3" xfId="35378"/>
    <cellStyle name="40% - Accent4 2 4 6 2 3" xfId="35379"/>
    <cellStyle name="40% - Accent4 2 4 6 2 3 2" xfId="35380"/>
    <cellStyle name="40% - Accent4 2 4 6 2 4" xfId="35381"/>
    <cellStyle name="40% - Accent4 2 4 6 3" xfId="35382"/>
    <cellStyle name="40% - Accent4 2 4 6 3 2" xfId="35383"/>
    <cellStyle name="40% - Accent4 2 4 6 3 2 2" xfId="35384"/>
    <cellStyle name="40% - Accent4 2 4 6 3 3" xfId="35385"/>
    <cellStyle name="40% - Accent4 2 4 6 4" xfId="35386"/>
    <cellStyle name="40% - Accent4 2 4 6 4 2" xfId="35387"/>
    <cellStyle name="40% - Accent4 2 4 6 5" xfId="35388"/>
    <cellStyle name="40% - Accent4 2 4 7" xfId="35389"/>
    <cellStyle name="40% - Accent4 2 4 7 2" xfId="35390"/>
    <cellStyle name="40% - Accent4 2 4 7 2 2" xfId="35391"/>
    <cellStyle name="40% - Accent4 2 4 7 2 2 2" xfId="35392"/>
    <cellStyle name="40% - Accent4 2 4 7 2 2 2 2" xfId="35393"/>
    <cellStyle name="40% - Accent4 2 4 7 2 2 3" xfId="35394"/>
    <cellStyle name="40% - Accent4 2 4 7 2 3" xfId="35395"/>
    <cellStyle name="40% - Accent4 2 4 7 2 3 2" xfId="35396"/>
    <cellStyle name="40% - Accent4 2 4 7 2 4" xfId="35397"/>
    <cellStyle name="40% - Accent4 2 4 7 3" xfId="35398"/>
    <cellStyle name="40% - Accent4 2 4 7 3 2" xfId="35399"/>
    <cellStyle name="40% - Accent4 2 4 7 3 2 2" xfId="35400"/>
    <cellStyle name="40% - Accent4 2 4 7 3 3" xfId="35401"/>
    <cellStyle name="40% - Accent4 2 4 7 4" xfId="35402"/>
    <cellStyle name="40% - Accent4 2 4 7 4 2" xfId="35403"/>
    <cellStyle name="40% - Accent4 2 4 7 5" xfId="35404"/>
    <cellStyle name="40% - Accent4 2 4 8" xfId="35405"/>
    <cellStyle name="40% - Accent4 2 4 8 2" xfId="35406"/>
    <cellStyle name="40% - Accent4 2 4 8 2 2" xfId="35407"/>
    <cellStyle name="40% - Accent4 2 4 8 2 2 2" xfId="35408"/>
    <cellStyle name="40% - Accent4 2 4 8 2 3" xfId="35409"/>
    <cellStyle name="40% - Accent4 2 4 8 3" xfId="35410"/>
    <cellStyle name="40% - Accent4 2 4 8 3 2" xfId="35411"/>
    <cellStyle name="40% - Accent4 2 4 8 4" xfId="35412"/>
    <cellStyle name="40% - Accent4 2 4 9" xfId="35413"/>
    <cellStyle name="40% - Accent4 2 4 9 2" xfId="35414"/>
    <cellStyle name="40% - Accent4 2 4 9 2 2" xfId="35415"/>
    <cellStyle name="40% - Accent4 2 4 9 3" xfId="35416"/>
    <cellStyle name="40% - Accent4 2 5" xfId="35417"/>
    <cellStyle name="40% - Accent4 2 5 10" xfId="35418"/>
    <cellStyle name="40% - Accent4 2 5 10 2" xfId="35419"/>
    <cellStyle name="40% - Accent4 2 5 11" xfId="35420"/>
    <cellStyle name="40% - Accent4 2 5 2" xfId="35421"/>
    <cellStyle name="40% - Accent4 2 5 2 10" xfId="35422"/>
    <cellStyle name="40% - Accent4 2 5 2 2" xfId="35423"/>
    <cellStyle name="40% - Accent4 2 5 2 2 2" xfId="35424"/>
    <cellStyle name="40% - Accent4 2 5 2 2 2 2" xfId="35425"/>
    <cellStyle name="40% - Accent4 2 5 2 2 2 2 2" xfId="35426"/>
    <cellStyle name="40% - Accent4 2 5 2 2 2 2 2 2" xfId="35427"/>
    <cellStyle name="40% - Accent4 2 5 2 2 2 2 3" xfId="35428"/>
    <cellStyle name="40% - Accent4 2 5 2 2 2 3" xfId="35429"/>
    <cellStyle name="40% - Accent4 2 5 2 2 2 3 2" xfId="35430"/>
    <cellStyle name="40% - Accent4 2 5 2 2 2 4" xfId="35431"/>
    <cellStyle name="40% - Accent4 2 5 2 2 3" xfId="35432"/>
    <cellStyle name="40% - Accent4 2 5 2 2 3 2" xfId="35433"/>
    <cellStyle name="40% - Accent4 2 5 2 2 3 2 2" xfId="35434"/>
    <cellStyle name="40% - Accent4 2 5 2 2 3 3" xfId="35435"/>
    <cellStyle name="40% - Accent4 2 5 2 2 4" xfId="35436"/>
    <cellStyle name="40% - Accent4 2 5 2 2 4 2" xfId="35437"/>
    <cellStyle name="40% - Accent4 2 5 2 2 5" xfId="35438"/>
    <cellStyle name="40% - Accent4 2 5 2 3" xfId="35439"/>
    <cellStyle name="40% - Accent4 2 5 2 3 2" xfId="35440"/>
    <cellStyle name="40% - Accent4 2 5 2 3 2 2" xfId="35441"/>
    <cellStyle name="40% - Accent4 2 5 2 3 2 2 2" xfId="35442"/>
    <cellStyle name="40% - Accent4 2 5 2 3 2 2 2 2" xfId="35443"/>
    <cellStyle name="40% - Accent4 2 5 2 3 2 2 3" xfId="35444"/>
    <cellStyle name="40% - Accent4 2 5 2 3 2 3" xfId="35445"/>
    <cellStyle name="40% - Accent4 2 5 2 3 2 3 2" xfId="35446"/>
    <cellStyle name="40% - Accent4 2 5 2 3 2 4" xfId="35447"/>
    <cellStyle name="40% - Accent4 2 5 2 3 3" xfId="35448"/>
    <cellStyle name="40% - Accent4 2 5 2 3 3 2" xfId="35449"/>
    <cellStyle name="40% - Accent4 2 5 2 3 3 2 2" xfId="35450"/>
    <cellStyle name="40% - Accent4 2 5 2 3 3 3" xfId="35451"/>
    <cellStyle name="40% - Accent4 2 5 2 3 4" xfId="35452"/>
    <cellStyle name="40% - Accent4 2 5 2 3 4 2" xfId="35453"/>
    <cellStyle name="40% - Accent4 2 5 2 3 5" xfId="35454"/>
    <cellStyle name="40% - Accent4 2 5 2 4" xfId="35455"/>
    <cellStyle name="40% - Accent4 2 5 2 4 2" xfId="35456"/>
    <cellStyle name="40% - Accent4 2 5 2 4 2 2" xfId="35457"/>
    <cellStyle name="40% - Accent4 2 5 2 4 2 2 2" xfId="35458"/>
    <cellStyle name="40% - Accent4 2 5 2 4 2 2 2 2" xfId="35459"/>
    <cellStyle name="40% - Accent4 2 5 2 4 2 2 3" xfId="35460"/>
    <cellStyle name="40% - Accent4 2 5 2 4 2 3" xfId="35461"/>
    <cellStyle name="40% - Accent4 2 5 2 4 2 3 2" xfId="35462"/>
    <cellStyle name="40% - Accent4 2 5 2 4 2 4" xfId="35463"/>
    <cellStyle name="40% - Accent4 2 5 2 4 3" xfId="35464"/>
    <cellStyle name="40% - Accent4 2 5 2 4 3 2" xfId="35465"/>
    <cellStyle name="40% - Accent4 2 5 2 4 3 2 2" xfId="35466"/>
    <cellStyle name="40% - Accent4 2 5 2 4 3 3" xfId="35467"/>
    <cellStyle name="40% - Accent4 2 5 2 4 4" xfId="35468"/>
    <cellStyle name="40% - Accent4 2 5 2 4 4 2" xfId="35469"/>
    <cellStyle name="40% - Accent4 2 5 2 4 5" xfId="35470"/>
    <cellStyle name="40% - Accent4 2 5 2 5" xfId="35471"/>
    <cellStyle name="40% - Accent4 2 5 2 5 2" xfId="35472"/>
    <cellStyle name="40% - Accent4 2 5 2 5 2 2" xfId="35473"/>
    <cellStyle name="40% - Accent4 2 5 2 5 2 2 2" xfId="35474"/>
    <cellStyle name="40% - Accent4 2 5 2 5 2 2 2 2" xfId="35475"/>
    <cellStyle name="40% - Accent4 2 5 2 5 2 2 3" xfId="35476"/>
    <cellStyle name="40% - Accent4 2 5 2 5 2 3" xfId="35477"/>
    <cellStyle name="40% - Accent4 2 5 2 5 2 3 2" xfId="35478"/>
    <cellStyle name="40% - Accent4 2 5 2 5 2 4" xfId="35479"/>
    <cellStyle name="40% - Accent4 2 5 2 5 3" xfId="35480"/>
    <cellStyle name="40% - Accent4 2 5 2 5 3 2" xfId="35481"/>
    <cellStyle name="40% - Accent4 2 5 2 5 3 2 2" xfId="35482"/>
    <cellStyle name="40% - Accent4 2 5 2 5 3 3" xfId="35483"/>
    <cellStyle name="40% - Accent4 2 5 2 5 4" xfId="35484"/>
    <cellStyle name="40% - Accent4 2 5 2 5 4 2" xfId="35485"/>
    <cellStyle name="40% - Accent4 2 5 2 5 5" xfId="35486"/>
    <cellStyle name="40% - Accent4 2 5 2 6" xfId="35487"/>
    <cellStyle name="40% - Accent4 2 5 2 6 2" xfId="35488"/>
    <cellStyle name="40% - Accent4 2 5 2 6 2 2" xfId="35489"/>
    <cellStyle name="40% - Accent4 2 5 2 6 2 2 2" xfId="35490"/>
    <cellStyle name="40% - Accent4 2 5 2 6 2 2 2 2" xfId="35491"/>
    <cellStyle name="40% - Accent4 2 5 2 6 2 2 3" xfId="35492"/>
    <cellStyle name="40% - Accent4 2 5 2 6 2 3" xfId="35493"/>
    <cellStyle name="40% - Accent4 2 5 2 6 2 3 2" xfId="35494"/>
    <cellStyle name="40% - Accent4 2 5 2 6 2 4" xfId="35495"/>
    <cellStyle name="40% - Accent4 2 5 2 6 3" xfId="35496"/>
    <cellStyle name="40% - Accent4 2 5 2 6 3 2" xfId="35497"/>
    <cellStyle name="40% - Accent4 2 5 2 6 3 2 2" xfId="35498"/>
    <cellStyle name="40% - Accent4 2 5 2 6 3 3" xfId="35499"/>
    <cellStyle name="40% - Accent4 2 5 2 6 4" xfId="35500"/>
    <cellStyle name="40% - Accent4 2 5 2 6 4 2" xfId="35501"/>
    <cellStyle name="40% - Accent4 2 5 2 6 5" xfId="35502"/>
    <cellStyle name="40% - Accent4 2 5 2 7" xfId="35503"/>
    <cellStyle name="40% - Accent4 2 5 2 7 2" xfId="35504"/>
    <cellStyle name="40% - Accent4 2 5 2 7 2 2" xfId="35505"/>
    <cellStyle name="40% - Accent4 2 5 2 7 2 2 2" xfId="35506"/>
    <cellStyle name="40% - Accent4 2 5 2 7 2 3" xfId="35507"/>
    <cellStyle name="40% - Accent4 2 5 2 7 3" xfId="35508"/>
    <cellStyle name="40% - Accent4 2 5 2 7 3 2" xfId="35509"/>
    <cellStyle name="40% - Accent4 2 5 2 7 4" xfId="35510"/>
    <cellStyle name="40% - Accent4 2 5 2 8" xfId="35511"/>
    <cellStyle name="40% - Accent4 2 5 2 8 2" xfId="35512"/>
    <cellStyle name="40% - Accent4 2 5 2 8 2 2" xfId="35513"/>
    <cellStyle name="40% - Accent4 2 5 2 8 3" xfId="35514"/>
    <cellStyle name="40% - Accent4 2 5 2 9" xfId="35515"/>
    <cellStyle name="40% - Accent4 2 5 2 9 2" xfId="35516"/>
    <cellStyle name="40% - Accent4 2 5 3" xfId="35517"/>
    <cellStyle name="40% - Accent4 2 5 3 2" xfId="35518"/>
    <cellStyle name="40% - Accent4 2 5 3 2 2" xfId="35519"/>
    <cellStyle name="40% - Accent4 2 5 3 2 2 2" xfId="35520"/>
    <cellStyle name="40% - Accent4 2 5 3 2 2 2 2" xfId="35521"/>
    <cellStyle name="40% - Accent4 2 5 3 2 2 3" xfId="35522"/>
    <cellStyle name="40% - Accent4 2 5 3 2 3" xfId="35523"/>
    <cellStyle name="40% - Accent4 2 5 3 2 3 2" xfId="35524"/>
    <cellStyle name="40% - Accent4 2 5 3 2 4" xfId="35525"/>
    <cellStyle name="40% - Accent4 2 5 3 3" xfId="35526"/>
    <cellStyle name="40% - Accent4 2 5 3 3 2" xfId="35527"/>
    <cellStyle name="40% - Accent4 2 5 3 3 2 2" xfId="35528"/>
    <cellStyle name="40% - Accent4 2 5 3 3 3" xfId="35529"/>
    <cellStyle name="40% - Accent4 2 5 3 4" xfId="35530"/>
    <cellStyle name="40% - Accent4 2 5 3 4 2" xfId="35531"/>
    <cellStyle name="40% - Accent4 2 5 3 5" xfId="35532"/>
    <cellStyle name="40% - Accent4 2 5 4" xfId="35533"/>
    <cellStyle name="40% - Accent4 2 5 4 2" xfId="35534"/>
    <cellStyle name="40% - Accent4 2 5 4 2 2" xfId="35535"/>
    <cellStyle name="40% - Accent4 2 5 4 2 2 2" xfId="35536"/>
    <cellStyle name="40% - Accent4 2 5 4 2 2 2 2" xfId="35537"/>
    <cellStyle name="40% - Accent4 2 5 4 2 2 3" xfId="35538"/>
    <cellStyle name="40% - Accent4 2 5 4 2 3" xfId="35539"/>
    <cellStyle name="40% - Accent4 2 5 4 2 3 2" xfId="35540"/>
    <cellStyle name="40% - Accent4 2 5 4 2 4" xfId="35541"/>
    <cellStyle name="40% - Accent4 2 5 4 3" xfId="35542"/>
    <cellStyle name="40% - Accent4 2 5 4 3 2" xfId="35543"/>
    <cellStyle name="40% - Accent4 2 5 4 3 2 2" xfId="35544"/>
    <cellStyle name="40% - Accent4 2 5 4 3 3" xfId="35545"/>
    <cellStyle name="40% - Accent4 2 5 4 4" xfId="35546"/>
    <cellStyle name="40% - Accent4 2 5 4 4 2" xfId="35547"/>
    <cellStyle name="40% - Accent4 2 5 4 5" xfId="35548"/>
    <cellStyle name="40% - Accent4 2 5 5" xfId="35549"/>
    <cellStyle name="40% - Accent4 2 5 5 2" xfId="35550"/>
    <cellStyle name="40% - Accent4 2 5 5 2 2" xfId="35551"/>
    <cellStyle name="40% - Accent4 2 5 5 2 2 2" xfId="35552"/>
    <cellStyle name="40% - Accent4 2 5 5 2 2 2 2" xfId="35553"/>
    <cellStyle name="40% - Accent4 2 5 5 2 2 3" xfId="35554"/>
    <cellStyle name="40% - Accent4 2 5 5 2 3" xfId="35555"/>
    <cellStyle name="40% - Accent4 2 5 5 2 3 2" xfId="35556"/>
    <cellStyle name="40% - Accent4 2 5 5 2 4" xfId="35557"/>
    <cellStyle name="40% - Accent4 2 5 5 3" xfId="35558"/>
    <cellStyle name="40% - Accent4 2 5 5 3 2" xfId="35559"/>
    <cellStyle name="40% - Accent4 2 5 5 3 2 2" xfId="35560"/>
    <cellStyle name="40% - Accent4 2 5 5 3 3" xfId="35561"/>
    <cellStyle name="40% - Accent4 2 5 5 4" xfId="35562"/>
    <cellStyle name="40% - Accent4 2 5 5 4 2" xfId="35563"/>
    <cellStyle name="40% - Accent4 2 5 5 5" xfId="35564"/>
    <cellStyle name="40% - Accent4 2 5 6" xfId="35565"/>
    <cellStyle name="40% - Accent4 2 5 6 2" xfId="35566"/>
    <cellStyle name="40% - Accent4 2 5 6 2 2" xfId="35567"/>
    <cellStyle name="40% - Accent4 2 5 6 2 2 2" xfId="35568"/>
    <cellStyle name="40% - Accent4 2 5 6 2 2 2 2" xfId="35569"/>
    <cellStyle name="40% - Accent4 2 5 6 2 2 3" xfId="35570"/>
    <cellStyle name="40% - Accent4 2 5 6 2 3" xfId="35571"/>
    <cellStyle name="40% - Accent4 2 5 6 2 3 2" xfId="35572"/>
    <cellStyle name="40% - Accent4 2 5 6 2 4" xfId="35573"/>
    <cellStyle name="40% - Accent4 2 5 6 3" xfId="35574"/>
    <cellStyle name="40% - Accent4 2 5 6 3 2" xfId="35575"/>
    <cellStyle name="40% - Accent4 2 5 6 3 2 2" xfId="35576"/>
    <cellStyle name="40% - Accent4 2 5 6 3 3" xfId="35577"/>
    <cellStyle name="40% - Accent4 2 5 6 4" xfId="35578"/>
    <cellStyle name="40% - Accent4 2 5 6 4 2" xfId="35579"/>
    <cellStyle name="40% - Accent4 2 5 6 5" xfId="35580"/>
    <cellStyle name="40% - Accent4 2 5 7" xfId="35581"/>
    <cellStyle name="40% - Accent4 2 5 7 2" xfId="35582"/>
    <cellStyle name="40% - Accent4 2 5 7 2 2" xfId="35583"/>
    <cellStyle name="40% - Accent4 2 5 7 2 2 2" xfId="35584"/>
    <cellStyle name="40% - Accent4 2 5 7 2 2 2 2" xfId="35585"/>
    <cellStyle name="40% - Accent4 2 5 7 2 2 3" xfId="35586"/>
    <cellStyle name="40% - Accent4 2 5 7 2 3" xfId="35587"/>
    <cellStyle name="40% - Accent4 2 5 7 2 3 2" xfId="35588"/>
    <cellStyle name="40% - Accent4 2 5 7 2 4" xfId="35589"/>
    <cellStyle name="40% - Accent4 2 5 7 3" xfId="35590"/>
    <cellStyle name="40% - Accent4 2 5 7 3 2" xfId="35591"/>
    <cellStyle name="40% - Accent4 2 5 7 3 2 2" xfId="35592"/>
    <cellStyle name="40% - Accent4 2 5 7 3 3" xfId="35593"/>
    <cellStyle name="40% - Accent4 2 5 7 4" xfId="35594"/>
    <cellStyle name="40% - Accent4 2 5 7 4 2" xfId="35595"/>
    <cellStyle name="40% - Accent4 2 5 7 5" xfId="35596"/>
    <cellStyle name="40% - Accent4 2 5 8" xfId="35597"/>
    <cellStyle name="40% - Accent4 2 5 8 2" xfId="35598"/>
    <cellStyle name="40% - Accent4 2 5 8 2 2" xfId="35599"/>
    <cellStyle name="40% - Accent4 2 5 8 2 2 2" xfId="35600"/>
    <cellStyle name="40% - Accent4 2 5 8 2 3" xfId="35601"/>
    <cellStyle name="40% - Accent4 2 5 8 3" xfId="35602"/>
    <cellStyle name="40% - Accent4 2 5 8 3 2" xfId="35603"/>
    <cellStyle name="40% - Accent4 2 5 8 4" xfId="35604"/>
    <cellStyle name="40% - Accent4 2 5 9" xfId="35605"/>
    <cellStyle name="40% - Accent4 2 5 9 2" xfId="35606"/>
    <cellStyle name="40% - Accent4 2 5 9 2 2" xfId="35607"/>
    <cellStyle name="40% - Accent4 2 5 9 3" xfId="35608"/>
    <cellStyle name="40% - Accent4 2 6" xfId="35609"/>
    <cellStyle name="40% - Accent4 2 6 10" xfId="35610"/>
    <cellStyle name="40% - Accent4 2 6 10 2" xfId="35611"/>
    <cellStyle name="40% - Accent4 2 6 11" xfId="35612"/>
    <cellStyle name="40% - Accent4 2 6 2" xfId="35613"/>
    <cellStyle name="40% - Accent4 2 6 2 10" xfId="35614"/>
    <cellStyle name="40% - Accent4 2 6 2 2" xfId="35615"/>
    <cellStyle name="40% - Accent4 2 6 2 2 2" xfId="35616"/>
    <cellStyle name="40% - Accent4 2 6 2 2 2 2" xfId="35617"/>
    <cellStyle name="40% - Accent4 2 6 2 2 2 2 2" xfId="35618"/>
    <cellStyle name="40% - Accent4 2 6 2 2 2 2 2 2" xfId="35619"/>
    <cellStyle name="40% - Accent4 2 6 2 2 2 2 3" xfId="35620"/>
    <cellStyle name="40% - Accent4 2 6 2 2 2 3" xfId="35621"/>
    <cellStyle name="40% - Accent4 2 6 2 2 2 3 2" xfId="35622"/>
    <cellStyle name="40% - Accent4 2 6 2 2 2 4" xfId="35623"/>
    <cellStyle name="40% - Accent4 2 6 2 2 3" xfId="35624"/>
    <cellStyle name="40% - Accent4 2 6 2 2 3 2" xfId="35625"/>
    <cellStyle name="40% - Accent4 2 6 2 2 3 2 2" xfId="35626"/>
    <cellStyle name="40% - Accent4 2 6 2 2 3 3" xfId="35627"/>
    <cellStyle name="40% - Accent4 2 6 2 2 4" xfId="35628"/>
    <cellStyle name="40% - Accent4 2 6 2 2 4 2" xfId="35629"/>
    <cellStyle name="40% - Accent4 2 6 2 2 5" xfId="35630"/>
    <cellStyle name="40% - Accent4 2 6 2 3" xfId="35631"/>
    <cellStyle name="40% - Accent4 2 6 2 3 2" xfId="35632"/>
    <cellStyle name="40% - Accent4 2 6 2 3 2 2" xfId="35633"/>
    <cellStyle name="40% - Accent4 2 6 2 3 2 2 2" xfId="35634"/>
    <cellStyle name="40% - Accent4 2 6 2 3 2 2 2 2" xfId="35635"/>
    <cellStyle name="40% - Accent4 2 6 2 3 2 2 3" xfId="35636"/>
    <cellStyle name="40% - Accent4 2 6 2 3 2 3" xfId="35637"/>
    <cellStyle name="40% - Accent4 2 6 2 3 2 3 2" xfId="35638"/>
    <cellStyle name="40% - Accent4 2 6 2 3 2 4" xfId="35639"/>
    <cellStyle name="40% - Accent4 2 6 2 3 3" xfId="35640"/>
    <cellStyle name="40% - Accent4 2 6 2 3 3 2" xfId="35641"/>
    <cellStyle name="40% - Accent4 2 6 2 3 3 2 2" xfId="35642"/>
    <cellStyle name="40% - Accent4 2 6 2 3 3 3" xfId="35643"/>
    <cellStyle name="40% - Accent4 2 6 2 3 4" xfId="35644"/>
    <cellStyle name="40% - Accent4 2 6 2 3 4 2" xfId="35645"/>
    <cellStyle name="40% - Accent4 2 6 2 3 5" xfId="35646"/>
    <cellStyle name="40% - Accent4 2 6 2 4" xfId="35647"/>
    <cellStyle name="40% - Accent4 2 6 2 4 2" xfId="35648"/>
    <cellStyle name="40% - Accent4 2 6 2 4 2 2" xfId="35649"/>
    <cellStyle name="40% - Accent4 2 6 2 4 2 2 2" xfId="35650"/>
    <cellStyle name="40% - Accent4 2 6 2 4 2 2 2 2" xfId="35651"/>
    <cellStyle name="40% - Accent4 2 6 2 4 2 2 3" xfId="35652"/>
    <cellStyle name="40% - Accent4 2 6 2 4 2 3" xfId="35653"/>
    <cellStyle name="40% - Accent4 2 6 2 4 2 3 2" xfId="35654"/>
    <cellStyle name="40% - Accent4 2 6 2 4 2 4" xfId="35655"/>
    <cellStyle name="40% - Accent4 2 6 2 4 3" xfId="35656"/>
    <cellStyle name="40% - Accent4 2 6 2 4 3 2" xfId="35657"/>
    <cellStyle name="40% - Accent4 2 6 2 4 3 2 2" xfId="35658"/>
    <cellStyle name="40% - Accent4 2 6 2 4 3 3" xfId="35659"/>
    <cellStyle name="40% - Accent4 2 6 2 4 4" xfId="35660"/>
    <cellStyle name="40% - Accent4 2 6 2 4 4 2" xfId="35661"/>
    <cellStyle name="40% - Accent4 2 6 2 4 5" xfId="35662"/>
    <cellStyle name="40% - Accent4 2 6 2 5" xfId="35663"/>
    <cellStyle name="40% - Accent4 2 6 2 5 2" xfId="35664"/>
    <cellStyle name="40% - Accent4 2 6 2 5 2 2" xfId="35665"/>
    <cellStyle name="40% - Accent4 2 6 2 5 2 2 2" xfId="35666"/>
    <cellStyle name="40% - Accent4 2 6 2 5 2 2 2 2" xfId="35667"/>
    <cellStyle name="40% - Accent4 2 6 2 5 2 2 3" xfId="35668"/>
    <cellStyle name="40% - Accent4 2 6 2 5 2 3" xfId="35669"/>
    <cellStyle name="40% - Accent4 2 6 2 5 2 3 2" xfId="35670"/>
    <cellStyle name="40% - Accent4 2 6 2 5 2 4" xfId="35671"/>
    <cellStyle name="40% - Accent4 2 6 2 5 3" xfId="35672"/>
    <cellStyle name="40% - Accent4 2 6 2 5 3 2" xfId="35673"/>
    <cellStyle name="40% - Accent4 2 6 2 5 3 2 2" xfId="35674"/>
    <cellStyle name="40% - Accent4 2 6 2 5 3 3" xfId="35675"/>
    <cellStyle name="40% - Accent4 2 6 2 5 4" xfId="35676"/>
    <cellStyle name="40% - Accent4 2 6 2 5 4 2" xfId="35677"/>
    <cellStyle name="40% - Accent4 2 6 2 5 5" xfId="35678"/>
    <cellStyle name="40% - Accent4 2 6 2 6" xfId="35679"/>
    <cellStyle name="40% - Accent4 2 6 2 6 2" xfId="35680"/>
    <cellStyle name="40% - Accent4 2 6 2 6 2 2" xfId="35681"/>
    <cellStyle name="40% - Accent4 2 6 2 6 2 2 2" xfId="35682"/>
    <cellStyle name="40% - Accent4 2 6 2 6 2 2 2 2" xfId="35683"/>
    <cellStyle name="40% - Accent4 2 6 2 6 2 2 3" xfId="35684"/>
    <cellStyle name="40% - Accent4 2 6 2 6 2 3" xfId="35685"/>
    <cellStyle name="40% - Accent4 2 6 2 6 2 3 2" xfId="35686"/>
    <cellStyle name="40% - Accent4 2 6 2 6 2 4" xfId="35687"/>
    <cellStyle name="40% - Accent4 2 6 2 6 3" xfId="35688"/>
    <cellStyle name="40% - Accent4 2 6 2 6 3 2" xfId="35689"/>
    <cellStyle name="40% - Accent4 2 6 2 6 3 2 2" xfId="35690"/>
    <cellStyle name="40% - Accent4 2 6 2 6 3 3" xfId="35691"/>
    <cellStyle name="40% - Accent4 2 6 2 6 4" xfId="35692"/>
    <cellStyle name="40% - Accent4 2 6 2 6 4 2" xfId="35693"/>
    <cellStyle name="40% - Accent4 2 6 2 6 5" xfId="35694"/>
    <cellStyle name="40% - Accent4 2 6 2 7" xfId="35695"/>
    <cellStyle name="40% - Accent4 2 6 2 7 2" xfId="35696"/>
    <cellStyle name="40% - Accent4 2 6 2 7 2 2" xfId="35697"/>
    <cellStyle name="40% - Accent4 2 6 2 7 2 2 2" xfId="35698"/>
    <cellStyle name="40% - Accent4 2 6 2 7 2 3" xfId="35699"/>
    <cellStyle name="40% - Accent4 2 6 2 7 3" xfId="35700"/>
    <cellStyle name="40% - Accent4 2 6 2 7 3 2" xfId="35701"/>
    <cellStyle name="40% - Accent4 2 6 2 7 4" xfId="35702"/>
    <cellStyle name="40% - Accent4 2 6 2 8" xfId="35703"/>
    <cellStyle name="40% - Accent4 2 6 2 8 2" xfId="35704"/>
    <cellStyle name="40% - Accent4 2 6 2 8 2 2" xfId="35705"/>
    <cellStyle name="40% - Accent4 2 6 2 8 3" xfId="35706"/>
    <cellStyle name="40% - Accent4 2 6 2 9" xfId="35707"/>
    <cellStyle name="40% - Accent4 2 6 2 9 2" xfId="35708"/>
    <cellStyle name="40% - Accent4 2 6 3" xfId="35709"/>
    <cellStyle name="40% - Accent4 2 6 3 2" xfId="35710"/>
    <cellStyle name="40% - Accent4 2 6 3 2 2" xfId="35711"/>
    <cellStyle name="40% - Accent4 2 6 3 2 2 2" xfId="35712"/>
    <cellStyle name="40% - Accent4 2 6 3 2 2 2 2" xfId="35713"/>
    <cellStyle name="40% - Accent4 2 6 3 2 2 3" xfId="35714"/>
    <cellStyle name="40% - Accent4 2 6 3 2 3" xfId="35715"/>
    <cellStyle name="40% - Accent4 2 6 3 2 3 2" xfId="35716"/>
    <cellStyle name="40% - Accent4 2 6 3 2 4" xfId="35717"/>
    <cellStyle name="40% - Accent4 2 6 3 3" xfId="35718"/>
    <cellStyle name="40% - Accent4 2 6 3 3 2" xfId="35719"/>
    <cellStyle name="40% - Accent4 2 6 3 3 2 2" xfId="35720"/>
    <cellStyle name="40% - Accent4 2 6 3 3 3" xfId="35721"/>
    <cellStyle name="40% - Accent4 2 6 3 4" xfId="35722"/>
    <cellStyle name="40% - Accent4 2 6 3 4 2" xfId="35723"/>
    <cellStyle name="40% - Accent4 2 6 3 5" xfId="35724"/>
    <cellStyle name="40% - Accent4 2 6 4" xfId="35725"/>
    <cellStyle name="40% - Accent4 2 6 4 2" xfId="35726"/>
    <cellStyle name="40% - Accent4 2 6 4 2 2" xfId="35727"/>
    <cellStyle name="40% - Accent4 2 6 4 2 2 2" xfId="35728"/>
    <cellStyle name="40% - Accent4 2 6 4 2 2 2 2" xfId="35729"/>
    <cellStyle name="40% - Accent4 2 6 4 2 2 3" xfId="35730"/>
    <cellStyle name="40% - Accent4 2 6 4 2 3" xfId="35731"/>
    <cellStyle name="40% - Accent4 2 6 4 2 3 2" xfId="35732"/>
    <cellStyle name="40% - Accent4 2 6 4 2 4" xfId="35733"/>
    <cellStyle name="40% - Accent4 2 6 4 3" xfId="35734"/>
    <cellStyle name="40% - Accent4 2 6 4 3 2" xfId="35735"/>
    <cellStyle name="40% - Accent4 2 6 4 3 2 2" xfId="35736"/>
    <cellStyle name="40% - Accent4 2 6 4 3 3" xfId="35737"/>
    <cellStyle name="40% - Accent4 2 6 4 4" xfId="35738"/>
    <cellStyle name="40% - Accent4 2 6 4 4 2" xfId="35739"/>
    <cellStyle name="40% - Accent4 2 6 4 5" xfId="35740"/>
    <cellStyle name="40% - Accent4 2 6 5" xfId="35741"/>
    <cellStyle name="40% - Accent4 2 6 5 2" xfId="35742"/>
    <cellStyle name="40% - Accent4 2 6 5 2 2" xfId="35743"/>
    <cellStyle name="40% - Accent4 2 6 5 2 2 2" xfId="35744"/>
    <cellStyle name="40% - Accent4 2 6 5 2 2 2 2" xfId="35745"/>
    <cellStyle name="40% - Accent4 2 6 5 2 2 3" xfId="35746"/>
    <cellStyle name="40% - Accent4 2 6 5 2 3" xfId="35747"/>
    <cellStyle name="40% - Accent4 2 6 5 2 3 2" xfId="35748"/>
    <cellStyle name="40% - Accent4 2 6 5 2 4" xfId="35749"/>
    <cellStyle name="40% - Accent4 2 6 5 3" xfId="35750"/>
    <cellStyle name="40% - Accent4 2 6 5 3 2" xfId="35751"/>
    <cellStyle name="40% - Accent4 2 6 5 3 2 2" xfId="35752"/>
    <cellStyle name="40% - Accent4 2 6 5 3 3" xfId="35753"/>
    <cellStyle name="40% - Accent4 2 6 5 4" xfId="35754"/>
    <cellStyle name="40% - Accent4 2 6 5 4 2" xfId="35755"/>
    <cellStyle name="40% - Accent4 2 6 5 5" xfId="35756"/>
    <cellStyle name="40% - Accent4 2 6 6" xfId="35757"/>
    <cellStyle name="40% - Accent4 2 6 6 2" xfId="35758"/>
    <cellStyle name="40% - Accent4 2 6 6 2 2" xfId="35759"/>
    <cellStyle name="40% - Accent4 2 6 6 2 2 2" xfId="35760"/>
    <cellStyle name="40% - Accent4 2 6 6 2 2 2 2" xfId="35761"/>
    <cellStyle name="40% - Accent4 2 6 6 2 2 3" xfId="35762"/>
    <cellStyle name="40% - Accent4 2 6 6 2 3" xfId="35763"/>
    <cellStyle name="40% - Accent4 2 6 6 2 3 2" xfId="35764"/>
    <cellStyle name="40% - Accent4 2 6 6 2 4" xfId="35765"/>
    <cellStyle name="40% - Accent4 2 6 6 3" xfId="35766"/>
    <cellStyle name="40% - Accent4 2 6 6 3 2" xfId="35767"/>
    <cellStyle name="40% - Accent4 2 6 6 3 2 2" xfId="35768"/>
    <cellStyle name="40% - Accent4 2 6 6 3 3" xfId="35769"/>
    <cellStyle name="40% - Accent4 2 6 6 4" xfId="35770"/>
    <cellStyle name="40% - Accent4 2 6 6 4 2" xfId="35771"/>
    <cellStyle name="40% - Accent4 2 6 6 5" xfId="35772"/>
    <cellStyle name="40% - Accent4 2 6 7" xfId="35773"/>
    <cellStyle name="40% - Accent4 2 6 7 2" xfId="35774"/>
    <cellStyle name="40% - Accent4 2 6 7 2 2" xfId="35775"/>
    <cellStyle name="40% - Accent4 2 6 7 2 2 2" xfId="35776"/>
    <cellStyle name="40% - Accent4 2 6 7 2 2 2 2" xfId="35777"/>
    <cellStyle name="40% - Accent4 2 6 7 2 2 3" xfId="35778"/>
    <cellStyle name="40% - Accent4 2 6 7 2 3" xfId="35779"/>
    <cellStyle name="40% - Accent4 2 6 7 2 3 2" xfId="35780"/>
    <cellStyle name="40% - Accent4 2 6 7 2 4" xfId="35781"/>
    <cellStyle name="40% - Accent4 2 6 7 3" xfId="35782"/>
    <cellStyle name="40% - Accent4 2 6 7 3 2" xfId="35783"/>
    <cellStyle name="40% - Accent4 2 6 7 3 2 2" xfId="35784"/>
    <cellStyle name="40% - Accent4 2 6 7 3 3" xfId="35785"/>
    <cellStyle name="40% - Accent4 2 6 7 4" xfId="35786"/>
    <cellStyle name="40% - Accent4 2 6 7 4 2" xfId="35787"/>
    <cellStyle name="40% - Accent4 2 6 7 5" xfId="35788"/>
    <cellStyle name="40% - Accent4 2 6 8" xfId="35789"/>
    <cellStyle name="40% - Accent4 2 6 8 2" xfId="35790"/>
    <cellStyle name="40% - Accent4 2 6 8 2 2" xfId="35791"/>
    <cellStyle name="40% - Accent4 2 6 8 2 2 2" xfId="35792"/>
    <cellStyle name="40% - Accent4 2 6 8 2 3" xfId="35793"/>
    <cellStyle name="40% - Accent4 2 6 8 3" xfId="35794"/>
    <cellStyle name="40% - Accent4 2 6 8 3 2" xfId="35795"/>
    <cellStyle name="40% - Accent4 2 6 8 4" xfId="35796"/>
    <cellStyle name="40% - Accent4 2 6 9" xfId="35797"/>
    <cellStyle name="40% - Accent4 2 6 9 2" xfId="35798"/>
    <cellStyle name="40% - Accent4 2 6 9 2 2" xfId="35799"/>
    <cellStyle name="40% - Accent4 2 6 9 3" xfId="35800"/>
    <cellStyle name="40% - Accent4 2 7" xfId="35801"/>
    <cellStyle name="40% - Accent4 2 7 10" xfId="35802"/>
    <cellStyle name="40% - Accent4 2 7 10 2" xfId="35803"/>
    <cellStyle name="40% - Accent4 2 7 11" xfId="35804"/>
    <cellStyle name="40% - Accent4 2 7 2" xfId="35805"/>
    <cellStyle name="40% - Accent4 2 7 2 10" xfId="35806"/>
    <cellStyle name="40% - Accent4 2 7 2 2" xfId="35807"/>
    <cellStyle name="40% - Accent4 2 7 2 2 2" xfId="35808"/>
    <cellStyle name="40% - Accent4 2 7 2 2 2 2" xfId="35809"/>
    <cellStyle name="40% - Accent4 2 7 2 2 2 2 2" xfId="35810"/>
    <cellStyle name="40% - Accent4 2 7 2 2 2 2 2 2" xfId="35811"/>
    <cellStyle name="40% - Accent4 2 7 2 2 2 2 3" xfId="35812"/>
    <cellStyle name="40% - Accent4 2 7 2 2 2 3" xfId="35813"/>
    <cellStyle name="40% - Accent4 2 7 2 2 2 3 2" xfId="35814"/>
    <cellStyle name="40% - Accent4 2 7 2 2 2 4" xfId="35815"/>
    <cellStyle name="40% - Accent4 2 7 2 2 3" xfId="35816"/>
    <cellStyle name="40% - Accent4 2 7 2 2 3 2" xfId="35817"/>
    <cellStyle name="40% - Accent4 2 7 2 2 3 2 2" xfId="35818"/>
    <cellStyle name="40% - Accent4 2 7 2 2 3 3" xfId="35819"/>
    <cellStyle name="40% - Accent4 2 7 2 2 4" xfId="35820"/>
    <cellStyle name="40% - Accent4 2 7 2 2 4 2" xfId="35821"/>
    <cellStyle name="40% - Accent4 2 7 2 2 5" xfId="35822"/>
    <cellStyle name="40% - Accent4 2 7 2 3" xfId="35823"/>
    <cellStyle name="40% - Accent4 2 7 2 3 2" xfId="35824"/>
    <cellStyle name="40% - Accent4 2 7 2 3 2 2" xfId="35825"/>
    <cellStyle name="40% - Accent4 2 7 2 3 2 2 2" xfId="35826"/>
    <cellStyle name="40% - Accent4 2 7 2 3 2 2 2 2" xfId="35827"/>
    <cellStyle name="40% - Accent4 2 7 2 3 2 2 3" xfId="35828"/>
    <cellStyle name="40% - Accent4 2 7 2 3 2 3" xfId="35829"/>
    <cellStyle name="40% - Accent4 2 7 2 3 2 3 2" xfId="35830"/>
    <cellStyle name="40% - Accent4 2 7 2 3 2 4" xfId="35831"/>
    <cellStyle name="40% - Accent4 2 7 2 3 3" xfId="35832"/>
    <cellStyle name="40% - Accent4 2 7 2 3 3 2" xfId="35833"/>
    <cellStyle name="40% - Accent4 2 7 2 3 3 2 2" xfId="35834"/>
    <cellStyle name="40% - Accent4 2 7 2 3 3 3" xfId="35835"/>
    <cellStyle name="40% - Accent4 2 7 2 3 4" xfId="35836"/>
    <cellStyle name="40% - Accent4 2 7 2 3 4 2" xfId="35837"/>
    <cellStyle name="40% - Accent4 2 7 2 3 5" xfId="35838"/>
    <cellStyle name="40% - Accent4 2 7 2 4" xfId="35839"/>
    <cellStyle name="40% - Accent4 2 7 2 4 2" xfId="35840"/>
    <cellStyle name="40% - Accent4 2 7 2 4 2 2" xfId="35841"/>
    <cellStyle name="40% - Accent4 2 7 2 4 2 2 2" xfId="35842"/>
    <cellStyle name="40% - Accent4 2 7 2 4 2 2 2 2" xfId="35843"/>
    <cellStyle name="40% - Accent4 2 7 2 4 2 2 3" xfId="35844"/>
    <cellStyle name="40% - Accent4 2 7 2 4 2 3" xfId="35845"/>
    <cellStyle name="40% - Accent4 2 7 2 4 2 3 2" xfId="35846"/>
    <cellStyle name="40% - Accent4 2 7 2 4 2 4" xfId="35847"/>
    <cellStyle name="40% - Accent4 2 7 2 4 3" xfId="35848"/>
    <cellStyle name="40% - Accent4 2 7 2 4 3 2" xfId="35849"/>
    <cellStyle name="40% - Accent4 2 7 2 4 3 2 2" xfId="35850"/>
    <cellStyle name="40% - Accent4 2 7 2 4 3 3" xfId="35851"/>
    <cellStyle name="40% - Accent4 2 7 2 4 4" xfId="35852"/>
    <cellStyle name="40% - Accent4 2 7 2 4 4 2" xfId="35853"/>
    <cellStyle name="40% - Accent4 2 7 2 4 5" xfId="35854"/>
    <cellStyle name="40% - Accent4 2 7 2 5" xfId="35855"/>
    <cellStyle name="40% - Accent4 2 7 2 5 2" xfId="35856"/>
    <cellStyle name="40% - Accent4 2 7 2 5 2 2" xfId="35857"/>
    <cellStyle name="40% - Accent4 2 7 2 5 2 2 2" xfId="35858"/>
    <cellStyle name="40% - Accent4 2 7 2 5 2 2 2 2" xfId="35859"/>
    <cellStyle name="40% - Accent4 2 7 2 5 2 2 3" xfId="35860"/>
    <cellStyle name="40% - Accent4 2 7 2 5 2 3" xfId="35861"/>
    <cellStyle name="40% - Accent4 2 7 2 5 2 3 2" xfId="35862"/>
    <cellStyle name="40% - Accent4 2 7 2 5 2 4" xfId="35863"/>
    <cellStyle name="40% - Accent4 2 7 2 5 3" xfId="35864"/>
    <cellStyle name="40% - Accent4 2 7 2 5 3 2" xfId="35865"/>
    <cellStyle name="40% - Accent4 2 7 2 5 3 2 2" xfId="35866"/>
    <cellStyle name="40% - Accent4 2 7 2 5 3 3" xfId="35867"/>
    <cellStyle name="40% - Accent4 2 7 2 5 4" xfId="35868"/>
    <cellStyle name="40% - Accent4 2 7 2 5 4 2" xfId="35869"/>
    <cellStyle name="40% - Accent4 2 7 2 5 5" xfId="35870"/>
    <cellStyle name="40% - Accent4 2 7 2 6" xfId="35871"/>
    <cellStyle name="40% - Accent4 2 7 2 6 2" xfId="35872"/>
    <cellStyle name="40% - Accent4 2 7 2 6 2 2" xfId="35873"/>
    <cellStyle name="40% - Accent4 2 7 2 6 2 2 2" xfId="35874"/>
    <cellStyle name="40% - Accent4 2 7 2 6 2 2 2 2" xfId="35875"/>
    <cellStyle name="40% - Accent4 2 7 2 6 2 2 3" xfId="35876"/>
    <cellStyle name="40% - Accent4 2 7 2 6 2 3" xfId="35877"/>
    <cellStyle name="40% - Accent4 2 7 2 6 2 3 2" xfId="35878"/>
    <cellStyle name="40% - Accent4 2 7 2 6 2 4" xfId="35879"/>
    <cellStyle name="40% - Accent4 2 7 2 6 3" xfId="35880"/>
    <cellStyle name="40% - Accent4 2 7 2 6 3 2" xfId="35881"/>
    <cellStyle name="40% - Accent4 2 7 2 6 3 2 2" xfId="35882"/>
    <cellStyle name="40% - Accent4 2 7 2 6 3 3" xfId="35883"/>
    <cellStyle name="40% - Accent4 2 7 2 6 4" xfId="35884"/>
    <cellStyle name="40% - Accent4 2 7 2 6 4 2" xfId="35885"/>
    <cellStyle name="40% - Accent4 2 7 2 6 5" xfId="35886"/>
    <cellStyle name="40% - Accent4 2 7 2 7" xfId="35887"/>
    <cellStyle name="40% - Accent4 2 7 2 7 2" xfId="35888"/>
    <cellStyle name="40% - Accent4 2 7 2 7 2 2" xfId="35889"/>
    <cellStyle name="40% - Accent4 2 7 2 7 2 2 2" xfId="35890"/>
    <cellStyle name="40% - Accent4 2 7 2 7 2 3" xfId="35891"/>
    <cellStyle name="40% - Accent4 2 7 2 7 3" xfId="35892"/>
    <cellStyle name="40% - Accent4 2 7 2 7 3 2" xfId="35893"/>
    <cellStyle name="40% - Accent4 2 7 2 7 4" xfId="35894"/>
    <cellStyle name="40% - Accent4 2 7 2 8" xfId="35895"/>
    <cellStyle name="40% - Accent4 2 7 2 8 2" xfId="35896"/>
    <cellStyle name="40% - Accent4 2 7 2 8 2 2" xfId="35897"/>
    <cellStyle name="40% - Accent4 2 7 2 8 3" xfId="35898"/>
    <cellStyle name="40% - Accent4 2 7 2 9" xfId="35899"/>
    <cellStyle name="40% - Accent4 2 7 2 9 2" xfId="35900"/>
    <cellStyle name="40% - Accent4 2 7 3" xfId="35901"/>
    <cellStyle name="40% - Accent4 2 7 3 2" xfId="35902"/>
    <cellStyle name="40% - Accent4 2 7 3 2 2" xfId="35903"/>
    <cellStyle name="40% - Accent4 2 7 3 2 2 2" xfId="35904"/>
    <cellStyle name="40% - Accent4 2 7 3 2 2 2 2" xfId="35905"/>
    <cellStyle name="40% - Accent4 2 7 3 2 2 3" xfId="35906"/>
    <cellStyle name="40% - Accent4 2 7 3 2 3" xfId="35907"/>
    <cellStyle name="40% - Accent4 2 7 3 2 3 2" xfId="35908"/>
    <cellStyle name="40% - Accent4 2 7 3 2 4" xfId="35909"/>
    <cellStyle name="40% - Accent4 2 7 3 3" xfId="35910"/>
    <cellStyle name="40% - Accent4 2 7 3 3 2" xfId="35911"/>
    <cellStyle name="40% - Accent4 2 7 3 3 2 2" xfId="35912"/>
    <cellStyle name="40% - Accent4 2 7 3 3 3" xfId="35913"/>
    <cellStyle name="40% - Accent4 2 7 3 4" xfId="35914"/>
    <cellStyle name="40% - Accent4 2 7 3 4 2" xfId="35915"/>
    <cellStyle name="40% - Accent4 2 7 3 5" xfId="35916"/>
    <cellStyle name="40% - Accent4 2 7 4" xfId="35917"/>
    <cellStyle name="40% - Accent4 2 7 4 2" xfId="35918"/>
    <cellStyle name="40% - Accent4 2 7 4 2 2" xfId="35919"/>
    <cellStyle name="40% - Accent4 2 7 4 2 2 2" xfId="35920"/>
    <cellStyle name="40% - Accent4 2 7 4 2 2 2 2" xfId="35921"/>
    <cellStyle name="40% - Accent4 2 7 4 2 2 3" xfId="35922"/>
    <cellStyle name="40% - Accent4 2 7 4 2 3" xfId="35923"/>
    <cellStyle name="40% - Accent4 2 7 4 2 3 2" xfId="35924"/>
    <cellStyle name="40% - Accent4 2 7 4 2 4" xfId="35925"/>
    <cellStyle name="40% - Accent4 2 7 4 3" xfId="35926"/>
    <cellStyle name="40% - Accent4 2 7 4 3 2" xfId="35927"/>
    <cellStyle name="40% - Accent4 2 7 4 3 2 2" xfId="35928"/>
    <cellStyle name="40% - Accent4 2 7 4 3 3" xfId="35929"/>
    <cellStyle name="40% - Accent4 2 7 4 4" xfId="35930"/>
    <cellStyle name="40% - Accent4 2 7 4 4 2" xfId="35931"/>
    <cellStyle name="40% - Accent4 2 7 4 5" xfId="35932"/>
    <cellStyle name="40% - Accent4 2 7 5" xfId="35933"/>
    <cellStyle name="40% - Accent4 2 7 5 2" xfId="35934"/>
    <cellStyle name="40% - Accent4 2 7 5 2 2" xfId="35935"/>
    <cellStyle name="40% - Accent4 2 7 5 2 2 2" xfId="35936"/>
    <cellStyle name="40% - Accent4 2 7 5 2 2 2 2" xfId="35937"/>
    <cellStyle name="40% - Accent4 2 7 5 2 2 3" xfId="35938"/>
    <cellStyle name="40% - Accent4 2 7 5 2 3" xfId="35939"/>
    <cellStyle name="40% - Accent4 2 7 5 2 3 2" xfId="35940"/>
    <cellStyle name="40% - Accent4 2 7 5 2 4" xfId="35941"/>
    <cellStyle name="40% - Accent4 2 7 5 3" xfId="35942"/>
    <cellStyle name="40% - Accent4 2 7 5 3 2" xfId="35943"/>
    <cellStyle name="40% - Accent4 2 7 5 3 2 2" xfId="35944"/>
    <cellStyle name="40% - Accent4 2 7 5 3 3" xfId="35945"/>
    <cellStyle name="40% - Accent4 2 7 5 4" xfId="35946"/>
    <cellStyle name="40% - Accent4 2 7 5 4 2" xfId="35947"/>
    <cellStyle name="40% - Accent4 2 7 5 5" xfId="35948"/>
    <cellStyle name="40% - Accent4 2 7 6" xfId="35949"/>
    <cellStyle name="40% - Accent4 2 7 6 2" xfId="35950"/>
    <cellStyle name="40% - Accent4 2 7 6 2 2" xfId="35951"/>
    <cellStyle name="40% - Accent4 2 7 6 2 2 2" xfId="35952"/>
    <cellStyle name="40% - Accent4 2 7 6 2 2 2 2" xfId="35953"/>
    <cellStyle name="40% - Accent4 2 7 6 2 2 3" xfId="35954"/>
    <cellStyle name="40% - Accent4 2 7 6 2 3" xfId="35955"/>
    <cellStyle name="40% - Accent4 2 7 6 2 3 2" xfId="35956"/>
    <cellStyle name="40% - Accent4 2 7 6 2 4" xfId="35957"/>
    <cellStyle name="40% - Accent4 2 7 6 3" xfId="35958"/>
    <cellStyle name="40% - Accent4 2 7 6 3 2" xfId="35959"/>
    <cellStyle name="40% - Accent4 2 7 6 3 2 2" xfId="35960"/>
    <cellStyle name="40% - Accent4 2 7 6 3 3" xfId="35961"/>
    <cellStyle name="40% - Accent4 2 7 6 4" xfId="35962"/>
    <cellStyle name="40% - Accent4 2 7 6 4 2" xfId="35963"/>
    <cellStyle name="40% - Accent4 2 7 6 5" xfId="35964"/>
    <cellStyle name="40% - Accent4 2 7 7" xfId="35965"/>
    <cellStyle name="40% - Accent4 2 7 7 2" xfId="35966"/>
    <cellStyle name="40% - Accent4 2 7 7 2 2" xfId="35967"/>
    <cellStyle name="40% - Accent4 2 7 7 2 2 2" xfId="35968"/>
    <cellStyle name="40% - Accent4 2 7 7 2 2 2 2" xfId="35969"/>
    <cellStyle name="40% - Accent4 2 7 7 2 2 3" xfId="35970"/>
    <cellStyle name="40% - Accent4 2 7 7 2 3" xfId="35971"/>
    <cellStyle name="40% - Accent4 2 7 7 2 3 2" xfId="35972"/>
    <cellStyle name="40% - Accent4 2 7 7 2 4" xfId="35973"/>
    <cellStyle name="40% - Accent4 2 7 7 3" xfId="35974"/>
    <cellStyle name="40% - Accent4 2 7 7 3 2" xfId="35975"/>
    <cellStyle name="40% - Accent4 2 7 7 3 2 2" xfId="35976"/>
    <cellStyle name="40% - Accent4 2 7 7 3 3" xfId="35977"/>
    <cellStyle name="40% - Accent4 2 7 7 4" xfId="35978"/>
    <cellStyle name="40% - Accent4 2 7 7 4 2" xfId="35979"/>
    <cellStyle name="40% - Accent4 2 7 7 5" xfId="35980"/>
    <cellStyle name="40% - Accent4 2 7 8" xfId="35981"/>
    <cellStyle name="40% - Accent4 2 7 8 2" xfId="35982"/>
    <cellStyle name="40% - Accent4 2 7 8 2 2" xfId="35983"/>
    <cellStyle name="40% - Accent4 2 7 8 2 2 2" xfId="35984"/>
    <cellStyle name="40% - Accent4 2 7 8 2 3" xfId="35985"/>
    <cellStyle name="40% - Accent4 2 7 8 3" xfId="35986"/>
    <cellStyle name="40% - Accent4 2 7 8 3 2" xfId="35987"/>
    <cellStyle name="40% - Accent4 2 7 8 4" xfId="35988"/>
    <cellStyle name="40% - Accent4 2 7 9" xfId="35989"/>
    <cellStyle name="40% - Accent4 2 7 9 2" xfId="35990"/>
    <cellStyle name="40% - Accent4 2 7 9 2 2" xfId="35991"/>
    <cellStyle name="40% - Accent4 2 7 9 3" xfId="35992"/>
    <cellStyle name="40% - Accent4 2 8" xfId="35993"/>
    <cellStyle name="40% - Accent4 2 8 10" xfId="35994"/>
    <cellStyle name="40% - Accent4 2 8 10 2" xfId="35995"/>
    <cellStyle name="40% - Accent4 2 8 11" xfId="35996"/>
    <cellStyle name="40% - Accent4 2 8 2" xfId="35997"/>
    <cellStyle name="40% - Accent4 2 8 2 10" xfId="35998"/>
    <cellStyle name="40% - Accent4 2 8 2 2" xfId="35999"/>
    <cellStyle name="40% - Accent4 2 8 2 2 2" xfId="36000"/>
    <cellStyle name="40% - Accent4 2 8 2 2 2 2" xfId="36001"/>
    <cellStyle name="40% - Accent4 2 8 2 2 2 2 2" xfId="36002"/>
    <cellStyle name="40% - Accent4 2 8 2 2 2 2 2 2" xfId="36003"/>
    <cellStyle name="40% - Accent4 2 8 2 2 2 2 3" xfId="36004"/>
    <cellStyle name="40% - Accent4 2 8 2 2 2 3" xfId="36005"/>
    <cellStyle name="40% - Accent4 2 8 2 2 2 3 2" xfId="36006"/>
    <cellStyle name="40% - Accent4 2 8 2 2 2 4" xfId="36007"/>
    <cellStyle name="40% - Accent4 2 8 2 2 3" xfId="36008"/>
    <cellStyle name="40% - Accent4 2 8 2 2 3 2" xfId="36009"/>
    <cellStyle name="40% - Accent4 2 8 2 2 3 2 2" xfId="36010"/>
    <cellStyle name="40% - Accent4 2 8 2 2 3 3" xfId="36011"/>
    <cellStyle name="40% - Accent4 2 8 2 2 4" xfId="36012"/>
    <cellStyle name="40% - Accent4 2 8 2 2 4 2" xfId="36013"/>
    <cellStyle name="40% - Accent4 2 8 2 2 5" xfId="36014"/>
    <cellStyle name="40% - Accent4 2 8 2 3" xfId="36015"/>
    <cellStyle name="40% - Accent4 2 8 2 3 2" xfId="36016"/>
    <cellStyle name="40% - Accent4 2 8 2 3 2 2" xfId="36017"/>
    <cellStyle name="40% - Accent4 2 8 2 3 2 2 2" xfId="36018"/>
    <cellStyle name="40% - Accent4 2 8 2 3 2 2 2 2" xfId="36019"/>
    <cellStyle name="40% - Accent4 2 8 2 3 2 2 3" xfId="36020"/>
    <cellStyle name="40% - Accent4 2 8 2 3 2 3" xfId="36021"/>
    <cellStyle name="40% - Accent4 2 8 2 3 2 3 2" xfId="36022"/>
    <cellStyle name="40% - Accent4 2 8 2 3 2 4" xfId="36023"/>
    <cellStyle name="40% - Accent4 2 8 2 3 3" xfId="36024"/>
    <cellStyle name="40% - Accent4 2 8 2 3 3 2" xfId="36025"/>
    <cellStyle name="40% - Accent4 2 8 2 3 3 2 2" xfId="36026"/>
    <cellStyle name="40% - Accent4 2 8 2 3 3 3" xfId="36027"/>
    <cellStyle name="40% - Accent4 2 8 2 3 4" xfId="36028"/>
    <cellStyle name="40% - Accent4 2 8 2 3 4 2" xfId="36029"/>
    <cellStyle name="40% - Accent4 2 8 2 3 5" xfId="36030"/>
    <cellStyle name="40% - Accent4 2 8 2 4" xfId="36031"/>
    <cellStyle name="40% - Accent4 2 8 2 4 2" xfId="36032"/>
    <cellStyle name="40% - Accent4 2 8 2 4 2 2" xfId="36033"/>
    <cellStyle name="40% - Accent4 2 8 2 4 2 2 2" xfId="36034"/>
    <cellStyle name="40% - Accent4 2 8 2 4 2 2 2 2" xfId="36035"/>
    <cellStyle name="40% - Accent4 2 8 2 4 2 2 3" xfId="36036"/>
    <cellStyle name="40% - Accent4 2 8 2 4 2 3" xfId="36037"/>
    <cellStyle name="40% - Accent4 2 8 2 4 2 3 2" xfId="36038"/>
    <cellStyle name="40% - Accent4 2 8 2 4 2 4" xfId="36039"/>
    <cellStyle name="40% - Accent4 2 8 2 4 3" xfId="36040"/>
    <cellStyle name="40% - Accent4 2 8 2 4 3 2" xfId="36041"/>
    <cellStyle name="40% - Accent4 2 8 2 4 3 2 2" xfId="36042"/>
    <cellStyle name="40% - Accent4 2 8 2 4 3 3" xfId="36043"/>
    <cellStyle name="40% - Accent4 2 8 2 4 4" xfId="36044"/>
    <cellStyle name="40% - Accent4 2 8 2 4 4 2" xfId="36045"/>
    <cellStyle name="40% - Accent4 2 8 2 4 5" xfId="36046"/>
    <cellStyle name="40% - Accent4 2 8 2 5" xfId="36047"/>
    <cellStyle name="40% - Accent4 2 8 2 5 2" xfId="36048"/>
    <cellStyle name="40% - Accent4 2 8 2 5 2 2" xfId="36049"/>
    <cellStyle name="40% - Accent4 2 8 2 5 2 2 2" xfId="36050"/>
    <cellStyle name="40% - Accent4 2 8 2 5 2 2 2 2" xfId="36051"/>
    <cellStyle name="40% - Accent4 2 8 2 5 2 2 3" xfId="36052"/>
    <cellStyle name="40% - Accent4 2 8 2 5 2 3" xfId="36053"/>
    <cellStyle name="40% - Accent4 2 8 2 5 2 3 2" xfId="36054"/>
    <cellStyle name="40% - Accent4 2 8 2 5 2 4" xfId="36055"/>
    <cellStyle name="40% - Accent4 2 8 2 5 3" xfId="36056"/>
    <cellStyle name="40% - Accent4 2 8 2 5 3 2" xfId="36057"/>
    <cellStyle name="40% - Accent4 2 8 2 5 3 2 2" xfId="36058"/>
    <cellStyle name="40% - Accent4 2 8 2 5 3 3" xfId="36059"/>
    <cellStyle name="40% - Accent4 2 8 2 5 4" xfId="36060"/>
    <cellStyle name="40% - Accent4 2 8 2 5 4 2" xfId="36061"/>
    <cellStyle name="40% - Accent4 2 8 2 5 5" xfId="36062"/>
    <cellStyle name="40% - Accent4 2 8 2 6" xfId="36063"/>
    <cellStyle name="40% - Accent4 2 8 2 6 2" xfId="36064"/>
    <cellStyle name="40% - Accent4 2 8 2 6 2 2" xfId="36065"/>
    <cellStyle name="40% - Accent4 2 8 2 6 2 2 2" xfId="36066"/>
    <cellStyle name="40% - Accent4 2 8 2 6 2 2 2 2" xfId="36067"/>
    <cellStyle name="40% - Accent4 2 8 2 6 2 2 3" xfId="36068"/>
    <cellStyle name="40% - Accent4 2 8 2 6 2 3" xfId="36069"/>
    <cellStyle name="40% - Accent4 2 8 2 6 2 3 2" xfId="36070"/>
    <cellStyle name="40% - Accent4 2 8 2 6 2 4" xfId="36071"/>
    <cellStyle name="40% - Accent4 2 8 2 6 3" xfId="36072"/>
    <cellStyle name="40% - Accent4 2 8 2 6 3 2" xfId="36073"/>
    <cellStyle name="40% - Accent4 2 8 2 6 3 2 2" xfId="36074"/>
    <cellStyle name="40% - Accent4 2 8 2 6 3 3" xfId="36075"/>
    <cellStyle name="40% - Accent4 2 8 2 6 4" xfId="36076"/>
    <cellStyle name="40% - Accent4 2 8 2 6 4 2" xfId="36077"/>
    <cellStyle name="40% - Accent4 2 8 2 6 5" xfId="36078"/>
    <cellStyle name="40% - Accent4 2 8 2 7" xfId="36079"/>
    <cellStyle name="40% - Accent4 2 8 2 7 2" xfId="36080"/>
    <cellStyle name="40% - Accent4 2 8 2 7 2 2" xfId="36081"/>
    <cellStyle name="40% - Accent4 2 8 2 7 2 2 2" xfId="36082"/>
    <cellStyle name="40% - Accent4 2 8 2 7 2 3" xfId="36083"/>
    <cellStyle name="40% - Accent4 2 8 2 7 3" xfId="36084"/>
    <cellStyle name="40% - Accent4 2 8 2 7 3 2" xfId="36085"/>
    <cellStyle name="40% - Accent4 2 8 2 7 4" xfId="36086"/>
    <cellStyle name="40% - Accent4 2 8 2 8" xfId="36087"/>
    <cellStyle name="40% - Accent4 2 8 2 8 2" xfId="36088"/>
    <cellStyle name="40% - Accent4 2 8 2 8 2 2" xfId="36089"/>
    <cellStyle name="40% - Accent4 2 8 2 8 3" xfId="36090"/>
    <cellStyle name="40% - Accent4 2 8 2 9" xfId="36091"/>
    <cellStyle name="40% - Accent4 2 8 2 9 2" xfId="36092"/>
    <cellStyle name="40% - Accent4 2 8 3" xfId="36093"/>
    <cellStyle name="40% - Accent4 2 8 3 2" xfId="36094"/>
    <cellStyle name="40% - Accent4 2 8 3 2 2" xfId="36095"/>
    <cellStyle name="40% - Accent4 2 8 3 2 2 2" xfId="36096"/>
    <cellStyle name="40% - Accent4 2 8 3 2 2 2 2" xfId="36097"/>
    <cellStyle name="40% - Accent4 2 8 3 2 2 3" xfId="36098"/>
    <cellStyle name="40% - Accent4 2 8 3 2 3" xfId="36099"/>
    <cellStyle name="40% - Accent4 2 8 3 2 3 2" xfId="36100"/>
    <cellStyle name="40% - Accent4 2 8 3 2 4" xfId="36101"/>
    <cellStyle name="40% - Accent4 2 8 3 3" xfId="36102"/>
    <cellStyle name="40% - Accent4 2 8 3 3 2" xfId="36103"/>
    <cellStyle name="40% - Accent4 2 8 3 3 2 2" xfId="36104"/>
    <cellStyle name="40% - Accent4 2 8 3 3 3" xfId="36105"/>
    <cellStyle name="40% - Accent4 2 8 3 4" xfId="36106"/>
    <cellStyle name="40% - Accent4 2 8 3 4 2" xfId="36107"/>
    <cellStyle name="40% - Accent4 2 8 3 5" xfId="36108"/>
    <cellStyle name="40% - Accent4 2 8 4" xfId="36109"/>
    <cellStyle name="40% - Accent4 2 8 4 2" xfId="36110"/>
    <cellStyle name="40% - Accent4 2 8 4 2 2" xfId="36111"/>
    <cellStyle name="40% - Accent4 2 8 4 2 2 2" xfId="36112"/>
    <cellStyle name="40% - Accent4 2 8 4 2 2 2 2" xfId="36113"/>
    <cellStyle name="40% - Accent4 2 8 4 2 2 3" xfId="36114"/>
    <cellStyle name="40% - Accent4 2 8 4 2 3" xfId="36115"/>
    <cellStyle name="40% - Accent4 2 8 4 2 3 2" xfId="36116"/>
    <cellStyle name="40% - Accent4 2 8 4 2 4" xfId="36117"/>
    <cellStyle name="40% - Accent4 2 8 4 3" xfId="36118"/>
    <cellStyle name="40% - Accent4 2 8 4 3 2" xfId="36119"/>
    <cellStyle name="40% - Accent4 2 8 4 3 2 2" xfId="36120"/>
    <cellStyle name="40% - Accent4 2 8 4 3 3" xfId="36121"/>
    <cellStyle name="40% - Accent4 2 8 4 4" xfId="36122"/>
    <cellStyle name="40% - Accent4 2 8 4 4 2" xfId="36123"/>
    <cellStyle name="40% - Accent4 2 8 4 5" xfId="36124"/>
    <cellStyle name="40% - Accent4 2 8 5" xfId="36125"/>
    <cellStyle name="40% - Accent4 2 8 5 2" xfId="36126"/>
    <cellStyle name="40% - Accent4 2 8 5 2 2" xfId="36127"/>
    <cellStyle name="40% - Accent4 2 8 5 2 2 2" xfId="36128"/>
    <cellStyle name="40% - Accent4 2 8 5 2 2 2 2" xfId="36129"/>
    <cellStyle name="40% - Accent4 2 8 5 2 2 3" xfId="36130"/>
    <cellStyle name="40% - Accent4 2 8 5 2 3" xfId="36131"/>
    <cellStyle name="40% - Accent4 2 8 5 2 3 2" xfId="36132"/>
    <cellStyle name="40% - Accent4 2 8 5 2 4" xfId="36133"/>
    <cellStyle name="40% - Accent4 2 8 5 3" xfId="36134"/>
    <cellStyle name="40% - Accent4 2 8 5 3 2" xfId="36135"/>
    <cellStyle name="40% - Accent4 2 8 5 3 2 2" xfId="36136"/>
    <cellStyle name="40% - Accent4 2 8 5 3 3" xfId="36137"/>
    <cellStyle name="40% - Accent4 2 8 5 4" xfId="36138"/>
    <cellStyle name="40% - Accent4 2 8 5 4 2" xfId="36139"/>
    <cellStyle name="40% - Accent4 2 8 5 5" xfId="36140"/>
    <cellStyle name="40% - Accent4 2 8 6" xfId="36141"/>
    <cellStyle name="40% - Accent4 2 8 6 2" xfId="36142"/>
    <cellStyle name="40% - Accent4 2 8 6 2 2" xfId="36143"/>
    <cellStyle name="40% - Accent4 2 8 6 2 2 2" xfId="36144"/>
    <cellStyle name="40% - Accent4 2 8 6 2 2 2 2" xfId="36145"/>
    <cellStyle name="40% - Accent4 2 8 6 2 2 3" xfId="36146"/>
    <cellStyle name="40% - Accent4 2 8 6 2 3" xfId="36147"/>
    <cellStyle name="40% - Accent4 2 8 6 2 3 2" xfId="36148"/>
    <cellStyle name="40% - Accent4 2 8 6 2 4" xfId="36149"/>
    <cellStyle name="40% - Accent4 2 8 6 3" xfId="36150"/>
    <cellStyle name="40% - Accent4 2 8 6 3 2" xfId="36151"/>
    <cellStyle name="40% - Accent4 2 8 6 3 2 2" xfId="36152"/>
    <cellStyle name="40% - Accent4 2 8 6 3 3" xfId="36153"/>
    <cellStyle name="40% - Accent4 2 8 6 4" xfId="36154"/>
    <cellStyle name="40% - Accent4 2 8 6 4 2" xfId="36155"/>
    <cellStyle name="40% - Accent4 2 8 6 5" xfId="36156"/>
    <cellStyle name="40% - Accent4 2 8 7" xfId="36157"/>
    <cellStyle name="40% - Accent4 2 8 7 2" xfId="36158"/>
    <cellStyle name="40% - Accent4 2 8 7 2 2" xfId="36159"/>
    <cellStyle name="40% - Accent4 2 8 7 2 2 2" xfId="36160"/>
    <cellStyle name="40% - Accent4 2 8 7 2 2 2 2" xfId="36161"/>
    <cellStyle name="40% - Accent4 2 8 7 2 2 3" xfId="36162"/>
    <cellStyle name="40% - Accent4 2 8 7 2 3" xfId="36163"/>
    <cellStyle name="40% - Accent4 2 8 7 2 3 2" xfId="36164"/>
    <cellStyle name="40% - Accent4 2 8 7 2 4" xfId="36165"/>
    <cellStyle name="40% - Accent4 2 8 7 3" xfId="36166"/>
    <cellStyle name="40% - Accent4 2 8 7 3 2" xfId="36167"/>
    <cellStyle name="40% - Accent4 2 8 7 3 2 2" xfId="36168"/>
    <cellStyle name="40% - Accent4 2 8 7 3 3" xfId="36169"/>
    <cellStyle name="40% - Accent4 2 8 7 4" xfId="36170"/>
    <cellStyle name="40% - Accent4 2 8 7 4 2" xfId="36171"/>
    <cellStyle name="40% - Accent4 2 8 7 5" xfId="36172"/>
    <cellStyle name="40% - Accent4 2 8 8" xfId="36173"/>
    <cellStyle name="40% - Accent4 2 8 8 2" xfId="36174"/>
    <cellStyle name="40% - Accent4 2 8 8 2 2" xfId="36175"/>
    <cellStyle name="40% - Accent4 2 8 8 2 2 2" xfId="36176"/>
    <cellStyle name="40% - Accent4 2 8 8 2 3" xfId="36177"/>
    <cellStyle name="40% - Accent4 2 8 8 3" xfId="36178"/>
    <cellStyle name="40% - Accent4 2 8 8 3 2" xfId="36179"/>
    <cellStyle name="40% - Accent4 2 8 8 4" xfId="36180"/>
    <cellStyle name="40% - Accent4 2 8 9" xfId="36181"/>
    <cellStyle name="40% - Accent4 2 8 9 2" xfId="36182"/>
    <cellStyle name="40% - Accent4 2 8 9 2 2" xfId="36183"/>
    <cellStyle name="40% - Accent4 2 8 9 3" xfId="36184"/>
    <cellStyle name="40% - Accent4 2 9" xfId="36185"/>
    <cellStyle name="40% - Accent4 2 9 10" xfId="36186"/>
    <cellStyle name="40% - Accent4 2 9 10 2" xfId="36187"/>
    <cellStyle name="40% - Accent4 2 9 11" xfId="36188"/>
    <cellStyle name="40% - Accent4 2 9 2" xfId="36189"/>
    <cellStyle name="40% - Accent4 2 9 2 10" xfId="36190"/>
    <cellStyle name="40% - Accent4 2 9 2 2" xfId="36191"/>
    <cellStyle name="40% - Accent4 2 9 2 2 2" xfId="36192"/>
    <cellStyle name="40% - Accent4 2 9 2 2 2 2" xfId="36193"/>
    <cellStyle name="40% - Accent4 2 9 2 2 2 2 2" xfId="36194"/>
    <cellStyle name="40% - Accent4 2 9 2 2 2 2 2 2" xfId="36195"/>
    <cellStyle name="40% - Accent4 2 9 2 2 2 2 3" xfId="36196"/>
    <cellStyle name="40% - Accent4 2 9 2 2 2 3" xfId="36197"/>
    <cellStyle name="40% - Accent4 2 9 2 2 2 3 2" xfId="36198"/>
    <cellStyle name="40% - Accent4 2 9 2 2 2 4" xfId="36199"/>
    <cellStyle name="40% - Accent4 2 9 2 2 3" xfId="36200"/>
    <cellStyle name="40% - Accent4 2 9 2 2 3 2" xfId="36201"/>
    <cellStyle name="40% - Accent4 2 9 2 2 3 2 2" xfId="36202"/>
    <cellStyle name="40% - Accent4 2 9 2 2 3 3" xfId="36203"/>
    <cellStyle name="40% - Accent4 2 9 2 2 4" xfId="36204"/>
    <cellStyle name="40% - Accent4 2 9 2 2 4 2" xfId="36205"/>
    <cellStyle name="40% - Accent4 2 9 2 2 5" xfId="36206"/>
    <cellStyle name="40% - Accent4 2 9 2 3" xfId="36207"/>
    <cellStyle name="40% - Accent4 2 9 2 3 2" xfId="36208"/>
    <cellStyle name="40% - Accent4 2 9 2 3 2 2" xfId="36209"/>
    <cellStyle name="40% - Accent4 2 9 2 3 2 2 2" xfId="36210"/>
    <cellStyle name="40% - Accent4 2 9 2 3 2 2 2 2" xfId="36211"/>
    <cellStyle name="40% - Accent4 2 9 2 3 2 2 3" xfId="36212"/>
    <cellStyle name="40% - Accent4 2 9 2 3 2 3" xfId="36213"/>
    <cellStyle name="40% - Accent4 2 9 2 3 2 3 2" xfId="36214"/>
    <cellStyle name="40% - Accent4 2 9 2 3 2 4" xfId="36215"/>
    <cellStyle name="40% - Accent4 2 9 2 3 3" xfId="36216"/>
    <cellStyle name="40% - Accent4 2 9 2 3 3 2" xfId="36217"/>
    <cellStyle name="40% - Accent4 2 9 2 3 3 2 2" xfId="36218"/>
    <cellStyle name="40% - Accent4 2 9 2 3 3 3" xfId="36219"/>
    <cellStyle name="40% - Accent4 2 9 2 3 4" xfId="36220"/>
    <cellStyle name="40% - Accent4 2 9 2 3 4 2" xfId="36221"/>
    <cellStyle name="40% - Accent4 2 9 2 3 5" xfId="36222"/>
    <cellStyle name="40% - Accent4 2 9 2 4" xfId="36223"/>
    <cellStyle name="40% - Accent4 2 9 2 4 2" xfId="36224"/>
    <cellStyle name="40% - Accent4 2 9 2 4 2 2" xfId="36225"/>
    <cellStyle name="40% - Accent4 2 9 2 4 2 2 2" xfId="36226"/>
    <cellStyle name="40% - Accent4 2 9 2 4 2 2 2 2" xfId="36227"/>
    <cellStyle name="40% - Accent4 2 9 2 4 2 2 3" xfId="36228"/>
    <cellStyle name="40% - Accent4 2 9 2 4 2 3" xfId="36229"/>
    <cellStyle name="40% - Accent4 2 9 2 4 2 3 2" xfId="36230"/>
    <cellStyle name="40% - Accent4 2 9 2 4 2 4" xfId="36231"/>
    <cellStyle name="40% - Accent4 2 9 2 4 3" xfId="36232"/>
    <cellStyle name="40% - Accent4 2 9 2 4 3 2" xfId="36233"/>
    <cellStyle name="40% - Accent4 2 9 2 4 3 2 2" xfId="36234"/>
    <cellStyle name="40% - Accent4 2 9 2 4 3 3" xfId="36235"/>
    <cellStyle name="40% - Accent4 2 9 2 4 4" xfId="36236"/>
    <cellStyle name="40% - Accent4 2 9 2 4 4 2" xfId="36237"/>
    <cellStyle name="40% - Accent4 2 9 2 4 5" xfId="36238"/>
    <cellStyle name="40% - Accent4 2 9 2 5" xfId="36239"/>
    <cellStyle name="40% - Accent4 2 9 2 5 2" xfId="36240"/>
    <cellStyle name="40% - Accent4 2 9 2 5 2 2" xfId="36241"/>
    <cellStyle name="40% - Accent4 2 9 2 5 2 2 2" xfId="36242"/>
    <cellStyle name="40% - Accent4 2 9 2 5 2 2 2 2" xfId="36243"/>
    <cellStyle name="40% - Accent4 2 9 2 5 2 2 3" xfId="36244"/>
    <cellStyle name="40% - Accent4 2 9 2 5 2 3" xfId="36245"/>
    <cellStyle name="40% - Accent4 2 9 2 5 2 3 2" xfId="36246"/>
    <cellStyle name="40% - Accent4 2 9 2 5 2 4" xfId="36247"/>
    <cellStyle name="40% - Accent4 2 9 2 5 3" xfId="36248"/>
    <cellStyle name="40% - Accent4 2 9 2 5 3 2" xfId="36249"/>
    <cellStyle name="40% - Accent4 2 9 2 5 3 2 2" xfId="36250"/>
    <cellStyle name="40% - Accent4 2 9 2 5 3 3" xfId="36251"/>
    <cellStyle name="40% - Accent4 2 9 2 5 4" xfId="36252"/>
    <cellStyle name="40% - Accent4 2 9 2 5 4 2" xfId="36253"/>
    <cellStyle name="40% - Accent4 2 9 2 5 5" xfId="36254"/>
    <cellStyle name="40% - Accent4 2 9 2 6" xfId="36255"/>
    <cellStyle name="40% - Accent4 2 9 2 6 2" xfId="36256"/>
    <cellStyle name="40% - Accent4 2 9 2 6 2 2" xfId="36257"/>
    <cellStyle name="40% - Accent4 2 9 2 6 2 2 2" xfId="36258"/>
    <cellStyle name="40% - Accent4 2 9 2 6 2 2 2 2" xfId="36259"/>
    <cellStyle name="40% - Accent4 2 9 2 6 2 2 3" xfId="36260"/>
    <cellStyle name="40% - Accent4 2 9 2 6 2 3" xfId="36261"/>
    <cellStyle name="40% - Accent4 2 9 2 6 2 3 2" xfId="36262"/>
    <cellStyle name="40% - Accent4 2 9 2 6 2 4" xfId="36263"/>
    <cellStyle name="40% - Accent4 2 9 2 6 3" xfId="36264"/>
    <cellStyle name="40% - Accent4 2 9 2 6 3 2" xfId="36265"/>
    <cellStyle name="40% - Accent4 2 9 2 6 3 2 2" xfId="36266"/>
    <cellStyle name="40% - Accent4 2 9 2 6 3 3" xfId="36267"/>
    <cellStyle name="40% - Accent4 2 9 2 6 4" xfId="36268"/>
    <cellStyle name="40% - Accent4 2 9 2 6 4 2" xfId="36269"/>
    <cellStyle name="40% - Accent4 2 9 2 6 5" xfId="36270"/>
    <cellStyle name="40% - Accent4 2 9 2 7" xfId="36271"/>
    <cellStyle name="40% - Accent4 2 9 2 7 2" xfId="36272"/>
    <cellStyle name="40% - Accent4 2 9 2 7 2 2" xfId="36273"/>
    <cellStyle name="40% - Accent4 2 9 2 7 2 2 2" xfId="36274"/>
    <cellStyle name="40% - Accent4 2 9 2 7 2 3" xfId="36275"/>
    <cellStyle name="40% - Accent4 2 9 2 7 3" xfId="36276"/>
    <cellStyle name="40% - Accent4 2 9 2 7 3 2" xfId="36277"/>
    <cellStyle name="40% - Accent4 2 9 2 7 4" xfId="36278"/>
    <cellStyle name="40% - Accent4 2 9 2 8" xfId="36279"/>
    <cellStyle name="40% - Accent4 2 9 2 8 2" xfId="36280"/>
    <cellStyle name="40% - Accent4 2 9 2 8 2 2" xfId="36281"/>
    <cellStyle name="40% - Accent4 2 9 2 8 3" xfId="36282"/>
    <cellStyle name="40% - Accent4 2 9 2 9" xfId="36283"/>
    <cellStyle name="40% - Accent4 2 9 2 9 2" xfId="36284"/>
    <cellStyle name="40% - Accent4 2 9 3" xfId="36285"/>
    <cellStyle name="40% - Accent4 2 9 3 2" xfId="36286"/>
    <cellStyle name="40% - Accent4 2 9 3 2 2" xfId="36287"/>
    <cellStyle name="40% - Accent4 2 9 3 2 2 2" xfId="36288"/>
    <cellStyle name="40% - Accent4 2 9 3 2 2 2 2" xfId="36289"/>
    <cellStyle name="40% - Accent4 2 9 3 2 2 3" xfId="36290"/>
    <cellStyle name="40% - Accent4 2 9 3 2 3" xfId="36291"/>
    <cellStyle name="40% - Accent4 2 9 3 2 3 2" xfId="36292"/>
    <cellStyle name="40% - Accent4 2 9 3 2 4" xfId="36293"/>
    <cellStyle name="40% - Accent4 2 9 3 3" xfId="36294"/>
    <cellStyle name="40% - Accent4 2 9 3 3 2" xfId="36295"/>
    <cellStyle name="40% - Accent4 2 9 3 3 2 2" xfId="36296"/>
    <cellStyle name="40% - Accent4 2 9 3 3 3" xfId="36297"/>
    <cellStyle name="40% - Accent4 2 9 3 4" xfId="36298"/>
    <cellStyle name="40% - Accent4 2 9 3 4 2" xfId="36299"/>
    <cellStyle name="40% - Accent4 2 9 3 5" xfId="36300"/>
    <cellStyle name="40% - Accent4 2 9 4" xfId="36301"/>
    <cellStyle name="40% - Accent4 2 9 4 2" xfId="36302"/>
    <cellStyle name="40% - Accent4 2 9 4 2 2" xfId="36303"/>
    <cellStyle name="40% - Accent4 2 9 4 2 2 2" xfId="36304"/>
    <cellStyle name="40% - Accent4 2 9 4 2 2 2 2" xfId="36305"/>
    <cellStyle name="40% - Accent4 2 9 4 2 2 3" xfId="36306"/>
    <cellStyle name="40% - Accent4 2 9 4 2 3" xfId="36307"/>
    <cellStyle name="40% - Accent4 2 9 4 2 3 2" xfId="36308"/>
    <cellStyle name="40% - Accent4 2 9 4 2 4" xfId="36309"/>
    <cellStyle name="40% - Accent4 2 9 4 3" xfId="36310"/>
    <cellStyle name="40% - Accent4 2 9 4 3 2" xfId="36311"/>
    <cellStyle name="40% - Accent4 2 9 4 3 2 2" xfId="36312"/>
    <cellStyle name="40% - Accent4 2 9 4 3 3" xfId="36313"/>
    <cellStyle name="40% - Accent4 2 9 4 4" xfId="36314"/>
    <cellStyle name="40% - Accent4 2 9 4 4 2" xfId="36315"/>
    <cellStyle name="40% - Accent4 2 9 4 5" xfId="36316"/>
    <cellStyle name="40% - Accent4 2 9 5" xfId="36317"/>
    <cellStyle name="40% - Accent4 2 9 5 2" xfId="36318"/>
    <cellStyle name="40% - Accent4 2 9 5 2 2" xfId="36319"/>
    <cellStyle name="40% - Accent4 2 9 5 2 2 2" xfId="36320"/>
    <cellStyle name="40% - Accent4 2 9 5 2 2 2 2" xfId="36321"/>
    <cellStyle name="40% - Accent4 2 9 5 2 2 3" xfId="36322"/>
    <cellStyle name="40% - Accent4 2 9 5 2 3" xfId="36323"/>
    <cellStyle name="40% - Accent4 2 9 5 2 3 2" xfId="36324"/>
    <cellStyle name="40% - Accent4 2 9 5 2 4" xfId="36325"/>
    <cellStyle name="40% - Accent4 2 9 5 3" xfId="36326"/>
    <cellStyle name="40% - Accent4 2 9 5 3 2" xfId="36327"/>
    <cellStyle name="40% - Accent4 2 9 5 3 2 2" xfId="36328"/>
    <cellStyle name="40% - Accent4 2 9 5 3 3" xfId="36329"/>
    <cellStyle name="40% - Accent4 2 9 5 4" xfId="36330"/>
    <cellStyle name="40% - Accent4 2 9 5 4 2" xfId="36331"/>
    <cellStyle name="40% - Accent4 2 9 5 5" xfId="36332"/>
    <cellStyle name="40% - Accent4 2 9 6" xfId="36333"/>
    <cellStyle name="40% - Accent4 2 9 6 2" xfId="36334"/>
    <cellStyle name="40% - Accent4 2 9 6 2 2" xfId="36335"/>
    <cellStyle name="40% - Accent4 2 9 6 2 2 2" xfId="36336"/>
    <cellStyle name="40% - Accent4 2 9 6 2 2 2 2" xfId="36337"/>
    <cellStyle name="40% - Accent4 2 9 6 2 2 3" xfId="36338"/>
    <cellStyle name="40% - Accent4 2 9 6 2 3" xfId="36339"/>
    <cellStyle name="40% - Accent4 2 9 6 2 3 2" xfId="36340"/>
    <cellStyle name="40% - Accent4 2 9 6 2 4" xfId="36341"/>
    <cellStyle name="40% - Accent4 2 9 6 3" xfId="36342"/>
    <cellStyle name="40% - Accent4 2 9 6 3 2" xfId="36343"/>
    <cellStyle name="40% - Accent4 2 9 6 3 2 2" xfId="36344"/>
    <cellStyle name="40% - Accent4 2 9 6 3 3" xfId="36345"/>
    <cellStyle name="40% - Accent4 2 9 6 4" xfId="36346"/>
    <cellStyle name="40% - Accent4 2 9 6 4 2" xfId="36347"/>
    <cellStyle name="40% - Accent4 2 9 6 5" xfId="36348"/>
    <cellStyle name="40% - Accent4 2 9 7" xfId="36349"/>
    <cellStyle name="40% - Accent4 2 9 7 2" xfId="36350"/>
    <cellStyle name="40% - Accent4 2 9 7 2 2" xfId="36351"/>
    <cellStyle name="40% - Accent4 2 9 7 2 2 2" xfId="36352"/>
    <cellStyle name="40% - Accent4 2 9 7 2 2 2 2" xfId="36353"/>
    <cellStyle name="40% - Accent4 2 9 7 2 2 3" xfId="36354"/>
    <cellStyle name="40% - Accent4 2 9 7 2 3" xfId="36355"/>
    <cellStyle name="40% - Accent4 2 9 7 2 3 2" xfId="36356"/>
    <cellStyle name="40% - Accent4 2 9 7 2 4" xfId="36357"/>
    <cellStyle name="40% - Accent4 2 9 7 3" xfId="36358"/>
    <cellStyle name="40% - Accent4 2 9 7 3 2" xfId="36359"/>
    <cellStyle name="40% - Accent4 2 9 7 3 2 2" xfId="36360"/>
    <cellStyle name="40% - Accent4 2 9 7 3 3" xfId="36361"/>
    <cellStyle name="40% - Accent4 2 9 7 4" xfId="36362"/>
    <cellStyle name="40% - Accent4 2 9 7 4 2" xfId="36363"/>
    <cellStyle name="40% - Accent4 2 9 7 5" xfId="36364"/>
    <cellStyle name="40% - Accent4 2 9 8" xfId="36365"/>
    <cellStyle name="40% - Accent4 2 9 8 2" xfId="36366"/>
    <cellStyle name="40% - Accent4 2 9 8 2 2" xfId="36367"/>
    <cellStyle name="40% - Accent4 2 9 8 2 2 2" xfId="36368"/>
    <cellStyle name="40% - Accent4 2 9 8 2 3" xfId="36369"/>
    <cellStyle name="40% - Accent4 2 9 8 3" xfId="36370"/>
    <cellStyle name="40% - Accent4 2 9 8 3 2" xfId="36371"/>
    <cellStyle name="40% - Accent4 2 9 8 4" xfId="36372"/>
    <cellStyle name="40% - Accent4 2 9 9" xfId="36373"/>
    <cellStyle name="40% - Accent4 2 9 9 2" xfId="36374"/>
    <cellStyle name="40% - Accent4 2 9 9 2 2" xfId="36375"/>
    <cellStyle name="40% - Accent4 2 9 9 3" xfId="36376"/>
    <cellStyle name="40% - Accent4 20" xfId="36377"/>
    <cellStyle name="40% - Accent4 20 2" xfId="36378"/>
    <cellStyle name="40% - Accent4 20 2 2" xfId="36379"/>
    <cellStyle name="40% - Accent4 20 2 2 2" xfId="36380"/>
    <cellStyle name="40% - Accent4 20 2 2 2 2" xfId="36381"/>
    <cellStyle name="40% - Accent4 20 2 2 3" xfId="36382"/>
    <cellStyle name="40% - Accent4 20 2 3" xfId="36383"/>
    <cellStyle name="40% - Accent4 20 2 3 2" xfId="36384"/>
    <cellStyle name="40% - Accent4 20 2 4" xfId="36385"/>
    <cellStyle name="40% - Accent4 20 3" xfId="36386"/>
    <cellStyle name="40% - Accent4 20 3 2" xfId="36387"/>
    <cellStyle name="40% - Accent4 20 3 2 2" xfId="36388"/>
    <cellStyle name="40% - Accent4 20 3 3" xfId="36389"/>
    <cellStyle name="40% - Accent4 20 4" xfId="36390"/>
    <cellStyle name="40% - Accent4 20 4 2" xfId="36391"/>
    <cellStyle name="40% - Accent4 20 5" xfId="36392"/>
    <cellStyle name="40% - Accent4 21" xfId="36393"/>
    <cellStyle name="40% - Accent4 21 2" xfId="36394"/>
    <cellStyle name="40% - Accent4 21 2 2" xfId="36395"/>
    <cellStyle name="40% - Accent4 21 2 2 2" xfId="36396"/>
    <cellStyle name="40% - Accent4 21 2 3" xfId="36397"/>
    <cellStyle name="40% - Accent4 21 3" xfId="36398"/>
    <cellStyle name="40% - Accent4 21 3 2" xfId="36399"/>
    <cellStyle name="40% - Accent4 21 4" xfId="36400"/>
    <cellStyle name="40% - Accent4 22" xfId="36401"/>
    <cellStyle name="40% - Accent4 22 2" xfId="36402"/>
    <cellStyle name="40% - Accent4 22 2 2" xfId="36403"/>
    <cellStyle name="40% - Accent4 22 3" xfId="36404"/>
    <cellStyle name="40% - Accent4 23" xfId="36405"/>
    <cellStyle name="40% - Accent4 23 2" xfId="36406"/>
    <cellStyle name="40% - Accent4 24" xfId="36407"/>
    <cellStyle name="40% - Accent4 3" xfId="36408"/>
    <cellStyle name="40% - Accent4 3 10" xfId="36409"/>
    <cellStyle name="40% - Accent4 3 10 2" xfId="36410"/>
    <cellStyle name="40% - Accent4 3 11" xfId="36411"/>
    <cellStyle name="40% - Accent4 3 2" xfId="36412"/>
    <cellStyle name="40% - Accent4 3 2 10" xfId="36413"/>
    <cellStyle name="40% - Accent4 3 2 2" xfId="36414"/>
    <cellStyle name="40% - Accent4 3 2 2 2" xfId="36415"/>
    <cellStyle name="40% - Accent4 3 2 2 2 2" xfId="36416"/>
    <cellStyle name="40% - Accent4 3 2 2 2 2 2" xfId="36417"/>
    <cellStyle name="40% - Accent4 3 2 2 2 2 2 2" xfId="36418"/>
    <cellStyle name="40% - Accent4 3 2 2 2 2 3" xfId="36419"/>
    <cellStyle name="40% - Accent4 3 2 2 2 3" xfId="36420"/>
    <cellStyle name="40% - Accent4 3 2 2 2 3 2" xfId="36421"/>
    <cellStyle name="40% - Accent4 3 2 2 2 4" xfId="36422"/>
    <cellStyle name="40% - Accent4 3 2 2 3" xfId="36423"/>
    <cellStyle name="40% - Accent4 3 2 2 3 2" xfId="36424"/>
    <cellStyle name="40% - Accent4 3 2 2 3 2 2" xfId="36425"/>
    <cellStyle name="40% - Accent4 3 2 2 3 3" xfId="36426"/>
    <cellStyle name="40% - Accent4 3 2 2 4" xfId="36427"/>
    <cellStyle name="40% - Accent4 3 2 2 4 2" xfId="36428"/>
    <cellStyle name="40% - Accent4 3 2 2 5" xfId="36429"/>
    <cellStyle name="40% - Accent4 3 2 3" xfId="36430"/>
    <cellStyle name="40% - Accent4 3 2 3 2" xfId="36431"/>
    <cellStyle name="40% - Accent4 3 2 3 2 2" xfId="36432"/>
    <cellStyle name="40% - Accent4 3 2 3 2 2 2" xfId="36433"/>
    <cellStyle name="40% - Accent4 3 2 3 2 2 2 2" xfId="36434"/>
    <cellStyle name="40% - Accent4 3 2 3 2 2 3" xfId="36435"/>
    <cellStyle name="40% - Accent4 3 2 3 2 3" xfId="36436"/>
    <cellStyle name="40% - Accent4 3 2 3 2 3 2" xfId="36437"/>
    <cellStyle name="40% - Accent4 3 2 3 2 4" xfId="36438"/>
    <cellStyle name="40% - Accent4 3 2 3 3" xfId="36439"/>
    <cellStyle name="40% - Accent4 3 2 3 3 2" xfId="36440"/>
    <cellStyle name="40% - Accent4 3 2 3 3 2 2" xfId="36441"/>
    <cellStyle name="40% - Accent4 3 2 3 3 3" xfId="36442"/>
    <cellStyle name="40% - Accent4 3 2 3 4" xfId="36443"/>
    <cellStyle name="40% - Accent4 3 2 3 4 2" xfId="36444"/>
    <cellStyle name="40% - Accent4 3 2 3 5" xfId="36445"/>
    <cellStyle name="40% - Accent4 3 2 4" xfId="36446"/>
    <cellStyle name="40% - Accent4 3 2 4 2" xfId="36447"/>
    <cellStyle name="40% - Accent4 3 2 4 2 2" xfId="36448"/>
    <cellStyle name="40% - Accent4 3 2 4 2 2 2" xfId="36449"/>
    <cellStyle name="40% - Accent4 3 2 4 2 2 2 2" xfId="36450"/>
    <cellStyle name="40% - Accent4 3 2 4 2 2 3" xfId="36451"/>
    <cellStyle name="40% - Accent4 3 2 4 2 3" xfId="36452"/>
    <cellStyle name="40% - Accent4 3 2 4 2 3 2" xfId="36453"/>
    <cellStyle name="40% - Accent4 3 2 4 2 4" xfId="36454"/>
    <cellStyle name="40% - Accent4 3 2 4 3" xfId="36455"/>
    <cellStyle name="40% - Accent4 3 2 4 3 2" xfId="36456"/>
    <cellStyle name="40% - Accent4 3 2 4 3 2 2" xfId="36457"/>
    <cellStyle name="40% - Accent4 3 2 4 3 3" xfId="36458"/>
    <cellStyle name="40% - Accent4 3 2 4 4" xfId="36459"/>
    <cellStyle name="40% - Accent4 3 2 4 4 2" xfId="36460"/>
    <cellStyle name="40% - Accent4 3 2 4 5" xfId="36461"/>
    <cellStyle name="40% - Accent4 3 2 5" xfId="36462"/>
    <cellStyle name="40% - Accent4 3 2 5 2" xfId="36463"/>
    <cellStyle name="40% - Accent4 3 2 5 2 2" xfId="36464"/>
    <cellStyle name="40% - Accent4 3 2 5 2 2 2" xfId="36465"/>
    <cellStyle name="40% - Accent4 3 2 5 2 2 2 2" xfId="36466"/>
    <cellStyle name="40% - Accent4 3 2 5 2 2 3" xfId="36467"/>
    <cellStyle name="40% - Accent4 3 2 5 2 3" xfId="36468"/>
    <cellStyle name="40% - Accent4 3 2 5 2 3 2" xfId="36469"/>
    <cellStyle name="40% - Accent4 3 2 5 2 4" xfId="36470"/>
    <cellStyle name="40% - Accent4 3 2 5 3" xfId="36471"/>
    <cellStyle name="40% - Accent4 3 2 5 3 2" xfId="36472"/>
    <cellStyle name="40% - Accent4 3 2 5 3 2 2" xfId="36473"/>
    <cellStyle name="40% - Accent4 3 2 5 3 3" xfId="36474"/>
    <cellStyle name="40% - Accent4 3 2 5 4" xfId="36475"/>
    <cellStyle name="40% - Accent4 3 2 5 4 2" xfId="36476"/>
    <cellStyle name="40% - Accent4 3 2 5 5" xfId="36477"/>
    <cellStyle name="40% - Accent4 3 2 6" xfId="36478"/>
    <cellStyle name="40% - Accent4 3 2 6 2" xfId="36479"/>
    <cellStyle name="40% - Accent4 3 2 6 2 2" xfId="36480"/>
    <cellStyle name="40% - Accent4 3 2 6 2 2 2" xfId="36481"/>
    <cellStyle name="40% - Accent4 3 2 6 2 2 2 2" xfId="36482"/>
    <cellStyle name="40% - Accent4 3 2 6 2 2 3" xfId="36483"/>
    <cellStyle name="40% - Accent4 3 2 6 2 3" xfId="36484"/>
    <cellStyle name="40% - Accent4 3 2 6 2 3 2" xfId="36485"/>
    <cellStyle name="40% - Accent4 3 2 6 2 4" xfId="36486"/>
    <cellStyle name="40% - Accent4 3 2 6 3" xfId="36487"/>
    <cellStyle name="40% - Accent4 3 2 6 3 2" xfId="36488"/>
    <cellStyle name="40% - Accent4 3 2 6 3 2 2" xfId="36489"/>
    <cellStyle name="40% - Accent4 3 2 6 3 3" xfId="36490"/>
    <cellStyle name="40% - Accent4 3 2 6 4" xfId="36491"/>
    <cellStyle name="40% - Accent4 3 2 6 4 2" xfId="36492"/>
    <cellStyle name="40% - Accent4 3 2 6 5" xfId="36493"/>
    <cellStyle name="40% - Accent4 3 2 7" xfId="36494"/>
    <cellStyle name="40% - Accent4 3 2 7 2" xfId="36495"/>
    <cellStyle name="40% - Accent4 3 2 7 2 2" xfId="36496"/>
    <cellStyle name="40% - Accent4 3 2 7 2 2 2" xfId="36497"/>
    <cellStyle name="40% - Accent4 3 2 7 2 3" xfId="36498"/>
    <cellStyle name="40% - Accent4 3 2 7 3" xfId="36499"/>
    <cellStyle name="40% - Accent4 3 2 7 3 2" xfId="36500"/>
    <cellStyle name="40% - Accent4 3 2 7 4" xfId="36501"/>
    <cellStyle name="40% - Accent4 3 2 8" xfId="36502"/>
    <cellStyle name="40% - Accent4 3 2 8 2" xfId="36503"/>
    <cellStyle name="40% - Accent4 3 2 8 2 2" xfId="36504"/>
    <cellStyle name="40% - Accent4 3 2 8 3" xfId="36505"/>
    <cellStyle name="40% - Accent4 3 2 9" xfId="36506"/>
    <cellStyle name="40% - Accent4 3 2 9 2" xfId="36507"/>
    <cellStyle name="40% - Accent4 3 3" xfId="36508"/>
    <cellStyle name="40% - Accent4 3 3 2" xfId="36509"/>
    <cellStyle name="40% - Accent4 3 3 2 2" xfId="36510"/>
    <cellStyle name="40% - Accent4 3 3 2 2 2" xfId="36511"/>
    <cellStyle name="40% - Accent4 3 3 2 2 2 2" xfId="36512"/>
    <cellStyle name="40% - Accent4 3 3 2 2 3" xfId="36513"/>
    <cellStyle name="40% - Accent4 3 3 2 3" xfId="36514"/>
    <cellStyle name="40% - Accent4 3 3 2 3 2" xfId="36515"/>
    <cellStyle name="40% - Accent4 3 3 2 4" xfId="36516"/>
    <cellStyle name="40% - Accent4 3 3 3" xfId="36517"/>
    <cellStyle name="40% - Accent4 3 3 3 2" xfId="36518"/>
    <cellStyle name="40% - Accent4 3 3 3 2 2" xfId="36519"/>
    <cellStyle name="40% - Accent4 3 3 3 3" xfId="36520"/>
    <cellStyle name="40% - Accent4 3 3 4" xfId="36521"/>
    <cellStyle name="40% - Accent4 3 3 4 2" xfId="36522"/>
    <cellStyle name="40% - Accent4 3 3 5" xfId="36523"/>
    <cellStyle name="40% - Accent4 3 4" xfId="36524"/>
    <cellStyle name="40% - Accent4 3 4 2" xfId="36525"/>
    <cellStyle name="40% - Accent4 3 4 2 2" xfId="36526"/>
    <cellStyle name="40% - Accent4 3 4 2 2 2" xfId="36527"/>
    <cellStyle name="40% - Accent4 3 4 2 2 2 2" xfId="36528"/>
    <cellStyle name="40% - Accent4 3 4 2 2 3" xfId="36529"/>
    <cellStyle name="40% - Accent4 3 4 2 3" xfId="36530"/>
    <cellStyle name="40% - Accent4 3 4 2 3 2" xfId="36531"/>
    <cellStyle name="40% - Accent4 3 4 2 4" xfId="36532"/>
    <cellStyle name="40% - Accent4 3 4 3" xfId="36533"/>
    <cellStyle name="40% - Accent4 3 4 3 2" xfId="36534"/>
    <cellStyle name="40% - Accent4 3 4 3 2 2" xfId="36535"/>
    <cellStyle name="40% - Accent4 3 4 3 3" xfId="36536"/>
    <cellStyle name="40% - Accent4 3 4 4" xfId="36537"/>
    <cellStyle name="40% - Accent4 3 4 4 2" xfId="36538"/>
    <cellStyle name="40% - Accent4 3 4 5" xfId="36539"/>
    <cellStyle name="40% - Accent4 3 5" xfId="36540"/>
    <cellStyle name="40% - Accent4 3 5 2" xfId="36541"/>
    <cellStyle name="40% - Accent4 3 5 2 2" xfId="36542"/>
    <cellStyle name="40% - Accent4 3 5 2 2 2" xfId="36543"/>
    <cellStyle name="40% - Accent4 3 5 2 2 2 2" xfId="36544"/>
    <cellStyle name="40% - Accent4 3 5 2 2 3" xfId="36545"/>
    <cellStyle name="40% - Accent4 3 5 2 3" xfId="36546"/>
    <cellStyle name="40% - Accent4 3 5 2 3 2" xfId="36547"/>
    <cellStyle name="40% - Accent4 3 5 2 4" xfId="36548"/>
    <cellStyle name="40% - Accent4 3 5 3" xfId="36549"/>
    <cellStyle name="40% - Accent4 3 5 3 2" xfId="36550"/>
    <cellStyle name="40% - Accent4 3 5 3 2 2" xfId="36551"/>
    <cellStyle name="40% - Accent4 3 5 3 3" xfId="36552"/>
    <cellStyle name="40% - Accent4 3 5 4" xfId="36553"/>
    <cellStyle name="40% - Accent4 3 5 4 2" xfId="36554"/>
    <cellStyle name="40% - Accent4 3 5 5" xfId="36555"/>
    <cellStyle name="40% - Accent4 3 6" xfId="36556"/>
    <cellStyle name="40% - Accent4 3 6 2" xfId="36557"/>
    <cellStyle name="40% - Accent4 3 6 2 2" xfId="36558"/>
    <cellStyle name="40% - Accent4 3 6 2 2 2" xfId="36559"/>
    <cellStyle name="40% - Accent4 3 6 2 2 2 2" xfId="36560"/>
    <cellStyle name="40% - Accent4 3 6 2 2 3" xfId="36561"/>
    <cellStyle name="40% - Accent4 3 6 2 3" xfId="36562"/>
    <cellStyle name="40% - Accent4 3 6 2 3 2" xfId="36563"/>
    <cellStyle name="40% - Accent4 3 6 2 4" xfId="36564"/>
    <cellStyle name="40% - Accent4 3 6 3" xfId="36565"/>
    <cellStyle name="40% - Accent4 3 6 3 2" xfId="36566"/>
    <cellStyle name="40% - Accent4 3 6 3 2 2" xfId="36567"/>
    <cellStyle name="40% - Accent4 3 6 3 3" xfId="36568"/>
    <cellStyle name="40% - Accent4 3 6 4" xfId="36569"/>
    <cellStyle name="40% - Accent4 3 6 4 2" xfId="36570"/>
    <cellStyle name="40% - Accent4 3 6 5" xfId="36571"/>
    <cellStyle name="40% - Accent4 3 7" xfId="36572"/>
    <cellStyle name="40% - Accent4 3 7 2" xfId="36573"/>
    <cellStyle name="40% - Accent4 3 7 2 2" xfId="36574"/>
    <cellStyle name="40% - Accent4 3 7 2 2 2" xfId="36575"/>
    <cellStyle name="40% - Accent4 3 7 2 2 2 2" xfId="36576"/>
    <cellStyle name="40% - Accent4 3 7 2 2 3" xfId="36577"/>
    <cellStyle name="40% - Accent4 3 7 2 3" xfId="36578"/>
    <cellStyle name="40% - Accent4 3 7 2 3 2" xfId="36579"/>
    <cellStyle name="40% - Accent4 3 7 2 4" xfId="36580"/>
    <cellStyle name="40% - Accent4 3 7 3" xfId="36581"/>
    <cellStyle name="40% - Accent4 3 7 3 2" xfId="36582"/>
    <cellStyle name="40% - Accent4 3 7 3 2 2" xfId="36583"/>
    <cellStyle name="40% - Accent4 3 7 3 3" xfId="36584"/>
    <cellStyle name="40% - Accent4 3 7 4" xfId="36585"/>
    <cellStyle name="40% - Accent4 3 7 4 2" xfId="36586"/>
    <cellStyle name="40% - Accent4 3 7 5" xfId="36587"/>
    <cellStyle name="40% - Accent4 3 8" xfId="36588"/>
    <cellStyle name="40% - Accent4 3 8 2" xfId="36589"/>
    <cellStyle name="40% - Accent4 3 8 2 2" xfId="36590"/>
    <cellStyle name="40% - Accent4 3 8 2 2 2" xfId="36591"/>
    <cellStyle name="40% - Accent4 3 8 2 3" xfId="36592"/>
    <cellStyle name="40% - Accent4 3 8 3" xfId="36593"/>
    <cellStyle name="40% - Accent4 3 8 3 2" xfId="36594"/>
    <cellStyle name="40% - Accent4 3 8 4" xfId="36595"/>
    <cellStyle name="40% - Accent4 3 9" xfId="36596"/>
    <cellStyle name="40% - Accent4 3 9 2" xfId="36597"/>
    <cellStyle name="40% - Accent4 3 9 2 2" xfId="36598"/>
    <cellStyle name="40% - Accent4 3 9 3" xfId="36599"/>
    <cellStyle name="40% - Accent4 4" xfId="36600"/>
    <cellStyle name="40% - Accent4 4 10" xfId="36601"/>
    <cellStyle name="40% - Accent4 4 10 2" xfId="36602"/>
    <cellStyle name="40% - Accent4 4 11" xfId="36603"/>
    <cellStyle name="40% - Accent4 4 2" xfId="36604"/>
    <cellStyle name="40% - Accent4 4 2 10" xfId="36605"/>
    <cellStyle name="40% - Accent4 4 2 2" xfId="36606"/>
    <cellStyle name="40% - Accent4 4 2 2 2" xfId="36607"/>
    <cellStyle name="40% - Accent4 4 2 2 2 2" xfId="36608"/>
    <cellStyle name="40% - Accent4 4 2 2 2 2 2" xfId="36609"/>
    <cellStyle name="40% - Accent4 4 2 2 2 2 2 2" xfId="36610"/>
    <cellStyle name="40% - Accent4 4 2 2 2 2 3" xfId="36611"/>
    <cellStyle name="40% - Accent4 4 2 2 2 3" xfId="36612"/>
    <cellStyle name="40% - Accent4 4 2 2 2 3 2" xfId="36613"/>
    <cellStyle name="40% - Accent4 4 2 2 2 4" xfId="36614"/>
    <cellStyle name="40% - Accent4 4 2 2 3" xfId="36615"/>
    <cellStyle name="40% - Accent4 4 2 2 3 2" xfId="36616"/>
    <cellStyle name="40% - Accent4 4 2 2 3 2 2" xfId="36617"/>
    <cellStyle name="40% - Accent4 4 2 2 3 3" xfId="36618"/>
    <cellStyle name="40% - Accent4 4 2 2 4" xfId="36619"/>
    <cellStyle name="40% - Accent4 4 2 2 4 2" xfId="36620"/>
    <cellStyle name="40% - Accent4 4 2 2 5" xfId="36621"/>
    <cellStyle name="40% - Accent4 4 2 3" xfId="36622"/>
    <cellStyle name="40% - Accent4 4 2 3 2" xfId="36623"/>
    <cellStyle name="40% - Accent4 4 2 3 2 2" xfId="36624"/>
    <cellStyle name="40% - Accent4 4 2 3 2 2 2" xfId="36625"/>
    <cellStyle name="40% - Accent4 4 2 3 2 2 2 2" xfId="36626"/>
    <cellStyle name="40% - Accent4 4 2 3 2 2 3" xfId="36627"/>
    <cellStyle name="40% - Accent4 4 2 3 2 3" xfId="36628"/>
    <cellStyle name="40% - Accent4 4 2 3 2 3 2" xfId="36629"/>
    <cellStyle name="40% - Accent4 4 2 3 2 4" xfId="36630"/>
    <cellStyle name="40% - Accent4 4 2 3 3" xfId="36631"/>
    <cellStyle name="40% - Accent4 4 2 3 3 2" xfId="36632"/>
    <cellStyle name="40% - Accent4 4 2 3 3 2 2" xfId="36633"/>
    <cellStyle name="40% - Accent4 4 2 3 3 3" xfId="36634"/>
    <cellStyle name="40% - Accent4 4 2 3 4" xfId="36635"/>
    <cellStyle name="40% - Accent4 4 2 3 4 2" xfId="36636"/>
    <cellStyle name="40% - Accent4 4 2 3 5" xfId="36637"/>
    <cellStyle name="40% - Accent4 4 2 4" xfId="36638"/>
    <cellStyle name="40% - Accent4 4 2 4 2" xfId="36639"/>
    <cellStyle name="40% - Accent4 4 2 4 2 2" xfId="36640"/>
    <cellStyle name="40% - Accent4 4 2 4 2 2 2" xfId="36641"/>
    <cellStyle name="40% - Accent4 4 2 4 2 2 2 2" xfId="36642"/>
    <cellStyle name="40% - Accent4 4 2 4 2 2 3" xfId="36643"/>
    <cellStyle name="40% - Accent4 4 2 4 2 3" xfId="36644"/>
    <cellStyle name="40% - Accent4 4 2 4 2 3 2" xfId="36645"/>
    <cellStyle name="40% - Accent4 4 2 4 2 4" xfId="36646"/>
    <cellStyle name="40% - Accent4 4 2 4 3" xfId="36647"/>
    <cellStyle name="40% - Accent4 4 2 4 3 2" xfId="36648"/>
    <cellStyle name="40% - Accent4 4 2 4 3 2 2" xfId="36649"/>
    <cellStyle name="40% - Accent4 4 2 4 3 3" xfId="36650"/>
    <cellStyle name="40% - Accent4 4 2 4 4" xfId="36651"/>
    <cellStyle name="40% - Accent4 4 2 4 4 2" xfId="36652"/>
    <cellStyle name="40% - Accent4 4 2 4 5" xfId="36653"/>
    <cellStyle name="40% - Accent4 4 2 5" xfId="36654"/>
    <cellStyle name="40% - Accent4 4 2 5 2" xfId="36655"/>
    <cellStyle name="40% - Accent4 4 2 5 2 2" xfId="36656"/>
    <cellStyle name="40% - Accent4 4 2 5 2 2 2" xfId="36657"/>
    <cellStyle name="40% - Accent4 4 2 5 2 2 2 2" xfId="36658"/>
    <cellStyle name="40% - Accent4 4 2 5 2 2 3" xfId="36659"/>
    <cellStyle name="40% - Accent4 4 2 5 2 3" xfId="36660"/>
    <cellStyle name="40% - Accent4 4 2 5 2 3 2" xfId="36661"/>
    <cellStyle name="40% - Accent4 4 2 5 2 4" xfId="36662"/>
    <cellStyle name="40% - Accent4 4 2 5 3" xfId="36663"/>
    <cellStyle name="40% - Accent4 4 2 5 3 2" xfId="36664"/>
    <cellStyle name="40% - Accent4 4 2 5 3 2 2" xfId="36665"/>
    <cellStyle name="40% - Accent4 4 2 5 3 3" xfId="36666"/>
    <cellStyle name="40% - Accent4 4 2 5 4" xfId="36667"/>
    <cellStyle name="40% - Accent4 4 2 5 4 2" xfId="36668"/>
    <cellStyle name="40% - Accent4 4 2 5 5" xfId="36669"/>
    <cellStyle name="40% - Accent4 4 2 6" xfId="36670"/>
    <cellStyle name="40% - Accent4 4 2 6 2" xfId="36671"/>
    <cellStyle name="40% - Accent4 4 2 6 2 2" xfId="36672"/>
    <cellStyle name="40% - Accent4 4 2 6 2 2 2" xfId="36673"/>
    <cellStyle name="40% - Accent4 4 2 6 2 2 2 2" xfId="36674"/>
    <cellStyle name="40% - Accent4 4 2 6 2 2 3" xfId="36675"/>
    <cellStyle name="40% - Accent4 4 2 6 2 3" xfId="36676"/>
    <cellStyle name="40% - Accent4 4 2 6 2 3 2" xfId="36677"/>
    <cellStyle name="40% - Accent4 4 2 6 2 4" xfId="36678"/>
    <cellStyle name="40% - Accent4 4 2 6 3" xfId="36679"/>
    <cellStyle name="40% - Accent4 4 2 6 3 2" xfId="36680"/>
    <cellStyle name="40% - Accent4 4 2 6 3 2 2" xfId="36681"/>
    <cellStyle name="40% - Accent4 4 2 6 3 3" xfId="36682"/>
    <cellStyle name="40% - Accent4 4 2 6 4" xfId="36683"/>
    <cellStyle name="40% - Accent4 4 2 6 4 2" xfId="36684"/>
    <cellStyle name="40% - Accent4 4 2 6 5" xfId="36685"/>
    <cellStyle name="40% - Accent4 4 2 7" xfId="36686"/>
    <cellStyle name="40% - Accent4 4 2 7 2" xfId="36687"/>
    <cellStyle name="40% - Accent4 4 2 7 2 2" xfId="36688"/>
    <cellStyle name="40% - Accent4 4 2 7 2 2 2" xfId="36689"/>
    <cellStyle name="40% - Accent4 4 2 7 2 3" xfId="36690"/>
    <cellStyle name="40% - Accent4 4 2 7 3" xfId="36691"/>
    <cellStyle name="40% - Accent4 4 2 7 3 2" xfId="36692"/>
    <cellStyle name="40% - Accent4 4 2 7 4" xfId="36693"/>
    <cellStyle name="40% - Accent4 4 2 8" xfId="36694"/>
    <cellStyle name="40% - Accent4 4 2 8 2" xfId="36695"/>
    <cellStyle name="40% - Accent4 4 2 8 2 2" xfId="36696"/>
    <cellStyle name="40% - Accent4 4 2 8 3" xfId="36697"/>
    <cellStyle name="40% - Accent4 4 2 9" xfId="36698"/>
    <cellStyle name="40% - Accent4 4 2 9 2" xfId="36699"/>
    <cellStyle name="40% - Accent4 4 3" xfId="36700"/>
    <cellStyle name="40% - Accent4 4 3 2" xfId="36701"/>
    <cellStyle name="40% - Accent4 4 3 2 2" xfId="36702"/>
    <cellStyle name="40% - Accent4 4 3 2 2 2" xfId="36703"/>
    <cellStyle name="40% - Accent4 4 3 2 2 2 2" xfId="36704"/>
    <cellStyle name="40% - Accent4 4 3 2 2 3" xfId="36705"/>
    <cellStyle name="40% - Accent4 4 3 2 3" xfId="36706"/>
    <cellStyle name="40% - Accent4 4 3 2 3 2" xfId="36707"/>
    <cellStyle name="40% - Accent4 4 3 2 4" xfId="36708"/>
    <cellStyle name="40% - Accent4 4 3 3" xfId="36709"/>
    <cellStyle name="40% - Accent4 4 3 3 2" xfId="36710"/>
    <cellStyle name="40% - Accent4 4 3 3 2 2" xfId="36711"/>
    <cellStyle name="40% - Accent4 4 3 3 3" xfId="36712"/>
    <cellStyle name="40% - Accent4 4 3 4" xfId="36713"/>
    <cellStyle name="40% - Accent4 4 3 4 2" xfId="36714"/>
    <cellStyle name="40% - Accent4 4 3 5" xfId="36715"/>
    <cellStyle name="40% - Accent4 4 4" xfId="36716"/>
    <cellStyle name="40% - Accent4 4 4 2" xfId="36717"/>
    <cellStyle name="40% - Accent4 4 4 2 2" xfId="36718"/>
    <cellStyle name="40% - Accent4 4 4 2 2 2" xfId="36719"/>
    <cellStyle name="40% - Accent4 4 4 2 2 2 2" xfId="36720"/>
    <cellStyle name="40% - Accent4 4 4 2 2 3" xfId="36721"/>
    <cellStyle name="40% - Accent4 4 4 2 3" xfId="36722"/>
    <cellStyle name="40% - Accent4 4 4 2 3 2" xfId="36723"/>
    <cellStyle name="40% - Accent4 4 4 2 4" xfId="36724"/>
    <cellStyle name="40% - Accent4 4 4 3" xfId="36725"/>
    <cellStyle name="40% - Accent4 4 4 3 2" xfId="36726"/>
    <cellStyle name="40% - Accent4 4 4 3 2 2" xfId="36727"/>
    <cellStyle name="40% - Accent4 4 4 3 3" xfId="36728"/>
    <cellStyle name="40% - Accent4 4 4 4" xfId="36729"/>
    <cellStyle name="40% - Accent4 4 4 4 2" xfId="36730"/>
    <cellStyle name="40% - Accent4 4 4 5" xfId="36731"/>
    <cellStyle name="40% - Accent4 4 5" xfId="36732"/>
    <cellStyle name="40% - Accent4 4 5 2" xfId="36733"/>
    <cellStyle name="40% - Accent4 4 5 2 2" xfId="36734"/>
    <cellStyle name="40% - Accent4 4 5 2 2 2" xfId="36735"/>
    <cellStyle name="40% - Accent4 4 5 2 2 2 2" xfId="36736"/>
    <cellStyle name="40% - Accent4 4 5 2 2 3" xfId="36737"/>
    <cellStyle name="40% - Accent4 4 5 2 3" xfId="36738"/>
    <cellStyle name="40% - Accent4 4 5 2 3 2" xfId="36739"/>
    <cellStyle name="40% - Accent4 4 5 2 4" xfId="36740"/>
    <cellStyle name="40% - Accent4 4 5 3" xfId="36741"/>
    <cellStyle name="40% - Accent4 4 5 3 2" xfId="36742"/>
    <cellStyle name="40% - Accent4 4 5 3 2 2" xfId="36743"/>
    <cellStyle name="40% - Accent4 4 5 3 3" xfId="36744"/>
    <cellStyle name="40% - Accent4 4 5 4" xfId="36745"/>
    <cellStyle name="40% - Accent4 4 5 4 2" xfId="36746"/>
    <cellStyle name="40% - Accent4 4 5 5" xfId="36747"/>
    <cellStyle name="40% - Accent4 4 6" xfId="36748"/>
    <cellStyle name="40% - Accent4 4 6 2" xfId="36749"/>
    <cellStyle name="40% - Accent4 4 6 2 2" xfId="36750"/>
    <cellStyle name="40% - Accent4 4 6 2 2 2" xfId="36751"/>
    <cellStyle name="40% - Accent4 4 6 2 2 2 2" xfId="36752"/>
    <cellStyle name="40% - Accent4 4 6 2 2 3" xfId="36753"/>
    <cellStyle name="40% - Accent4 4 6 2 3" xfId="36754"/>
    <cellStyle name="40% - Accent4 4 6 2 3 2" xfId="36755"/>
    <cellStyle name="40% - Accent4 4 6 2 4" xfId="36756"/>
    <cellStyle name="40% - Accent4 4 6 3" xfId="36757"/>
    <cellStyle name="40% - Accent4 4 6 3 2" xfId="36758"/>
    <cellStyle name="40% - Accent4 4 6 3 2 2" xfId="36759"/>
    <cellStyle name="40% - Accent4 4 6 3 3" xfId="36760"/>
    <cellStyle name="40% - Accent4 4 6 4" xfId="36761"/>
    <cellStyle name="40% - Accent4 4 6 4 2" xfId="36762"/>
    <cellStyle name="40% - Accent4 4 6 5" xfId="36763"/>
    <cellStyle name="40% - Accent4 4 7" xfId="36764"/>
    <cellStyle name="40% - Accent4 4 7 2" xfId="36765"/>
    <cellStyle name="40% - Accent4 4 7 2 2" xfId="36766"/>
    <cellStyle name="40% - Accent4 4 7 2 2 2" xfId="36767"/>
    <cellStyle name="40% - Accent4 4 7 2 2 2 2" xfId="36768"/>
    <cellStyle name="40% - Accent4 4 7 2 2 3" xfId="36769"/>
    <cellStyle name="40% - Accent4 4 7 2 3" xfId="36770"/>
    <cellStyle name="40% - Accent4 4 7 2 3 2" xfId="36771"/>
    <cellStyle name="40% - Accent4 4 7 2 4" xfId="36772"/>
    <cellStyle name="40% - Accent4 4 7 3" xfId="36773"/>
    <cellStyle name="40% - Accent4 4 7 3 2" xfId="36774"/>
    <cellStyle name="40% - Accent4 4 7 3 2 2" xfId="36775"/>
    <cellStyle name="40% - Accent4 4 7 3 3" xfId="36776"/>
    <cellStyle name="40% - Accent4 4 7 4" xfId="36777"/>
    <cellStyle name="40% - Accent4 4 7 4 2" xfId="36778"/>
    <cellStyle name="40% - Accent4 4 7 5" xfId="36779"/>
    <cellStyle name="40% - Accent4 4 8" xfId="36780"/>
    <cellStyle name="40% - Accent4 4 8 2" xfId="36781"/>
    <cellStyle name="40% - Accent4 4 8 2 2" xfId="36782"/>
    <cellStyle name="40% - Accent4 4 8 2 2 2" xfId="36783"/>
    <cellStyle name="40% - Accent4 4 8 2 3" xfId="36784"/>
    <cellStyle name="40% - Accent4 4 8 3" xfId="36785"/>
    <cellStyle name="40% - Accent4 4 8 3 2" xfId="36786"/>
    <cellStyle name="40% - Accent4 4 8 4" xfId="36787"/>
    <cellStyle name="40% - Accent4 4 9" xfId="36788"/>
    <cellStyle name="40% - Accent4 4 9 2" xfId="36789"/>
    <cellStyle name="40% - Accent4 4 9 2 2" xfId="36790"/>
    <cellStyle name="40% - Accent4 4 9 3" xfId="36791"/>
    <cellStyle name="40% - Accent4 5" xfId="36792"/>
    <cellStyle name="40% - Accent4 5 10" xfId="36793"/>
    <cellStyle name="40% - Accent4 5 10 2" xfId="36794"/>
    <cellStyle name="40% - Accent4 5 11" xfId="36795"/>
    <cellStyle name="40% - Accent4 5 2" xfId="36796"/>
    <cellStyle name="40% - Accent4 5 2 10" xfId="36797"/>
    <cellStyle name="40% - Accent4 5 2 2" xfId="36798"/>
    <cellStyle name="40% - Accent4 5 2 2 2" xfId="36799"/>
    <cellStyle name="40% - Accent4 5 2 2 2 2" xfId="36800"/>
    <cellStyle name="40% - Accent4 5 2 2 2 2 2" xfId="36801"/>
    <cellStyle name="40% - Accent4 5 2 2 2 2 2 2" xfId="36802"/>
    <cellStyle name="40% - Accent4 5 2 2 2 2 3" xfId="36803"/>
    <cellStyle name="40% - Accent4 5 2 2 2 3" xfId="36804"/>
    <cellStyle name="40% - Accent4 5 2 2 2 3 2" xfId="36805"/>
    <cellStyle name="40% - Accent4 5 2 2 2 4" xfId="36806"/>
    <cellStyle name="40% - Accent4 5 2 2 3" xfId="36807"/>
    <cellStyle name="40% - Accent4 5 2 2 3 2" xfId="36808"/>
    <cellStyle name="40% - Accent4 5 2 2 3 2 2" xfId="36809"/>
    <cellStyle name="40% - Accent4 5 2 2 3 3" xfId="36810"/>
    <cellStyle name="40% - Accent4 5 2 2 4" xfId="36811"/>
    <cellStyle name="40% - Accent4 5 2 2 4 2" xfId="36812"/>
    <cellStyle name="40% - Accent4 5 2 2 5" xfId="36813"/>
    <cellStyle name="40% - Accent4 5 2 3" xfId="36814"/>
    <cellStyle name="40% - Accent4 5 2 3 2" xfId="36815"/>
    <cellStyle name="40% - Accent4 5 2 3 2 2" xfId="36816"/>
    <cellStyle name="40% - Accent4 5 2 3 2 2 2" xfId="36817"/>
    <cellStyle name="40% - Accent4 5 2 3 2 2 2 2" xfId="36818"/>
    <cellStyle name="40% - Accent4 5 2 3 2 2 3" xfId="36819"/>
    <cellStyle name="40% - Accent4 5 2 3 2 3" xfId="36820"/>
    <cellStyle name="40% - Accent4 5 2 3 2 3 2" xfId="36821"/>
    <cellStyle name="40% - Accent4 5 2 3 2 4" xfId="36822"/>
    <cellStyle name="40% - Accent4 5 2 3 3" xfId="36823"/>
    <cellStyle name="40% - Accent4 5 2 3 3 2" xfId="36824"/>
    <cellStyle name="40% - Accent4 5 2 3 3 2 2" xfId="36825"/>
    <cellStyle name="40% - Accent4 5 2 3 3 3" xfId="36826"/>
    <cellStyle name="40% - Accent4 5 2 3 4" xfId="36827"/>
    <cellStyle name="40% - Accent4 5 2 3 4 2" xfId="36828"/>
    <cellStyle name="40% - Accent4 5 2 3 5" xfId="36829"/>
    <cellStyle name="40% - Accent4 5 2 4" xfId="36830"/>
    <cellStyle name="40% - Accent4 5 2 4 2" xfId="36831"/>
    <cellStyle name="40% - Accent4 5 2 4 2 2" xfId="36832"/>
    <cellStyle name="40% - Accent4 5 2 4 2 2 2" xfId="36833"/>
    <cellStyle name="40% - Accent4 5 2 4 2 2 2 2" xfId="36834"/>
    <cellStyle name="40% - Accent4 5 2 4 2 2 3" xfId="36835"/>
    <cellStyle name="40% - Accent4 5 2 4 2 3" xfId="36836"/>
    <cellStyle name="40% - Accent4 5 2 4 2 3 2" xfId="36837"/>
    <cellStyle name="40% - Accent4 5 2 4 2 4" xfId="36838"/>
    <cellStyle name="40% - Accent4 5 2 4 3" xfId="36839"/>
    <cellStyle name="40% - Accent4 5 2 4 3 2" xfId="36840"/>
    <cellStyle name="40% - Accent4 5 2 4 3 2 2" xfId="36841"/>
    <cellStyle name="40% - Accent4 5 2 4 3 3" xfId="36842"/>
    <cellStyle name="40% - Accent4 5 2 4 4" xfId="36843"/>
    <cellStyle name="40% - Accent4 5 2 4 4 2" xfId="36844"/>
    <cellStyle name="40% - Accent4 5 2 4 5" xfId="36845"/>
    <cellStyle name="40% - Accent4 5 2 5" xfId="36846"/>
    <cellStyle name="40% - Accent4 5 2 5 2" xfId="36847"/>
    <cellStyle name="40% - Accent4 5 2 5 2 2" xfId="36848"/>
    <cellStyle name="40% - Accent4 5 2 5 2 2 2" xfId="36849"/>
    <cellStyle name="40% - Accent4 5 2 5 2 2 2 2" xfId="36850"/>
    <cellStyle name="40% - Accent4 5 2 5 2 2 3" xfId="36851"/>
    <cellStyle name="40% - Accent4 5 2 5 2 3" xfId="36852"/>
    <cellStyle name="40% - Accent4 5 2 5 2 3 2" xfId="36853"/>
    <cellStyle name="40% - Accent4 5 2 5 2 4" xfId="36854"/>
    <cellStyle name="40% - Accent4 5 2 5 3" xfId="36855"/>
    <cellStyle name="40% - Accent4 5 2 5 3 2" xfId="36856"/>
    <cellStyle name="40% - Accent4 5 2 5 3 2 2" xfId="36857"/>
    <cellStyle name="40% - Accent4 5 2 5 3 3" xfId="36858"/>
    <cellStyle name="40% - Accent4 5 2 5 4" xfId="36859"/>
    <cellStyle name="40% - Accent4 5 2 5 4 2" xfId="36860"/>
    <cellStyle name="40% - Accent4 5 2 5 5" xfId="36861"/>
    <cellStyle name="40% - Accent4 5 2 6" xfId="36862"/>
    <cellStyle name="40% - Accent4 5 2 6 2" xfId="36863"/>
    <cellStyle name="40% - Accent4 5 2 6 2 2" xfId="36864"/>
    <cellStyle name="40% - Accent4 5 2 6 2 2 2" xfId="36865"/>
    <cellStyle name="40% - Accent4 5 2 6 2 2 2 2" xfId="36866"/>
    <cellStyle name="40% - Accent4 5 2 6 2 2 3" xfId="36867"/>
    <cellStyle name="40% - Accent4 5 2 6 2 3" xfId="36868"/>
    <cellStyle name="40% - Accent4 5 2 6 2 3 2" xfId="36869"/>
    <cellStyle name="40% - Accent4 5 2 6 2 4" xfId="36870"/>
    <cellStyle name="40% - Accent4 5 2 6 3" xfId="36871"/>
    <cellStyle name="40% - Accent4 5 2 6 3 2" xfId="36872"/>
    <cellStyle name="40% - Accent4 5 2 6 3 2 2" xfId="36873"/>
    <cellStyle name="40% - Accent4 5 2 6 3 3" xfId="36874"/>
    <cellStyle name="40% - Accent4 5 2 6 4" xfId="36875"/>
    <cellStyle name="40% - Accent4 5 2 6 4 2" xfId="36876"/>
    <cellStyle name="40% - Accent4 5 2 6 5" xfId="36877"/>
    <cellStyle name="40% - Accent4 5 2 7" xfId="36878"/>
    <cellStyle name="40% - Accent4 5 2 7 2" xfId="36879"/>
    <cellStyle name="40% - Accent4 5 2 7 2 2" xfId="36880"/>
    <cellStyle name="40% - Accent4 5 2 7 2 2 2" xfId="36881"/>
    <cellStyle name="40% - Accent4 5 2 7 2 3" xfId="36882"/>
    <cellStyle name="40% - Accent4 5 2 7 3" xfId="36883"/>
    <cellStyle name="40% - Accent4 5 2 7 3 2" xfId="36884"/>
    <cellStyle name="40% - Accent4 5 2 7 4" xfId="36885"/>
    <cellStyle name="40% - Accent4 5 2 8" xfId="36886"/>
    <cellStyle name="40% - Accent4 5 2 8 2" xfId="36887"/>
    <cellStyle name="40% - Accent4 5 2 8 2 2" xfId="36888"/>
    <cellStyle name="40% - Accent4 5 2 8 3" xfId="36889"/>
    <cellStyle name="40% - Accent4 5 2 9" xfId="36890"/>
    <cellStyle name="40% - Accent4 5 2 9 2" xfId="36891"/>
    <cellStyle name="40% - Accent4 5 3" xfId="36892"/>
    <cellStyle name="40% - Accent4 5 3 2" xfId="36893"/>
    <cellStyle name="40% - Accent4 5 3 2 2" xfId="36894"/>
    <cellStyle name="40% - Accent4 5 3 2 2 2" xfId="36895"/>
    <cellStyle name="40% - Accent4 5 3 2 2 2 2" xfId="36896"/>
    <cellStyle name="40% - Accent4 5 3 2 2 3" xfId="36897"/>
    <cellStyle name="40% - Accent4 5 3 2 3" xfId="36898"/>
    <cellStyle name="40% - Accent4 5 3 2 3 2" xfId="36899"/>
    <cellStyle name="40% - Accent4 5 3 2 4" xfId="36900"/>
    <cellStyle name="40% - Accent4 5 3 3" xfId="36901"/>
    <cellStyle name="40% - Accent4 5 3 3 2" xfId="36902"/>
    <cellStyle name="40% - Accent4 5 3 3 2 2" xfId="36903"/>
    <cellStyle name="40% - Accent4 5 3 3 3" xfId="36904"/>
    <cellStyle name="40% - Accent4 5 3 4" xfId="36905"/>
    <cellStyle name="40% - Accent4 5 3 4 2" xfId="36906"/>
    <cellStyle name="40% - Accent4 5 3 5" xfId="36907"/>
    <cellStyle name="40% - Accent4 5 4" xfId="36908"/>
    <cellStyle name="40% - Accent4 5 4 2" xfId="36909"/>
    <cellStyle name="40% - Accent4 5 4 2 2" xfId="36910"/>
    <cellStyle name="40% - Accent4 5 4 2 2 2" xfId="36911"/>
    <cellStyle name="40% - Accent4 5 4 2 2 2 2" xfId="36912"/>
    <cellStyle name="40% - Accent4 5 4 2 2 3" xfId="36913"/>
    <cellStyle name="40% - Accent4 5 4 2 3" xfId="36914"/>
    <cellStyle name="40% - Accent4 5 4 2 3 2" xfId="36915"/>
    <cellStyle name="40% - Accent4 5 4 2 4" xfId="36916"/>
    <cellStyle name="40% - Accent4 5 4 3" xfId="36917"/>
    <cellStyle name="40% - Accent4 5 4 3 2" xfId="36918"/>
    <cellStyle name="40% - Accent4 5 4 3 2 2" xfId="36919"/>
    <cellStyle name="40% - Accent4 5 4 3 3" xfId="36920"/>
    <cellStyle name="40% - Accent4 5 4 4" xfId="36921"/>
    <cellStyle name="40% - Accent4 5 4 4 2" xfId="36922"/>
    <cellStyle name="40% - Accent4 5 4 5" xfId="36923"/>
    <cellStyle name="40% - Accent4 5 5" xfId="36924"/>
    <cellStyle name="40% - Accent4 5 5 2" xfId="36925"/>
    <cellStyle name="40% - Accent4 5 5 2 2" xfId="36926"/>
    <cellStyle name="40% - Accent4 5 5 2 2 2" xfId="36927"/>
    <cellStyle name="40% - Accent4 5 5 2 2 2 2" xfId="36928"/>
    <cellStyle name="40% - Accent4 5 5 2 2 3" xfId="36929"/>
    <cellStyle name="40% - Accent4 5 5 2 3" xfId="36930"/>
    <cellStyle name="40% - Accent4 5 5 2 3 2" xfId="36931"/>
    <cellStyle name="40% - Accent4 5 5 2 4" xfId="36932"/>
    <cellStyle name="40% - Accent4 5 5 3" xfId="36933"/>
    <cellStyle name="40% - Accent4 5 5 3 2" xfId="36934"/>
    <cellStyle name="40% - Accent4 5 5 3 2 2" xfId="36935"/>
    <cellStyle name="40% - Accent4 5 5 3 3" xfId="36936"/>
    <cellStyle name="40% - Accent4 5 5 4" xfId="36937"/>
    <cellStyle name="40% - Accent4 5 5 4 2" xfId="36938"/>
    <cellStyle name="40% - Accent4 5 5 5" xfId="36939"/>
    <cellStyle name="40% - Accent4 5 6" xfId="36940"/>
    <cellStyle name="40% - Accent4 5 6 2" xfId="36941"/>
    <cellStyle name="40% - Accent4 5 6 2 2" xfId="36942"/>
    <cellStyle name="40% - Accent4 5 6 2 2 2" xfId="36943"/>
    <cellStyle name="40% - Accent4 5 6 2 2 2 2" xfId="36944"/>
    <cellStyle name="40% - Accent4 5 6 2 2 3" xfId="36945"/>
    <cellStyle name="40% - Accent4 5 6 2 3" xfId="36946"/>
    <cellStyle name="40% - Accent4 5 6 2 3 2" xfId="36947"/>
    <cellStyle name="40% - Accent4 5 6 2 4" xfId="36948"/>
    <cellStyle name="40% - Accent4 5 6 3" xfId="36949"/>
    <cellStyle name="40% - Accent4 5 6 3 2" xfId="36950"/>
    <cellStyle name="40% - Accent4 5 6 3 2 2" xfId="36951"/>
    <cellStyle name="40% - Accent4 5 6 3 3" xfId="36952"/>
    <cellStyle name="40% - Accent4 5 6 4" xfId="36953"/>
    <cellStyle name="40% - Accent4 5 6 4 2" xfId="36954"/>
    <cellStyle name="40% - Accent4 5 6 5" xfId="36955"/>
    <cellStyle name="40% - Accent4 5 7" xfId="36956"/>
    <cellStyle name="40% - Accent4 5 7 2" xfId="36957"/>
    <cellStyle name="40% - Accent4 5 7 2 2" xfId="36958"/>
    <cellStyle name="40% - Accent4 5 7 2 2 2" xfId="36959"/>
    <cellStyle name="40% - Accent4 5 7 2 2 2 2" xfId="36960"/>
    <cellStyle name="40% - Accent4 5 7 2 2 3" xfId="36961"/>
    <cellStyle name="40% - Accent4 5 7 2 3" xfId="36962"/>
    <cellStyle name="40% - Accent4 5 7 2 3 2" xfId="36963"/>
    <cellStyle name="40% - Accent4 5 7 2 4" xfId="36964"/>
    <cellStyle name="40% - Accent4 5 7 3" xfId="36965"/>
    <cellStyle name="40% - Accent4 5 7 3 2" xfId="36966"/>
    <cellStyle name="40% - Accent4 5 7 3 2 2" xfId="36967"/>
    <cellStyle name="40% - Accent4 5 7 3 3" xfId="36968"/>
    <cellStyle name="40% - Accent4 5 7 4" xfId="36969"/>
    <cellStyle name="40% - Accent4 5 7 4 2" xfId="36970"/>
    <cellStyle name="40% - Accent4 5 7 5" xfId="36971"/>
    <cellStyle name="40% - Accent4 5 8" xfId="36972"/>
    <cellStyle name="40% - Accent4 5 8 2" xfId="36973"/>
    <cellStyle name="40% - Accent4 5 8 2 2" xfId="36974"/>
    <cellStyle name="40% - Accent4 5 8 2 2 2" xfId="36975"/>
    <cellStyle name="40% - Accent4 5 8 2 3" xfId="36976"/>
    <cellStyle name="40% - Accent4 5 8 3" xfId="36977"/>
    <cellStyle name="40% - Accent4 5 8 3 2" xfId="36978"/>
    <cellStyle name="40% - Accent4 5 8 4" xfId="36979"/>
    <cellStyle name="40% - Accent4 5 9" xfId="36980"/>
    <cellStyle name="40% - Accent4 5 9 2" xfId="36981"/>
    <cellStyle name="40% - Accent4 5 9 2 2" xfId="36982"/>
    <cellStyle name="40% - Accent4 5 9 3" xfId="36983"/>
    <cellStyle name="40% - Accent4 6" xfId="36984"/>
    <cellStyle name="40% - Accent4 6 10" xfId="36985"/>
    <cellStyle name="40% - Accent4 6 10 2" xfId="36986"/>
    <cellStyle name="40% - Accent4 6 11" xfId="36987"/>
    <cellStyle name="40% - Accent4 6 2" xfId="36988"/>
    <cellStyle name="40% - Accent4 6 2 10" xfId="36989"/>
    <cellStyle name="40% - Accent4 6 2 2" xfId="36990"/>
    <cellStyle name="40% - Accent4 6 2 2 2" xfId="36991"/>
    <cellStyle name="40% - Accent4 6 2 2 2 2" xfId="36992"/>
    <cellStyle name="40% - Accent4 6 2 2 2 2 2" xfId="36993"/>
    <cellStyle name="40% - Accent4 6 2 2 2 2 2 2" xfId="36994"/>
    <cellStyle name="40% - Accent4 6 2 2 2 2 3" xfId="36995"/>
    <cellStyle name="40% - Accent4 6 2 2 2 3" xfId="36996"/>
    <cellStyle name="40% - Accent4 6 2 2 2 3 2" xfId="36997"/>
    <cellStyle name="40% - Accent4 6 2 2 2 4" xfId="36998"/>
    <cellStyle name="40% - Accent4 6 2 2 3" xfId="36999"/>
    <cellStyle name="40% - Accent4 6 2 2 3 2" xfId="37000"/>
    <cellStyle name="40% - Accent4 6 2 2 3 2 2" xfId="37001"/>
    <cellStyle name="40% - Accent4 6 2 2 3 3" xfId="37002"/>
    <cellStyle name="40% - Accent4 6 2 2 4" xfId="37003"/>
    <cellStyle name="40% - Accent4 6 2 2 4 2" xfId="37004"/>
    <cellStyle name="40% - Accent4 6 2 2 5" xfId="37005"/>
    <cellStyle name="40% - Accent4 6 2 3" xfId="37006"/>
    <cellStyle name="40% - Accent4 6 2 3 2" xfId="37007"/>
    <cellStyle name="40% - Accent4 6 2 3 2 2" xfId="37008"/>
    <cellStyle name="40% - Accent4 6 2 3 2 2 2" xfId="37009"/>
    <cellStyle name="40% - Accent4 6 2 3 2 2 2 2" xfId="37010"/>
    <cellStyle name="40% - Accent4 6 2 3 2 2 3" xfId="37011"/>
    <cellStyle name="40% - Accent4 6 2 3 2 3" xfId="37012"/>
    <cellStyle name="40% - Accent4 6 2 3 2 3 2" xfId="37013"/>
    <cellStyle name="40% - Accent4 6 2 3 2 4" xfId="37014"/>
    <cellStyle name="40% - Accent4 6 2 3 3" xfId="37015"/>
    <cellStyle name="40% - Accent4 6 2 3 3 2" xfId="37016"/>
    <cellStyle name="40% - Accent4 6 2 3 3 2 2" xfId="37017"/>
    <cellStyle name="40% - Accent4 6 2 3 3 3" xfId="37018"/>
    <cellStyle name="40% - Accent4 6 2 3 4" xfId="37019"/>
    <cellStyle name="40% - Accent4 6 2 3 4 2" xfId="37020"/>
    <cellStyle name="40% - Accent4 6 2 3 5" xfId="37021"/>
    <cellStyle name="40% - Accent4 6 2 4" xfId="37022"/>
    <cellStyle name="40% - Accent4 6 2 4 2" xfId="37023"/>
    <cellStyle name="40% - Accent4 6 2 4 2 2" xfId="37024"/>
    <cellStyle name="40% - Accent4 6 2 4 2 2 2" xfId="37025"/>
    <cellStyle name="40% - Accent4 6 2 4 2 2 2 2" xfId="37026"/>
    <cellStyle name="40% - Accent4 6 2 4 2 2 3" xfId="37027"/>
    <cellStyle name="40% - Accent4 6 2 4 2 3" xfId="37028"/>
    <cellStyle name="40% - Accent4 6 2 4 2 3 2" xfId="37029"/>
    <cellStyle name="40% - Accent4 6 2 4 2 4" xfId="37030"/>
    <cellStyle name="40% - Accent4 6 2 4 3" xfId="37031"/>
    <cellStyle name="40% - Accent4 6 2 4 3 2" xfId="37032"/>
    <cellStyle name="40% - Accent4 6 2 4 3 2 2" xfId="37033"/>
    <cellStyle name="40% - Accent4 6 2 4 3 3" xfId="37034"/>
    <cellStyle name="40% - Accent4 6 2 4 4" xfId="37035"/>
    <cellStyle name="40% - Accent4 6 2 4 4 2" xfId="37036"/>
    <cellStyle name="40% - Accent4 6 2 4 5" xfId="37037"/>
    <cellStyle name="40% - Accent4 6 2 5" xfId="37038"/>
    <cellStyle name="40% - Accent4 6 2 5 2" xfId="37039"/>
    <cellStyle name="40% - Accent4 6 2 5 2 2" xfId="37040"/>
    <cellStyle name="40% - Accent4 6 2 5 2 2 2" xfId="37041"/>
    <cellStyle name="40% - Accent4 6 2 5 2 2 2 2" xfId="37042"/>
    <cellStyle name="40% - Accent4 6 2 5 2 2 3" xfId="37043"/>
    <cellStyle name="40% - Accent4 6 2 5 2 3" xfId="37044"/>
    <cellStyle name="40% - Accent4 6 2 5 2 3 2" xfId="37045"/>
    <cellStyle name="40% - Accent4 6 2 5 2 4" xfId="37046"/>
    <cellStyle name="40% - Accent4 6 2 5 3" xfId="37047"/>
    <cellStyle name="40% - Accent4 6 2 5 3 2" xfId="37048"/>
    <cellStyle name="40% - Accent4 6 2 5 3 2 2" xfId="37049"/>
    <cellStyle name="40% - Accent4 6 2 5 3 3" xfId="37050"/>
    <cellStyle name="40% - Accent4 6 2 5 4" xfId="37051"/>
    <cellStyle name="40% - Accent4 6 2 5 4 2" xfId="37052"/>
    <cellStyle name="40% - Accent4 6 2 5 5" xfId="37053"/>
    <cellStyle name="40% - Accent4 6 2 6" xfId="37054"/>
    <cellStyle name="40% - Accent4 6 2 6 2" xfId="37055"/>
    <cellStyle name="40% - Accent4 6 2 6 2 2" xfId="37056"/>
    <cellStyle name="40% - Accent4 6 2 6 2 2 2" xfId="37057"/>
    <cellStyle name="40% - Accent4 6 2 6 2 2 2 2" xfId="37058"/>
    <cellStyle name="40% - Accent4 6 2 6 2 2 3" xfId="37059"/>
    <cellStyle name="40% - Accent4 6 2 6 2 3" xfId="37060"/>
    <cellStyle name="40% - Accent4 6 2 6 2 3 2" xfId="37061"/>
    <cellStyle name="40% - Accent4 6 2 6 2 4" xfId="37062"/>
    <cellStyle name="40% - Accent4 6 2 6 3" xfId="37063"/>
    <cellStyle name="40% - Accent4 6 2 6 3 2" xfId="37064"/>
    <cellStyle name="40% - Accent4 6 2 6 3 2 2" xfId="37065"/>
    <cellStyle name="40% - Accent4 6 2 6 3 3" xfId="37066"/>
    <cellStyle name="40% - Accent4 6 2 6 4" xfId="37067"/>
    <cellStyle name="40% - Accent4 6 2 6 4 2" xfId="37068"/>
    <cellStyle name="40% - Accent4 6 2 6 5" xfId="37069"/>
    <cellStyle name="40% - Accent4 6 2 7" xfId="37070"/>
    <cellStyle name="40% - Accent4 6 2 7 2" xfId="37071"/>
    <cellStyle name="40% - Accent4 6 2 7 2 2" xfId="37072"/>
    <cellStyle name="40% - Accent4 6 2 7 2 2 2" xfId="37073"/>
    <cellStyle name="40% - Accent4 6 2 7 2 3" xfId="37074"/>
    <cellStyle name="40% - Accent4 6 2 7 3" xfId="37075"/>
    <cellStyle name="40% - Accent4 6 2 7 3 2" xfId="37076"/>
    <cellStyle name="40% - Accent4 6 2 7 4" xfId="37077"/>
    <cellStyle name="40% - Accent4 6 2 8" xfId="37078"/>
    <cellStyle name="40% - Accent4 6 2 8 2" xfId="37079"/>
    <cellStyle name="40% - Accent4 6 2 8 2 2" xfId="37080"/>
    <cellStyle name="40% - Accent4 6 2 8 3" xfId="37081"/>
    <cellStyle name="40% - Accent4 6 2 9" xfId="37082"/>
    <cellStyle name="40% - Accent4 6 2 9 2" xfId="37083"/>
    <cellStyle name="40% - Accent4 6 3" xfId="37084"/>
    <cellStyle name="40% - Accent4 6 3 2" xfId="37085"/>
    <cellStyle name="40% - Accent4 6 3 2 2" xfId="37086"/>
    <cellStyle name="40% - Accent4 6 3 2 2 2" xfId="37087"/>
    <cellStyle name="40% - Accent4 6 3 2 2 2 2" xfId="37088"/>
    <cellStyle name="40% - Accent4 6 3 2 2 3" xfId="37089"/>
    <cellStyle name="40% - Accent4 6 3 2 3" xfId="37090"/>
    <cellStyle name="40% - Accent4 6 3 2 3 2" xfId="37091"/>
    <cellStyle name="40% - Accent4 6 3 2 4" xfId="37092"/>
    <cellStyle name="40% - Accent4 6 3 3" xfId="37093"/>
    <cellStyle name="40% - Accent4 6 3 3 2" xfId="37094"/>
    <cellStyle name="40% - Accent4 6 3 3 2 2" xfId="37095"/>
    <cellStyle name="40% - Accent4 6 3 3 3" xfId="37096"/>
    <cellStyle name="40% - Accent4 6 3 4" xfId="37097"/>
    <cellStyle name="40% - Accent4 6 3 4 2" xfId="37098"/>
    <cellStyle name="40% - Accent4 6 3 5" xfId="37099"/>
    <cellStyle name="40% - Accent4 6 4" xfId="37100"/>
    <cellStyle name="40% - Accent4 6 4 2" xfId="37101"/>
    <cellStyle name="40% - Accent4 6 4 2 2" xfId="37102"/>
    <cellStyle name="40% - Accent4 6 4 2 2 2" xfId="37103"/>
    <cellStyle name="40% - Accent4 6 4 2 2 2 2" xfId="37104"/>
    <cellStyle name="40% - Accent4 6 4 2 2 3" xfId="37105"/>
    <cellStyle name="40% - Accent4 6 4 2 3" xfId="37106"/>
    <cellStyle name="40% - Accent4 6 4 2 3 2" xfId="37107"/>
    <cellStyle name="40% - Accent4 6 4 2 4" xfId="37108"/>
    <cellStyle name="40% - Accent4 6 4 3" xfId="37109"/>
    <cellStyle name="40% - Accent4 6 4 3 2" xfId="37110"/>
    <cellStyle name="40% - Accent4 6 4 3 2 2" xfId="37111"/>
    <cellStyle name="40% - Accent4 6 4 3 3" xfId="37112"/>
    <cellStyle name="40% - Accent4 6 4 4" xfId="37113"/>
    <cellStyle name="40% - Accent4 6 4 4 2" xfId="37114"/>
    <cellStyle name="40% - Accent4 6 4 5" xfId="37115"/>
    <cellStyle name="40% - Accent4 6 5" xfId="37116"/>
    <cellStyle name="40% - Accent4 6 5 2" xfId="37117"/>
    <cellStyle name="40% - Accent4 6 5 2 2" xfId="37118"/>
    <cellStyle name="40% - Accent4 6 5 2 2 2" xfId="37119"/>
    <cellStyle name="40% - Accent4 6 5 2 2 2 2" xfId="37120"/>
    <cellStyle name="40% - Accent4 6 5 2 2 3" xfId="37121"/>
    <cellStyle name="40% - Accent4 6 5 2 3" xfId="37122"/>
    <cellStyle name="40% - Accent4 6 5 2 3 2" xfId="37123"/>
    <cellStyle name="40% - Accent4 6 5 2 4" xfId="37124"/>
    <cellStyle name="40% - Accent4 6 5 3" xfId="37125"/>
    <cellStyle name="40% - Accent4 6 5 3 2" xfId="37126"/>
    <cellStyle name="40% - Accent4 6 5 3 2 2" xfId="37127"/>
    <cellStyle name="40% - Accent4 6 5 3 3" xfId="37128"/>
    <cellStyle name="40% - Accent4 6 5 4" xfId="37129"/>
    <cellStyle name="40% - Accent4 6 5 4 2" xfId="37130"/>
    <cellStyle name="40% - Accent4 6 5 5" xfId="37131"/>
    <cellStyle name="40% - Accent4 6 6" xfId="37132"/>
    <cellStyle name="40% - Accent4 6 6 2" xfId="37133"/>
    <cellStyle name="40% - Accent4 6 6 2 2" xfId="37134"/>
    <cellStyle name="40% - Accent4 6 6 2 2 2" xfId="37135"/>
    <cellStyle name="40% - Accent4 6 6 2 2 2 2" xfId="37136"/>
    <cellStyle name="40% - Accent4 6 6 2 2 3" xfId="37137"/>
    <cellStyle name="40% - Accent4 6 6 2 3" xfId="37138"/>
    <cellStyle name="40% - Accent4 6 6 2 3 2" xfId="37139"/>
    <cellStyle name="40% - Accent4 6 6 2 4" xfId="37140"/>
    <cellStyle name="40% - Accent4 6 6 3" xfId="37141"/>
    <cellStyle name="40% - Accent4 6 6 3 2" xfId="37142"/>
    <cellStyle name="40% - Accent4 6 6 3 2 2" xfId="37143"/>
    <cellStyle name="40% - Accent4 6 6 3 3" xfId="37144"/>
    <cellStyle name="40% - Accent4 6 6 4" xfId="37145"/>
    <cellStyle name="40% - Accent4 6 6 4 2" xfId="37146"/>
    <cellStyle name="40% - Accent4 6 6 5" xfId="37147"/>
    <cellStyle name="40% - Accent4 6 7" xfId="37148"/>
    <cellStyle name="40% - Accent4 6 7 2" xfId="37149"/>
    <cellStyle name="40% - Accent4 6 7 2 2" xfId="37150"/>
    <cellStyle name="40% - Accent4 6 7 2 2 2" xfId="37151"/>
    <cellStyle name="40% - Accent4 6 7 2 2 2 2" xfId="37152"/>
    <cellStyle name="40% - Accent4 6 7 2 2 3" xfId="37153"/>
    <cellStyle name="40% - Accent4 6 7 2 3" xfId="37154"/>
    <cellStyle name="40% - Accent4 6 7 2 3 2" xfId="37155"/>
    <cellStyle name="40% - Accent4 6 7 2 4" xfId="37156"/>
    <cellStyle name="40% - Accent4 6 7 3" xfId="37157"/>
    <cellStyle name="40% - Accent4 6 7 3 2" xfId="37158"/>
    <cellStyle name="40% - Accent4 6 7 3 2 2" xfId="37159"/>
    <cellStyle name="40% - Accent4 6 7 3 3" xfId="37160"/>
    <cellStyle name="40% - Accent4 6 7 4" xfId="37161"/>
    <cellStyle name="40% - Accent4 6 7 4 2" xfId="37162"/>
    <cellStyle name="40% - Accent4 6 7 5" xfId="37163"/>
    <cellStyle name="40% - Accent4 6 8" xfId="37164"/>
    <cellStyle name="40% - Accent4 6 8 2" xfId="37165"/>
    <cellStyle name="40% - Accent4 6 8 2 2" xfId="37166"/>
    <cellStyle name="40% - Accent4 6 8 2 2 2" xfId="37167"/>
    <cellStyle name="40% - Accent4 6 8 2 3" xfId="37168"/>
    <cellStyle name="40% - Accent4 6 8 3" xfId="37169"/>
    <cellStyle name="40% - Accent4 6 8 3 2" xfId="37170"/>
    <cellStyle name="40% - Accent4 6 8 4" xfId="37171"/>
    <cellStyle name="40% - Accent4 6 9" xfId="37172"/>
    <cellStyle name="40% - Accent4 6 9 2" xfId="37173"/>
    <cellStyle name="40% - Accent4 6 9 2 2" xfId="37174"/>
    <cellStyle name="40% - Accent4 6 9 3" xfId="37175"/>
    <cellStyle name="40% - Accent4 7" xfId="37176"/>
    <cellStyle name="40% - Accent4 7 10" xfId="37177"/>
    <cellStyle name="40% - Accent4 7 10 2" xfId="37178"/>
    <cellStyle name="40% - Accent4 7 11" xfId="37179"/>
    <cellStyle name="40% - Accent4 7 2" xfId="37180"/>
    <cellStyle name="40% - Accent4 7 2 10" xfId="37181"/>
    <cellStyle name="40% - Accent4 7 2 2" xfId="37182"/>
    <cellStyle name="40% - Accent4 7 2 2 2" xfId="37183"/>
    <cellStyle name="40% - Accent4 7 2 2 2 2" xfId="37184"/>
    <cellStyle name="40% - Accent4 7 2 2 2 2 2" xfId="37185"/>
    <cellStyle name="40% - Accent4 7 2 2 2 2 2 2" xfId="37186"/>
    <cellStyle name="40% - Accent4 7 2 2 2 2 3" xfId="37187"/>
    <cellStyle name="40% - Accent4 7 2 2 2 3" xfId="37188"/>
    <cellStyle name="40% - Accent4 7 2 2 2 3 2" xfId="37189"/>
    <cellStyle name="40% - Accent4 7 2 2 2 4" xfId="37190"/>
    <cellStyle name="40% - Accent4 7 2 2 3" xfId="37191"/>
    <cellStyle name="40% - Accent4 7 2 2 3 2" xfId="37192"/>
    <cellStyle name="40% - Accent4 7 2 2 3 2 2" xfId="37193"/>
    <cellStyle name="40% - Accent4 7 2 2 3 3" xfId="37194"/>
    <cellStyle name="40% - Accent4 7 2 2 4" xfId="37195"/>
    <cellStyle name="40% - Accent4 7 2 2 4 2" xfId="37196"/>
    <cellStyle name="40% - Accent4 7 2 2 5" xfId="37197"/>
    <cellStyle name="40% - Accent4 7 2 3" xfId="37198"/>
    <cellStyle name="40% - Accent4 7 2 3 2" xfId="37199"/>
    <cellStyle name="40% - Accent4 7 2 3 2 2" xfId="37200"/>
    <cellStyle name="40% - Accent4 7 2 3 2 2 2" xfId="37201"/>
    <cellStyle name="40% - Accent4 7 2 3 2 2 2 2" xfId="37202"/>
    <cellStyle name="40% - Accent4 7 2 3 2 2 3" xfId="37203"/>
    <cellStyle name="40% - Accent4 7 2 3 2 3" xfId="37204"/>
    <cellStyle name="40% - Accent4 7 2 3 2 3 2" xfId="37205"/>
    <cellStyle name="40% - Accent4 7 2 3 2 4" xfId="37206"/>
    <cellStyle name="40% - Accent4 7 2 3 3" xfId="37207"/>
    <cellStyle name="40% - Accent4 7 2 3 3 2" xfId="37208"/>
    <cellStyle name="40% - Accent4 7 2 3 3 2 2" xfId="37209"/>
    <cellStyle name="40% - Accent4 7 2 3 3 3" xfId="37210"/>
    <cellStyle name="40% - Accent4 7 2 3 4" xfId="37211"/>
    <cellStyle name="40% - Accent4 7 2 3 4 2" xfId="37212"/>
    <cellStyle name="40% - Accent4 7 2 3 5" xfId="37213"/>
    <cellStyle name="40% - Accent4 7 2 4" xfId="37214"/>
    <cellStyle name="40% - Accent4 7 2 4 2" xfId="37215"/>
    <cellStyle name="40% - Accent4 7 2 4 2 2" xfId="37216"/>
    <cellStyle name="40% - Accent4 7 2 4 2 2 2" xfId="37217"/>
    <cellStyle name="40% - Accent4 7 2 4 2 2 2 2" xfId="37218"/>
    <cellStyle name="40% - Accent4 7 2 4 2 2 3" xfId="37219"/>
    <cellStyle name="40% - Accent4 7 2 4 2 3" xfId="37220"/>
    <cellStyle name="40% - Accent4 7 2 4 2 3 2" xfId="37221"/>
    <cellStyle name="40% - Accent4 7 2 4 2 4" xfId="37222"/>
    <cellStyle name="40% - Accent4 7 2 4 3" xfId="37223"/>
    <cellStyle name="40% - Accent4 7 2 4 3 2" xfId="37224"/>
    <cellStyle name="40% - Accent4 7 2 4 3 2 2" xfId="37225"/>
    <cellStyle name="40% - Accent4 7 2 4 3 3" xfId="37226"/>
    <cellStyle name="40% - Accent4 7 2 4 4" xfId="37227"/>
    <cellStyle name="40% - Accent4 7 2 4 4 2" xfId="37228"/>
    <cellStyle name="40% - Accent4 7 2 4 5" xfId="37229"/>
    <cellStyle name="40% - Accent4 7 2 5" xfId="37230"/>
    <cellStyle name="40% - Accent4 7 2 5 2" xfId="37231"/>
    <cellStyle name="40% - Accent4 7 2 5 2 2" xfId="37232"/>
    <cellStyle name="40% - Accent4 7 2 5 2 2 2" xfId="37233"/>
    <cellStyle name="40% - Accent4 7 2 5 2 2 2 2" xfId="37234"/>
    <cellStyle name="40% - Accent4 7 2 5 2 2 3" xfId="37235"/>
    <cellStyle name="40% - Accent4 7 2 5 2 3" xfId="37236"/>
    <cellStyle name="40% - Accent4 7 2 5 2 3 2" xfId="37237"/>
    <cellStyle name="40% - Accent4 7 2 5 2 4" xfId="37238"/>
    <cellStyle name="40% - Accent4 7 2 5 3" xfId="37239"/>
    <cellStyle name="40% - Accent4 7 2 5 3 2" xfId="37240"/>
    <cellStyle name="40% - Accent4 7 2 5 3 2 2" xfId="37241"/>
    <cellStyle name="40% - Accent4 7 2 5 3 3" xfId="37242"/>
    <cellStyle name="40% - Accent4 7 2 5 4" xfId="37243"/>
    <cellStyle name="40% - Accent4 7 2 5 4 2" xfId="37244"/>
    <cellStyle name="40% - Accent4 7 2 5 5" xfId="37245"/>
    <cellStyle name="40% - Accent4 7 2 6" xfId="37246"/>
    <cellStyle name="40% - Accent4 7 2 6 2" xfId="37247"/>
    <cellStyle name="40% - Accent4 7 2 6 2 2" xfId="37248"/>
    <cellStyle name="40% - Accent4 7 2 6 2 2 2" xfId="37249"/>
    <cellStyle name="40% - Accent4 7 2 6 2 2 2 2" xfId="37250"/>
    <cellStyle name="40% - Accent4 7 2 6 2 2 3" xfId="37251"/>
    <cellStyle name="40% - Accent4 7 2 6 2 3" xfId="37252"/>
    <cellStyle name="40% - Accent4 7 2 6 2 3 2" xfId="37253"/>
    <cellStyle name="40% - Accent4 7 2 6 2 4" xfId="37254"/>
    <cellStyle name="40% - Accent4 7 2 6 3" xfId="37255"/>
    <cellStyle name="40% - Accent4 7 2 6 3 2" xfId="37256"/>
    <cellStyle name="40% - Accent4 7 2 6 3 2 2" xfId="37257"/>
    <cellStyle name="40% - Accent4 7 2 6 3 3" xfId="37258"/>
    <cellStyle name="40% - Accent4 7 2 6 4" xfId="37259"/>
    <cellStyle name="40% - Accent4 7 2 6 4 2" xfId="37260"/>
    <cellStyle name="40% - Accent4 7 2 6 5" xfId="37261"/>
    <cellStyle name="40% - Accent4 7 2 7" xfId="37262"/>
    <cellStyle name="40% - Accent4 7 2 7 2" xfId="37263"/>
    <cellStyle name="40% - Accent4 7 2 7 2 2" xfId="37264"/>
    <cellStyle name="40% - Accent4 7 2 7 2 2 2" xfId="37265"/>
    <cellStyle name="40% - Accent4 7 2 7 2 3" xfId="37266"/>
    <cellStyle name="40% - Accent4 7 2 7 3" xfId="37267"/>
    <cellStyle name="40% - Accent4 7 2 7 3 2" xfId="37268"/>
    <cellStyle name="40% - Accent4 7 2 7 4" xfId="37269"/>
    <cellStyle name="40% - Accent4 7 2 8" xfId="37270"/>
    <cellStyle name="40% - Accent4 7 2 8 2" xfId="37271"/>
    <cellStyle name="40% - Accent4 7 2 8 2 2" xfId="37272"/>
    <cellStyle name="40% - Accent4 7 2 8 3" xfId="37273"/>
    <cellStyle name="40% - Accent4 7 2 9" xfId="37274"/>
    <cellStyle name="40% - Accent4 7 2 9 2" xfId="37275"/>
    <cellStyle name="40% - Accent4 7 3" xfId="37276"/>
    <cellStyle name="40% - Accent4 7 3 2" xfId="37277"/>
    <cellStyle name="40% - Accent4 7 3 2 2" xfId="37278"/>
    <cellStyle name="40% - Accent4 7 3 2 2 2" xfId="37279"/>
    <cellStyle name="40% - Accent4 7 3 2 2 2 2" xfId="37280"/>
    <cellStyle name="40% - Accent4 7 3 2 2 3" xfId="37281"/>
    <cellStyle name="40% - Accent4 7 3 2 3" xfId="37282"/>
    <cellStyle name="40% - Accent4 7 3 2 3 2" xfId="37283"/>
    <cellStyle name="40% - Accent4 7 3 2 4" xfId="37284"/>
    <cellStyle name="40% - Accent4 7 3 3" xfId="37285"/>
    <cellStyle name="40% - Accent4 7 3 3 2" xfId="37286"/>
    <cellStyle name="40% - Accent4 7 3 3 2 2" xfId="37287"/>
    <cellStyle name="40% - Accent4 7 3 3 3" xfId="37288"/>
    <cellStyle name="40% - Accent4 7 3 4" xfId="37289"/>
    <cellStyle name="40% - Accent4 7 3 4 2" xfId="37290"/>
    <cellStyle name="40% - Accent4 7 3 5" xfId="37291"/>
    <cellStyle name="40% - Accent4 7 4" xfId="37292"/>
    <cellStyle name="40% - Accent4 7 4 2" xfId="37293"/>
    <cellStyle name="40% - Accent4 7 4 2 2" xfId="37294"/>
    <cellStyle name="40% - Accent4 7 4 2 2 2" xfId="37295"/>
    <cellStyle name="40% - Accent4 7 4 2 2 2 2" xfId="37296"/>
    <cellStyle name="40% - Accent4 7 4 2 2 3" xfId="37297"/>
    <cellStyle name="40% - Accent4 7 4 2 3" xfId="37298"/>
    <cellStyle name="40% - Accent4 7 4 2 3 2" xfId="37299"/>
    <cellStyle name="40% - Accent4 7 4 2 4" xfId="37300"/>
    <cellStyle name="40% - Accent4 7 4 3" xfId="37301"/>
    <cellStyle name="40% - Accent4 7 4 3 2" xfId="37302"/>
    <cellStyle name="40% - Accent4 7 4 3 2 2" xfId="37303"/>
    <cellStyle name="40% - Accent4 7 4 3 3" xfId="37304"/>
    <cellStyle name="40% - Accent4 7 4 4" xfId="37305"/>
    <cellStyle name="40% - Accent4 7 4 4 2" xfId="37306"/>
    <cellStyle name="40% - Accent4 7 4 5" xfId="37307"/>
    <cellStyle name="40% - Accent4 7 5" xfId="37308"/>
    <cellStyle name="40% - Accent4 7 5 2" xfId="37309"/>
    <cellStyle name="40% - Accent4 7 5 2 2" xfId="37310"/>
    <cellStyle name="40% - Accent4 7 5 2 2 2" xfId="37311"/>
    <cellStyle name="40% - Accent4 7 5 2 2 2 2" xfId="37312"/>
    <cellStyle name="40% - Accent4 7 5 2 2 3" xfId="37313"/>
    <cellStyle name="40% - Accent4 7 5 2 3" xfId="37314"/>
    <cellStyle name="40% - Accent4 7 5 2 3 2" xfId="37315"/>
    <cellStyle name="40% - Accent4 7 5 2 4" xfId="37316"/>
    <cellStyle name="40% - Accent4 7 5 3" xfId="37317"/>
    <cellStyle name="40% - Accent4 7 5 3 2" xfId="37318"/>
    <cellStyle name="40% - Accent4 7 5 3 2 2" xfId="37319"/>
    <cellStyle name="40% - Accent4 7 5 3 3" xfId="37320"/>
    <cellStyle name="40% - Accent4 7 5 4" xfId="37321"/>
    <cellStyle name="40% - Accent4 7 5 4 2" xfId="37322"/>
    <cellStyle name="40% - Accent4 7 5 5" xfId="37323"/>
    <cellStyle name="40% - Accent4 7 6" xfId="37324"/>
    <cellStyle name="40% - Accent4 7 6 2" xfId="37325"/>
    <cellStyle name="40% - Accent4 7 6 2 2" xfId="37326"/>
    <cellStyle name="40% - Accent4 7 6 2 2 2" xfId="37327"/>
    <cellStyle name="40% - Accent4 7 6 2 2 2 2" xfId="37328"/>
    <cellStyle name="40% - Accent4 7 6 2 2 3" xfId="37329"/>
    <cellStyle name="40% - Accent4 7 6 2 3" xfId="37330"/>
    <cellStyle name="40% - Accent4 7 6 2 3 2" xfId="37331"/>
    <cellStyle name="40% - Accent4 7 6 2 4" xfId="37332"/>
    <cellStyle name="40% - Accent4 7 6 3" xfId="37333"/>
    <cellStyle name="40% - Accent4 7 6 3 2" xfId="37334"/>
    <cellStyle name="40% - Accent4 7 6 3 2 2" xfId="37335"/>
    <cellStyle name="40% - Accent4 7 6 3 3" xfId="37336"/>
    <cellStyle name="40% - Accent4 7 6 4" xfId="37337"/>
    <cellStyle name="40% - Accent4 7 6 4 2" xfId="37338"/>
    <cellStyle name="40% - Accent4 7 6 5" xfId="37339"/>
    <cellStyle name="40% - Accent4 7 7" xfId="37340"/>
    <cellStyle name="40% - Accent4 7 7 2" xfId="37341"/>
    <cellStyle name="40% - Accent4 7 7 2 2" xfId="37342"/>
    <cellStyle name="40% - Accent4 7 7 2 2 2" xfId="37343"/>
    <cellStyle name="40% - Accent4 7 7 2 2 2 2" xfId="37344"/>
    <cellStyle name="40% - Accent4 7 7 2 2 3" xfId="37345"/>
    <cellStyle name="40% - Accent4 7 7 2 3" xfId="37346"/>
    <cellStyle name="40% - Accent4 7 7 2 3 2" xfId="37347"/>
    <cellStyle name="40% - Accent4 7 7 2 4" xfId="37348"/>
    <cellStyle name="40% - Accent4 7 7 3" xfId="37349"/>
    <cellStyle name="40% - Accent4 7 7 3 2" xfId="37350"/>
    <cellStyle name="40% - Accent4 7 7 3 2 2" xfId="37351"/>
    <cellStyle name="40% - Accent4 7 7 3 3" xfId="37352"/>
    <cellStyle name="40% - Accent4 7 7 4" xfId="37353"/>
    <cellStyle name="40% - Accent4 7 7 4 2" xfId="37354"/>
    <cellStyle name="40% - Accent4 7 7 5" xfId="37355"/>
    <cellStyle name="40% - Accent4 7 8" xfId="37356"/>
    <cellStyle name="40% - Accent4 7 8 2" xfId="37357"/>
    <cellStyle name="40% - Accent4 7 8 2 2" xfId="37358"/>
    <cellStyle name="40% - Accent4 7 8 2 2 2" xfId="37359"/>
    <cellStyle name="40% - Accent4 7 8 2 3" xfId="37360"/>
    <cellStyle name="40% - Accent4 7 8 3" xfId="37361"/>
    <cellStyle name="40% - Accent4 7 8 3 2" xfId="37362"/>
    <cellStyle name="40% - Accent4 7 8 4" xfId="37363"/>
    <cellStyle name="40% - Accent4 7 9" xfId="37364"/>
    <cellStyle name="40% - Accent4 7 9 2" xfId="37365"/>
    <cellStyle name="40% - Accent4 7 9 2 2" xfId="37366"/>
    <cellStyle name="40% - Accent4 7 9 3" xfId="37367"/>
    <cellStyle name="40% - Accent4 8" xfId="37368"/>
    <cellStyle name="40% - Accent4 8 10" xfId="37369"/>
    <cellStyle name="40% - Accent4 8 10 2" xfId="37370"/>
    <cellStyle name="40% - Accent4 8 11" xfId="37371"/>
    <cellStyle name="40% - Accent4 8 2" xfId="37372"/>
    <cellStyle name="40% - Accent4 8 2 10" xfId="37373"/>
    <cellStyle name="40% - Accent4 8 2 2" xfId="37374"/>
    <cellStyle name="40% - Accent4 8 2 2 2" xfId="37375"/>
    <cellStyle name="40% - Accent4 8 2 2 2 2" xfId="37376"/>
    <cellStyle name="40% - Accent4 8 2 2 2 2 2" xfId="37377"/>
    <cellStyle name="40% - Accent4 8 2 2 2 2 2 2" xfId="37378"/>
    <cellStyle name="40% - Accent4 8 2 2 2 2 3" xfId="37379"/>
    <cellStyle name="40% - Accent4 8 2 2 2 3" xfId="37380"/>
    <cellStyle name="40% - Accent4 8 2 2 2 3 2" xfId="37381"/>
    <cellStyle name="40% - Accent4 8 2 2 2 4" xfId="37382"/>
    <cellStyle name="40% - Accent4 8 2 2 3" xfId="37383"/>
    <cellStyle name="40% - Accent4 8 2 2 3 2" xfId="37384"/>
    <cellStyle name="40% - Accent4 8 2 2 3 2 2" xfId="37385"/>
    <cellStyle name="40% - Accent4 8 2 2 3 3" xfId="37386"/>
    <cellStyle name="40% - Accent4 8 2 2 4" xfId="37387"/>
    <cellStyle name="40% - Accent4 8 2 2 4 2" xfId="37388"/>
    <cellStyle name="40% - Accent4 8 2 2 5" xfId="37389"/>
    <cellStyle name="40% - Accent4 8 2 3" xfId="37390"/>
    <cellStyle name="40% - Accent4 8 2 3 2" xfId="37391"/>
    <cellStyle name="40% - Accent4 8 2 3 2 2" xfId="37392"/>
    <cellStyle name="40% - Accent4 8 2 3 2 2 2" xfId="37393"/>
    <cellStyle name="40% - Accent4 8 2 3 2 2 2 2" xfId="37394"/>
    <cellStyle name="40% - Accent4 8 2 3 2 2 3" xfId="37395"/>
    <cellStyle name="40% - Accent4 8 2 3 2 3" xfId="37396"/>
    <cellStyle name="40% - Accent4 8 2 3 2 3 2" xfId="37397"/>
    <cellStyle name="40% - Accent4 8 2 3 2 4" xfId="37398"/>
    <cellStyle name="40% - Accent4 8 2 3 3" xfId="37399"/>
    <cellStyle name="40% - Accent4 8 2 3 3 2" xfId="37400"/>
    <cellStyle name="40% - Accent4 8 2 3 3 2 2" xfId="37401"/>
    <cellStyle name="40% - Accent4 8 2 3 3 3" xfId="37402"/>
    <cellStyle name="40% - Accent4 8 2 3 4" xfId="37403"/>
    <cellStyle name="40% - Accent4 8 2 3 4 2" xfId="37404"/>
    <cellStyle name="40% - Accent4 8 2 3 5" xfId="37405"/>
    <cellStyle name="40% - Accent4 8 2 4" xfId="37406"/>
    <cellStyle name="40% - Accent4 8 2 4 2" xfId="37407"/>
    <cellStyle name="40% - Accent4 8 2 4 2 2" xfId="37408"/>
    <cellStyle name="40% - Accent4 8 2 4 2 2 2" xfId="37409"/>
    <cellStyle name="40% - Accent4 8 2 4 2 2 2 2" xfId="37410"/>
    <cellStyle name="40% - Accent4 8 2 4 2 2 3" xfId="37411"/>
    <cellStyle name="40% - Accent4 8 2 4 2 3" xfId="37412"/>
    <cellStyle name="40% - Accent4 8 2 4 2 3 2" xfId="37413"/>
    <cellStyle name="40% - Accent4 8 2 4 2 4" xfId="37414"/>
    <cellStyle name="40% - Accent4 8 2 4 3" xfId="37415"/>
    <cellStyle name="40% - Accent4 8 2 4 3 2" xfId="37416"/>
    <cellStyle name="40% - Accent4 8 2 4 3 2 2" xfId="37417"/>
    <cellStyle name="40% - Accent4 8 2 4 3 3" xfId="37418"/>
    <cellStyle name="40% - Accent4 8 2 4 4" xfId="37419"/>
    <cellStyle name="40% - Accent4 8 2 4 4 2" xfId="37420"/>
    <cellStyle name="40% - Accent4 8 2 4 5" xfId="37421"/>
    <cellStyle name="40% - Accent4 8 2 5" xfId="37422"/>
    <cellStyle name="40% - Accent4 8 2 5 2" xfId="37423"/>
    <cellStyle name="40% - Accent4 8 2 5 2 2" xfId="37424"/>
    <cellStyle name="40% - Accent4 8 2 5 2 2 2" xfId="37425"/>
    <cellStyle name="40% - Accent4 8 2 5 2 2 2 2" xfId="37426"/>
    <cellStyle name="40% - Accent4 8 2 5 2 2 3" xfId="37427"/>
    <cellStyle name="40% - Accent4 8 2 5 2 3" xfId="37428"/>
    <cellStyle name="40% - Accent4 8 2 5 2 3 2" xfId="37429"/>
    <cellStyle name="40% - Accent4 8 2 5 2 4" xfId="37430"/>
    <cellStyle name="40% - Accent4 8 2 5 3" xfId="37431"/>
    <cellStyle name="40% - Accent4 8 2 5 3 2" xfId="37432"/>
    <cellStyle name="40% - Accent4 8 2 5 3 2 2" xfId="37433"/>
    <cellStyle name="40% - Accent4 8 2 5 3 3" xfId="37434"/>
    <cellStyle name="40% - Accent4 8 2 5 4" xfId="37435"/>
    <cellStyle name="40% - Accent4 8 2 5 4 2" xfId="37436"/>
    <cellStyle name="40% - Accent4 8 2 5 5" xfId="37437"/>
    <cellStyle name="40% - Accent4 8 2 6" xfId="37438"/>
    <cellStyle name="40% - Accent4 8 2 6 2" xfId="37439"/>
    <cellStyle name="40% - Accent4 8 2 6 2 2" xfId="37440"/>
    <cellStyle name="40% - Accent4 8 2 6 2 2 2" xfId="37441"/>
    <cellStyle name="40% - Accent4 8 2 6 2 2 2 2" xfId="37442"/>
    <cellStyle name="40% - Accent4 8 2 6 2 2 3" xfId="37443"/>
    <cellStyle name="40% - Accent4 8 2 6 2 3" xfId="37444"/>
    <cellStyle name="40% - Accent4 8 2 6 2 3 2" xfId="37445"/>
    <cellStyle name="40% - Accent4 8 2 6 2 4" xfId="37446"/>
    <cellStyle name="40% - Accent4 8 2 6 3" xfId="37447"/>
    <cellStyle name="40% - Accent4 8 2 6 3 2" xfId="37448"/>
    <cellStyle name="40% - Accent4 8 2 6 3 2 2" xfId="37449"/>
    <cellStyle name="40% - Accent4 8 2 6 3 3" xfId="37450"/>
    <cellStyle name="40% - Accent4 8 2 6 4" xfId="37451"/>
    <cellStyle name="40% - Accent4 8 2 6 4 2" xfId="37452"/>
    <cellStyle name="40% - Accent4 8 2 6 5" xfId="37453"/>
    <cellStyle name="40% - Accent4 8 2 7" xfId="37454"/>
    <cellStyle name="40% - Accent4 8 2 7 2" xfId="37455"/>
    <cellStyle name="40% - Accent4 8 2 7 2 2" xfId="37456"/>
    <cellStyle name="40% - Accent4 8 2 7 2 2 2" xfId="37457"/>
    <cellStyle name="40% - Accent4 8 2 7 2 3" xfId="37458"/>
    <cellStyle name="40% - Accent4 8 2 7 3" xfId="37459"/>
    <cellStyle name="40% - Accent4 8 2 7 3 2" xfId="37460"/>
    <cellStyle name="40% - Accent4 8 2 7 4" xfId="37461"/>
    <cellStyle name="40% - Accent4 8 2 8" xfId="37462"/>
    <cellStyle name="40% - Accent4 8 2 8 2" xfId="37463"/>
    <cellStyle name="40% - Accent4 8 2 8 2 2" xfId="37464"/>
    <cellStyle name="40% - Accent4 8 2 8 3" xfId="37465"/>
    <cellStyle name="40% - Accent4 8 2 9" xfId="37466"/>
    <cellStyle name="40% - Accent4 8 2 9 2" xfId="37467"/>
    <cellStyle name="40% - Accent4 8 3" xfId="37468"/>
    <cellStyle name="40% - Accent4 8 3 2" xfId="37469"/>
    <cellStyle name="40% - Accent4 8 3 2 2" xfId="37470"/>
    <cellStyle name="40% - Accent4 8 3 2 2 2" xfId="37471"/>
    <cellStyle name="40% - Accent4 8 3 2 2 2 2" xfId="37472"/>
    <cellStyle name="40% - Accent4 8 3 2 2 3" xfId="37473"/>
    <cellStyle name="40% - Accent4 8 3 2 3" xfId="37474"/>
    <cellStyle name="40% - Accent4 8 3 2 3 2" xfId="37475"/>
    <cellStyle name="40% - Accent4 8 3 2 4" xfId="37476"/>
    <cellStyle name="40% - Accent4 8 3 3" xfId="37477"/>
    <cellStyle name="40% - Accent4 8 3 3 2" xfId="37478"/>
    <cellStyle name="40% - Accent4 8 3 3 2 2" xfId="37479"/>
    <cellStyle name="40% - Accent4 8 3 3 3" xfId="37480"/>
    <cellStyle name="40% - Accent4 8 3 4" xfId="37481"/>
    <cellStyle name="40% - Accent4 8 3 4 2" xfId="37482"/>
    <cellStyle name="40% - Accent4 8 3 5" xfId="37483"/>
    <cellStyle name="40% - Accent4 8 4" xfId="37484"/>
    <cellStyle name="40% - Accent4 8 4 2" xfId="37485"/>
    <cellStyle name="40% - Accent4 8 4 2 2" xfId="37486"/>
    <cellStyle name="40% - Accent4 8 4 2 2 2" xfId="37487"/>
    <cellStyle name="40% - Accent4 8 4 2 2 2 2" xfId="37488"/>
    <cellStyle name="40% - Accent4 8 4 2 2 3" xfId="37489"/>
    <cellStyle name="40% - Accent4 8 4 2 3" xfId="37490"/>
    <cellStyle name="40% - Accent4 8 4 2 3 2" xfId="37491"/>
    <cellStyle name="40% - Accent4 8 4 2 4" xfId="37492"/>
    <cellStyle name="40% - Accent4 8 4 3" xfId="37493"/>
    <cellStyle name="40% - Accent4 8 4 3 2" xfId="37494"/>
    <cellStyle name="40% - Accent4 8 4 3 2 2" xfId="37495"/>
    <cellStyle name="40% - Accent4 8 4 3 3" xfId="37496"/>
    <cellStyle name="40% - Accent4 8 4 4" xfId="37497"/>
    <cellStyle name="40% - Accent4 8 4 4 2" xfId="37498"/>
    <cellStyle name="40% - Accent4 8 4 5" xfId="37499"/>
    <cellStyle name="40% - Accent4 8 5" xfId="37500"/>
    <cellStyle name="40% - Accent4 8 5 2" xfId="37501"/>
    <cellStyle name="40% - Accent4 8 5 2 2" xfId="37502"/>
    <cellStyle name="40% - Accent4 8 5 2 2 2" xfId="37503"/>
    <cellStyle name="40% - Accent4 8 5 2 2 2 2" xfId="37504"/>
    <cellStyle name="40% - Accent4 8 5 2 2 3" xfId="37505"/>
    <cellStyle name="40% - Accent4 8 5 2 3" xfId="37506"/>
    <cellStyle name="40% - Accent4 8 5 2 3 2" xfId="37507"/>
    <cellStyle name="40% - Accent4 8 5 2 4" xfId="37508"/>
    <cellStyle name="40% - Accent4 8 5 3" xfId="37509"/>
    <cellStyle name="40% - Accent4 8 5 3 2" xfId="37510"/>
    <cellStyle name="40% - Accent4 8 5 3 2 2" xfId="37511"/>
    <cellStyle name="40% - Accent4 8 5 3 3" xfId="37512"/>
    <cellStyle name="40% - Accent4 8 5 4" xfId="37513"/>
    <cellStyle name="40% - Accent4 8 5 4 2" xfId="37514"/>
    <cellStyle name="40% - Accent4 8 5 5" xfId="37515"/>
    <cellStyle name="40% - Accent4 8 6" xfId="37516"/>
    <cellStyle name="40% - Accent4 8 6 2" xfId="37517"/>
    <cellStyle name="40% - Accent4 8 6 2 2" xfId="37518"/>
    <cellStyle name="40% - Accent4 8 6 2 2 2" xfId="37519"/>
    <cellStyle name="40% - Accent4 8 6 2 2 2 2" xfId="37520"/>
    <cellStyle name="40% - Accent4 8 6 2 2 3" xfId="37521"/>
    <cellStyle name="40% - Accent4 8 6 2 3" xfId="37522"/>
    <cellStyle name="40% - Accent4 8 6 2 3 2" xfId="37523"/>
    <cellStyle name="40% - Accent4 8 6 2 4" xfId="37524"/>
    <cellStyle name="40% - Accent4 8 6 3" xfId="37525"/>
    <cellStyle name="40% - Accent4 8 6 3 2" xfId="37526"/>
    <cellStyle name="40% - Accent4 8 6 3 2 2" xfId="37527"/>
    <cellStyle name="40% - Accent4 8 6 3 3" xfId="37528"/>
    <cellStyle name="40% - Accent4 8 6 4" xfId="37529"/>
    <cellStyle name="40% - Accent4 8 6 4 2" xfId="37530"/>
    <cellStyle name="40% - Accent4 8 6 5" xfId="37531"/>
    <cellStyle name="40% - Accent4 8 7" xfId="37532"/>
    <cellStyle name="40% - Accent4 8 7 2" xfId="37533"/>
    <cellStyle name="40% - Accent4 8 7 2 2" xfId="37534"/>
    <cellStyle name="40% - Accent4 8 7 2 2 2" xfId="37535"/>
    <cellStyle name="40% - Accent4 8 7 2 2 2 2" xfId="37536"/>
    <cellStyle name="40% - Accent4 8 7 2 2 3" xfId="37537"/>
    <cellStyle name="40% - Accent4 8 7 2 3" xfId="37538"/>
    <cellStyle name="40% - Accent4 8 7 2 3 2" xfId="37539"/>
    <cellStyle name="40% - Accent4 8 7 2 4" xfId="37540"/>
    <cellStyle name="40% - Accent4 8 7 3" xfId="37541"/>
    <cellStyle name="40% - Accent4 8 7 3 2" xfId="37542"/>
    <cellStyle name="40% - Accent4 8 7 3 2 2" xfId="37543"/>
    <cellStyle name="40% - Accent4 8 7 3 3" xfId="37544"/>
    <cellStyle name="40% - Accent4 8 7 4" xfId="37545"/>
    <cellStyle name="40% - Accent4 8 7 4 2" xfId="37546"/>
    <cellStyle name="40% - Accent4 8 7 5" xfId="37547"/>
    <cellStyle name="40% - Accent4 8 8" xfId="37548"/>
    <cellStyle name="40% - Accent4 8 8 2" xfId="37549"/>
    <cellStyle name="40% - Accent4 8 8 2 2" xfId="37550"/>
    <cellStyle name="40% - Accent4 8 8 2 2 2" xfId="37551"/>
    <cellStyle name="40% - Accent4 8 8 2 3" xfId="37552"/>
    <cellStyle name="40% - Accent4 8 8 3" xfId="37553"/>
    <cellStyle name="40% - Accent4 8 8 3 2" xfId="37554"/>
    <cellStyle name="40% - Accent4 8 8 4" xfId="37555"/>
    <cellStyle name="40% - Accent4 8 9" xfId="37556"/>
    <cellStyle name="40% - Accent4 8 9 2" xfId="37557"/>
    <cellStyle name="40% - Accent4 8 9 2 2" xfId="37558"/>
    <cellStyle name="40% - Accent4 8 9 3" xfId="37559"/>
    <cellStyle name="40% - Accent4 9" xfId="37560"/>
    <cellStyle name="40% - Accent4 9 10" xfId="37561"/>
    <cellStyle name="40% - Accent4 9 10 2" xfId="37562"/>
    <cellStyle name="40% - Accent4 9 11" xfId="37563"/>
    <cellStyle name="40% - Accent4 9 2" xfId="37564"/>
    <cellStyle name="40% - Accent4 9 2 10" xfId="37565"/>
    <cellStyle name="40% - Accent4 9 2 2" xfId="37566"/>
    <cellStyle name="40% - Accent4 9 2 2 2" xfId="37567"/>
    <cellStyle name="40% - Accent4 9 2 2 2 2" xfId="37568"/>
    <cellStyle name="40% - Accent4 9 2 2 2 2 2" xfId="37569"/>
    <cellStyle name="40% - Accent4 9 2 2 2 2 2 2" xfId="37570"/>
    <cellStyle name="40% - Accent4 9 2 2 2 2 3" xfId="37571"/>
    <cellStyle name="40% - Accent4 9 2 2 2 3" xfId="37572"/>
    <cellStyle name="40% - Accent4 9 2 2 2 3 2" xfId="37573"/>
    <cellStyle name="40% - Accent4 9 2 2 2 4" xfId="37574"/>
    <cellStyle name="40% - Accent4 9 2 2 3" xfId="37575"/>
    <cellStyle name="40% - Accent4 9 2 2 3 2" xfId="37576"/>
    <cellStyle name="40% - Accent4 9 2 2 3 2 2" xfId="37577"/>
    <cellStyle name="40% - Accent4 9 2 2 3 3" xfId="37578"/>
    <cellStyle name="40% - Accent4 9 2 2 4" xfId="37579"/>
    <cellStyle name="40% - Accent4 9 2 2 4 2" xfId="37580"/>
    <cellStyle name="40% - Accent4 9 2 2 5" xfId="37581"/>
    <cellStyle name="40% - Accent4 9 2 3" xfId="37582"/>
    <cellStyle name="40% - Accent4 9 2 3 2" xfId="37583"/>
    <cellStyle name="40% - Accent4 9 2 3 2 2" xfId="37584"/>
    <cellStyle name="40% - Accent4 9 2 3 2 2 2" xfId="37585"/>
    <cellStyle name="40% - Accent4 9 2 3 2 2 2 2" xfId="37586"/>
    <cellStyle name="40% - Accent4 9 2 3 2 2 3" xfId="37587"/>
    <cellStyle name="40% - Accent4 9 2 3 2 3" xfId="37588"/>
    <cellStyle name="40% - Accent4 9 2 3 2 3 2" xfId="37589"/>
    <cellStyle name="40% - Accent4 9 2 3 2 4" xfId="37590"/>
    <cellStyle name="40% - Accent4 9 2 3 3" xfId="37591"/>
    <cellStyle name="40% - Accent4 9 2 3 3 2" xfId="37592"/>
    <cellStyle name="40% - Accent4 9 2 3 3 2 2" xfId="37593"/>
    <cellStyle name="40% - Accent4 9 2 3 3 3" xfId="37594"/>
    <cellStyle name="40% - Accent4 9 2 3 4" xfId="37595"/>
    <cellStyle name="40% - Accent4 9 2 3 4 2" xfId="37596"/>
    <cellStyle name="40% - Accent4 9 2 3 5" xfId="37597"/>
    <cellStyle name="40% - Accent4 9 2 4" xfId="37598"/>
    <cellStyle name="40% - Accent4 9 2 4 2" xfId="37599"/>
    <cellStyle name="40% - Accent4 9 2 4 2 2" xfId="37600"/>
    <cellStyle name="40% - Accent4 9 2 4 2 2 2" xfId="37601"/>
    <cellStyle name="40% - Accent4 9 2 4 2 2 2 2" xfId="37602"/>
    <cellStyle name="40% - Accent4 9 2 4 2 2 3" xfId="37603"/>
    <cellStyle name="40% - Accent4 9 2 4 2 3" xfId="37604"/>
    <cellStyle name="40% - Accent4 9 2 4 2 3 2" xfId="37605"/>
    <cellStyle name="40% - Accent4 9 2 4 2 4" xfId="37606"/>
    <cellStyle name="40% - Accent4 9 2 4 3" xfId="37607"/>
    <cellStyle name="40% - Accent4 9 2 4 3 2" xfId="37608"/>
    <cellStyle name="40% - Accent4 9 2 4 3 2 2" xfId="37609"/>
    <cellStyle name="40% - Accent4 9 2 4 3 3" xfId="37610"/>
    <cellStyle name="40% - Accent4 9 2 4 4" xfId="37611"/>
    <cellStyle name="40% - Accent4 9 2 4 4 2" xfId="37612"/>
    <cellStyle name="40% - Accent4 9 2 4 5" xfId="37613"/>
    <cellStyle name="40% - Accent4 9 2 5" xfId="37614"/>
    <cellStyle name="40% - Accent4 9 2 5 2" xfId="37615"/>
    <cellStyle name="40% - Accent4 9 2 5 2 2" xfId="37616"/>
    <cellStyle name="40% - Accent4 9 2 5 2 2 2" xfId="37617"/>
    <cellStyle name="40% - Accent4 9 2 5 2 2 2 2" xfId="37618"/>
    <cellStyle name="40% - Accent4 9 2 5 2 2 3" xfId="37619"/>
    <cellStyle name="40% - Accent4 9 2 5 2 3" xfId="37620"/>
    <cellStyle name="40% - Accent4 9 2 5 2 3 2" xfId="37621"/>
    <cellStyle name="40% - Accent4 9 2 5 2 4" xfId="37622"/>
    <cellStyle name="40% - Accent4 9 2 5 3" xfId="37623"/>
    <cellStyle name="40% - Accent4 9 2 5 3 2" xfId="37624"/>
    <cellStyle name="40% - Accent4 9 2 5 3 2 2" xfId="37625"/>
    <cellStyle name="40% - Accent4 9 2 5 3 3" xfId="37626"/>
    <cellStyle name="40% - Accent4 9 2 5 4" xfId="37627"/>
    <cellStyle name="40% - Accent4 9 2 5 4 2" xfId="37628"/>
    <cellStyle name="40% - Accent4 9 2 5 5" xfId="37629"/>
    <cellStyle name="40% - Accent4 9 2 6" xfId="37630"/>
    <cellStyle name="40% - Accent4 9 2 6 2" xfId="37631"/>
    <cellStyle name="40% - Accent4 9 2 6 2 2" xfId="37632"/>
    <cellStyle name="40% - Accent4 9 2 6 2 2 2" xfId="37633"/>
    <cellStyle name="40% - Accent4 9 2 6 2 2 2 2" xfId="37634"/>
    <cellStyle name="40% - Accent4 9 2 6 2 2 3" xfId="37635"/>
    <cellStyle name="40% - Accent4 9 2 6 2 3" xfId="37636"/>
    <cellStyle name="40% - Accent4 9 2 6 2 3 2" xfId="37637"/>
    <cellStyle name="40% - Accent4 9 2 6 2 4" xfId="37638"/>
    <cellStyle name="40% - Accent4 9 2 6 3" xfId="37639"/>
    <cellStyle name="40% - Accent4 9 2 6 3 2" xfId="37640"/>
    <cellStyle name="40% - Accent4 9 2 6 3 2 2" xfId="37641"/>
    <cellStyle name="40% - Accent4 9 2 6 3 3" xfId="37642"/>
    <cellStyle name="40% - Accent4 9 2 6 4" xfId="37643"/>
    <cellStyle name="40% - Accent4 9 2 6 4 2" xfId="37644"/>
    <cellStyle name="40% - Accent4 9 2 6 5" xfId="37645"/>
    <cellStyle name="40% - Accent4 9 2 7" xfId="37646"/>
    <cellStyle name="40% - Accent4 9 2 7 2" xfId="37647"/>
    <cellStyle name="40% - Accent4 9 2 7 2 2" xfId="37648"/>
    <cellStyle name="40% - Accent4 9 2 7 2 2 2" xfId="37649"/>
    <cellStyle name="40% - Accent4 9 2 7 2 3" xfId="37650"/>
    <cellStyle name="40% - Accent4 9 2 7 3" xfId="37651"/>
    <cellStyle name="40% - Accent4 9 2 7 3 2" xfId="37652"/>
    <cellStyle name="40% - Accent4 9 2 7 4" xfId="37653"/>
    <cellStyle name="40% - Accent4 9 2 8" xfId="37654"/>
    <cellStyle name="40% - Accent4 9 2 8 2" xfId="37655"/>
    <cellStyle name="40% - Accent4 9 2 8 2 2" xfId="37656"/>
    <cellStyle name="40% - Accent4 9 2 8 3" xfId="37657"/>
    <cellStyle name="40% - Accent4 9 2 9" xfId="37658"/>
    <cellStyle name="40% - Accent4 9 2 9 2" xfId="37659"/>
    <cellStyle name="40% - Accent4 9 3" xfId="37660"/>
    <cellStyle name="40% - Accent4 9 3 2" xfId="37661"/>
    <cellStyle name="40% - Accent4 9 3 2 2" xfId="37662"/>
    <cellStyle name="40% - Accent4 9 3 2 2 2" xfId="37663"/>
    <cellStyle name="40% - Accent4 9 3 2 2 2 2" xfId="37664"/>
    <cellStyle name="40% - Accent4 9 3 2 2 3" xfId="37665"/>
    <cellStyle name="40% - Accent4 9 3 2 3" xfId="37666"/>
    <cellStyle name="40% - Accent4 9 3 2 3 2" xfId="37667"/>
    <cellStyle name="40% - Accent4 9 3 2 4" xfId="37668"/>
    <cellStyle name="40% - Accent4 9 3 3" xfId="37669"/>
    <cellStyle name="40% - Accent4 9 3 3 2" xfId="37670"/>
    <cellStyle name="40% - Accent4 9 3 3 2 2" xfId="37671"/>
    <cellStyle name="40% - Accent4 9 3 3 3" xfId="37672"/>
    <cellStyle name="40% - Accent4 9 3 4" xfId="37673"/>
    <cellStyle name="40% - Accent4 9 3 4 2" xfId="37674"/>
    <cellStyle name="40% - Accent4 9 3 5" xfId="37675"/>
    <cellStyle name="40% - Accent4 9 4" xfId="37676"/>
    <cellStyle name="40% - Accent4 9 4 2" xfId="37677"/>
    <cellStyle name="40% - Accent4 9 4 2 2" xfId="37678"/>
    <cellStyle name="40% - Accent4 9 4 2 2 2" xfId="37679"/>
    <cellStyle name="40% - Accent4 9 4 2 2 2 2" xfId="37680"/>
    <cellStyle name="40% - Accent4 9 4 2 2 3" xfId="37681"/>
    <cellStyle name="40% - Accent4 9 4 2 3" xfId="37682"/>
    <cellStyle name="40% - Accent4 9 4 2 3 2" xfId="37683"/>
    <cellStyle name="40% - Accent4 9 4 2 4" xfId="37684"/>
    <cellStyle name="40% - Accent4 9 4 3" xfId="37685"/>
    <cellStyle name="40% - Accent4 9 4 3 2" xfId="37686"/>
    <cellStyle name="40% - Accent4 9 4 3 2 2" xfId="37687"/>
    <cellStyle name="40% - Accent4 9 4 3 3" xfId="37688"/>
    <cellStyle name="40% - Accent4 9 4 4" xfId="37689"/>
    <cellStyle name="40% - Accent4 9 4 4 2" xfId="37690"/>
    <cellStyle name="40% - Accent4 9 4 5" xfId="37691"/>
    <cellStyle name="40% - Accent4 9 5" xfId="37692"/>
    <cellStyle name="40% - Accent4 9 5 2" xfId="37693"/>
    <cellStyle name="40% - Accent4 9 5 2 2" xfId="37694"/>
    <cellStyle name="40% - Accent4 9 5 2 2 2" xfId="37695"/>
    <cellStyle name="40% - Accent4 9 5 2 2 2 2" xfId="37696"/>
    <cellStyle name="40% - Accent4 9 5 2 2 3" xfId="37697"/>
    <cellStyle name="40% - Accent4 9 5 2 3" xfId="37698"/>
    <cellStyle name="40% - Accent4 9 5 2 3 2" xfId="37699"/>
    <cellStyle name="40% - Accent4 9 5 2 4" xfId="37700"/>
    <cellStyle name="40% - Accent4 9 5 3" xfId="37701"/>
    <cellStyle name="40% - Accent4 9 5 3 2" xfId="37702"/>
    <cellStyle name="40% - Accent4 9 5 3 2 2" xfId="37703"/>
    <cellStyle name="40% - Accent4 9 5 3 3" xfId="37704"/>
    <cellStyle name="40% - Accent4 9 5 4" xfId="37705"/>
    <cellStyle name="40% - Accent4 9 5 4 2" xfId="37706"/>
    <cellStyle name="40% - Accent4 9 5 5" xfId="37707"/>
    <cellStyle name="40% - Accent4 9 6" xfId="37708"/>
    <cellStyle name="40% - Accent4 9 6 2" xfId="37709"/>
    <cellStyle name="40% - Accent4 9 6 2 2" xfId="37710"/>
    <cellStyle name="40% - Accent4 9 6 2 2 2" xfId="37711"/>
    <cellStyle name="40% - Accent4 9 6 2 2 2 2" xfId="37712"/>
    <cellStyle name="40% - Accent4 9 6 2 2 3" xfId="37713"/>
    <cellStyle name="40% - Accent4 9 6 2 3" xfId="37714"/>
    <cellStyle name="40% - Accent4 9 6 2 3 2" xfId="37715"/>
    <cellStyle name="40% - Accent4 9 6 2 4" xfId="37716"/>
    <cellStyle name="40% - Accent4 9 6 3" xfId="37717"/>
    <cellStyle name="40% - Accent4 9 6 3 2" xfId="37718"/>
    <cellStyle name="40% - Accent4 9 6 3 2 2" xfId="37719"/>
    <cellStyle name="40% - Accent4 9 6 3 3" xfId="37720"/>
    <cellStyle name="40% - Accent4 9 6 4" xfId="37721"/>
    <cellStyle name="40% - Accent4 9 6 4 2" xfId="37722"/>
    <cellStyle name="40% - Accent4 9 6 5" xfId="37723"/>
    <cellStyle name="40% - Accent4 9 7" xfId="37724"/>
    <cellStyle name="40% - Accent4 9 7 2" xfId="37725"/>
    <cellStyle name="40% - Accent4 9 7 2 2" xfId="37726"/>
    <cellStyle name="40% - Accent4 9 7 2 2 2" xfId="37727"/>
    <cellStyle name="40% - Accent4 9 7 2 2 2 2" xfId="37728"/>
    <cellStyle name="40% - Accent4 9 7 2 2 3" xfId="37729"/>
    <cellStyle name="40% - Accent4 9 7 2 3" xfId="37730"/>
    <cellStyle name="40% - Accent4 9 7 2 3 2" xfId="37731"/>
    <cellStyle name="40% - Accent4 9 7 2 4" xfId="37732"/>
    <cellStyle name="40% - Accent4 9 7 3" xfId="37733"/>
    <cellStyle name="40% - Accent4 9 7 3 2" xfId="37734"/>
    <cellStyle name="40% - Accent4 9 7 3 2 2" xfId="37735"/>
    <cellStyle name="40% - Accent4 9 7 3 3" xfId="37736"/>
    <cellStyle name="40% - Accent4 9 7 4" xfId="37737"/>
    <cellStyle name="40% - Accent4 9 7 4 2" xfId="37738"/>
    <cellStyle name="40% - Accent4 9 7 5" xfId="37739"/>
    <cellStyle name="40% - Accent4 9 8" xfId="37740"/>
    <cellStyle name="40% - Accent4 9 8 2" xfId="37741"/>
    <cellStyle name="40% - Accent4 9 8 2 2" xfId="37742"/>
    <cellStyle name="40% - Accent4 9 8 2 2 2" xfId="37743"/>
    <cellStyle name="40% - Accent4 9 8 2 3" xfId="37744"/>
    <cellStyle name="40% - Accent4 9 8 3" xfId="37745"/>
    <cellStyle name="40% - Accent4 9 8 3 2" xfId="37746"/>
    <cellStyle name="40% - Accent4 9 8 4" xfId="37747"/>
    <cellStyle name="40% - Accent4 9 9" xfId="37748"/>
    <cellStyle name="40% - Accent4 9 9 2" xfId="37749"/>
    <cellStyle name="40% - Accent4 9 9 2 2" xfId="37750"/>
    <cellStyle name="40% - Accent4 9 9 3" xfId="37751"/>
    <cellStyle name="40% - Accent5" xfId="52866" builtinId="47" customBuiltin="1"/>
    <cellStyle name="40% - Accent5 10" xfId="37752"/>
    <cellStyle name="40% - Accent5 10 10" xfId="37753"/>
    <cellStyle name="40% - Accent5 10 10 2" xfId="37754"/>
    <cellStyle name="40% - Accent5 10 11" xfId="37755"/>
    <cellStyle name="40% - Accent5 10 2" xfId="37756"/>
    <cellStyle name="40% - Accent5 10 2 10" xfId="37757"/>
    <cellStyle name="40% - Accent5 10 2 2" xfId="37758"/>
    <cellStyle name="40% - Accent5 10 2 2 2" xfId="37759"/>
    <cellStyle name="40% - Accent5 10 2 2 2 2" xfId="37760"/>
    <cellStyle name="40% - Accent5 10 2 2 2 2 2" xfId="37761"/>
    <cellStyle name="40% - Accent5 10 2 2 2 2 2 2" xfId="37762"/>
    <cellStyle name="40% - Accent5 10 2 2 2 2 3" xfId="37763"/>
    <cellStyle name="40% - Accent5 10 2 2 2 3" xfId="37764"/>
    <cellStyle name="40% - Accent5 10 2 2 2 3 2" xfId="37765"/>
    <cellStyle name="40% - Accent5 10 2 2 2 4" xfId="37766"/>
    <cellStyle name="40% - Accent5 10 2 2 3" xfId="37767"/>
    <cellStyle name="40% - Accent5 10 2 2 3 2" xfId="37768"/>
    <cellStyle name="40% - Accent5 10 2 2 3 2 2" xfId="37769"/>
    <cellStyle name="40% - Accent5 10 2 2 3 3" xfId="37770"/>
    <cellStyle name="40% - Accent5 10 2 2 4" xfId="37771"/>
    <cellStyle name="40% - Accent5 10 2 2 4 2" xfId="37772"/>
    <cellStyle name="40% - Accent5 10 2 2 5" xfId="37773"/>
    <cellStyle name="40% - Accent5 10 2 3" xfId="37774"/>
    <cellStyle name="40% - Accent5 10 2 3 2" xfId="37775"/>
    <cellStyle name="40% - Accent5 10 2 3 2 2" xfId="37776"/>
    <cellStyle name="40% - Accent5 10 2 3 2 2 2" xfId="37777"/>
    <cellStyle name="40% - Accent5 10 2 3 2 2 2 2" xfId="37778"/>
    <cellStyle name="40% - Accent5 10 2 3 2 2 3" xfId="37779"/>
    <cellStyle name="40% - Accent5 10 2 3 2 3" xfId="37780"/>
    <cellStyle name="40% - Accent5 10 2 3 2 3 2" xfId="37781"/>
    <cellStyle name="40% - Accent5 10 2 3 2 4" xfId="37782"/>
    <cellStyle name="40% - Accent5 10 2 3 3" xfId="37783"/>
    <cellStyle name="40% - Accent5 10 2 3 3 2" xfId="37784"/>
    <cellStyle name="40% - Accent5 10 2 3 3 2 2" xfId="37785"/>
    <cellStyle name="40% - Accent5 10 2 3 3 3" xfId="37786"/>
    <cellStyle name="40% - Accent5 10 2 3 4" xfId="37787"/>
    <cellStyle name="40% - Accent5 10 2 3 4 2" xfId="37788"/>
    <cellStyle name="40% - Accent5 10 2 3 5" xfId="37789"/>
    <cellStyle name="40% - Accent5 10 2 4" xfId="37790"/>
    <cellStyle name="40% - Accent5 10 2 4 2" xfId="37791"/>
    <cellStyle name="40% - Accent5 10 2 4 2 2" xfId="37792"/>
    <cellStyle name="40% - Accent5 10 2 4 2 2 2" xfId="37793"/>
    <cellStyle name="40% - Accent5 10 2 4 2 2 2 2" xfId="37794"/>
    <cellStyle name="40% - Accent5 10 2 4 2 2 3" xfId="37795"/>
    <cellStyle name="40% - Accent5 10 2 4 2 3" xfId="37796"/>
    <cellStyle name="40% - Accent5 10 2 4 2 3 2" xfId="37797"/>
    <cellStyle name="40% - Accent5 10 2 4 2 4" xfId="37798"/>
    <cellStyle name="40% - Accent5 10 2 4 3" xfId="37799"/>
    <cellStyle name="40% - Accent5 10 2 4 3 2" xfId="37800"/>
    <cellStyle name="40% - Accent5 10 2 4 3 2 2" xfId="37801"/>
    <cellStyle name="40% - Accent5 10 2 4 3 3" xfId="37802"/>
    <cellStyle name="40% - Accent5 10 2 4 4" xfId="37803"/>
    <cellStyle name="40% - Accent5 10 2 4 4 2" xfId="37804"/>
    <cellStyle name="40% - Accent5 10 2 4 5" xfId="37805"/>
    <cellStyle name="40% - Accent5 10 2 5" xfId="37806"/>
    <cellStyle name="40% - Accent5 10 2 5 2" xfId="37807"/>
    <cellStyle name="40% - Accent5 10 2 5 2 2" xfId="37808"/>
    <cellStyle name="40% - Accent5 10 2 5 2 2 2" xfId="37809"/>
    <cellStyle name="40% - Accent5 10 2 5 2 2 2 2" xfId="37810"/>
    <cellStyle name="40% - Accent5 10 2 5 2 2 3" xfId="37811"/>
    <cellStyle name="40% - Accent5 10 2 5 2 3" xfId="37812"/>
    <cellStyle name="40% - Accent5 10 2 5 2 3 2" xfId="37813"/>
    <cellStyle name="40% - Accent5 10 2 5 2 4" xfId="37814"/>
    <cellStyle name="40% - Accent5 10 2 5 3" xfId="37815"/>
    <cellStyle name="40% - Accent5 10 2 5 3 2" xfId="37816"/>
    <cellStyle name="40% - Accent5 10 2 5 3 2 2" xfId="37817"/>
    <cellStyle name="40% - Accent5 10 2 5 3 3" xfId="37818"/>
    <cellStyle name="40% - Accent5 10 2 5 4" xfId="37819"/>
    <cellStyle name="40% - Accent5 10 2 5 4 2" xfId="37820"/>
    <cellStyle name="40% - Accent5 10 2 5 5" xfId="37821"/>
    <cellStyle name="40% - Accent5 10 2 6" xfId="37822"/>
    <cellStyle name="40% - Accent5 10 2 6 2" xfId="37823"/>
    <cellStyle name="40% - Accent5 10 2 6 2 2" xfId="37824"/>
    <cellStyle name="40% - Accent5 10 2 6 2 2 2" xfId="37825"/>
    <cellStyle name="40% - Accent5 10 2 6 2 2 2 2" xfId="37826"/>
    <cellStyle name="40% - Accent5 10 2 6 2 2 3" xfId="37827"/>
    <cellStyle name="40% - Accent5 10 2 6 2 3" xfId="37828"/>
    <cellStyle name="40% - Accent5 10 2 6 2 3 2" xfId="37829"/>
    <cellStyle name="40% - Accent5 10 2 6 2 4" xfId="37830"/>
    <cellStyle name="40% - Accent5 10 2 6 3" xfId="37831"/>
    <cellStyle name="40% - Accent5 10 2 6 3 2" xfId="37832"/>
    <cellStyle name="40% - Accent5 10 2 6 3 2 2" xfId="37833"/>
    <cellStyle name="40% - Accent5 10 2 6 3 3" xfId="37834"/>
    <cellStyle name="40% - Accent5 10 2 6 4" xfId="37835"/>
    <cellStyle name="40% - Accent5 10 2 6 4 2" xfId="37836"/>
    <cellStyle name="40% - Accent5 10 2 6 5" xfId="37837"/>
    <cellStyle name="40% - Accent5 10 2 7" xfId="37838"/>
    <cellStyle name="40% - Accent5 10 2 7 2" xfId="37839"/>
    <cellStyle name="40% - Accent5 10 2 7 2 2" xfId="37840"/>
    <cellStyle name="40% - Accent5 10 2 7 2 2 2" xfId="37841"/>
    <cellStyle name="40% - Accent5 10 2 7 2 3" xfId="37842"/>
    <cellStyle name="40% - Accent5 10 2 7 3" xfId="37843"/>
    <cellStyle name="40% - Accent5 10 2 7 3 2" xfId="37844"/>
    <cellStyle name="40% - Accent5 10 2 7 4" xfId="37845"/>
    <cellStyle name="40% - Accent5 10 2 8" xfId="37846"/>
    <cellStyle name="40% - Accent5 10 2 8 2" xfId="37847"/>
    <cellStyle name="40% - Accent5 10 2 8 2 2" xfId="37848"/>
    <cellStyle name="40% - Accent5 10 2 8 3" xfId="37849"/>
    <cellStyle name="40% - Accent5 10 2 9" xfId="37850"/>
    <cellStyle name="40% - Accent5 10 2 9 2" xfId="37851"/>
    <cellStyle name="40% - Accent5 10 3" xfId="37852"/>
    <cellStyle name="40% - Accent5 10 3 2" xfId="37853"/>
    <cellStyle name="40% - Accent5 10 3 2 2" xfId="37854"/>
    <cellStyle name="40% - Accent5 10 3 2 2 2" xfId="37855"/>
    <cellStyle name="40% - Accent5 10 3 2 2 2 2" xfId="37856"/>
    <cellStyle name="40% - Accent5 10 3 2 2 3" xfId="37857"/>
    <cellStyle name="40% - Accent5 10 3 2 3" xfId="37858"/>
    <cellStyle name="40% - Accent5 10 3 2 3 2" xfId="37859"/>
    <cellStyle name="40% - Accent5 10 3 2 4" xfId="37860"/>
    <cellStyle name="40% - Accent5 10 3 3" xfId="37861"/>
    <cellStyle name="40% - Accent5 10 3 3 2" xfId="37862"/>
    <cellStyle name="40% - Accent5 10 3 3 2 2" xfId="37863"/>
    <cellStyle name="40% - Accent5 10 3 3 3" xfId="37864"/>
    <cellStyle name="40% - Accent5 10 3 4" xfId="37865"/>
    <cellStyle name="40% - Accent5 10 3 4 2" xfId="37866"/>
    <cellStyle name="40% - Accent5 10 3 5" xfId="37867"/>
    <cellStyle name="40% - Accent5 10 4" xfId="37868"/>
    <cellStyle name="40% - Accent5 10 4 2" xfId="37869"/>
    <cellStyle name="40% - Accent5 10 4 2 2" xfId="37870"/>
    <cellStyle name="40% - Accent5 10 4 2 2 2" xfId="37871"/>
    <cellStyle name="40% - Accent5 10 4 2 2 2 2" xfId="37872"/>
    <cellStyle name="40% - Accent5 10 4 2 2 3" xfId="37873"/>
    <cellStyle name="40% - Accent5 10 4 2 3" xfId="37874"/>
    <cellStyle name="40% - Accent5 10 4 2 3 2" xfId="37875"/>
    <cellStyle name="40% - Accent5 10 4 2 4" xfId="37876"/>
    <cellStyle name="40% - Accent5 10 4 3" xfId="37877"/>
    <cellStyle name="40% - Accent5 10 4 3 2" xfId="37878"/>
    <cellStyle name="40% - Accent5 10 4 3 2 2" xfId="37879"/>
    <cellStyle name="40% - Accent5 10 4 3 3" xfId="37880"/>
    <cellStyle name="40% - Accent5 10 4 4" xfId="37881"/>
    <cellStyle name="40% - Accent5 10 4 4 2" xfId="37882"/>
    <cellStyle name="40% - Accent5 10 4 5" xfId="37883"/>
    <cellStyle name="40% - Accent5 10 5" xfId="37884"/>
    <cellStyle name="40% - Accent5 10 5 2" xfId="37885"/>
    <cellStyle name="40% - Accent5 10 5 2 2" xfId="37886"/>
    <cellStyle name="40% - Accent5 10 5 2 2 2" xfId="37887"/>
    <cellStyle name="40% - Accent5 10 5 2 2 2 2" xfId="37888"/>
    <cellStyle name="40% - Accent5 10 5 2 2 3" xfId="37889"/>
    <cellStyle name="40% - Accent5 10 5 2 3" xfId="37890"/>
    <cellStyle name="40% - Accent5 10 5 2 3 2" xfId="37891"/>
    <cellStyle name="40% - Accent5 10 5 2 4" xfId="37892"/>
    <cellStyle name="40% - Accent5 10 5 3" xfId="37893"/>
    <cellStyle name="40% - Accent5 10 5 3 2" xfId="37894"/>
    <cellStyle name="40% - Accent5 10 5 3 2 2" xfId="37895"/>
    <cellStyle name="40% - Accent5 10 5 3 3" xfId="37896"/>
    <cellStyle name="40% - Accent5 10 5 4" xfId="37897"/>
    <cellStyle name="40% - Accent5 10 5 4 2" xfId="37898"/>
    <cellStyle name="40% - Accent5 10 5 5" xfId="37899"/>
    <cellStyle name="40% - Accent5 10 6" xfId="37900"/>
    <cellStyle name="40% - Accent5 10 6 2" xfId="37901"/>
    <cellStyle name="40% - Accent5 10 6 2 2" xfId="37902"/>
    <cellStyle name="40% - Accent5 10 6 2 2 2" xfId="37903"/>
    <cellStyle name="40% - Accent5 10 6 2 2 2 2" xfId="37904"/>
    <cellStyle name="40% - Accent5 10 6 2 2 3" xfId="37905"/>
    <cellStyle name="40% - Accent5 10 6 2 3" xfId="37906"/>
    <cellStyle name="40% - Accent5 10 6 2 3 2" xfId="37907"/>
    <cellStyle name="40% - Accent5 10 6 2 4" xfId="37908"/>
    <cellStyle name="40% - Accent5 10 6 3" xfId="37909"/>
    <cellStyle name="40% - Accent5 10 6 3 2" xfId="37910"/>
    <cellStyle name="40% - Accent5 10 6 3 2 2" xfId="37911"/>
    <cellStyle name="40% - Accent5 10 6 3 3" xfId="37912"/>
    <cellStyle name="40% - Accent5 10 6 4" xfId="37913"/>
    <cellStyle name="40% - Accent5 10 6 4 2" xfId="37914"/>
    <cellStyle name="40% - Accent5 10 6 5" xfId="37915"/>
    <cellStyle name="40% - Accent5 10 7" xfId="37916"/>
    <cellStyle name="40% - Accent5 10 7 2" xfId="37917"/>
    <cellStyle name="40% - Accent5 10 7 2 2" xfId="37918"/>
    <cellStyle name="40% - Accent5 10 7 2 2 2" xfId="37919"/>
    <cellStyle name="40% - Accent5 10 7 2 2 2 2" xfId="37920"/>
    <cellStyle name="40% - Accent5 10 7 2 2 3" xfId="37921"/>
    <cellStyle name="40% - Accent5 10 7 2 3" xfId="37922"/>
    <cellStyle name="40% - Accent5 10 7 2 3 2" xfId="37923"/>
    <cellStyle name="40% - Accent5 10 7 2 4" xfId="37924"/>
    <cellStyle name="40% - Accent5 10 7 3" xfId="37925"/>
    <cellStyle name="40% - Accent5 10 7 3 2" xfId="37926"/>
    <cellStyle name="40% - Accent5 10 7 3 2 2" xfId="37927"/>
    <cellStyle name="40% - Accent5 10 7 3 3" xfId="37928"/>
    <cellStyle name="40% - Accent5 10 7 4" xfId="37929"/>
    <cellStyle name="40% - Accent5 10 7 4 2" xfId="37930"/>
    <cellStyle name="40% - Accent5 10 7 5" xfId="37931"/>
    <cellStyle name="40% - Accent5 10 8" xfId="37932"/>
    <cellStyle name="40% - Accent5 10 8 2" xfId="37933"/>
    <cellStyle name="40% - Accent5 10 8 2 2" xfId="37934"/>
    <cellStyle name="40% - Accent5 10 8 2 2 2" xfId="37935"/>
    <cellStyle name="40% - Accent5 10 8 2 3" xfId="37936"/>
    <cellStyle name="40% - Accent5 10 8 3" xfId="37937"/>
    <cellStyle name="40% - Accent5 10 8 3 2" xfId="37938"/>
    <cellStyle name="40% - Accent5 10 8 4" xfId="37939"/>
    <cellStyle name="40% - Accent5 10 9" xfId="37940"/>
    <cellStyle name="40% - Accent5 10 9 2" xfId="37941"/>
    <cellStyle name="40% - Accent5 10 9 2 2" xfId="37942"/>
    <cellStyle name="40% - Accent5 10 9 3" xfId="37943"/>
    <cellStyle name="40% - Accent5 11" xfId="37944"/>
    <cellStyle name="40% - Accent5 11 10" xfId="37945"/>
    <cellStyle name="40% - Accent5 11 10 2" xfId="37946"/>
    <cellStyle name="40% - Accent5 11 11" xfId="37947"/>
    <cellStyle name="40% - Accent5 11 2" xfId="37948"/>
    <cellStyle name="40% - Accent5 11 2 10" xfId="37949"/>
    <cellStyle name="40% - Accent5 11 2 2" xfId="37950"/>
    <cellStyle name="40% - Accent5 11 2 2 2" xfId="37951"/>
    <cellStyle name="40% - Accent5 11 2 2 2 2" xfId="37952"/>
    <cellStyle name="40% - Accent5 11 2 2 2 2 2" xfId="37953"/>
    <cellStyle name="40% - Accent5 11 2 2 2 2 2 2" xfId="37954"/>
    <cellStyle name="40% - Accent5 11 2 2 2 2 3" xfId="37955"/>
    <cellStyle name="40% - Accent5 11 2 2 2 3" xfId="37956"/>
    <cellStyle name="40% - Accent5 11 2 2 2 3 2" xfId="37957"/>
    <cellStyle name="40% - Accent5 11 2 2 2 4" xfId="37958"/>
    <cellStyle name="40% - Accent5 11 2 2 3" xfId="37959"/>
    <cellStyle name="40% - Accent5 11 2 2 3 2" xfId="37960"/>
    <cellStyle name="40% - Accent5 11 2 2 3 2 2" xfId="37961"/>
    <cellStyle name="40% - Accent5 11 2 2 3 3" xfId="37962"/>
    <cellStyle name="40% - Accent5 11 2 2 4" xfId="37963"/>
    <cellStyle name="40% - Accent5 11 2 2 4 2" xfId="37964"/>
    <cellStyle name="40% - Accent5 11 2 2 5" xfId="37965"/>
    <cellStyle name="40% - Accent5 11 2 3" xfId="37966"/>
    <cellStyle name="40% - Accent5 11 2 3 2" xfId="37967"/>
    <cellStyle name="40% - Accent5 11 2 3 2 2" xfId="37968"/>
    <cellStyle name="40% - Accent5 11 2 3 2 2 2" xfId="37969"/>
    <cellStyle name="40% - Accent5 11 2 3 2 2 2 2" xfId="37970"/>
    <cellStyle name="40% - Accent5 11 2 3 2 2 3" xfId="37971"/>
    <cellStyle name="40% - Accent5 11 2 3 2 3" xfId="37972"/>
    <cellStyle name="40% - Accent5 11 2 3 2 3 2" xfId="37973"/>
    <cellStyle name="40% - Accent5 11 2 3 2 4" xfId="37974"/>
    <cellStyle name="40% - Accent5 11 2 3 3" xfId="37975"/>
    <cellStyle name="40% - Accent5 11 2 3 3 2" xfId="37976"/>
    <cellStyle name="40% - Accent5 11 2 3 3 2 2" xfId="37977"/>
    <cellStyle name="40% - Accent5 11 2 3 3 3" xfId="37978"/>
    <cellStyle name="40% - Accent5 11 2 3 4" xfId="37979"/>
    <cellStyle name="40% - Accent5 11 2 3 4 2" xfId="37980"/>
    <cellStyle name="40% - Accent5 11 2 3 5" xfId="37981"/>
    <cellStyle name="40% - Accent5 11 2 4" xfId="37982"/>
    <cellStyle name="40% - Accent5 11 2 4 2" xfId="37983"/>
    <cellStyle name="40% - Accent5 11 2 4 2 2" xfId="37984"/>
    <cellStyle name="40% - Accent5 11 2 4 2 2 2" xfId="37985"/>
    <cellStyle name="40% - Accent5 11 2 4 2 2 2 2" xfId="37986"/>
    <cellStyle name="40% - Accent5 11 2 4 2 2 3" xfId="37987"/>
    <cellStyle name="40% - Accent5 11 2 4 2 3" xfId="37988"/>
    <cellStyle name="40% - Accent5 11 2 4 2 3 2" xfId="37989"/>
    <cellStyle name="40% - Accent5 11 2 4 2 4" xfId="37990"/>
    <cellStyle name="40% - Accent5 11 2 4 3" xfId="37991"/>
    <cellStyle name="40% - Accent5 11 2 4 3 2" xfId="37992"/>
    <cellStyle name="40% - Accent5 11 2 4 3 2 2" xfId="37993"/>
    <cellStyle name="40% - Accent5 11 2 4 3 3" xfId="37994"/>
    <cellStyle name="40% - Accent5 11 2 4 4" xfId="37995"/>
    <cellStyle name="40% - Accent5 11 2 4 4 2" xfId="37996"/>
    <cellStyle name="40% - Accent5 11 2 4 5" xfId="37997"/>
    <cellStyle name="40% - Accent5 11 2 5" xfId="37998"/>
    <cellStyle name="40% - Accent5 11 2 5 2" xfId="37999"/>
    <cellStyle name="40% - Accent5 11 2 5 2 2" xfId="38000"/>
    <cellStyle name="40% - Accent5 11 2 5 2 2 2" xfId="38001"/>
    <cellStyle name="40% - Accent5 11 2 5 2 2 2 2" xfId="38002"/>
    <cellStyle name="40% - Accent5 11 2 5 2 2 3" xfId="38003"/>
    <cellStyle name="40% - Accent5 11 2 5 2 3" xfId="38004"/>
    <cellStyle name="40% - Accent5 11 2 5 2 3 2" xfId="38005"/>
    <cellStyle name="40% - Accent5 11 2 5 2 4" xfId="38006"/>
    <cellStyle name="40% - Accent5 11 2 5 3" xfId="38007"/>
    <cellStyle name="40% - Accent5 11 2 5 3 2" xfId="38008"/>
    <cellStyle name="40% - Accent5 11 2 5 3 2 2" xfId="38009"/>
    <cellStyle name="40% - Accent5 11 2 5 3 3" xfId="38010"/>
    <cellStyle name="40% - Accent5 11 2 5 4" xfId="38011"/>
    <cellStyle name="40% - Accent5 11 2 5 4 2" xfId="38012"/>
    <cellStyle name="40% - Accent5 11 2 5 5" xfId="38013"/>
    <cellStyle name="40% - Accent5 11 2 6" xfId="38014"/>
    <cellStyle name="40% - Accent5 11 2 6 2" xfId="38015"/>
    <cellStyle name="40% - Accent5 11 2 6 2 2" xfId="38016"/>
    <cellStyle name="40% - Accent5 11 2 6 2 2 2" xfId="38017"/>
    <cellStyle name="40% - Accent5 11 2 6 2 2 2 2" xfId="38018"/>
    <cellStyle name="40% - Accent5 11 2 6 2 2 3" xfId="38019"/>
    <cellStyle name="40% - Accent5 11 2 6 2 3" xfId="38020"/>
    <cellStyle name="40% - Accent5 11 2 6 2 3 2" xfId="38021"/>
    <cellStyle name="40% - Accent5 11 2 6 2 4" xfId="38022"/>
    <cellStyle name="40% - Accent5 11 2 6 3" xfId="38023"/>
    <cellStyle name="40% - Accent5 11 2 6 3 2" xfId="38024"/>
    <cellStyle name="40% - Accent5 11 2 6 3 2 2" xfId="38025"/>
    <cellStyle name="40% - Accent5 11 2 6 3 3" xfId="38026"/>
    <cellStyle name="40% - Accent5 11 2 6 4" xfId="38027"/>
    <cellStyle name="40% - Accent5 11 2 6 4 2" xfId="38028"/>
    <cellStyle name="40% - Accent5 11 2 6 5" xfId="38029"/>
    <cellStyle name="40% - Accent5 11 2 7" xfId="38030"/>
    <cellStyle name="40% - Accent5 11 2 7 2" xfId="38031"/>
    <cellStyle name="40% - Accent5 11 2 7 2 2" xfId="38032"/>
    <cellStyle name="40% - Accent5 11 2 7 2 2 2" xfId="38033"/>
    <cellStyle name="40% - Accent5 11 2 7 2 3" xfId="38034"/>
    <cellStyle name="40% - Accent5 11 2 7 3" xfId="38035"/>
    <cellStyle name="40% - Accent5 11 2 7 3 2" xfId="38036"/>
    <cellStyle name="40% - Accent5 11 2 7 4" xfId="38037"/>
    <cellStyle name="40% - Accent5 11 2 8" xfId="38038"/>
    <cellStyle name="40% - Accent5 11 2 8 2" xfId="38039"/>
    <cellStyle name="40% - Accent5 11 2 8 2 2" xfId="38040"/>
    <cellStyle name="40% - Accent5 11 2 8 3" xfId="38041"/>
    <cellStyle name="40% - Accent5 11 2 9" xfId="38042"/>
    <cellStyle name="40% - Accent5 11 2 9 2" xfId="38043"/>
    <cellStyle name="40% - Accent5 11 3" xfId="38044"/>
    <cellStyle name="40% - Accent5 11 3 2" xfId="38045"/>
    <cellStyle name="40% - Accent5 11 3 2 2" xfId="38046"/>
    <cellStyle name="40% - Accent5 11 3 2 2 2" xfId="38047"/>
    <cellStyle name="40% - Accent5 11 3 2 2 2 2" xfId="38048"/>
    <cellStyle name="40% - Accent5 11 3 2 2 3" xfId="38049"/>
    <cellStyle name="40% - Accent5 11 3 2 3" xfId="38050"/>
    <cellStyle name="40% - Accent5 11 3 2 3 2" xfId="38051"/>
    <cellStyle name="40% - Accent5 11 3 2 4" xfId="38052"/>
    <cellStyle name="40% - Accent5 11 3 3" xfId="38053"/>
    <cellStyle name="40% - Accent5 11 3 3 2" xfId="38054"/>
    <cellStyle name="40% - Accent5 11 3 3 2 2" xfId="38055"/>
    <cellStyle name="40% - Accent5 11 3 3 3" xfId="38056"/>
    <cellStyle name="40% - Accent5 11 3 4" xfId="38057"/>
    <cellStyle name="40% - Accent5 11 3 4 2" xfId="38058"/>
    <cellStyle name="40% - Accent5 11 3 5" xfId="38059"/>
    <cellStyle name="40% - Accent5 11 4" xfId="38060"/>
    <cellStyle name="40% - Accent5 11 4 2" xfId="38061"/>
    <cellStyle name="40% - Accent5 11 4 2 2" xfId="38062"/>
    <cellStyle name="40% - Accent5 11 4 2 2 2" xfId="38063"/>
    <cellStyle name="40% - Accent5 11 4 2 2 2 2" xfId="38064"/>
    <cellStyle name="40% - Accent5 11 4 2 2 3" xfId="38065"/>
    <cellStyle name="40% - Accent5 11 4 2 3" xfId="38066"/>
    <cellStyle name="40% - Accent5 11 4 2 3 2" xfId="38067"/>
    <cellStyle name="40% - Accent5 11 4 2 4" xfId="38068"/>
    <cellStyle name="40% - Accent5 11 4 3" xfId="38069"/>
    <cellStyle name="40% - Accent5 11 4 3 2" xfId="38070"/>
    <cellStyle name="40% - Accent5 11 4 3 2 2" xfId="38071"/>
    <cellStyle name="40% - Accent5 11 4 3 3" xfId="38072"/>
    <cellStyle name="40% - Accent5 11 4 4" xfId="38073"/>
    <cellStyle name="40% - Accent5 11 4 4 2" xfId="38074"/>
    <cellStyle name="40% - Accent5 11 4 5" xfId="38075"/>
    <cellStyle name="40% - Accent5 11 5" xfId="38076"/>
    <cellStyle name="40% - Accent5 11 5 2" xfId="38077"/>
    <cellStyle name="40% - Accent5 11 5 2 2" xfId="38078"/>
    <cellStyle name="40% - Accent5 11 5 2 2 2" xfId="38079"/>
    <cellStyle name="40% - Accent5 11 5 2 2 2 2" xfId="38080"/>
    <cellStyle name="40% - Accent5 11 5 2 2 3" xfId="38081"/>
    <cellStyle name="40% - Accent5 11 5 2 3" xfId="38082"/>
    <cellStyle name="40% - Accent5 11 5 2 3 2" xfId="38083"/>
    <cellStyle name="40% - Accent5 11 5 2 4" xfId="38084"/>
    <cellStyle name="40% - Accent5 11 5 3" xfId="38085"/>
    <cellStyle name="40% - Accent5 11 5 3 2" xfId="38086"/>
    <cellStyle name="40% - Accent5 11 5 3 2 2" xfId="38087"/>
    <cellStyle name="40% - Accent5 11 5 3 3" xfId="38088"/>
    <cellStyle name="40% - Accent5 11 5 4" xfId="38089"/>
    <cellStyle name="40% - Accent5 11 5 4 2" xfId="38090"/>
    <cellStyle name="40% - Accent5 11 5 5" xfId="38091"/>
    <cellStyle name="40% - Accent5 11 6" xfId="38092"/>
    <cellStyle name="40% - Accent5 11 6 2" xfId="38093"/>
    <cellStyle name="40% - Accent5 11 6 2 2" xfId="38094"/>
    <cellStyle name="40% - Accent5 11 6 2 2 2" xfId="38095"/>
    <cellStyle name="40% - Accent5 11 6 2 2 2 2" xfId="38096"/>
    <cellStyle name="40% - Accent5 11 6 2 2 3" xfId="38097"/>
    <cellStyle name="40% - Accent5 11 6 2 3" xfId="38098"/>
    <cellStyle name="40% - Accent5 11 6 2 3 2" xfId="38099"/>
    <cellStyle name="40% - Accent5 11 6 2 4" xfId="38100"/>
    <cellStyle name="40% - Accent5 11 6 3" xfId="38101"/>
    <cellStyle name="40% - Accent5 11 6 3 2" xfId="38102"/>
    <cellStyle name="40% - Accent5 11 6 3 2 2" xfId="38103"/>
    <cellStyle name="40% - Accent5 11 6 3 3" xfId="38104"/>
    <cellStyle name="40% - Accent5 11 6 4" xfId="38105"/>
    <cellStyle name="40% - Accent5 11 6 4 2" xfId="38106"/>
    <cellStyle name="40% - Accent5 11 6 5" xfId="38107"/>
    <cellStyle name="40% - Accent5 11 7" xfId="38108"/>
    <cellStyle name="40% - Accent5 11 7 2" xfId="38109"/>
    <cellStyle name="40% - Accent5 11 7 2 2" xfId="38110"/>
    <cellStyle name="40% - Accent5 11 7 2 2 2" xfId="38111"/>
    <cellStyle name="40% - Accent5 11 7 2 2 2 2" xfId="38112"/>
    <cellStyle name="40% - Accent5 11 7 2 2 3" xfId="38113"/>
    <cellStyle name="40% - Accent5 11 7 2 3" xfId="38114"/>
    <cellStyle name="40% - Accent5 11 7 2 3 2" xfId="38115"/>
    <cellStyle name="40% - Accent5 11 7 2 4" xfId="38116"/>
    <cellStyle name="40% - Accent5 11 7 3" xfId="38117"/>
    <cellStyle name="40% - Accent5 11 7 3 2" xfId="38118"/>
    <cellStyle name="40% - Accent5 11 7 3 2 2" xfId="38119"/>
    <cellStyle name="40% - Accent5 11 7 3 3" xfId="38120"/>
    <cellStyle name="40% - Accent5 11 7 4" xfId="38121"/>
    <cellStyle name="40% - Accent5 11 7 4 2" xfId="38122"/>
    <cellStyle name="40% - Accent5 11 7 5" xfId="38123"/>
    <cellStyle name="40% - Accent5 11 8" xfId="38124"/>
    <cellStyle name="40% - Accent5 11 8 2" xfId="38125"/>
    <cellStyle name="40% - Accent5 11 8 2 2" xfId="38126"/>
    <cellStyle name="40% - Accent5 11 8 2 2 2" xfId="38127"/>
    <cellStyle name="40% - Accent5 11 8 2 3" xfId="38128"/>
    <cellStyle name="40% - Accent5 11 8 3" xfId="38129"/>
    <cellStyle name="40% - Accent5 11 8 3 2" xfId="38130"/>
    <cellStyle name="40% - Accent5 11 8 4" xfId="38131"/>
    <cellStyle name="40% - Accent5 11 9" xfId="38132"/>
    <cellStyle name="40% - Accent5 11 9 2" xfId="38133"/>
    <cellStyle name="40% - Accent5 11 9 2 2" xfId="38134"/>
    <cellStyle name="40% - Accent5 11 9 3" xfId="38135"/>
    <cellStyle name="40% - Accent5 12" xfId="38136"/>
    <cellStyle name="40% - Accent5 12 10" xfId="38137"/>
    <cellStyle name="40% - Accent5 12 2" xfId="38138"/>
    <cellStyle name="40% - Accent5 12 2 2" xfId="38139"/>
    <cellStyle name="40% - Accent5 12 2 2 2" xfId="38140"/>
    <cellStyle name="40% - Accent5 12 2 2 2 2" xfId="38141"/>
    <cellStyle name="40% - Accent5 12 2 2 2 2 2" xfId="38142"/>
    <cellStyle name="40% - Accent5 12 2 2 2 3" xfId="38143"/>
    <cellStyle name="40% - Accent5 12 2 2 3" xfId="38144"/>
    <cellStyle name="40% - Accent5 12 2 2 3 2" xfId="38145"/>
    <cellStyle name="40% - Accent5 12 2 2 4" xfId="38146"/>
    <cellStyle name="40% - Accent5 12 2 3" xfId="38147"/>
    <cellStyle name="40% - Accent5 12 2 3 2" xfId="38148"/>
    <cellStyle name="40% - Accent5 12 2 3 2 2" xfId="38149"/>
    <cellStyle name="40% - Accent5 12 2 3 3" xfId="38150"/>
    <cellStyle name="40% - Accent5 12 2 4" xfId="38151"/>
    <cellStyle name="40% - Accent5 12 2 4 2" xfId="38152"/>
    <cellStyle name="40% - Accent5 12 2 5" xfId="38153"/>
    <cellStyle name="40% - Accent5 12 3" xfId="38154"/>
    <cellStyle name="40% - Accent5 12 3 2" xfId="38155"/>
    <cellStyle name="40% - Accent5 12 3 2 2" xfId="38156"/>
    <cellStyle name="40% - Accent5 12 3 2 2 2" xfId="38157"/>
    <cellStyle name="40% - Accent5 12 3 2 2 2 2" xfId="38158"/>
    <cellStyle name="40% - Accent5 12 3 2 2 3" xfId="38159"/>
    <cellStyle name="40% - Accent5 12 3 2 3" xfId="38160"/>
    <cellStyle name="40% - Accent5 12 3 2 3 2" xfId="38161"/>
    <cellStyle name="40% - Accent5 12 3 2 4" xfId="38162"/>
    <cellStyle name="40% - Accent5 12 3 3" xfId="38163"/>
    <cellStyle name="40% - Accent5 12 3 3 2" xfId="38164"/>
    <cellStyle name="40% - Accent5 12 3 3 2 2" xfId="38165"/>
    <cellStyle name="40% - Accent5 12 3 3 3" xfId="38166"/>
    <cellStyle name="40% - Accent5 12 3 4" xfId="38167"/>
    <cellStyle name="40% - Accent5 12 3 4 2" xfId="38168"/>
    <cellStyle name="40% - Accent5 12 3 5" xfId="38169"/>
    <cellStyle name="40% - Accent5 12 4" xfId="38170"/>
    <cellStyle name="40% - Accent5 12 4 2" xfId="38171"/>
    <cellStyle name="40% - Accent5 12 4 2 2" xfId="38172"/>
    <cellStyle name="40% - Accent5 12 4 2 2 2" xfId="38173"/>
    <cellStyle name="40% - Accent5 12 4 2 2 2 2" xfId="38174"/>
    <cellStyle name="40% - Accent5 12 4 2 2 3" xfId="38175"/>
    <cellStyle name="40% - Accent5 12 4 2 3" xfId="38176"/>
    <cellStyle name="40% - Accent5 12 4 2 3 2" xfId="38177"/>
    <cellStyle name="40% - Accent5 12 4 2 4" xfId="38178"/>
    <cellStyle name="40% - Accent5 12 4 3" xfId="38179"/>
    <cellStyle name="40% - Accent5 12 4 3 2" xfId="38180"/>
    <cellStyle name="40% - Accent5 12 4 3 2 2" xfId="38181"/>
    <cellStyle name="40% - Accent5 12 4 3 3" xfId="38182"/>
    <cellStyle name="40% - Accent5 12 4 4" xfId="38183"/>
    <cellStyle name="40% - Accent5 12 4 4 2" xfId="38184"/>
    <cellStyle name="40% - Accent5 12 4 5" xfId="38185"/>
    <cellStyle name="40% - Accent5 12 5" xfId="38186"/>
    <cellStyle name="40% - Accent5 12 5 2" xfId="38187"/>
    <cellStyle name="40% - Accent5 12 5 2 2" xfId="38188"/>
    <cellStyle name="40% - Accent5 12 5 2 2 2" xfId="38189"/>
    <cellStyle name="40% - Accent5 12 5 2 2 2 2" xfId="38190"/>
    <cellStyle name="40% - Accent5 12 5 2 2 3" xfId="38191"/>
    <cellStyle name="40% - Accent5 12 5 2 3" xfId="38192"/>
    <cellStyle name="40% - Accent5 12 5 2 3 2" xfId="38193"/>
    <cellStyle name="40% - Accent5 12 5 2 4" xfId="38194"/>
    <cellStyle name="40% - Accent5 12 5 3" xfId="38195"/>
    <cellStyle name="40% - Accent5 12 5 3 2" xfId="38196"/>
    <cellStyle name="40% - Accent5 12 5 3 2 2" xfId="38197"/>
    <cellStyle name="40% - Accent5 12 5 3 3" xfId="38198"/>
    <cellStyle name="40% - Accent5 12 5 4" xfId="38199"/>
    <cellStyle name="40% - Accent5 12 5 4 2" xfId="38200"/>
    <cellStyle name="40% - Accent5 12 5 5" xfId="38201"/>
    <cellStyle name="40% - Accent5 12 6" xfId="38202"/>
    <cellStyle name="40% - Accent5 12 6 2" xfId="38203"/>
    <cellStyle name="40% - Accent5 12 6 2 2" xfId="38204"/>
    <cellStyle name="40% - Accent5 12 6 2 2 2" xfId="38205"/>
    <cellStyle name="40% - Accent5 12 6 2 2 2 2" xfId="38206"/>
    <cellStyle name="40% - Accent5 12 6 2 2 3" xfId="38207"/>
    <cellStyle name="40% - Accent5 12 6 2 3" xfId="38208"/>
    <cellStyle name="40% - Accent5 12 6 2 3 2" xfId="38209"/>
    <cellStyle name="40% - Accent5 12 6 2 4" xfId="38210"/>
    <cellStyle name="40% - Accent5 12 6 3" xfId="38211"/>
    <cellStyle name="40% - Accent5 12 6 3 2" xfId="38212"/>
    <cellStyle name="40% - Accent5 12 6 3 2 2" xfId="38213"/>
    <cellStyle name="40% - Accent5 12 6 3 3" xfId="38214"/>
    <cellStyle name="40% - Accent5 12 6 4" xfId="38215"/>
    <cellStyle name="40% - Accent5 12 6 4 2" xfId="38216"/>
    <cellStyle name="40% - Accent5 12 6 5" xfId="38217"/>
    <cellStyle name="40% - Accent5 12 7" xfId="38218"/>
    <cellStyle name="40% - Accent5 12 7 2" xfId="38219"/>
    <cellStyle name="40% - Accent5 12 7 2 2" xfId="38220"/>
    <cellStyle name="40% - Accent5 12 7 2 2 2" xfId="38221"/>
    <cellStyle name="40% - Accent5 12 7 2 3" xfId="38222"/>
    <cellStyle name="40% - Accent5 12 7 3" xfId="38223"/>
    <cellStyle name="40% - Accent5 12 7 3 2" xfId="38224"/>
    <cellStyle name="40% - Accent5 12 7 4" xfId="38225"/>
    <cellStyle name="40% - Accent5 12 8" xfId="38226"/>
    <cellStyle name="40% - Accent5 12 8 2" xfId="38227"/>
    <cellStyle name="40% - Accent5 12 8 2 2" xfId="38228"/>
    <cellStyle name="40% - Accent5 12 8 3" xfId="38229"/>
    <cellStyle name="40% - Accent5 12 9" xfId="38230"/>
    <cellStyle name="40% - Accent5 12 9 2" xfId="38231"/>
    <cellStyle name="40% - Accent5 13" xfId="38232"/>
    <cellStyle name="40% - Accent5 13 10" xfId="38233"/>
    <cellStyle name="40% - Accent5 13 2" xfId="38234"/>
    <cellStyle name="40% - Accent5 13 2 2" xfId="38235"/>
    <cellStyle name="40% - Accent5 13 2 2 2" xfId="38236"/>
    <cellStyle name="40% - Accent5 13 2 2 2 2" xfId="38237"/>
    <cellStyle name="40% - Accent5 13 2 2 2 2 2" xfId="38238"/>
    <cellStyle name="40% - Accent5 13 2 2 2 3" xfId="38239"/>
    <cellStyle name="40% - Accent5 13 2 2 3" xfId="38240"/>
    <cellStyle name="40% - Accent5 13 2 2 3 2" xfId="38241"/>
    <cellStyle name="40% - Accent5 13 2 2 4" xfId="38242"/>
    <cellStyle name="40% - Accent5 13 2 3" xfId="38243"/>
    <cellStyle name="40% - Accent5 13 2 3 2" xfId="38244"/>
    <cellStyle name="40% - Accent5 13 2 3 2 2" xfId="38245"/>
    <cellStyle name="40% - Accent5 13 2 3 3" xfId="38246"/>
    <cellStyle name="40% - Accent5 13 2 4" xfId="38247"/>
    <cellStyle name="40% - Accent5 13 2 4 2" xfId="38248"/>
    <cellStyle name="40% - Accent5 13 2 5" xfId="38249"/>
    <cellStyle name="40% - Accent5 13 3" xfId="38250"/>
    <cellStyle name="40% - Accent5 13 3 2" xfId="38251"/>
    <cellStyle name="40% - Accent5 13 3 2 2" xfId="38252"/>
    <cellStyle name="40% - Accent5 13 3 2 2 2" xfId="38253"/>
    <cellStyle name="40% - Accent5 13 3 2 2 2 2" xfId="38254"/>
    <cellStyle name="40% - Accent5 13 3 2 2 3" xfId="38255"/>
    <cellStyle name="40% - Accent5 13 3 2 3" xfId="38256"/>
    <cellStyle name="40% - Accent5 13 3 2 3 2" xfId="38257"/>
    <cellStyle name="40% - Accent5 13 3 2 4" xfId="38258"/>
    <cellStyle name="40% - Accent5 13 3 3" xfId="38259"/>
    <cellStyle name="40% - Accent5 13 3 3 2" xfId="38260"/>
    <cellStyle name="40% - Accent5 13 3 3 2 2" xfId="38261"/>
    <cellStyle name="40% - Accent5 13 3 3 3" xfId="38262"/>
    <cellStyle name="40% - Accent5 13 3 4" xfId="38263"/>
    <cellStyle name="40% - Accent5 13 3 4 2" xfId="38264"/>
    <cellStyle name="40% - Accent5 13 3 5" xfId="38265"/>
    <cellStyle name="40% - Accent5 13 4" xfId="38266"/>
    <cellStyle name="40% - Accent5 13 4 2" xfId="38267"/>
    <cellStyle name="40% - Accent5 13 4 2 2" xfId="38268"/>
    <cellStyle name="40% - Accent5 13 4 2 2 2" xfId="38269"/>
    <cellStyle name="40% - Accent5 13 4 2 2 2 2" xfId="38270"/>
    <cellStyle name="40% - Accent5 13 4 2 2 3" xfId="38271"/>
    <cellStyle name="40% - Accent5 13 4 2 3" xfId="38272"/>
    <cellStyle name="40% - Accent5 13 4 2 3 2" xfId="38273"/>
    <cellStyle name="40% - Accent5 13 4 2 4" xfId="38274"/>
    <cellStyle name="40% - Accent5 13 4 3" xfId="38275"/>
    <cellStyle name="40% - Accent5 13 4 3 2" xfId="38276"/>
    <cellStyle name="40% - Accent5 13 4 3 2 2" xfId="38277"/>
    <cellStyle name="40% - Accent5 13 4 3 3" xfId="38278"/>
    <cellStyle name="40% - Accent5 13 4 4" xfId="38279"/>
    <cellStyle name="40% - Accent5 13 4 4 2" xfId="38280"/>
    <cellStyle name="40% - Accent5 13 4 5" xfId="38281"/>
    <cellStyle name="40% - Accent5 13 5" xfId="38282"/>
    <cellStyle name="40% - Accent5 13 5 2" xfId="38283"/>
    <cellStyle name="40% - Accent5 13 5 2 2" xfId="38284"/>
    <cellStyle name="40% - Accent5 13 5 2 2 2" xfId="38285"/>
    <cellStyle name="40% - Accent5 13 5 2 2 2 2" xfId="38286"/>
    <cellStyle name="40% - Accent5 13 5 2 2 3" xfId="38287"/>
    <cellStyle name="40% - Accent5 13 5 2 3" xfId="38288"/>
    <cellStyle name="40% - Accent5 13 5 2 3 2" xfId="38289"/>
    <cellStyle name="40% - Accent5 13 5 2 4" xfId="38290"/>
    <cellStyle name="40% - Accent5 13 5 3" xfId="38291"/>
    <cellStyle name="40% - Accent5 13 5 3 2" xfId="38292"/>
    <cellStyle name="40% - Accent5 13 5 3 2 2" xfId="38293"/>
    <cellStyle name="40% - Accent5 13 5 3 3" xfId="38294"/>
    <cellStyle name="40% - Accent5 13 5 4" xfId="38295"/>
    <cellStyle name="40% - Accent5 13 5 4 2" xfId="38296"/>
    <cellStyle name="40% - Accent5 13 5 5" xfId="38297"/>
    <cellStyle name="40% - Accent5 13 6" xfId="38298"/>
    <cellStyle name="40% - Accent5 13 6 2" xfId="38299"/>
    <cellStyle name="40% - Accent5 13 6 2 2" xfId="38300"/>
    <cellStyle name="40% - Accent5 13 6 2 2 2" xfId="38301"/>
    <cellStyle name="40% - Accent5 13 6 2 2 2 2" xfId="38302"/>
    <cellStyle name="40% - Accent5 13 6 2 2 3" xfId="38303"/>
    <cellStyle name="40% - Accent5 13 6 2 3" xfId="38304"/>
    <cellStyle name="40% - Accent5 13 6 2 3 2" xfId="38305"/>
    <cellStyle name="40% - Accent5 13 6 2 4" xfId="38306"/>
    <cellStyle name="40% - Accent5 13 6 3" xfId="38307"/>
    <cellStyle name="40% - Accent5 13 6 3 2" xfId="38308"/>
    <cellStyle name="40% - Accent5 13 6 3 2 2" xfId="38309"/>
    <cellStyle name="40% - Accent5 13 6 3 3" xfId="38310"/>
    <cellStyle name="40% - Accent5 13 6 4" xfId="38311"/>
    <cellStyle name="40% - Accent5 13 6 4 2" xfId="38312"/>
    <cellStyle name="40% - Accent5 13 6 5" xfId="38313"/>
    <cellStyle name="40% - Accent5 13 7" xfId="38314"/>
    <cellStyle name="40% - Accent5 13 7 2" xfId="38315"/>
    <cellStyle name="40% - Accent5 13 7 2 2" xfId="38316"/>
    <cellStyle name="40% - Accent5 13 7 2 2 2" xfId="38317"/>
    <cellStyle name="40% - Accent5 13 7 2 3" xfId="38318"/>
    <cellStyle name="40% - Accent5 13 7 3" xfId="38319"/>
    <cellStyle name="40% - Accent5 13 7 3 2" xfId="38320"/>
    <cellStyle name="40% - Accent5 13 7 4" xfId="38321"/>
    <cellStyle name="40% - Accent5 13 8" xfId="38322"/>
    <cellStyle name="40% - Accent5 13 8 2" xfId="38323"/>
    <cellStyle name="40% - Accent5 13 8 2 2" xfId="38324"/>
    <cellStyle name="40% - Accent5 13 8 3" xfId="38325"/>
    <cellStyle name="40% - Accent5 13 9" xfId="38326"/>
    <cellStyle name="40% - Accent5 13 9 2" xfId="38327"/>
    <cellStyle name="40% - Accent5 14" xfId="38328"/>
    <cellStyle name="40% - Accent5 14 2" xfId="38329"/>
    <cellStyle name="40% - Accent5 14 2 2" xfId="38330"/>
    <cellStyle name="40% - Accent5 14 2 2 2" xfId="38331"/>
    <cellStyle name="40% - Accent5 14 2 2 2 2" xfId="38332"/>
    <cellStyle name="40% - Accent5 14 2 2 3" xfId="38333"/>
    <cellStyle name="40% - Accent5 14 2 3" xfId="38334"/>
    <cellStyle name="40% - Accent5 14 2 3 2" xfId="38335"/>
    <cellStyle name="40% - Accent5 14 2 4" xfId="38336"/>
    <cellStyle name="40% - Accent5 14 3" xfId="38337"/>
    <cellStyle name="40% - Accent5 14 3 2" xfId="38338"/>
    <cellStyle name="40% - Accent5 14 3 2 2" xfId="38339"/>
    <cellStyle name="40% - Accent5 14 3 3" xfId="38340"/>
    <cellStyle name="40% - Accent5 14 4" xfId="38341"/>
    <cellStyle name="40% - Accent5 14 4 2" xfId="38342"/>
    <cellStyle name="40% - Accent5 14 5" xfId="38343"/>
    <cellStyle name="40% - Accent5 15" xfId="38344"/>
    <cellStyle name="40% - Accent5 15 2" xfId="38345"/>
    <cellStyle name="40% - Accent5 15 2 2" xfId="38346"/>
    <cellStyle name="40% - Accent5 15 2 2 2" xfId="38347"/>
    <cellStyle name="40% - Accent5 15 2 2 2 2" xfId="38348"/>
    <cellStyle name="40% - Accent5 15 2 2 3" xfId="38349"/>
    <cellStyle name="40% - Accent5 15 2 3" xfId="38350"/>
    <cellStyle name="40% - Accent5 15 2 3 2" xfId="38351"/>
    <cellStyle name="40% - Accent5 15 2 4" xfId="38352"/>
    <cellStyle name="40% - Accent5 15 3" xfId="38353"/>
    <cellStyle name="40% - Accent5 15 3 2" xfId="38354"/>
    <cellStyle name="40% - Accent5 15 3 2 2" xfId="38355"/>
    <cellStyle name="40% - Accent5 15 3 3" xfId="38356"/>
    <cellStyle name="40% - Accent5 15 4" xfId="38357"/>
    <cellStyle name="40% - Accent5 15 4 2" xfId="38358"/>
    <cellStyle name="40% - Accent5 15 5" xfId="38359"/>
    <cellStyle name="40% - Accent5 16" xfId="38360"/>
    <cellStyle name="40% - Accent5 16 2" xfId="38361"/>
    <cellStyle name="40% - Accent5 16 2 2" xfId="38362"/>
    <cellStyle name="40% - Accent5 16 2 2 2" xfId="38363"/>
    <cellStyle name="40% - Accent5 16 2 2 2 2" xfId="38364"/>
    <cellStyle name="40% - Accent5 16 2 2 3" xfId="38365"/>
    <cellStyle name="40% - Accent5 16 2 3" xfId="38366"/>
    <cellStyle name="40% - Accent5 16 2 3 2" xfId="38367"/>
    <cellStyle name="40% - Accent5 16 2 4" xfId="38368"/>
    <cellStyle name="40% - Accent5 16 3" xfId="38369"/>
    <cellStyle name="40% - Accent5 16 3 2" xfId="38370"/>
    <cellStyle name="40% - Accent5 16 3 2 2" xfId="38371"/>
    <cellStyle name="40% - Accent5 16 3 3" xfId="38372"/>
    <cellStyle name="40% - Accent5 16 4" xfId="38373"/>
    <cellStyle name="40% - Accent5 16 4 2" xfId="38374"/>
    <cellStyle name="40% - Accent5 16 5" xfId="38375"/>
    <cellStyle name="40% - Accent5 17" xfId="38376"/>
    <cellStyle name="40% - Accent5 17 2" xfId="38377"/>
    <cellStyle name="40% - Accent5 17 2 2" xfId="38378"/>
    <cellStyle name="40% - Accent5 17 2 2 2" xfId="38379"/>
    <cellStyle name="40% - Accent5 17 2 2 2 2" xfId="38380"/>
    <cellStyle name="40% - Accent5 17 2 2 3" xfId="38381"/>
    <cellStyle name="40% - Accent5 17 2 3" xfId="38382"/>
    <cellStyle name="40% - Accent5 17 2 3 2" xfId="38383"/>
    <cellStyle name="40% - Accent5 17 2 4" xfId="38384"/>
    <cellStyle name="40% - Accent5 17 3" xfId="38385"/>
    <cellStyle name="40% - Accent5 17 3 2" xfId="38386"/>
    <cellStyle name="40% - Accent5 17 3 2 2" xfId="38387"/>
    <cellStyle name="40% - Accent5 17 3 3" xfId="38388"/>
    <cellStyle name="40% - Accent5 17 4" xfId="38389"/>
    <cellStyle name="40% - Accent5 17 4 2" xfId="38390"/>
    <cellStyle name="40% - Accent5 17 5" xfId="38391"/>
    <cellStyle name="40% - Accent5 18" xfId="38392"/>
    <cellStyle name="40% - Accent5 18 2" xfId="38393"/>
    <cellStyle name="40% - Accent5 18 2 2" xfId="38394"/>
    <cellStyle name="40% - Accent5 18 2 2 2" xfId="38395"/>
    <cellStyle name="40% - Accent5 18 2 2 2 2" xfId="38396"/>
    <cellStyle name="40% - Accent5 18 2 2 3" xfId="38397"/>
    <cellStyle name="40% - Accent5 18 2 3" xfId="38398"/>
    <cellStyle name="40% - Accent5 18 2 3 2" xfId="38399"/>
    <cellStyle name="40% - Accent5 18 2 4" xfId="38400"/>
    <cellStyle name="40% - Accent5 18 3" xfId="38401"/>
    <cellStyle name="40% - Accent5 18 3 2" xfId="38402"/>
    <cellStyle name="40% - Accent5 18 3 2 2" xfId="38403"/>
    <cellStyle name="40% - Accent5 18 3 3" xfId="38404"/>
    <cellStyle name="40% - Accent5 18 4" xfId="38405"/>
    <cellStyle name="40% - Accent5 18 4 2" xfId="38406"/>
    <cellStyle name="40% - Accent5 18 5" xfId="38407"/>
    <cellStyle name="40% - Accent5 19" xfId="38408"/>
    <cellStyle name="40% - Accent5 19 2" xfId="38409"/>
    <cellStyle name="40% - Accent5 19 2 2" xfId="38410"/>
    <cellStyle name="40% - Accent5 19 2 2 2" xfId="38411"/>
    <cellStyle name="40% - Accent5 19 2 2 2 2" xfId="38412"/>
    <cellStyle name="40% - Accent5 19 2 2 3" xfId="38413"/>
    <cellStyle name="40% - Accent5 19 2 3" xfId="38414"/>
    <cellStyle name="40% - Accent5 19 2 3 2" xfId="38415"/>
    <cellStyle name="40% - Accent5 19 2 4" xfId="38416"/>
    <cellStyle name="40% - Accent5 19 3" xfId="38417"/>
    <cellStyle name="40% - Accent5 19 3 2" xfId="38418"/>
    <cellStyle name="40% - Accent5 19 3 2 2" xfId="38419"/>
    <cellStyle name="40% - Accent5 19 3 3" xfId="38420"/>
    <cellStyle name="40% - Accent5 19 4" xfId="38421"/>
    <cellStyle name="40% - Accent5 19 4 2" xfId="38422"/>
    <cellStyle name="40% - Accent5 19 5" xfId="38423"/>
    <cellStyle name="40% - Accent5 2" xfId="38424"/>
    <cellStyle name="40% - Accent5 2 10" xfId="38425"/>
    <cellStyle name="40% - Accent5 2 10 10" xfId="38426"/>
    <cellStyle name="40% - Accent5 2 10 2" xfId="38427"/>
    <cellStyle name="40% - Accent5 2 10 2 2" xfId="38428"/>
    <cellStyle name="40% - Accent5 2 10 2 2 2" xfId="38429"/>
    <cellStyle name="40% - Accent5 2 10 2 2 2 2" xfId="38430"/>
    <cellStyle name="40% - Accent5 2 10 2 2 2 2 2" xfId="38431"/>
    <cellStyle name="40% - Accent5 2 10 2 2 2 3" xfId="38432"/>
    <cellStyle name="40% - Accent5 2 10 2 2 3" xfId="38433"/>
    <cellStyle name="40% - Accent5 2 10 2 2 3 2" xfId="38434"/>
    <cellStyle name="40% - Accent5 2 10 2 2 4" xfId="38435"/>
    <cellStyle name="40% - Accent5 2 10 2 3" xfId="38436"/>
    <cellStyle name="40% - Accent5 2 10 2 3 2" xfId="38437"/>
    <cellStyle name="40% - Accent5 2 10 2 3 2 2" xfId="38438"/>
    <cellStyle name="40% - Accent5 2 10 2 3 3" xfId="38439"/>
    <cellStyle name="40% - Accent5 2 10 2 4" xfId="38440"/>
    <cellStyle name="40% - Accent5 2 10 2 4 2" xfId="38441"/>
    <cellStyle name="40% - Accent5 2 10 2 5" xfId="38442"/>
    <cellStyle name="40% - Accent5 2 10 3" xfId="38443"/>
    <cellStyle name="40% - Accent5 2 10 3 2" xfId="38444"/>
    <cellStyle name="40% - Accent5 2 10 3 2 2" xfId="38445"/>
    <cellStyle name="40% - Accent5 2 10 3 2 2 2" xfId="38446"/>
    <cellStyle name="40% - Accent5 2 10 3 2 2 2 2" xfId="38447"/>
    <cellStyle name="40% - Accent5 2 10 3 2 2 3" xfId="38448"/>
    <cellStyle name="40% - Accent5 2 10 3 2 3" xfId="38449"/>
    <cellStyle name="40% - Accent5 2 10 3 2 3 2" xfId="38450"/>
    <cellStyle name="40% - Accent5 2 10 3 2 4" xfId="38451"/>
    <cellStyle name="40% - Accent5 2 10 3 3" xfId="38452"/>
    <cellStyle name="40% - Accent5 2 10 3 3 2" xfId="38453"/>
    <cellStyle name="40% - Accent5 2 10 3 3 2 2" xfId="38454"/>
    <cellStyle name="40% - Accent5 2 10 3 3 3" xfId="38455"/>
    <cellStyle name="40% - Accent5 2 10 3 4" xfId="38456"/>
    <cellStyle name="40% - Accent5 2 10 3 4 2" xfId="38457"/>
    <cellStyle name="40% - Accent5 2 10 3 5" xfId="38458"/>
    <cellStyle name="40% - Accent5 2 10 4" xfId="38459"/>
    <cellStyle name="40% - Accent5 2 10 4 2" xfId="38460"/>
    <cellStyle name="40% - Accent5 2 10 4 2 2" xfId="38461"/>
    <cellStyle name="40% - Accent5 2 10 4 2 2 2" xfId="38462"/>
    <cellStyle name="40% - Accent5 2 10 4 2 2 2 2" xfId="38463"/>
    <cellStyle name="40% - Accent5 2 10 4 2 2 3" xfId="38464"/>
    <cellStyle name="40% - Accent5 2 10 4 2 3" xfId="38465"/>
    <cellStyle name="40% - Accent5 2 10 4 2 3 2" xfId="38466"/>
    <cellStyle name="40% - Accent5 2 10 4 2 4" xfId="38467"/>
    <cellStyle name="40% - Accent5 2 10 4 3" xfId="38468"/>
    <cellStyle name="40% - Accent5 2 10 4 3 2" xfId="38469"/>
    <cellStyle name="40% - Accent5 2 10 4 3 2 2" xfId="38470"/>
    <cellStyle name="40% - Accent5 2 10 4 3 3" xfId="38471"/>
    <cellStyle name="40% - Accent5 2 10 4 4" xfId="38472"/>
    <cellStyle name="40% - Accent5 2 10 4 4 2" xfId="38473"/>
    <cellStyle name="40% - Accent5 2 10 4 5" xfId="38474"/>
    <cellStyle name="40% - Accent5 2 10 5" xfId="38475"/>
    <cellStyle name="40% - Accent5 2 10 5 2" xfId="38476"/>
    <cellStyle name="40% - Accent5 2 10 5 2 2" xfId="38477"/>
    <cellStyle name="40% - Accent5 2 10 5 2 2 2" xfId="38478"/>
    <cellStyle name="40% - Accent5 2 10 5 2 2 2 2" xfId="38479"/>
    <cellStyle name="40% - Accent5 2 10 5 2 2 3" xfId="38480"/>
    <cellStyle name="40% - Accent5 2 10 5 2 3" xfId="38481"/>
    <cellStyle name="40% - Accent5 2 10 5 2 3 2" xfId="38482"/>
    <cellStyle name="40% - Accent5 2 10 5 2 4" xfId="38483"/>
    <cellStyle name="40% - Accent5 2 10 5 3" xfId="38484"/>
    <cellStyle name="40% - Accent5 2 10 5 3 2" xfId="38485"/>
    <cellStyle name="40% - Accent5 2 10 5 3 2 2" xfId="38486"/>
    <cellStyle name="40% - Accent5 2 10 5 3 3" xfId="38487"/>
    <cellStyle name="40% - Accent5 2 10 5 4" xfId="38488"/>
    <cellStyle name="40% - Accent5 2 10 5 4 2" xfId="38489"/>
    <cellStyle name="40% - Accent5 2 10 5 5" xfId="38490"/>
    <cellStyle name="40% - Accent5 2 10 6" xfId="38491"/>
    <cellStyle name="40% - Accent5 2 10 6 2" xfId="38492"/>
    <cellStyle name="40% - Accent5 2 10 6 2 2" xfId="38493"/>
    <cellStyle name="40% - Accent5 2 10 6 2 2 2" xfId="38494"/>
    <cellStyle name="40% - Accent5 2 10 6 2 2 2 2" xfId="38495"/>
    <cellStyle name="40% - Accent5 2 10 6 2 2 3" xfId="38496"/>
    <cellStyle name="40% - Accent5 2 10 6 2 3" xfId="38497"/>
    <cellStyle name="40% - Accent5 2 10 6 2 3 2" xfId="38498"/>
    <cellStyle name="40% - Accent5 2 10 6 2 4" xfId="38499"/>
    <cellStyle name="40% - Accent5 2 10 6 3" xfId="38500"/>
    <cellStyle name="40% - Accent5 2 10 6 3 2" xfId="38501"/>
    <cellStyle name="40% - Accent5 2 10 6 3 2 2" xfId="38502"/>
    <cellStyle name="40% - Accent5 2 10 6 3 3" xfId="38503"/>
    <cellStyle name="40% - Accent5 2 10 6 4" xfId="38504"/>
    <cellStyle name="40% - Accent5 2 10 6 4 2" xfId="38505"/>
    <cellStyle name="40% - Accent5 2 10 6 5" xfId="38506"/>
    <cellStyle name="40% - Accent5 2 10 7" xfId="38507"/>
    <cellStyle name="40% - Accent5 2 10 7 2" xfId="38508"/>
    <cellStyle name="40% - Accent5 2 10 7 2 2" xfId="38509"/>
    <cellStyle name="40% - Accent5 2 10 7 2 2 2" xfId="38510"/>
    <cellStyle name="40% - Accent5 2 10 7 2 3" xfId="38511"/>
    <cellStyle name="40% - Accent5 2 10 7 3" xfId="38512"/>
    <cellStyle name="40% - Accent5 2 10 7 3 2" xfId="38513"/>
    <cellStyle name="40% - Accent5 2 10 7 4" xfId="38514"/>
    <cellStyle name="40% - Accent5 2 10 8" xfId="38515"/>
    <cellStyle name="40% - Accent5 2 10 8 2" xfId="38516"/>
    <cellStyle name="40% - Accent5 2 10 8 2 2" xfId="38517"/>
    <cellStyle name="40% - Accent5 2 10 8 3" xfId="38518"/>
    <cellStyle name="40% - Accent5 2 10 9" xfId="38519"/>
    <cellStyle name="40% - Accent5 2 10 9 2" xfId="38520"/>
    <cellStyle name="40% - Accent5 2 11" xfId="38521"/>
    <cellStyle name="40% - Accent5 2 11 2" xfId="38522"/>
    <cellStyle name="40% - Accent5 2 11 2 2" xfId="38523"/>
    <cellStyle name="40% - Accent5 2 11 2 2 2" xfId="38524"/>
    <cellStyle name="40% - Accent5 2 11 2 2 2 2" xfId="38525"/>
    <cellStyle name="40% - Accent5 2 11 2 2 3" xfId="38526"/>
    <cellStyle name="40% - Accent5 2 11 2 3" xfId="38527"/>
    <cellStyle name="40% - Accent5 2 11 2 3 2" xfId="38528"/>
    <cellStyle name="40% - Accent5 2 11 2 4" xfId="38529"/>
    <cellStyle name="40% - Accent5 2 11 3" xfId="38530"/>
    <cellStyle name="40% - Accent5 2 11 3 2" xfId="38531"/>
    <cellStyle name="40% - Accent5 2 11 3 2 2" xfId="38532"/>
    <cellStyle name="40% - Accent5 2 11 3 3" xfId="38533"/>
    <cellStyle name="40% - Accent5 2 11 4" xfId="38534"/>
    <cellStyle name="40% - Accent5 2 11 4 2" xfId="38535"/>
    <cellStyle name="40% - Accent5 2 11 5" xfId="38536"/>
    <cellStyle name="40% - Accent5 2 12" xfId="38537"/>
    <cellStyle name="40% - Accent5 2 12 2" xfId="38538"/>
    <cellStyle name="40% - Accent5 2 12 2 2" xfId="38539"/>
    <cellStyle name="40% - Accent5 2 12 2 2 2" xfId="38540"/>
    <cellStyle name="40% - Accent5 2 12 2 2 2 2" xfId="38541"/>
    <cellStyle name="40% - Accent5 2 12 2 2 3" xfId="38542"/>
    <cellStyle name="40% - Accent5 2 12 2 3" xfId="38543"/>
    <cellStyle name="40% - Accent5 2 12 2 3 2" xfId="38544"/>
    <cellStyle name="40% - Accent5 2 12 2 4" xfId="38545"/>
    <cellStyle name="40% - Accent5 2 12 3" xfId="38546"/>
    <cellStyle name="40% - Accent5 2 12 3 2" xfId="38547"/>
    <cellStyle name="40% - Accent5 2 12 3 2 2" xfId="38548"/>
    <cellStyle name="40% - Accent5 2 12 3 3" xfId="38549"/>
    <cellStyle name="40% - Accent5 2 12 4" xfId="38550"/>
    <cellStyle name="40% - Accent5 2 12 4 2" xfId="38551"/>
    <cellStyle name="40% - Accent5 2 12 5" xfId="38552"/>
    <cellStyle name="40% - Accent5 2 13" xfId="38553"/>
    <cellStyle name="40% - Accent5 2 13 2" xfId="38554"/>
    <cellStyle name="40% - Accent5 2 13 2 2" xfId="38555"/>
    <cellStyle name="40% - Accent5 2 13 2 2 2" xfId="38556"/>
    <cellStyle name="40% - Accent5 2 13 2 2 2 2" xfId="38557"/>
    <cellStyle name="40% - Accent5 2 13 2 2 3" xfId="38558"/>
    <cellStyle name="40% - Accent5 2 13 2 3" xfId="38559"/>
    <cellStyle name="40% - Accent5 2 13 2 3 2" xfId="38560"/>
    <cellStyle name="40% - Accent5 2 13 2 4" xfId="38561"/>
    <cellStyle name="40% - Accent5 2 13 3" xfId="38562"/>
    <cellStyle name="40% - Accent5 2 13 3 2" xfId="38563"/>
    <cellStyle name="40% - Accent5 2 13 3 2 2" xfId="38564"/>
    <cellStyle name="40% - Accent5 2 13 3 3" xfId="38565"/>
    <cellStyle name="40% - Accent5 2 13 4" xfId="38566"/>
    <cellStyle name="40% - Accent5 2 13 4 2" xfId="38567"/>
    <cellStyle name="40% - Accent5 2 13 5" xfId="38568"/>
    <cellStyle name="40% - Accent5 2 14" xfId="38569"/>
    <cellStyle name="40% - Accent5 2 14 2" xfId="38570"/>
    <cellStyle name="40% - Accent5 2 14 2 2" xfId="38571"/>
    <cellStyle name="40% - Accent5 2 14 2 2 2" xfId="38572"/>
    <cellStyle name="40% - Accent5 2 14 2 2 2 2" xfId="38573"/>
    <cellStyle name="40% - Accent5 2 14 2 2 3" xfId="38574"/>
    <cellStyle name="40% - Accent5 2 14 2 3" xfId="38575"/>
    <cellStyle name="40% - Accent5 2 14 2 3 2" xfId="38576"/>
    <cellStyle name="40% - Accent5 2 14 2 4" xfId="38577"/>
    <cellStyle name="40% - Accent5 2 14 3" xfId="38578"/>
    <cellStyle name="40% - Accent5 2 14 3 2" xfId="38579"/>
    <cellStyle name="40% - Accent5 2 14 3 2 2" xfId="38580"/>
    <cellStyle name="40% - Accent5 2 14 3 3" xfId="38581"/>
    <cellStyle name="40% - Accent5 2 14 4" xfId="38582"/>
    <cellStyle name="40% - Accent5 2 14 4 2" xfId="38583"/>
    <cellStyle name="40% - Accent5 2 14 5" xfId="38584"/>
    <cellStyle name="40% - Accent5 2 15" xfId="38585"/>
    <cellStyle name="40% - Accent5 2 15 2" xfId="38586"/>
    <cellStyle name="40% - Accent5 2 15 2 2" xfId="38587"/>
    <cellStyle name="40% - Accent5 2 15 2 2 2" xfId="38588"/>
    <cellStyle name="40% - Accent5 2 15 2 2 2 2" xfId="38589"/>
    <cellStyle name="40% - Accent5 2 15 2 2 3" xfId="38590"/>
    <cellStyle name="40% - Accent5 2 15 2 3" xfId="38591"/>
    <cellStyle name="40% - Accent5 2 15 2 3 2" xfId="38592"/>
    <cellStyle name="40% - Accent5 2 15 2 4" xfId="38593"/>
    <cellStyle name="40% - Accent5 2 15 3" xfId="38594"/>
    <cellStyle name="40% - Accent5 2 15 3 2" xfId="38595"/>
    <cellStyle name="40% - Accent5 2 15 3 2 2" xfId="38596"/>
    <cellStyle name="40% - Accent5 2 15 3 3" xfId="38597"/>
    <cellStyle name="40% - Accent5 2 15 4" xfId="38598"/>
    <cellStyle name="40% - Accent5 2 15 4 2" xfId="38599"/>
    <cellStyle name="40% - Accent5 2 15 5" xfId="38600"/>
    <cellStyle name="40% - Accent5 2 16" xfId="38601"/>
    <cellStyle name="40% - Accent5 2 16 2" xfId="38602"/>
    <cellStyle name="40% - Accent5 2 16 2 2" xfId="38603"/>
    <cellStyle name="40% - Accent5 2 16 2 2 2" xfId="38604"/>
    <cellStyle name="40% - Accent5 2 16 2 3" xfId="38605"/>
    <cellStyle name="40% - Accent5 2 16 3" xfId="38606"/>
    <cellStyle name="40% - Accent5 2 16 3 2" xfId="38607"/>
    <cellStyle name="40% - Accent5 2 16 4" xfId="38608"/>
    <cellStyle name="40% - Accent5 2 17" xfId="38609"/>
    <cellStyle name="40% - Accent5 2 17 2" xfId="38610"/>
    <cellStyle name="40% - Accent5 2 17 2 2" xfId="38611"/>
    <cellStyle name="40% - Accent5 2 17 3" xfId="38612"/>
    <cellStyle name="40% - Accent5 2 18" xfId="38613"/>
    <cellStyle name="40% - Accent5 2 18 2" xfId="38614"/>
    <cellStyle name="40% - Accent5 2 19" xfId="38615"/>
    <cellStyle name="40% - Accent5 2 2" xfId="38616"/>
    <cellStyle name="40% - Accent5 2 2 10" xfId="38617"/>
    <cellStyle name="40% - Accent5 2 2 10 2" xfId="38618"/>
    <cellStyle name="40% - Accent5 2 2 11" xfId="38619"/>
    <cellStyle name="40% - Accent5 2 2 2" xfId="38620"/>
    <cellStyle name="40% - Accent5 2 2 2 10" xfId="38621"/>
    <cellStyle name="40% - Accent5 2 2 2 2" xfId="38622"/>
    <cellStyle name="40% - Accent5 2 2 2 2 2" xfId="38623"/>
    <cellStyle name="40% - Accent5 2 2 2 2 2 2" xfId="38624"/>
    <cellStyle name="40% - Accent5 2 2 2 2 2 2 2" xfId="38625"/>
    <cellStyle name="40% - Accent5 2 2 2 2 2 2 2 2" xfId="38626"/>
    <cellStyle name="40% - Accent5 2 2 2 2 2 2 3" xfId="38627"/>
    <cellStyle name="40% - Accent5 2 2 2 2 2 3" xfId="38628"/>
    <cellStyle name="40% - Accent5 2 2 2 2 2 3 2" xfId="38629"/>
    <cellStyle name="40% - Accent5 2 2 2 2 2 4" xfId="38630"/>
    <cellStyle name="40% - Accent5 2 2 2 2 3" xfId="38631"/>
    <cellStyle name="40% - Accent5 2 2 2 2 3 2" xfId="38632"/>
    <cellStyle name="40% - Accent5 2 2 2 2 3 2 2" xfId="38633"/>
    <cellStyle name="40% - Accent5 2 2 2 2 3 3" xfId="38634"/>
    <cellStyle name="40% - Accent5 2 2 2 2 4" xfId="38635"/>
    <cellStyle name="40% - Accent5 2 2 2 2 4 2" xfId="38636"/>
    <cellStyle name="40% - Accent5 2 2 2 2 5" xfId="38637"/>
    <cellStyle name="40% - Accent5 2 2 2 3" xfId="38638"/>
    <cellStyle name="40% - Accent5 2 2 2 3 2" xfId="38639"/>
    <cellStyle name="40% - Accent5 2 2 2 3 2 2" xfId="38640"/>
    <cellStyle name="40% - Accent5 2 2 2 3 2 2 2" xfId="38641"/>
    <cellStyle name="40% - Accent5 2 2 2 3 2 2 2 2" xfId="38642"/>
    <cellStyle name="40% - Accent5 2 2 2 3 2 2 3" xfId="38643"/>
    <cellStyle name="40% - Accent5 2 2 2 3 2 3" xfId="38644"/>
    <cellStyle name="40% - Accent5 2 2 2 3 2 3 2" xfId="38645"/>
    <cellStyle name="40% - Accent5 2 2 2 3 2 4" xfId="38646"/>
    <cellStyle name="40% - Accent5 2 2 2 3 3" xfId="38647"/>
    <cellStyle name="40% - Accent5 2 2 2 3 3 2" xfId="38648"/>
    <cellStyle name="40% - Accent5 2 2 2 3 3 2 2" xfId="38649"/>
    <cellStyle name="40% - Accent5 2 2 2 3 3 3" xfId="38650"/>
    <cellStyle name="40% - Accent5 2 2 2 3 4" xfId="38651"/>
    <cellStyle name="40% - Accent5 2 2 2 3 4 2" xfId="38652"/>
    <cellStyle name="40% - Accent5 2 2 2 3 5" xfId="38653"/>
    <cellStyle name="40% - Accent5 2 2 2 4" xfId="38654"/>
    <cellStyle name="40% - Accent5 2 2 2 4 2" xfId="38655"/>
    <cellStyle name="40% - Accent5 2 2 2 4 2 2" xfId="38656"/>
    <cellStyle name="40% - Accent5 2 2 2 4 2 2 2" xfId="38657"/>
    <cellStyle name="40% - Accent5 2 2 2 4 2 2 2 2" xfId="38658"/>
    <cellStyle name="40% - Accent5 2 2 2 4 2 2 3" xfId="38659"/>
    <cellStyle name="40% - Accent5 2 2 2 4 2 3" xfId="38660"/>
    <cellStyle name="40% - Accent5 2 2 2 4 2 3 2" xfId="38661"/>
    <cellStyle name="40% - Accent5 2 2 2 4 2 4" xfId="38662"/>
    <cellStyle name="40% - Accent5 2 2 2 4 3" xfId="38663"/>
    <cellStyle name="40% - Accent5 2 2 2 4 3 2" xfId="38664"/>
    <cellStyle name="40% - Accent5 2 2 2 4 3 2 2" xfId="38665"/>
    <cellStyle name="40% - Accent5 2 2 2 4 3 3" xfId="38666"/>
    <cellStyle name="40% - Accent5 2 2 2 4 4" xfId="38667"/>
    <cellStyle name="40% - Accent5 2 2 2 4 4 2" xfId="38668"/>
    <cellStyle name="40% - Accent5 2 2 2 4 5" xfId="38669"/>
    <cellStyle name="40% - Accent5 2 2 2 5" xfId="38670"/>
    <cellStyle name="40% - Accent5 2 2 2 5 2" xfId="38671"/>
    <cellStyle name="40% - Accent5 2 2 2 5 2 2" xfId="38672"/>
    <cellStyle name="40% - Accent5 2 2 2 5 2 2 2" xfId="38673"/>
    <cellStyle name="40% - Accent5 2 2 2 5 2 2 2 2" xfId="38674"/>
    <cellStyle name="40% - Accent5 2 2 2 5 2 2 3" xfId="38675"/>
    <cellStyle name="40% - Accent5 2 2 2 5 2 3" xfId="38676"/>
    <cellStyle name="40% - Accent5 2 2 2 5 2 3 2" xfId="38677"/>
    <cellStyle name="40% - Accent5 2 2 2 5 2 4" xfId="38678"/>
    <cellStyle name="40% - Accent5 2 2 2 5 3" xfId="38679"/>
    <cellStyle name="40% - Accent5 2 2 2 5 3 2" xfId="38680"/>
    <cellStyle name="40% - Accent5 2 2 2 5 3 2 2" xfId="38681"/>
    <cellStyle name="40% - Accent5 2 2 2 5 3 3" xfId="38682"/>
    <cellStyle name="40% - Accent5 2 2 2 5 4" xfId="38683"/>
    <cellStyle name="40% - Accent5 2 2 2 5 4 2" xfId="38684"/>
    <cellStyle name="40% - Accent5 2 2 2 5 5" xfId="38685"/>
    <cellStyle name="40% - Accent5 2 2 2 6" xfId="38686"/>
    <cellStyle name="40% - Accent5 2 2 2 6 2" xfId="38687"/>
    <cellStyle name="40% - Accent5 2 2 2 6 2 2" xfId="38688"/>
    <cellStyle name="40% - Accent5 2 2 2 6 2 2 2" xfId="38689"/>
    <cellStyle name="40% - Accent5 2 2 2 6 2 2 2 2" xfId="38690"/>
    <cellStyle name="40% - Accent5 2 2 2 6 2 2 3" xfId="38691"/>
    <cellStyle name="40% - Accent5 2 2 2 6 2 3" xfId="38692"/>
    <cellStyle name="40% - Accent5 2 2 2 6 2 3 2" xfId="38693"/>
    <cellStyle name="40% - Accent5 2 2 2 6 2 4" xfId="38694"/>
    <cellStyle name="40% - Accent5 2 2 2 6 3" xfId="38695"/>
    <cellStyle name="40% - Accent5 2 2 2 6 3 2" xfId="38696"/>
    <cellStyle name="40% - Accent5 2 2 2 6 3 2 2" xfId="38697"/>
    <cellStyle name="40% - Accent5 2 2 2 6 3 3" xfId="38698"/>
    <cellStyle name="40% - Accent5 2 2 2 6 4" xfId="38699"/>
    <cellStyle name="40% - Accent5 2 2 2 6 4 2" xfId="38700"/>
    <cellStyle name="40% - Accent5 2 2 2 6 5" xfId="38701"/>
    <cellStyle name="40% - Accent5 2 2 2 7" xfId="38702"/>
    <cellStyle name="40% - Accent5 2 2 2 7 2" xfId="38703"/>
    <cellStyle name="40% - Accent5 2 2 2 7 2 2" xfId="38704"/>
    <cellStyle name="40% - Accent5 2 2 2 7 2 2 2" xfId="38705"/>
    <cellStyle name="40% - Accent5 2 2 2 7 2 3" xfId="38706"/>
    <cellStyle name="40% - Accent5 2 2 2 7 3" xfId="38707"/>
    <cellStyle name="40% - Accent5 2 2 2 7 3 2" xfId="38708"/>
    <cellStyle name="40% - Accent5 2 2 2 7 4" xfId="38709"/>
    <cellStyle name="40% - Accent5 2 2 2 8" xfId="38710"/>
    <cellStyle name="40% - Accent5 2 2 2 8 2" xfId="38711"/>
    <cellStyle name="40% - Accent5 2 2 2 8 2 2" xfId="38712"/>
    <cellStyle name="40% - Accent5 2 2 2 8 3" xfId="38713"/>
    <cellStyle name="40% - Accent5 2 2 2 9" xfId="38714"/>
    <cellStyle name="40% - Accent5 2 2 2 9 2" xfId="38715"/>
    <cellStyle name="40% - Accent5 2 2 3" xfId="38716"/>
    <cellStyle name="40% - Accent5 2 2 3 2" xfId="38717"/>
    <cellStyle name="40% - Accent5 2 2 3 2 2" xfId="38718"/>
    <cellStyle name="40% - Accent5 2 2 3 2 2 2" xfId="38719"/>
    <cellStyle name="40% - Accent5 2 2 3 2 2 2 2" xfId="38720"/>
    <cellStyle name="40% - Accent5 2 2 3 2 2 3" xfId="38721"/>
    <cellStyle name="40% - Accent5 2 2 3 2 3" xfId="38722"/>
    <cellStyle name="40% - Accent5 2 2 3 2 3 2" xfId="38723"/>
    <cellStyle name="40% - Accent5 2 2 3 2 4" xfId="38724"/>
    <cellStyle name="40% - Accent5 2 2 3 3" xfId="38725"/>
    <cellStyle name="40% - Accent5 2 2 3 3 2" xfId="38726"/>
    <cellStyle name="40% - Accent5 2 2 3 3 2 2" xfId="38727"/>
    <cellStyle name="40% - Accent5 2 2 3 3 3" xfId="38728"/>
    <cellStyle name="40% - Accent5 2 2 3 4" xfId="38729"/>
    <cellStyle name="40% - Accent5 2 2 3 4 2" xfId="38730"/>
    <cellStyle name="40% - Accent5 2 2 3 5" xfId="38731"/>
    <cellStyle name="40% - Accent5 2 2 4" xfId="38732"/>
    <cellStyle name="40% - Accent5 2 2 4 2" xfId="38733"/>
    <cellStyle name="40% - Accent5 2 2 4 2 2" xfId="38734"/>
    <cellStyle name="40% - Accent5 2 2 4 2 2 2" xfId="38735"/>
    <cellStyle name="40% - Accent5 2 2 4 2 2 2 2" xfId="38736"/>
    <cellStyle name="40% - Accent5 2 2 4 2 2 3" xfId="38737"/>
    <cellStyle name="40% - Accent5 2 2 4 2 3" xfId="38738"/>
    <cellStyle name="40% - Accent5 2 2 4 2 3 2" xfId="38739"/>
    <cellStyle name="40% - Accent5 2 2 4 2 4" xfId="38740"/>
    <cellStyle name="40% - Accent5 2 2 4 3" xfId="38741"/>
    <cellStyle name="40% - Accent5 2 2 4 3 2" xfId="38742"/>
    <cellStyle name="40% - Accent5 2 2 4 3 2 2" xfId="38743"/>
    <cellStyle name="40% - Accent5 2 2 4 3 3" xfId="38744"/>
    <cellStyle name="40% - Accent5 2 2 4 4" xfId="38745"/>
    <cellStyle name="40% - Accent5 2 2 4 4 2" xfId="38746"/>
    <cellStyle name="40% - Accent5 2 2 4 5" xfId="38747"/>
    <cellStyle name="40% - Accent5 2 2 5" xfId="38748"/>
    <cellStyle name="40% - Accent5 2 2 5 2" xfId="38749"/>
    <cellStyle name="40% - Accent5 2 2 5 2 2" xfId="38750"/>
    <cellStyle name="40% - Accent5 2 2 5 2 2 2" xfId="38751"/>
    <cellStyle name="40% - Accent5 2 2 5 2 2 2 2" xfId="38752"/>
    <cellStyle name="40% - Accent5 2 2 5 2 2 3" xfId="38753"/>
    <cellStyle name="40% - Accent5 2 2 5 2 3" xfId="38754"/>
    <cellStyle name="40% - Accent5 2 2 5 2 3 2" xfId="38755"/>
    <cellStyle name="40% - Accent5 2 2 5 2 4" xfId="38756"/>
    <cellStyle name="40% - Accent5 2 2 5 3" xfId="38757"/>
    <cellStyle name="40% - Accent5 2 2 5 3 2" xfId="38758"/>
    <cellStyle name="40% - Accent5 2 2 5 3 2 2" xfId="38759"/>
    <cellStyle name="40% - Accent5 2 2 5 3 3" xfId="38760"/>
    <cellStyle name="40% - Accent5 2 2 5 4" xfId="38761"/>
    <cellStyle name="40% - Accent5 2 2 5 4 2" xfId="38762"/>
    <cellStyle name="40% - Accent5 2 2 5 5" xfId="38763"/>
    <cellStyle name="40% - Accent5 2 2 6" xfId="38764"/>
    <cellStyle name="40% - Accent5 2 2 6 2" xfId="38765"/>
    <cellStyle name="40% - Accent5 2 2 6 2 2" xfId="38766"/>
    <cellStyle name="40% - Accent5 2 2 6 2 2 2" xfId="38767"/>
    <cellStyle name="40% - Accent5 2 2 6 2 2 2 2" xfId="38768"/>
    <cellStyle name="40% - Accent5 2 2 6 2 2 3" xfId="38769"/>
    <cellStyle name="40% - Accent5 2 2 6 2 3" xfId="38770"/>
    <cellStyle name="40% - Accent5 2 2 6 2 3 2" xfId="38771"/>
    <cellStyle name="40% - Accent5 2 2 6 2 4" xfId="38772"/>
    <cellStyle name="40% - Accent5 2 2 6 3" xfId="38773"/>
    <cellStyle name="40% - Accent5 2 2 6 3 2" xfId="38774"/>
    <cellStyle name="40% - Accent5 2 2 6 3 2 2" xfId="38775"/>
    <cellStyle name="40% - Accent5 2 2 6 3 3" xfId="38776"/>
    <cellStyle name="40% - Accent5 2 2 6 4" xfId="38777"/>
    <cellStyle name="40% - Accent5 2 2 6 4 2" xfId="38778"/>
    <cellStyle name="40% - Accent5 2 2 6 5" xfId="38779"/>
    <cellStyle name="40% - Accent5 2 2 7" xfId="38780"/>
    <cellStyle name="40% - Accent5 2 2 7 2" xfId="38781"/>
    <cellStyle name="40% - Accent5 2 2 7 2 2" xfId="38782"/>
    <cellStyle name="40% - Accent5 2 2 7 2 2 2" xfId="38783"/>
    <cellStyle name="40% - Accent5 2 2 7 2 2 2 2" xfId="38784"/>
    <cellStyle name="40% - Accent5 2 2 7 2 2 3" xfId="38785"/>
    <cellStyle name="40% - Accent5 2 2 7 2 3" xfId="38786"/>
    <cellStyle name="40% - Accent5 2 2 7 2 3 2" xfId="38787"/>
    <cellStyle name="40% - Accent5 2 2 7 2 4" xfId="38788"/>
    <cellStyle name="40% - Accent5 2 2 7 3" xfId="38789"/>
    <cellStyle name="40% - Accent5 2 2 7 3 2" xfId="38790"/>
    <cellStyle name="40% - Accent5 2 2 7 3 2 2" xfId="38791"/>
    <cellStyle name="40% - Accent5 2 2 7 3 3" xfId="38792"/>
    <cellStyle name="40% - Accent5 2 2 7 4" xfId="38793"/>
    <cellStyle name="40% - Accent5 2 2 7 4 2" xfId="38794"/>
    <cellStyle name="40% - Accent5 2 2 7 5" xfId="38795"/>
    <cellStyle name="40% - Accent5 2 2 8" xfId="38796"/>
    <cellStyle name="40% - Accent5 2 2 8 2" xfId="38797"/>
    <cellStyle name="40% - Accent5 2 2 8 2 2" xfId="38798"/>
    <cellStyle name="40% - Accent5 2 2 8 2 2 2" xfId="38799"/>
    <cellStyle name="40% - Accent5 2 2 8 2 3" xfId="38800"/>
    <cellStyle name="40% - Accent5 2 2 8 3" xfId="38801"/>
    <cellStyle name="40% - Accent5 2 2 8 3 2" xfId="38802"/>
    <cellStyle name="40% - Accent5 2 2 8 4" xfId="38803"/>
    <cellStyle name="40% - Accent5 2 2 9" xfId="38804"/>
    <cellStyle name="40% - Accent5 2 2 9 2" xfId="38805"/>
    <cellStyle name="40% - Accent5 2 2 9 2 2" xfId="38806"/>
    <cellStyle name="40% - Accent5 2 2 9 3" xfId="38807"/>
    <cellStyle name="40% - Accent5 2 3" xfId="38808"/>
    <cellStyle name="40% - Accent5 2 3 10" xfId="38809"/>
    <cellStyle name="40% - Accent5 2 3 10 2" xfId="38810"/>
    <cellStyle name="40% - Accent5 2 3 11" xfId="38811"/>
    <cellStyle name="40% - Accent5 2 3 2" xfId="38812"/>
    <cellStyle name="40% - Accent5 2 3 2 10" xfId="38813"/>
    <cellStyle name="40% - Accent5 2 3 2 2" xfId="38814"/>
    <cellStyle name="40% - Accent5 2 3 2 2 2" xfId="38815"/>
    <cellStyle name="40% - Accent5 2 3 2 2 2 2" xfId="38816"/>
    <cellStyle name="40% - Accent5 2 3 2 2 2 2 2" xfId="38817"/>
    <cellStyle name="40% - Accent5 2 3 2 2 2 2 2 2" xfId="38818"/>
    <cellStyle name="40% - Accent5 2 3 2 2 2 2 3" xfId="38819"/>
    <cellStyle name="40% - Accent5 2 3 2 2 2 3" xfId="38820"/>
    <cellStyle name="40% - Accent5 2 3 2 2 2 3 2" xfId="38821"/>
    <cellStyle name="40% - Accent5 2 3 2 2 2 4" xfId="38822"/>
    <cellStyle name="40% - Accent5 2 3 2 2 3" xfId="38823"/>
    <cellStyle name="40% - Accent5 2 3 2 2 3 2" xfId="38824"/>
    <cellStyle name="40% - Accent5 2 3 2 2 3 2 2" xfId="38825"/>
    <cellStyle name="40% - Accent5 2 3 2 2 3 3" xfId="38826"/>
    <cellStyle name="40% - Accent5 2 3 2 2 4" xfId="38827"/>
    <cellStyle name="40% - Accent5 2 3 2 2 4 2" xfId="38828"/>
    <cellStyle name="40% - Accent5 2 3 2 2 5" xfId="38829"/>
    <cellStyle name="40% - Accent5 2 3 2 3" xfId="38830"/>
    <cellStyle name="40% - Accent5 2 3 2 3 2" xfId="38831"/>
    <cellStyle name="40% - Accent5 2 3 2 3 2 2" xfId="38832"/>
    <cellStyle name="40% - Accent5 2 3 2 3 2 2 2" xfId="38833"/>
    <cellStyle name="40% - Accent5 2 3 2 3 2 2 2 2" xfId="38834"/>
    <cellStyle name="40% - Accent5 2 3 2 3 2 2 3" xfId="38835"/>
    <cellStyle name="40% - Accent5 2 3 2 3 2 3" xfId="38836"/>
    <cellStyle name="40% - Accent5 2 3 2 3 2 3 2" xfId="38837"/>
    <cellStyle name="40% - Accent5 2 3 2 3 2 4" xfId="38838"/>
    <cellStyle name="40% - Accent5 2 3 2 3 3" xfId="38839"/>
    <cellStyle name="40% - Accent5 2 3 2 3 3 2" xfId="38840"/>
    <cellStyle name="40% - Accent5 2 3 2 3 3 2 2" xfId="38841"/>
    <cellStyle name="40% - Accent5 2 3 2 3 3 3" xfId="38842"/>
    <cellStyle name="40% - Accent5 2 3 2 3 4" xfId="38843"/>
    <cellStyle name="40% - Accent5 2 3 2 3 4 2" xfId="38844"/>
    <cellStyle name="40% - Accent5 2 3 2 3 5" xfId="38845"/>
    <cellStyle name="40% - Accent5 2 3 2 4" xfId="38846"/>
    <cellStyle name="40% - Accent5 2 3 2 4 2" xfId="38847"/>
    <cellStyle name="40% - Accent5 2 3 2 4 2 2" xfId="38848"/>
    <cellStyle name="40% - Accent5 2 3 2 4 2 2 2" xfId="38849"/>
    <cellStyle name="40% - Accent5 2 3 2 4 2 2 2 2" xfId="38850"/>
    <cellStyle name="40% - Accent5 2 3 2 4 2 2 3" xfId="38851"/>
    <cellStyle name="40% - Accent5 2 3 2 4 2 3" xfId="38852"/>
    <cellStyle name="40% - Accent5 2 3 2 4 2 3 2" xfId="38853"/>
    <cellStyle name="40% - Accent5 2 3 2 4 2 4" xfId="38854"/>
    <cellStyle name="40% - Accent5 2 3 2 4 3" xfId="38855"/>
    <cellStyle name="40% - Accent5 2 3 2 4 3 2" xfId="38856"/>
    <cellStyle name="40% - Accent5 2 3 2 4 3 2 2" xfId="38857"/>
    <cellStyle name="40% - Accent5 2 3 2 4 3 3" xfId="38858"/>
    <cellStyle name="40% - Accent5 2 3 2 4 4" xfId="38859"/>
    <cellStyle name="40% - Accent5 2 3 2 4 4 2" xfId="38860"/>
    <cellStyle name="40% - Accent5 2 3 2 4 5" xfId="38861"/>
    <cellStyle name="40% - Accent5 2 3 2 5" xfId="38862"/>
    <cellStyle name="40% - Accent5 2 3 2 5 2" xfId="38863"/>
    <cellStyle name="40% - Accent5 2 3 2 5 2 2" xfId="38864"/>
    <cellStyle name="40% - Accent5 2 3 2 5 2 2 2" xfId="38865"/>
    <cellStyle name="40% - Accent5 2 3 2 5 2 2 2 2" xfId="38866"/>
    <cellStyle name="40% - Accent5 2 3 2 5 2 2 3" xfId="38867"/>
    <cellStyle name="40% - Accent5 2 3 2 5 2 3" xfId="38868"/>
    <cellStyle name="40% - Accent5 2 3 2 5 2 3 2" xfId="38869"/>
    <cellStyle name="40% - Accent5 2 3 2 5 2 4" xfId="38870"/>
    <cellStyle name="40% - Accent5 2 3 2 5 3" xfId="38871"/>
    <cellStyle name="40% - Accent5 2 3 2 5 3 2" xfId="38872"/>
    <cellStyle name="40% - Accent5 2 3 2 5 3 2 2" xfId="38873"/>
    <cellStyle name="40% - Accent5 2 3 2 5 3 3" xfId="38874"/>
    <cellStyle name="40% - Accent5 2 3 2 5 4" xfId="38875"/>
    <cellStyle name="40% - Accent5 2 3 2 5 4 2" xfId="38876"/>
    <cellStyle name="40% - Accent5 2 3 2 5 5" xfId="38877"/>
    <cellStyle name="40% - Accent5 2 3 2 6" xfId="38878"/>
    <cellStyle name="40% - Accent5 2 3 2 6 2" xfId="38879"/>
    <cellStyle name="40% - Accent5 2 3 2 6 2 2" xfId="38880"/>
    <cellStyle name="40% - Accent5 2 3 2 6 2 2 2" xfId="38881"/>
    <cellStyle name="40% - Accent5 2 3 2 6 2 2 2 2" xfId="38882"/>
    <cellStyle name="40% - Accent5 2 3 2 6 2 2 3" xfId="38883"/>
    <cellStyle name="40% - Accent5 2 3 2 6 2 3" xfId="38884"/>
    <cellStyle name="40% - Accent5 2 3 2 6 2 3 2" xfId="38885"/>
    <cellStyle name="40% - Accent5 2 3 2 6 2 4" xfId="38886"/>
    <cellStyle name="40% - Accent5 2 3 2 6 3" xfId="38887"/>
    <cellStyle name="40% - Accent5 2 3 2 6 3 2" xfId="38888"/>
    <cellStyle name="40% - Accent5 2 3 2 6 3 2 2" xfId="38889"/>
    <cellStyle name="40% - Accent5 2 3 2 6 3 3" xfId="38890"/>
    <cellStyle name="40% - Accent5 2 3 2 6 4" xfId="38891"/>
    <cellStyle name="40% - Accent5 2 3 2 6 4 2" xfId="38892"/>
    <cellStyle name="40% - Accent5 2 3 2 6 5" xfId="38893"/>
    <cellStyle name="40% - Accent5 2 3 2 7" xfId="38894"/>
    <cellStyle name="40% - Accent5 2 3 2 7 2" xfId="38895"/>
    <cellStyle name="40% - Accent5 2 3 2 7 2 2" xfId="38896"/>
    <cellStyle name="40% - Accent5 2 3 2 7 2 2 2" xfId="38897"/>
    <cellStyle name="40% - Accent5 2 3 2 7 2 3" xfId="38898"/>
    <cellStyle name="40% - Accent5 2 3 2 7 3" xfId="38899"/>
    <cellStyle name="40% - Accent5 2 3 2 7 3 2" xfId="38900"/>
    <cellStyle name="40% - Accent5 2 3 2 7 4" xfId="38901"/>
    <cellStyle name="40% - Accent5 2 3 2 8" xfId="38902"/>
    <cellStyle name="40% - Accent5 2 3 2 8 2" xfId="38903"/>
    <cellStyle name="40% - Accent5 2 3 2 8 2 2" xfId="38904"/>
    <cellStyle name="40% - Accent5 2 3 2 8 3" xfId="38905"/>
    <cellStyle name="40% - Accent5 2 3 2 9" xfId="38906"/>
    <cellStyle name="40% - Accent5 2 3 2 9 2" xfId="38907"/>
    <cellStyle name="40% - Accent5 2 3 3" xfId="38908"/>
    <cellStyle name="40% - Accent5 2 3 3 2" xfId="38909"/>
    <cellStyle name="40% - Accent5 2 3 3 2 2" xfId="38910"/>
    <cellStyle name="40% - Accent5 2 3 3 2 2 2" xfId="38911"/>
    <cellStyle name="40% - Accent5 2 3 3 2 2 2 2" xfId="38912"/>
    <cellStyle name="40% - Accent5 2 3 3 2 2 3" xfId="38913"/>
    <cellStyle name="40% - Accent5 2 3 3 2 3" xfId="38914"/>
    <cellStyle name="40% - Accent5 2 3 3 2 3 2" xfId="38915"/>
    <cellStyle name="40% - Accent5 2 3 3 2 4" xfId="38916"/>
    <cellStyle name="40% - Accent5 2 3 3 3" xfId="38917"/>
    <cellStyle name="40% - Accent5 2 3 3 3 2" xfId="38918"/>
    <cellStyle name="40% - Accent5 2 3 3 3 2 2" xfId="38919"/>
    <cellStyle name="40% - Accent5 2 3 3 3 3" xfId="38920"/>
    <cellStyle name="40% - Accent5 2 3 3 4" xfId="38921"/>
    <cellStyle name="40% - Accent5 2 3 3 4 2" xfId="38922"/>
    <cellStyle name="40% - Accent5 2 3 3 5" xfId="38923"/>
    <cellStyle name="40% - Accent5 2 3 4" xfId="38924"/>
    <cellStyle name="40% - Accent5 2 3 4 2" xfId="38925"/>
    <cellStyle name="40% - Accent5 2 3 4 2 2" xfId="38926"/>
    <cellStyle name="40% - Accent5 2 3 4 2 2 2" xfId="38927"/>
    <cellStyle name="40% - Accent5 2 3 4 2 2 2 2" xfId="38928"/>
    <cellStyle name="40% - Accent5 2 3 4 2 2 3" xfId="38929"/>
    <cellStyle name="40% - Accent5 2 3 4 2 3" xfId="38930"/>
    <cellStyle name="40% - Accent5 2 3 4 2 3 2" xfId="38931"/>
    <cellStyle name="40% - Accent5 2 3 4 2 4" xfId="38932"/>
    <cellStyle name="40% - Accent5 2 3 4 3" xfId="38933"/>
    <cellStyle name="40% - Accent5 2 3 4 3 2" xfId="38934"/>
    <cellStyle name="40% - Accent5 2 3 4 3 2 2" xfId="38935"/>
    <cellStyle name="40% - Accent5 2 3 4 3 3" xfId="38936"/>
    <cellStyle name="40% - Accent5 2 3 4 4" xfId="38937"/>
    <cellStyle name="40% - Accent5 2 3 4 4 2" xfId="38938"/>
    <cellStyle name="40% - Accent5 2 3 4 5" xfId="38939"/>
    <cellStyle name="40% - Accent5 2 3 5" xfId="38940"/>
    <cellStyle name="40% - Accent5 2 3 5 2" xfId="38941"/>
    <cellStyle name="40% - Accent5 2 3 5 2 2" xfId="38942"/>
    <cellStyle name="40% - Accent5 2 3 5 2 2 2" xfId="38943"/>
    <cellStyle name="40% - Accent5 2 3 5 2 2 2 2" xfId="38944"/>
    <cellStyle name="40% - Accent5 2 3 5 2 2 3" xfId="38945"/>
    <cellStyle name="40% - Accent5 2 3 5 2 3" xfId="38946"/>
    <cellStyle name="40% - Accent5 2 3 5 2 3 2" xfId="38947"/>
    <cellStyle name="40% - Accent5 2 3 5 2 4" xfId="38948"/>
    <cellStyle name="40% - Accent5 2 3 5 3" xfId="38949"/>
    <cellStyle name="40% - Accent5 2 3 5 3 2" xfId="38950"/>
    <cellStyle name="40% - Accent5 2 3 5 3 2 2" xfId="38951"/>
    <cellStyle name="40% - Accent5 2 3 5 3 3" xfId="38952"/>
    <cellStyle name="40% - Accent5 2 3 5 4" xfId="38953"/>
    <cellStyle name="40% - Accent5 2 3 5 4 2" xfId="38954"/>
    <cellStyle name="40% - Accent5 2 3 5 5" xfId="38955"/>
    <cellStyle name="40% - Accent5 2 3 6" xfId="38956"/>
    <cellStyle name="40% - Accent5 2 3 6 2" xfId="38957"/>
    <cellStyle name="40% - Accent5 2 3 6 2 2" xfId="38958"/>
    <cellStyle name="40% - Accent5 2 3 6 2 2 2" xfId="38959"/>
    <cellStyle name="40% - Accent5 2 3 6 2 2 2 2" xfId="38960"/>
    <cellStyle name="40% - Accent5 2 3 6 2 2 3" xfId="38961"/>
    <cellStyle name="40% - Accent5 2 3 6 2 3" xfId="38962"/>
    <cellStyle name="40% - Accent5 2 3 6 2 3 2" xfId="38963"/>
    <cellStyle name="40% - Accent5 2 3 6 2 4" xfId="38964"/>
    <cellStyle name="40% - Accent5 2 3 6 3" xfId="38965"/>
    <cellStyle name="40% - Accent5 2 3 6 3 2" xfId="38966"/>
    <cellStyle name="40% - Accent5 2 3 6 3 2 2" xfId="38967"/>
    <cellStyle name="40% - Accent5 2 3 6 3 3" xfId="38968"/>
    <cellStyle name="40% - Accent5 2 3 6 4" xfId="38969"/>
    <cellStyle name="40% - Accent5 2 3 6 4 2" xfId="38970"/>
    <cellStyle name="40% - Accent5 2 3 6 5" xfId="38971"/>
    <cellStyle name="40% - Accent5 2 3 7" xfId="38972"/>
    <cellStyle name="40% - Accent5 2 3 7 2" xfId="38973"/>
    <cellStyle name="40% - Accent5 2 3 7 2 2" xfId="38974"/>
    <cellStyle name="40% - Accent5 2 3 7 2 2 2" xfId="38975"/>
    <cellStyle name="40% - Accent5 2 3 7 2 2 2 2" xfId="38976"/>
    <cellStyle name="40% - Accent5 2 3 7 2 2 3" xfId="38977"/>
    <cellStyle name="40% - Accent5 2 3 7 2 3" xfId="38978"/>
    <cellStyle name="40% - Accent5 2 3 7 2 3 2" xfId="38979"/>
    <cellStyle name="40% - Accent5 2 3 7 2 4" xfId="38980"/>
    <cellStyle name="40% - Accent5 2 3 7 3" xfId="38981"/>
    <cellStyle name="40% - Accent5 2 3 7 3 2" xfId="38982"/>
    <cellStyle name="40% - Accent5 2 3 7 3 2 2" xfId="38983"/>
    <cellStyle name="40% - Accent5 2 3 7 3 3" xfId="38984"/>
    <cellStyle name="40% - Accent5 2 3 7 4" xfId="38985"/>
    <cellStyle name="40% - Accent5 2 3 7 4 2" xfId="38986"/>
    <cellStyle name="40% - Accent5 2 3 7 5" xfId="38987"/>
    <cellStyle name="40% - Accent5 2 3 8" xfId="38988"/>
    <cellStyle name="40% - Accent5 2 3 8 2" xfId="38989"/>
    <cellStyle name="40% - Accent5 2 3 8 2 2" xfId="38990"/>
    <cellStyle name="40% - Accent5 2 3 8 2 2 2" xfId="38991"/>
    <cellStyle name="40% - Accent5 2 3 8 2 3" xfId="38992"/>
    <cellStyle name="40% - Accent5 2 3 8 3" xfId="38993"/>
    <cellStyle name="40% - Accent5 2 3 8 3 2" xfId="38994"/>
    <cellStyle name="40% - Accent5 2 3 8 4" xfId="38995"/>
    <cellStyle name="40% - Accent5 2 3 9" xfId="38996"/>
    <cellStyle name="40% - Accent5 2 3 9 2" xfId="38997"/>
    <cellStyle name="40% - Accent5 2 3 9 2 2" xfId="38998"/>
    <cellStyle name="40% - Accent5 2 3 9 3" xfId="38999"/>
    <cellStyle name="40% - Accent5 2 4" xfId="39000"/>
    <cellStyle name="40% - Accent5 2 4 10" xfId="39001"/>
    <cellStyle name="40% - Accent5 2 4 10 2" xfId="39002"/>
    <cellStyle name="40% - Accent5 2 4 11" xfId="39003"/>
    <cellStyle name="40% - Accent5 2 4 2" xfId="39004"/>
    <cellStyle name="40% - Accent5 2 4 2 10" xfId="39005"/>
    <cellStyle name="40% - Accent5 2 4 2 2" xfId="39006"/>
    <cellStyle name="40% - Accent5 2 4 2 2 2" xfId="39007"/>
    <cellStyle name="40% - Accent5 2 4 2 2 2 2" xfId="39008"/>
    <cellStyle name="40% - Accent5 2 4 2 2 2 2 2" xfId="39009"/>
    <cellStyle name="40% - Accent5 2 4 2 2 2 2 2 2" xfId="39010"/>
    <cellStyle name="40% - Accent5 2 4 2 2 2 2 3" xfId="39011"/>
    <cellStyle name="40% - Accent5 2 4 2 2 2 3" xfId="39012"/>
    <cellStyle name="40% - Accent5 2 4 2 2 2 3 2" xfId="39013"/>
    <cellStyle name="40% - Accent5 2 4 2 2 2 4" xfId="39014"/>
    <cellStyle name="40% - Accent5 2 4 2 2 3" xfId="39015"/>
    <cellStyle name="40% - Accent5 2 4 2 2 3 2" xfId="39016"/>
    <cellStyle name="40% - Accent5 2 4 2 2 3 2 2" xfId="39017"/>
    <cellStyle name="40% - Accent5 2 4 2 2 3 3" xfId="39018"/>
    <cellStyle name="40% - Accent5 2 4 2 2 4" xfId="39019"/>
    <cellStyle name="40% - Accent5 2 4 2 2 4 2" xfId="39020"/>
    <cellStyle name="40% - Accent5 2 4 2 2 5" xfId="39021"/>
    <cellStyle name="40% - Accent5 2 4 2 3" xfId="39022"/>
    <cellStyle name="40% - Accent5 2 4 2 3 2" xfId="39023"/>
    <cellStyle name="40% - Accent5 2 4 2 3 2 2" xfId="39024"/>
    <cellStyle name="40% - Accent5 2 4 2 3 2 2 2" xfId="39025"/>
    <cellStyle name="40% - Accent5 2 4 2 3 2 2 2 2" xfId="39026"/>
    <cellStyle name="40% - Accent5 2 4 2 3 2 2 3" xfId="39027"/>
    <cellStyle name="40% - Accent5 2 4 2 3 2 3" xfId="39028"/>
    <cellStyle name="40% - Accent5 2 4 2 3 2 3 2" xfId="39029"/>
    <cellStyle name="40% - Accent5 2 4 2 3 2 4" xfId="39030"/>
    <cellStyle name="40% - Accent5 2 4 2 3 3" xfId="39031"/>
    <cellStyle name="40% - Accent5 2 4 2 3 3 2" xfId="39032"/>
    <cellStyle name="40% - Accent5 2 4 2 3 3 2 2" xfId="39033"/>
    <cellStyle name="40% - Accent5 2 4 2 3 3 3" xfId="39034"/>
    <cellStyle name="40% - Accent5 2 4 2 3 4" xfId="39035"/>
    <cellStyle name="40% - Accent5 2 4 2 3 4 2" xfId="39036"/>
    <cellStyle name="40% - Accent5 2 4 2 3 5" xfId="39037"/>
    <cellStyle name="40% - Accent5 2 4 2 4" xfId="39038"/>
    <cellStyle name="40% - Accent5 2 4 2 4 2" xfId="39039"/>
    <cellStyle name="40% - Accent5 2 4 2 4 2 2" xfId="39040"/>
    <cellStyle name="40% - Accent5 2 4 2 4 2 2 2" xfId="39041"/>
    <cellStyle name="40% - Accent5 2 4 2 4 2 2 2 2" xfId="39042"/>
    <cellStyle name="40% - Accent5 2 4 2 4 2 2 3" xfId="39043"/>
    <cellStyle name="40% - Accent5 2 4 2 4 2 3" xfId="39044"/>
    <cellStyle name="40% - Accent5 2 4 2 4 2 3 2" xfId="39045"/>
    <cellStyle name="40% - Accent5 2 4 2 4 2 4" xfId="39046"/>
    <cellStyle name="40% - Accent5 2 4 2 4 3" xfId="39047"/>
    <cellStyle name="40% - Accent5 2 4 2 4 3 2" xfId="39048"/>
    <cellStyle name="40% - Accent5 2 4 2 4 3 2 2" xfId="39049"/>
    <cellStyle name="40% - Accent5 2 4 2 4 3 3" xfId="39050"/>
    <cellStyle name="40% - Accent5 2 4 2 4 4" xfId="39051"/>
    <cellStyle name="40% - Accent5 2 4 2 4 4 2" xfId="39052"/>
    <cellStyle name="40% - Accent5 2 4 2 4 5" xfId="39053"/>
    <cellStyle name="40% - Accent5 2 4 2 5" xfId="39054"/>
    <cellStyle name="40% - Accent5 2 4 2 5 2" xfId="39055"/>
    <cellStyle name="40% - Accent5 2 4 2 5 2 2" xfId="39056"/>
    <cellStyle name="40% - Accent5 2 4 2 5 2 2 2" xfId="39057"/>
    <cellStyle name="40% - Accent5 2 4 2 5 2 2 2 2" xfId="39058"/>
    <cellStyle name="40% - Accent5 2 4 2 5 2 2 3" xfId="39059"/>
    <cellStyle name="40% - Accent5 2 4 2 5 2 3" xfId="39060"/>
    <cellStyle name="40% - Accent5 2 4 2 5 2 3 2" xfId="39061"/>
    <cellStyle name="40% - Accent5 2 4 2 5 2 4" xfId="39062"/>
    <cellStyle name="40% - Accent5 2 4 2 5 3" xfId="39063"/>
    <cellStyle name="40% - Accent5 2 4 2 5 3 2" xfId="39064"/>
    <cellStyle name="40% - Accent5 2 4 2 5 3 2 2" xfId="39065"/>
    <cellStyle name="40% - Accent5 2 4 2 5 3 3" xfId="39066"/>
    <cellStyle name="40% - Accent5 2 4 2 5 4" xfId="39067"/>
    <cellStyle name="40% - Accent5 2 4 2 5 4 2" xfId="39068"/>
    <cellStyle name="40% - Accent5 2 4 2 5 5" xfId="39069"/>
    <cellStyle name="40% - Accent5 2 4 2 6" xfId="39070"/>
    <cellStyle name="40% - Accent5 2 4 2 6 2" xfId="39071"/>
    <cellStyle name="40% - Accent5 2 4 2 6 2 2" xfId="39072"/>
    <cellStyle name="40% - Accent5 2 4 2 6 2 2 2" xfId="39073"/>
    <cellStyle name="40% - Accent5 2 4 2 6 2 2 2 2" xfId="39074"/>
    <cellStyle name="40% - Accent5 2 4 2 6 2 2 3" xfId="39075"/>
    <cellStyle name="40% - Accent5 2 4 2 6 2 3" xfId="39076"/>
    <cellStyle name="40% - Accent5 2 4 2 6 2 3 2" xfId="39077"/>
    <cellStyle name="40% - Accent5 2 4 2 6 2 4" xfId="39078"/>
    <cellStyle name="40% - Accent5 2 4 2 6 3" xfId="39079"/>
    <cellStyle name="40% - Accent5 2 4 2 6 3 2" xfId="39080"/>
    <cellStyle name="40% - Accent5 2 4 2 6 3 2 2" xfId="39081"/>
    <cellStyle name="40% - Accent5 2 4 2 6 3 3" xfId="39082"/>
    <cellStyle name="40% - Accent5 2 4 2 6 4" xfId="39083"/>
    <cellStyle name="40% - Accent5 2 4 2 6 4 2" xfId="39084"/>
    <cellStyle name="40% - Accent5 2 4 2 6 5" xfId="39085"/>
    <cellStyle name="40% - Accent5 2 4 2 7" xfId="39086"/>
    <cellStyle name="40% - Accent5 2 4 2 7 2" xfId="39087"/>
    <cellStyle name="40% - Accent5 2 4 2 7 2 2" xfId="39088"/>
    <cellStyle name="40% - Accent5 2 4 2 7 2 2 2" xfId="39089"/>
    <cellStyle name="40% - Accent5 2 4 2 7 2 3" xfId="39090"/>
    <cellStyle name="40% - Accent5 2 4 2 7 3" xfId="39091"/>
    <cellStyle name="40% - Accent5 2 4 2 7 3 2" xfId="39092"/>
    <cellStyle name="40% - Accent5 2 4 2 7 4" xfId="39093"/>
    <cellStyle name="40% - Accent5 2 4 2 8" xfId="39094"/>
    <cellStyle name="40% - Accent5 2 4 2 8 2" xfId="39095"/>
    <cellStyle name="40% - Accent5 2 4 2 8 2 2" xfId="39096"/>
    <cellStyle name="40% - Accent5 2 4 2 8 3" xfId="39097"/>
    <cellStyle name="40% - Accent5 2 4 2 9" xfId="39098"/>
    <cellStyle name="40% - Accent5 2 4 2 9 2" xfId="39099"/>
    <cellStyle name="40% - Accent5 2 4 3" xfId="39100"/>
    <cellStyle name="40% - Accent5 2 4 3 2" xfId="39101"/>
    <cellStyle name="40% - Accent5 2 4 3 2 2" xfId="39102"/>
    <cellStyle name="40% - Accent5 2 4 3 2 2 2" xfId="39103"/>
    <cellStyle name="40% - Accent5 2 4 3 2 2 2 2" xfId="39104"/>
    <cellStyle name="40% - Accent5 2 4 3 2 2 3" xfId="39105"/>
    <cellStyle name="40% - Accent5 2 4 3 2 3" xfId="39106"/>
    <cellStyle name="40% - Accent5 2 4 3 2 3 2" xfId="39107"/>
    <cellStyle name="40% - Accent5 2 4 3 2 4" xfId="39108"/>
    <cellStyle name="40% - Accent5 2 4 3 3" xfId="39109"/>
    <cellStyle name="40% - Accent5 2 4 3 3 2" xfId="39110"/>
    <cellStyle name="40% - Accent5 2 4 3 3 2 2" xfId="39111"/>
    <cellStyle name="40% - Accent5 2 4 3 3 3" xfId="39112"/>
    <cellStyle name="40% - Accent5 2 4 3 4" xfId="39113"/>
    <cellStyle name="40% - Accent5 2 4 3 4 2" xfId="39114"/>
    <cellStyle name="40% - Accent5 2 4 3 5" xfId="39115"/>
    <cellStyle name="40% - Accent5 2 4 4" xfId="39116"/>
    <cellStyle name="40% - Accent5 2 4 4 2" xfId="39117"/>
    <cellStyle name="40% - Accent5 2 4 4 2 2" xfId="39118"/>
    <cellStyle name="40% - Accent5 2 4 4 2 2 2" xfId="39119"/>
    <cellStyle name="40% - Accent5 2 4 4 2 2 2 2" xfId="39120"/>
    <cellStyle name="40% - Accent5 2 4 4 2 2 3" xfId="39121"/>
    <cellStyle name="40% - Accent5 2 4 4 2 3" xfId="39122"/>
    <cellStyle name="40% - Accent5 2 4 4 2 3 2" xfId="39123"/>
    <cellStyle name="40% - Accent5 2 4 4 2 4" xfId="39124"/>
    <cellStyle name="40% - Accent5 2 4 4 3" xfId="39125"/>
    <cellStyle name="40% - Accent5 2 4 4 3 2" xfId="39126"/>
    <cellStyle name="40% - Accent5 2 4 4 3 2 2" xfId="39127"/>
    <cellStyle name="40% - Accent5 2 4 4 3 3" xfId="39128"/>
    <cellStyle name="40% - Accent5 2 4 4 4" xfId="39129"/>
    <cellStyle name="40% - Accent5 2 4 4 4 2" xfId="39130"/>
    <cellStyle name="40% - Accent5 2 4 4 5" xfId="39131"/>
    <cellStyle name="40% - Accent5 2 4 5" xfId="39132"/>
    <cellStyle name="40% - Accent5 2 4 5 2" xfId="39133"/>
    <cellStyle name="40% - Accent5 2 4 5 2 2" xfId="39134"/>
    <cellStyle name="40% - Accent5 2 4 5 2 2 2" xfId="39135"/>
    <cellStyle name="40% - Accent5 2 4 5 2 2 2 2" xfId="39136"/>
    <cellStyle name="40% - Accent5 2 4 5 2 2 3" xfId="39137"/>
    <cellStyle name="40% - Accent5 2 4 5 2 3" xfId="39138"/>
    <cellStyle name="40% - Accent5 2 4 5 2 3 2" xfId="39139"/>
    <cellStyle name="40% - Accent5 2 4 5 2 4" xfId="39140"/>
    <cellStyle name="40% - Accent5 2 4 5 3" xfId="39141"/>
    <cellStyle name="40% - Accent5 2 4 5 3 2" xfId="39142"/>
    <cellStyle name="40% - Accent5 2 4 5 3 2 2" xfId="39143"/>
    <cellStyle name="40% - Accent5 2 4 5 3 3" xfId="39144"/>
    <cellStyle name="40% - Accent5 2 4 5 4" xfId="39145"/>
    <cellStyle name="40% - Accent5 2 4 5 4 2" xfId="39146"/>
    <cellStyle name="40% - Accent5 2 4 5 5" xfId="39147"/>
    <cellStyle name="40% - Accent5 2 4 6" xfId="39148"/>
    <cellStyle name="40% - Accent5 2 4 6 2" xfId="39149"/>
    <cellStyle name="40% - Accent5 2 4 6 2 2" xfId="39150"/>
    <cellStyle name="40% - Accent5 2 4 6 2 2 2" xfId="39151"/>
    <cellStyle name="40% - Accent5 2 4 6 2 2 2 2" xfId="39152"/>
    <cellStyle name="40% - Accent5 2 4 6 2 2 3" xfId="39153"/>
    <cellStyle name="40% - Accent5 2 4 6 2 3" xfId="39154"/>
    <cellStyle name="40% - Accent5 2 4 6 2 3 2" xfId="39155"/>
    <cellStyle name="40% - Accent5 2 4 6 2 4" xfId="39156"/>
    <cellStyle name="40% - Accent5 2 4 6 3" xfId="39157"/>
    <cellStyle name="40% - Accent5 2 4 6 3 2" xfId="39158"/>
    <cellStyle name="40% - Accent5 2 4 6 3 2 2" xfId="39159"/>
    <cellStyle name="40% - Accent5 2 4 6 3 3" xfId="39160"/>
    <cellStyle name="40% - Accent5 2 4 6 4" xfId="39161"/>
    <cellStyle name="40% - Accent5 2 4 6 4 2" xfId="39162"/>
    <cellStyle name="40% - Accent5 2 4 6 5" xfId="39163"/>
    <cellStyle name="40% - Accent5 2 4 7" xfId="39164"/>
    <cellStyle name="40% - Accent5 2 4 7 2" xfId="39165"/>
    <cellStyle name="40% - Accent5 2 4 7 2 2" xfId="39166"/>
    <cellStyle name="40% - Accent5 2 4 7 2 2 2" xfId="39167"/>
    <cellStyle name="40% - Accent5 2 4 7 2 2 2 2" xfId="39168"/>
    <cellStyle name="40% - Accent5 2 4 7 2 2 3" xfId="39169"/>
    <cellStyle name="40% - Accent5 2 4 7 2 3" xfId="39170"/>
    <cellStyle name="40% - Accent5 2 4 7 2 3 2" xfId="39171"/>
    <cellStyle name="40% - Accent5 2 4 7 2 4" xfId="39172"/>
    <cellStyle name="40% - Accent5 2 4 7 3" xfId="39173"/>
    <cellStyle name="40% - Accent5 2 4 7 3 2" xfId="39174"/>
    <cellStyle name="40% - Accent5 2 4 7 3 2 2" xfId="39175"/>
    <cellStyle name="40% - Accent5 2 4 7 3 3" xfId="39176"/>
    <cellStyle name="40% - Accent5 2 4 7 4" xfId="39177"/>
    <cellStyle name="40% - Accent5 2 4 7 4 2" xfId="39178"/>
    <cellStyle name="40% - Accent5 2 4 7 5" xfId="39179"/>
    <cellStyle name="40% - Accent5 2 4 8" xfId="39180"/>
    <cellStyle name="40% - Accent5 2 4 8 2" xfId="39181"/>
    <cellStyle name="40% - Accent5 2 4 8 2 2" xfId="39182"/>
    <cellStyle name="40% - Accent5 2 4 8 2 2 2" xfId="39183"/>
    <cellStyle name="40% - Accent5 2 4 8 2 3" xfId="39184"/>
    <cellStyle name="40% - Accent5 2 4 8 3" xfId="39185"/>
    <cellStyle name="40% - Accent5 2 4 8 3 2" xfId="39186"/>
    <cellStyle name="40% - Accent5 2 4 8 4" xfId="39187"/>
    <cellStyle name="40% - Accent5 2 4 9" xfId="39188"/>
    <cellStyle name="40% - Accent5 2 4 9 2" xfId="39189"/>
    <cellStyle name="40% - Accent5 2 4 9 2 2" xfId="39190"/>
    <cellStyle name="40% - Accent5 2 4 9 3" xfId="39191"/>
    <cellStyle name="40% - Accent5 2 5" xfId="39192"/>
    <cellStyle name="40% - Accent5 2 5 10" xfId="39193"/>
    <cellStyle name="40% - Accent5 2 5 10 2" xfId="39194"/>
    <cellStyle name="40% - Accent5 2 5 11" xfId="39195"/>
    <cellStyle name="40% - Accent5 2 5 2" xfId="39196"/>
    <cellStyle name="40% - Accent5 2 5 2 10" xfId="39197"/>
    <cellStyle name="40% - Accent5 2 5 2 2" xfId="39198"/>
    <cellStyle name="40% - Accent5 2 5 2 2 2" xfId="39199"/>
    <cellStyle name="40% - Accent5 2 5 2 2 2 2" xfId="39200"/>
    <cellStyle name="40% - Accent5 2 5 2 2 2 2 2" xfId="39201"/>
    <cellStyle name="40% - Accent5 2 5 2 2 2 2 2 2" xfId="39202"/>
    <cellStyle name="40% - Accent5 2 5 2 2 2 2 3" xfId="39203"/>
    <cellStyle name="40% - Accent5 2 5 2 2 2 3" xfId="39204"/>
    <cellStyle name="40% - Accent5 2 5 2 2 2 3 2" xfId="39205"/>
    <cellStyle name="40% - Accent5 2 5 2 2 2 4" xfId="39206"/>
    <cellStyle name="40% - Accent5 2 5 2 2 3" xfId="39207"/>
    <cellStyle name="40% - Accent5 2 5 2 2 3 2" xfId="39208"/>
    <cellStyle name="40% - Accent5 2 5 2 2 3 2 2" xfId="39209"/>
    <cellStyle name="40% - Accent5 2 5 2 2 3 3" xfId="39210"/>
    <cellStyle name="40% - Accent5 2 5 2 2 4" xfId="39211"/>
    <cellStyle name="40% - Accent5 2 5 2 2 4 2" xfId="39212"/>
    <cellStyle name="40% - Accent5 2 5 2 2 5" xfId="39213"/>
    <cellStyle name="40% - Accent5 2 5 2 3" xfId="39214"/>
    <cellStyle name="40% - Accent5 2 5 2 3 2" xfId="39215"/>
    <cellStyle name="40% - Accent5 2 5 2 3 2 2" xfId="39216"/>
    <cellStyle name="40% - Accent5 2 5 2 3 2 2 2" xfId="39217"/>
    <cellStyle name="40% - Accent5 2 5 2 3 2 2 2 2" xfId="39218"/>
    <cellStyle name="40% - Accent5 2 5 2 3 2 2 3" xfId="39219"/>
    <cellStyle name="40% - Accent5 2 5 2 3 2 3" xfId="39220"/>
    <cellStyle name="40% - Accent5 2 5 2 3 2 3 2" xfId="39221"/>
    <cellStyle name="40% - Accent5 2 5 2 3 2 4" xfId="39222"/>
    <cellStyle name="40% - Accent5 2 5 2 3 3" xfId="39223"/>
    <cellStyle name="40% - Accent5 2 5 2 3 3 2" xfId="39224"/>
    <cellStyle name="40% - Accent5 2 5 2 3 3 2 2" xfId="39225"/>
    <cellStyle name="40% - Accent5 2 5 2 3 3 3" xfId="39226"/>
    <cellStyle name="40% - Accent5 2 5 2 3 4" xfId="39227"/>
    <cellStyle name="40% - Accent5 2 5 2 3 4 2" xfId="39228"/>
    <cellStyle name="40% - Accent5 2 5 2 3 5" xfId="39229"/>
    <cellStyle name="40% - Accent5 2 5 2 4" xfId="39230"/>
    <cellStyle name="40% - Accent5 2 5 2 4 2" xfId="39231"/>
    <cellStyle name="40% - Accent5 2 5 2 4 2 2" xfId="39232"/>
    <cellStyle name="40% - Accent5 2 5 2 4 2 2 2" xfId="39233"/>
    <cellStyle name="40% - Accent5 2 5 2 4 2 2 2 2" xfId="39234"/>
    <cellStyle name="40% - Accent5 2 5 2 4 2 2 3" xfId="39235"/>
    <cellStyle name="40% - Accent5 2 5 2 4 2 3" xfId="39236"/>
    <cellStyle name="40% - Accent5 2 5 2 4 2 3 2" xfId="39237"/>
    <cellStyle name="40% - Accent5 2 5 2 4 2 4" xfId="39238"/>
    <cellStyle name="40% - Accent5 2 5 2 4 3" xfId="39239"/>
    <cellStyle name="40% - Accent5 2 5 2 4 3 2" xfId="39240"/>
    <cellStyle name="40% - Accent5 2 5 2 4 3 2 2" xfId="39241"/>
    <cellStyle name="40% - Accent5 2 5 2 4 3 3" xfId="39242"/>
    <cellStyle name="40% - Accent5 2 5 2 4 4" xfId="39243"/>
    <cellStyle name="40% - Accent5 2 5 2 4 4 2" xfId="39244"/>
    <cellStyle name="40% - Accent5 2 5 2 4 5" xfId="39245"/>
    <cellStyle name="40% - Accent5 2 5 2 5" xfId="39246"/>
    <cellStyle name="40% - Accent5 2 5 2 5 2" xfId="39247"/>
    <cellStyle name="40% - Accent5 2 5 2 5 2 2" xfId="39248"/>
    <cellStyle name="40% - Accent5 2 5 2 5 2 2 2" xfId="39249"/>
    <cellStyle name="40% - Accent5 2 5 2 5 2 2 2 2" xfId="39250"/>
    <cellStyle name="40% - Accent5 2 5 2 5 2 2 3" xfId="39251"/>
    <cellStyle name="40% - Accent5 2 5 2 5 2 3" xfId="39252"/>
    <cellStyle name="40% - Accent5 2 5 2 5 2 3 2" xfId="39253"/>
    <cellStyle name="40% - Accent5 2 5 2 5 2 4" xfId="39254"/>
    <cellStyle name="40% - Accent5 2 5 2 5 3" xfId="39255"/>
    <cellStyle name="40% - Accent5 2 5 2 5 3 2" xfId="39256"/>
    <cellStyle name="40% - Accent5 2 5 2 5 3 2 2" xfId="39257"/>
    <cellStyle name="40% - Accent5 2 5 2 5 3 3" xfId="39258"/>
    <cellStyle name="40% - Accent5 2 5 2 5 4" xfId="39259"/>
    <cellStyle name="40% - Accent5 2 5 2 5 4 2" xfId="39260"/>
    <cellStyle name="40% - Accent5 2 5 2 5 5" xfId="39261"/>
    <cellStyle name="40% - Accent5 2 5 2 6" xfId="39262"/>
    <cellStyle name="40% - Accent5 2 5 2 6 2" xfId="39263"/>
    <cellStyle name="40% - Accent5 2 5 2 6 2 2" xfId="39264"/>
    <cellStyle name="40% - Accent5 2 5 2 6 2 2 2" xfId="39265"/>
    <cellStyle name="40% - Accent5 2 5 2 6 2 2 2 2" xfId="39266"/>
    <cellStyle name="40% - Accent5 2 5 2 6 2 2 3" xfId="39267"/>
    <cellStyle name="40% - Accent5 2 5 2 6 2 3" xfId="39268"/>
    <cellStyle name="40% - Accent5 2 5 2 6 2 3 2" xfId="39269"/>
    <cellStyle name="40% - Accent5 2 5 2 6 2 4" xfId="39270"/>
    <cellStyle name="40% - Accent5 2 5 2 6 3" xfId="39271"/>
    <cellStyle name="40% - Accent5 2 5 2 6 3 2" xfId="39272"/>
    <cellStyle name="40% - Accent5 2 5 2 6 3 2 2" xfId="39273"/>
    <cellStyle name="40% - Accent5 2 5 2 6 3 3" xfId="39274"/>
    <cellStyle name="40% - Accent5 2 5 2 6 4" xfId="39275"/>
    <cellStyle name="40% - Accent5 2 5 2 6 4 2" xfId="39276"/>
    <cellStyle name="40% - Accent5 2 5 2 6 5" xfId="39277"/>
    <cellStyle name="40% - Accent5 2 5 2 7" xfId="39278"/>
    <cellStyle name="40% - Accent5 2 5 2 7 2" xfId="39279"/>
    <cellStyle name="40% - Accent5 2 5 2 7 2 2" xfId="39280"/>
    <cellStyle name="40% - Accent5 2 5 2 7 2 2 2" xfId="39281"/>
    <cellStyle name="40% - Accent5 2 5 2 7 2 3" xfId="39282"/>
    <cellStyle name="40% - Accent5 2 5 2 7 3" xfId="39283"/>
    <cellStyle name="40% - Accent5 2 5 2 7 3 2" xfId="39284"/>
    <cellStyle name="40% - Accent5 2 5 2 7 4" xfId="39285"/>
    <cellStyle name="40% - Accent5 2 5 2 8" xfId="39286"/>
    <cellStyle name="40% - Accent5 2 5 2 8 2" xfId="39287"/>
    <cellStyle name="40% - Accent5 2 5 2 8 2 2" xfId="39288"/>
    <cellStyle name="40% - Accent5 2 5 2 8 3" xfId="39289"/>
    <cellStyle name="40% - Accent5 2 5 2 9" xfId="39290"/>
    <cellStyle name="40% - Accent5 2 5 2 9 2" xfId="39291"/>
    <cellStyle name="40% - Accent5 2 5 3" xfId="39292"/>
    <cellStyle name="40% - Accent5 2 5 3 2" xfId="39293"/>
    <cellStyle name="40% - Accent5 2 5 3 2 2" xfId="39294"/>
    <cellStyle name="40% - Accent5 2 5 3 2 2 2" xfId="39295"/>
    <cellStyle name="40% - Accent5 2 5 3 2 2 2 2" xfId="39296"/>
    <cellStyle name="40% - Accent5 2 5 3 2 2 3" xfId="39297"/>
    <cellStyle name="40% - Accent5 2 5 3 2 3" xfId="39298"/>
    <cellStyle name="40% - Accent5 2 5 3 2 3 2" xfId="39299"/>
    <cellStyle name="40% - Accent5 2 5 3 2 4" xfId="39300"/>
    <cellStyle name="40% - Accent5 2 5 3 3" xfId="39301"/>
    <cellStyle name="40% - Accent5 2 5 3 3 2" xfId="39302"/>
    <cellStyle name="40% - Accent5 2 5 3 3 2 2" xfId="39303"/>
    <cellStyle name="40% - Accent5 2 5 3 3 3" xfId="39304"/>
    <cellStyle name="40% - Accent5 2 5 3 4" xfId="39305"/>
    <cellStyle name="40% - Accent5 2 5 3 4 2" xfId="39306"/>
    <cellStyle name="40% - Accent5 2 5 3 5" xfId="39307"/>
    <cellStyle name="40% - Accent5 2 5 4" xfId="39308"/>
    <cellStyle name="40% - Accent5 2 5 4 2" xfId="39309"/>
    <cellStyle name="40% - Accent5 2 5 4 2 2" xfId="39310"/>
    <cellStyle name="40% - Accent5 2 5 4 2 2 2" xfId="39311"/>
    <cellStyle name="40% - Accent5 2 5 4 2 2 2 2" xfId="39312"/>
    <cellStyle name="40% - Accent5 2 5 4 2 2 3" xfId="39313"/>
    <cellStyle name="40% - Accent5 2 5 4 2 3" xfId="39314"/>
    <cellStyle name="40% - Accent5 2 5 4 2 3 2" xfId="39315"/>
    <cellStyle name="40% - Accent5 2 5 4 2 4" xfId="39316"/>
    <cellStyle name="40% - Accent5 2 5 4 3" xfId="39317"/>
    <cellStyle name="40% - Accent5 2 5 4 3 2" xfId="39318"/>
    <cellStyle name="40% - Accent5 2 5 4 3 2 2" xfId="39319"/>
    <cellStyle name="40% - Accent5 2 5 4 3 3" xfId="39320"/>
    <cellStyle name="40% - Accent5 2 5 4 4" xfId="39321"/>
    <cellStyle name="40% - Accent5 2 5 4 4 2" xfId="39322"/>
    <cellStyle name="40% - Accent5 2 5 4 5" xfId="39323"/>
    <cellStyle name="40% - Accent5 2 5 5" xfId="39324"/>
    <cellStyle name="40% - Accent5 2 5 5 2" xfId="39325"/>
    <cellStyle name="40% - Accent5 2 5 5 2 2" xfId="39326"/>
    <cellStyle name="40% - Accent5 2 5 5 2 2 2" xfId="39327"/>
    <cellStyle name="40% - Accent5 2 5 5 2 2 2 2" xfId="39328"/>
    <cellStyle name="40% - Accent5 2 5 5 2 2 3" xfId="39329"/>
    <cellStyle name="40% - Accent5 2 5 5 2 3" xfId="39330"/>
    <cellStyle name="40% - Accent5 2 5 5 2 3 2" xfId="39331"/>
    <cellStyle name="40% - Accent5 2 5 5 2 4" xfId="39332"/>
    <cellStyle name="40% - Accent5 2 5 5 3" xfId="39333"/>
    <cellStyle name="40% - Accent5 2 5 5 3 2" xfId="39334"/>
    <cellStyle name="40% - Accent5 2 5 5 3 2 2" xfId="39335"/>
    <cellStyle name="40% - Accent5 2 5 5 3 3" xfId="39336"/>
    <cellStyle name="40% - Accent5 2 5 5 4" xfId="39337"/>
    <cellStyle name="40% - Accent5 2 5 5 4 2" xfId="39338"/>
    <cellStyle name="40% - Accent5 2 5 5 5" xfId="39339"/>
    <cellStyle name="40% - Accent5 2 5 6" xfId="39340"/>
    <cellStyle name="40% - Accent5 2 5 6 2" xfId="39341"/>
    <cellStyle name="40% - Accent5 2 5 6 2 2" xfId="39342"/>
    <cellStyle name="40% - Accent5 2 5 6 2 2 2" xfId="39343"/>
    <cellStyle name="40% - Accent5 2 5 6 2 2 2 2" xfId="39344"/>
    <cellStyle name="40% - Accent5 2 5 6 2 2 3" xfId="39345"/>
    <cellStyle name="40% - Accent5 2 5 6 2 3" xfId="39346"/>
    <cellStyle name="40% - Accent5 2 5 6 2 3 2" xfId="39347"/>
    <cellStyle name="40% - Accent5 2 5 6 2 4" xfId="39348"/>
    <cellStyle name="40% - Accent5 2 5 6 3" xfId="39349"/>
    <cellStyle name="40% - Accent5 2 5 6 3 2" xfId="39350"/>
    <cellStyle name="40% - Accent5 2 5 6 3 2 2" xfId="39351"/>
    <cellStyle name="40% - Accent5 2 5 6 3 3" xfId="39352"/>
    <cellStyle name="40% - Accent5 2 5 6 4" xfId="39353"/>
    <cellStyle name="40% - Accent5 2 5 6 4 2" xfId="39354"/>
    <cellStyle name="40% - Accent5 2 5 6 5" xfId="39355"/>
    <cellStyle name="40% - Accent5 2 5 7" xfId="39356"/>
    <cellStyle name="40% - Accent5 2 5 7 2" xfId="39357"/>
    <cellStyle name="40% - Accent5 2 5 7 2 2" xfId="39358"/>
    <cellStyle name="40% - Accent5 2 5 7 2 2 2" xfId="39359"/>
    <cellStyle name="40% - Accent5 2 5 7 2 2 2 2" xfId="39360"/>
    <cellStyle name="40% - Accent5 2 5 7 2 2 3" xfId="39361"/>
    <cellStyle name="40% - Accent5 2 5 7 2 3" xfId="39362"/>
    <cellStyle name="40% - Accent5 2 5 7 2 3 2" xfId="39363"/>
    <cellStyle name="40% - Accent5 2 5 7 2 4" xfId="39364"/>
    <cellStyle name="40% - Accent5 2 5 7 3" xfId="39365"/>
    <cellStyle name="40% - Accent5 2 5 7 3 2" xfId="39366"/>
    <cellStyle name="40% - Accent5 2 5 7 3 2 2" xfId="39367"/>
    <cellStyle name="40% - Accent5 2 5 7 3 3" xfId="39368"/>
    <cellStyle name="40% - Accent5 2 5 7 4" xfId="39369"/>
    <cellStyle name="40% - Accent5 2 5 7 4 2" xfId="39370"/>
    <cellStyle name="40% - Accent5 2 5 7 5" xfId="39371"/>
    <cellStyle name="40% - Accent5 2 5 8" xfId="39372"/>
    <cellStyle name="40% - Accent5 2 5 8 2" xfId="39373"/>
    <cellStyle name="40% - Accent5 2 5 8 2 2" xfId="39374"/>
    <cellStyle name="40% - Accent5 2 5 8 2 2 2" xfId="39375"/>
    <cellStyle name="40% - Accent5 2 5 8 2 3" xfId="39376"/>
    <cellStyle name="40% - Accent5 2 5 8 3" xfId="39377"/>
    <cellStyle name="40% - Accent5 2 5 8 3 2" xfId="39378"/>
    <cellStyle name="40% - Accent5 2 5 8 4" xfId="39379"/>
    <cellStyle name="40% - Accent5 2 5 9" xfId="39380"/>
    <cellStyle name="40% - Accent5 2 5 9 2" xfId="39381"/>
    <cellStyle name="40% - Accent5 2 5 9 2 2" xfId="39382"/>
    <cellStyle name="40% - Accent5 2 5 9 3" xfId="39383"/>
    <cellStyle name="40% - Accent5 2 6" xfId="39384"/>
    <cellStyle name="40% - Accent5 2 6 10" xfId="39385"/>
    <cellStyle name="40% - Accent5 2 6 10 2" xfId="39386"/>
    <cellStyle name="40% - Accent5 2 6 11" xfId="39387"/>
    <cellStyle name="40% - Accent5 2 6 2" xfId="39388"/>
    <cellStyle name="40% - Accent5 2 6 2 10" xfId="39389"/>
    <cellStyle name="40% - Accent5 2 6 2 2" xfId="39390"/>
    <cellStyle name="40% - Accent5 2 6 2 2 2" xfId="39391"/>
    <cellStyle name="40% - Accent5 2 6 2 2 2 2" xfId="39392"/>
    <cellStyle name="40% - Accent5 2 6 2 2 2 2 2" xfId="39393"/>
    <cellStyle name="40% - Accent5 2 6 2 2 2 2 2 2" xfId="39394"/>
    <cellStyle name="40% - Accent5 2 6 2 2 2 2 3" xfId="39395"/>
    <cellStyle name="40% - Accent5 2 6 2 2 2 3" xfId="39396"/>
    <cellStyle name="40% - Accent5 2 6 2 2 2 3 2" xfId="39397"/>
    <cellStyle name="40% - Accent5 2 6 2 2 2 4" xfId="39398"/>
    <cellStyle name="40% - Accent5 2 6 2 2 3" xfId="39399"/>
    <cellStyle name="40% - Accent5 2 6 2 2 3 2" xfId="39400"/>
    <cellStyle name="40% - Accent5 2 6 2 2 3 2 2" xfId="39401"/>
    <cellStyle name="40% - Accent5 2 6 2 2 3 3" xfId="39402"/>
    <cellStyle name="40% - Accent5 2 6 2 2 4" xfId="39403"/>
    <cellStyle name="40% - Accent5 2 6 2 2 4 2" xfId="39404"/>
    <cellStyle name="40% - Accent5 2 6 2 2 5" xfId="39405"/>
    <cellStyle name="40% - Accent5 2 6 2 3" xfId="39406"/>
    <cellStyle name="40% - Accent5 2 6 2 3 2" xfId="39407"/>
    <cellStyle name="40% - Accent5 2 6 2 3 2 2" xfId="39408"/>
    <cellStyle name="40% - Accent5 2 6 2 3 2 2 2" xfId="39409"/>
    <cellStyle name="40% - Accent5 2 6 2 3 2 2 2 2" xfId="39410"/>
    <cellStyle name="40% - Accent5 2 6 2 3 2 2 3" xfId="39411"/>
    <cellStyle name="40% - Accent5 2 6 2 3 2 3" xfId="39412"/>
    <cellStyle name="40% - Accent5 2 6 2 3 2 3 2" xfId="39413"/>
    <cellStyle name="40% - Accent5 2 6 2 3 2 4" xfId="39414"/>
    <cellStyle name="40% - Accent5 2 6 2 3 3" xfId="39415"/>
    <cellStyle name="40% - Accent5 2 6 2 3 3 2" xfId="39416"/>
    <cellStyle name="40% - Accent5 2 6 2 3 3 2 2" xfId="39417"/>
    <cellStyle name="40% - Accent5 2 6 2 3 3 3" xfId="39418"/>
    <cellStyle name="40% - Accent5 2 6 2 3 4" xfId="39419"/>
    <cellStyle name="40% - Accent5 2 6 2 3 4 2" xfId="39420"/>
    <cellStyle name="40% - Accent5 2 6 2 3 5" xfId="39421"/>
    <cellStyle name="40% - Accent5 2 6 2 4" xfId="39422"/>
    <cellStyle name="40% - Accent5 2 6 2 4 2" xfId="39423"/>
    <cellStyle name="40% - Accent5 2 6 2 4 2 2" xfId="39424"/>
    <cellStyle name="40% - Accent5 2 6 2 4 2 2 2" xfId="39425"/>
    <cellStyle name="40% - Accent5 2 6 2 4 2 2 2 2" xfId="39426"/>
    <cellStyle name="40% - Accent5 2 6 2 4 2 2 3" xfId="39427"/>
    <cellStyle name="40% - Accent5 2 6 2 4 2 3" xfId="39428"/>
    <cellStyle name="40% - Accent5 2 6 2 4 2 3 2" xfId="39429"/>
    <cellStyle name="40% - Accent5 2 6 2 4 2 4" xfId="39430"/>
    <cellStyle name="40% - Accent5 2 6 2 4 3" xfId="39431"/>
    <cellStyle name="40% - Accent5 2 6 2 4 3 2" xfId="39432"/>
    <cellStyle name="40% - Accent5 2 6 2 4 3 2 2" xfId="39433"/>
    <cellStyle name="40% - Accent5 2 6 2 4 3 3" xfId="39434"/>
    <cellStyle name="40% - Accent5 2 6 2 4 4" xfId="39435"/>
    <cellStyle name="40% - Accent5 2 6 2 4 4 2" xfId="39436"/>
    <cellStyle name="40% - Accent5 2 6 2 4 5" xfId="39437"/>
    <cellStyle name="40% - Accent5 2 6 2 5" xfId="39438"/>
    <cellStyle name="40% - Accent5 2 6 2 5 2" xfId="39439"/>
    <cellStyle name="40% - Accent5 2 6 2 5 2 2" xfId="39440"/>
    <cellStyle name="40% - Accent5 2 6 2 5 2 2 2" xfId="39441"/>
    <cellStyle name="40% - Accent5 2 6 2 5 2 2 2 2" xfId="39442"/>
    <cellStyle name="40% - Accent5 2 6 2 5 2 2 3" xfId="39443"/>
    <cellStyle name="40% - Accent5 2 6 2 5 2 3" xfId="39444"/>
    <cellStyle name="40% - Accent5 2 6 2 5 2 3 2" xfId="39445"/>
    <cellStyle name="40% - Accent5 2 6 2 5 2 4" xfId="39446"/>
    <cellStyle name="40% - Accent5 2 6 2 5 3" xfId="39447"/>
    <cellStyle name="40% - Accent5 2 6 2 5 3 2" xfId="39448"/>
    <cellStyle name="40% - Accent5 2 6 2 5 3 2 2" xfId="39449"/>
    <cellStyle name="40% - Accent5 2 6 2 5 3 3" xfId="39450"/>
    <cellStyle name="40% - Accent5 2 6 2 5 4" xfId="39451"/>
    <cellStyle name="40% - Accent5 2 6 2 5 4 2" xfId="39452"/>
    <cellStyle name="40% - Accent5 2 6 2 5 5" xfId="39453"/>
    <cellStyle name="40% - Accent5 2 6 2 6" xfId="39454"/>
    <cellStyle name="40% - Accent5 2 6 2 6 2" xfId="39455"/>
    <cellStyle name="40% - Accent5 2 6 2 6 2 2" xfId="39456"/>
    <cellStyle name="40% - Accent5 2 6 2 6 2 2 2" xfId="39457"/>
    <cellStyle name="40% - Accent5 2 6 2 6 2 2 2 2" xfId="39458"/>
    <cellStyle name="40% - Accent5 2 6 2 6 2 2 3" xfId="39459"/>
    <cellStyle name="40% - Accent5 2 6 2 6 2 3" xfId="39460"/>
    <cellStyle name="40% - Accent5 2 6 2 6 2 3 2" xfId="39461"/>
    <cellStyle name="40% - Accent5 2 6 2 6 2 4" xfId="39462"/>
    <cellStyle name="40% - Accent5 2 6 2 6 3" xfId="39463"/>
    <cellStyle name="40% - Accent5 2 6 2 6 3 2" xfId="39464"/>
    <cellStyle name="40% - Accent5 2 6 2 6 3 2 2" xfId="39465"/>
    <cellStyle name="40% - Accent5 2 6 2 6 3 3" xfId="39466"/>
    <cellStyle name="40% - Accent5 2 6 2 6 4" xfId="39467"/>
    <cellStyle name="40% - Accent5 2 6 2 6 4 2" xfId="39468"/>
    <cellStyle name="40% - Accent5 2 6 2 6 5" xfId="39469"/>
    <cellStyle name="40% - Accent5 2 6 2 7" xfId="39470"/>
    <cellStyle name="40% - Accent5 2 6 2 7 2" xfId="39471"/>
    <cellStyle name="40% - Accent5 2 6 2 7 2 2" xfId="39472"/>
    <cellStyle name="40% - Accent5 2 6 2 7 2 2 2" xfId="39473"/>
    <cellStyle name="40% - Accent5 2 6 2 7 2 3" xfId="39474"/>
    <cellStyle name="40% - Accent5 2 6 2 7 3" xfId="39475"/>
    <cellStyle name="40% - Accent5 2 6 2 7 3 2" xfId="39476"/>
    <cellStyle name="40% - Accent5 2 6 2 7 4" xfId="39477"/>
    <cellStyle name="40% - Accent5 2 6 2 8" xfId="39478"/>
    <cellStyle name="40% - Accent5 2 6 2 8 2" xfId="39479"/>
    <cellStyle name="40% - Accent5 2 6 2 8 2 2" xfId="39480"/>
    <cellStyle name="40% - Accent5 2 6 2 8 3" xfId="39481"/>
    <cellStyle name="40% - Accent5 2 6 2 9" xfId="39482"/>
    <cellStyle name="40% - Accent5 2 6 2 9 2" xfId="39483"/>
    <cellStyle name="40% - Accent5 2 6 3" xfId="39484"/>
    <cellStyle name="40% - Accent5 2 6 3 2" xfId="39485"/>
    <cellStyle name="40% - Accent5 2 6 3 2 2" xfId="39486"/>
    <cellStyle name="40% - Accent5 2 6 3 2 2 2" xfId="39487"/>
    <cellStyle name="40% - Accent5 2 6 3 2 2 2 2" xfId="39488"/>
    <cellStyle name="40% - Accent5 2 6 3 2 2 3" xfId="39489"/>
    <cellStyle name="40% - Accent5 2 6 3 2 3" xfId="39490"/>
    <cellStyle name="40% - Accent5 2 6 3 2 3 2" xfId="39491"/>
    <cellStyle name="40% - Accent5 2 6 3 2 4" xfId="39492"/>
    <cellStyle name="40% - Accent5 2 6 3 3" xfId="39493"/>
    <cellStyle name="40% - Accent5 2 6 3 3 2" xfId="39494"/>
    <cellStyle name="40% - Accent5 2 6 3 3 2 2" xfId="39495"/>
    <cellStyle name="40% - Accent5 2 6 3 3 3" xfId="39496"/>
    <cellStyle name="40% - Accent5 2 6 3 4" xfId="39497"/>
    <cellStyle name="40% - Accent5 2 6 3 4 2" xfId="39498"/>
    <cellStyle name="40% - Accent5 2 6 3 5" xfId="39499"/>
    <cellStyle name="40% - Accent5 2 6 4" xfId="39500"/>
    <cellStyle name="40% - Accent5 2 6 4 2" xfId="39501"/>
    <cellStyle name="40% - Accent5 2 6 4 2 2" xfId="39502"/>
    <cellStyle name="40% - Accent5 2 6 4 2 2 2" xfId="39503"/>
    <cellStyle name="40% - Accent5 2 6 4 2 2 2 2" xfId="39504"/>
    <cellStyle name="40% - Accent5 2 6 4 2 2 3" xfId="39505"/>
    <cellStyle name="40% - Accent5 2 6 4 2 3" xfId="39506"/>
    <cellStyle name="40% - Accent5 2 6 4 2 3 2" xfId="39507"/>
    <cellStyle name="40% - Accent5 2 6 4 2 4" xfId="39508"/>
    <cellStyle name="40% - Accent5 2 6 4 3" xfId="39509"/>
    <cellStyle name="40% - Accent5 2 6 4 3 2" xfId="39510"/>
    <cellStyle name="40% - Accent5 2 6 4 3 2 2" xfId="39511"/>
    <cellStyle name="40% - Accent5 2 6 4 3 3" xfId="39512"/>
    <cellStyle name="40% - Accent5 2 6 4 4" xfId="39513"/>
    <cellStyle name="40% - Accent5 2 6 4 4 2" xfId="39514"/>
    <cellStyle name="40% - Accent5 2 6 4 5" xfId="39515"/>
    <cellStyle name="40% - Accent5 2 6 5" xfId="39516"/>
    <cellStyle name="40% - Accent5 2 6 5 2" xfId="39517"/>
    <cellStyle name="40% - Accent5 2 6 5 2 2" xfId="39518"/>
    <cellStyle name="40% - Accent5 2 6 5 2 2 2" xfId="39519"/>
    <cellStyle name="40% - Accent5 2 6 5 2 2 2 2" xfId="39520"/>
    <cellStyle name="40% - Accent5 2 6 5 2 2 3" xfId="39521"/>
    <cellStyle name="40% - Accent5 2 6 5 2 3" xfId="39522"/>
    <cellStyle name="40% - Accent5 2 6 5 2 3 2" xfId="39523"/>
    <cellStyle name="40% - Accent5 2 6 5 2 4" xfId="39524"/>
    <cellStyle name="40% - Accent5 2 6 5 3" xfId="39525"/>
    <cellStyle name="40% - Accent5 2 6 5 3 2" xfId="39526"/>
    <cellStyle name="40% - Accent5 2 6 5 3 2 2" xfId="39527"/>
    <cellStyle name="40% - Accent5 2 6 5 3 3" xfId="39528"/>
    <cellStyle name="40% - Accent5 2 6 5 4" xfId="39529"/>
    <cellStyle name="40% - Accent5 2 6 5 4 2" xfId="39530"/>
    <cellStyle name="40% - Accent5 2 6 5 5" xfId="39531"/>
    <cellStyle name="40% - Accent5 2 6 6" xfId="39532"/>
    <cellStyle name="40% - Accent5 2 6 6 2" xfId="39533"/>
    <cellStyle name="40% - Accent5 2 6 6 2 2" xfId="39534"/>
    <cellStyle name="40% - Accent5 2 6 6 2 2 2" xfId="39535"/>
    <cellStyle name="40% - Accent5 2 6 6 2 2 2 2" xfId="39536"/>
    <cellStyle name="40% - Accent5 2 6 6 2 2 3" xfId="39537"/>
    <cellStyle name="40% - Accent5 2 6 6 2 3" xfId="39538"/>
    <cellStyle name="40% - Accent5 2 6 6 2 3 2" xfId="39539"/>
    <cellStyle name="40% - Accent5 2 6 6 2 4" xfId="39540"/>
    <cellStyle name="40% - Accent5 2 6 6 3" xfId="39541"/>
    <cellStyle name="40% - Accent5 2 6 6 3 2" xfId="39542"/>
    <cellStyle name="40% - Accent5 2 6 6 3 2 2" xfId="39543"/>
    <cellStyle name="40% - Accent5 2 6 6 3 3" xfId="39544"/>
    <cellStyle name="40% - Accent5 2 6 6 4" xfId="39545"/>
    <cellStyle name="40% - Accent5 2 6 6 4 2" xfId="39546"/>
    <cellStyle name="40% - Accent5 2 6 6 5" xfId="39547"/>
    <cellStyle name="40% - Accent5 2 6 7" xfId="39548"/>
    <cellStyle name="40% - Accent5 2 6 7 2" xfId="39549"/>
    <cellStyle name="40% - Accent5 2 6 7 2 2" xfId="39550"/>
    <cellStyle name="40% - Accent5 2 6 7 2 2 2" xfId="39551"/>
    <cellStyle name="40% - Accent5 2 6 7 2 2 2 2" xfId="39552"/>
    <cellStyle name="40% - Accent5 2 6 7 2 2 3" xfId="39553"/>
    <cellStyle name="40% - Accent5 2 6 7 2 3" xfId="39554"/>
    <cellStyle name="40% - Accent5 2 6 7 2 3 2" xfId="39555"/>
    <cellStyle name="40% - Accent5 2 6 7 2 4" xfId="39556"/>
    <cellStyle name="40% - Accent5 2 6 7 3" xfId="39557"/>
    <cellStyle name="40% - Accent5 2 6 7 3 2" xfId="39558"/>
    <cellStyle name="40% - Accent5 2 6 7 3 2 2" xfId="39559"/>
    <cellStyle name="40% - Accent5 2 6 7 3 3" xfId="39560"/>
    <cellStyle name="40% - Accent5 2 6 7 4" xfId="39561"/>
    <cellStyle name="40% - Accent5 2 6 7 4 2" xfId="39562"/>
    <cellStyle name="40% - Accent5 2 6 7 5" xfId="39563"/>
    <cellStyle name="40% - Accent5 2 6 8" xfId="39564"/>
    <cellStyle name="40% - Accent5 2 6 8 2" xfId="39565"/>
    <cellStyle name="40% - Accent5 2 6 8 2 2" xfId="39566"/>
    <cellStyle name="40% - Accent5 2 6 8 2 2 2" xfId="39567"/>
    <cellStyle name="40% - Accent5 2 6 8 2 3" xfId="39568"/>
    <cellStyle name="40% - Accent5 2 6 8 3" xfId="39569"/>
    <cellStyle name="40% - Accent5 2 6 8 3 2" xfId="39570"/>
    <cellStyle name="40% - Accent5 2 6 8 4" xfId="39571"/>
    <cellStyle name="40% - Accent5 2 6 9" xfId="39572"/>
    <cellStyle name="40% - Accent5 2 6 9 2" xfId="39573"/>
    <cellStyle name="40% - Accent5 2 6 9 2 2" xfId="39574"/>
    <cellStyle name="40% - Accent5 2 6 9 3" xfId="39575"/>
    <cellStyle name="40% - Accent5 2 7" xfId="39576"/>
    <cellStyle name="40% - Accent5 2 7 10" xfId="39577"/>
    <cellStyle name="40% - Accent5 2 7 10 2" xfId="39578"/>
    <cellStyle name="40% - Accent5 2 7 11" xfId="39579"/>
    <cellStyle name="40% - Accent5 2 7 2" xfId="39580"/>
    <cellStyle name="40% - Accent5 2 7 2 10" xfId="39581"/>
    <cellStyle name="40% - Accent5 2 7 2 2" xfId="39582"/>
    <cellStyle name="40% - Accent5 2 7 2 2 2" xfId="39583"/>
    <cellStyle name="40% - Accent5 2 7 2 2 2 2" xfId="39584"/>
    <cellStyle name="40% - Accent5 2 7 2 2 2 2 2" xfId="39585"/>
    <cellStyle name="40% - Accent5 2 7 2 2 2 2 2 2" xfId="39586"/>
    <cellStyle name="40% - Accent5 2 7 2 2 2 2 3" xfId="39587"/>
    <cellStyle name="40% - Accent5 2 7 2 2 2 3" xfId="39588"/>
    <cellStyle name="40% - Accent5 2 7 2 2 2 3 2" xfId="39589"/>
    <cellStyle name="40% - Accent5 2 7 2 2 2 4" xfId="39590"/>
    <cellStyle name="40% - Accent5 2 7 2 2 3" xfId="39591"/>
    <cellStyle name="40% - Accent5 2 7 2 2 3 2" xfId="39592"/>
    <cellStyle name="40% - Accent5 2 7 2 2 3 2 2" xfId="39593"/>
    <cellStyle name="40% - Accent5 2 7 2 2 3 3" xfId="39594"/>
    <cellStyle name="40% - Accent5 2 7 2 2 4" xfId="39595"/>
    <cellStyle name="40% - Accent5 2 7 2 2 4 2" xfId="39596"/>
    <cellStyle name="40% - Accent5 2 7 2 2 5" xfId="39597"/>
    <cellStyle name="40% - Accent5 2 7 2 3" xfId="39598"/>
    <cellStyle name="40% - Accent5 2 7 2 3 2" xfId="39599"/>
    <cellStyle name="40% - Accent5 2 7 2 3 2 2" xfId="39600"/>
    <cellStyle name="40% - Accent5 2 7 2 3 2 2 2" xfId="39601"/>
    <cellStyle name="40% - Accent5 2 7 2 3 2 2 2 2" xfId="39602"/>
    <cellStyle name="40% - Accent5 2 7 2 3 2 2 3" xfId="39603"/>
    <cellStyle name="40% - Accent5 2 7 2 3 2 3" xfId="39604"/>
    <cellStyle name="40% - Accent5 2 7 2 3 2 3 2" xfId="39605"/>
    <cellStyle name="40% - Accent5 2 7 2 3 2 4" xfId="39606"/>
    <cellStyle name="40% - Accent5 2 7 2 3 3" xfId="39607"/>
    <cellStyle name="40% - Accent5 2 7 2 3 3 2" xfId="39608"/>
    <cellStyle name="40% - Accent5 2 7 2 3 3 2 2" xfId="39609"/>
    <cellStyle name="40% - Accent5 2 7 2 3 3 3" xfId="39610"/>
    <cellStyle name="40% - Accent5 2 7 2 3 4" xfId="39611"/>
    <cellStyle name="40% - Accent5 2 7 2 3 4 2" xfId="39612"/>
    <cellStyle name="40% - Accent5 2 7 2 3 5" xfId="39613"/>
    <cellStyle name="40% - Accent5 2 7 2 4" xfId="39614"/>
    <cellStyle name="40% - Accent5 2 7 2 4 2" xfId="39615"/>
    <cellStyle name="40% - Accent5 2 7 2 4 2 2" xfId="39616"/>
    <cellStyle name="40% - Accent5 2 7 2 4 2 2 2" xfId="39617"/>
    <cellStyle name="40% - Accent5 2 7 2 4 2 2 2 2" xfId="39618"/>
    <cellStyle name="40% - Accent5 2 7 2 4 2 2 3" xfId="39619"/>
    <cellStyle name="40% - Accent5 2 7 2 4 2 3" xfId="39620"/>
    <cellStyle name="40% - Accent5 2 7 2 4 2 3 2" xfId="39621"/>
    <cellStyle name="40% - Accent5 2 7 2 4 2 4" xfId="39622"/>
    <cellStyle name="40% - Accent5 2 7 2 4 3" xfId="39623"/>
    <cellStyle name="40% - Accent5 2 7 2 4 3 2" xfId="39624"/>
    <cellStyle name="40% - Accent5 2 7 2 4 3 2 2" xfId="39625"/>
    <cellStyle name="40% - Accent5 2 7 2 4 3 3" xfId="39626"/>
    <cellStyle name="40% - Accent5 2 7 2 4 4" xfId="39627"/>
    <cellStyle name="40% - Accent5 2 7 2 4 4 2" xfId="39628"/>
    <cellStyle name="40% - Accent5 2 7 2 4 5" xfId="39629"/>
    <cellStyle name="40% - Accent5 2 7 2 5" xfId="39630"/>
    <cellStyle name="40% - Accent5 2 7 2 5 2" xfId="39631"/>
    <cellStyle name="40% - Accent5 2 7 2 5 2 2" xfId="39632"/>
    <cellStyle name="40% - Accent5 2 7 2 5 2 2 2" xfId="39633"/>
    <cellStyle name="40% - Accent5 2 7 2 5 2 2 2 2" xfId="39634"/>
    <cellStyle name="40% - Accent5 2 7 2 5 2 2 3" xfId="39635"/>
    <cellStyle name="40% - Accent5 2 7 2 5 2 3" xfId="39636"/>
    <cellStyle name="40% - Accent5 2 7 2 5 2 3 2" xfId="39637"/>
    <cellStyle name="40% - Accent5 2 7 2 5 2 4" xfId="39638"/>
    <cellStyle name="40% - Accent5 2 7 2 5 3" xfId="39639"/>
    <cellStyle name="40% - Accent5 2 7 2 5 3 2" xfId="39640"/>
    <cellStyle name="40% - Accent5 2 7 2 5 3 2 2" xfId="39641"/>
    <cellStyle name="40% - Accent5 2 7 2 5 3 3" xfId="39642"/>
    <cellStyle name="40% - Accent5 2 7 2 5 4" xfId="39643"/>
    <cellStyle name="40% - Accent5 2 7 2 5 4 2" xfId="39644"/>
    <cellStyle name="40% - Accent5 2 7 2 5 5" xfId="39645"/>
    <cellStyle name="40% - Accent5 2 7 2 6" xfId="39646"/>
    <cellStyle name="40% - Accent5 2 7 2 6 2" xfId="39647"/>
    <cellStyle name="40% - Accent5 2 7 2 6 2 2" xfId="39648"/>
    <cellStyle name="40% - Accent5 2 7 2 6 2 2 2" xfId="39649"/>
    <cellStyle name="40% - Accent5 2 7 2 6 2 2 2 2" xfId="39650"/>
    <cellStyle name="40% - Accent5 2 7 2 6 2 2 3" xfId="39651"/>
    <cellStyle name="40% - Accent5 2 7 2 6 2 3" xfId="39652"/>
    <cellStyle name="40% - Accent5 2 7 2 6 2 3 2" xfId="39653"/>
    <cellStyle name="40% - Accent5 2 7 2 6 2 4" xfId="39654"/>
    <cellStyle name="40% - Accent5 2 7 2 6 3" xfId="39655"/>
    <cellStyle name="40% - Accent5 2 7 2 6 3 2" xfId="39656"/>
    <cellStyle name="40% - Accent5 2 7 2 6 3 2 2" xfId="39657"/>
    <cellStyle name="40% - Accent5 2 7 2 6 3 3" xfId="39658"/>
    <cellStyle name="40% - Accent5 2 7 2 6 4" xfId="39659"/>
    <cellStyle name="40% - Accent5 2 7 2 6 4 2" xfId="39660"/>
    <cellStyle name="40% - Accent5 2 7 2 6 5" xfId="39661"/>
    <cellStyle name="40% - Accent5 2 7 2 7" xfId="39662"/>
    <cellStyle name="40% - Accent5 2 7 2 7 2" xfId="39663"/>
    <cellStyle name="40% - Accent5 2 7 2 7 2 2" xfId="39664"/>
    <cellStyle name="40% - Accent5 2 7 2 7 2 2 2" xfId="39665"/>
    <cellStyle name="40% - Accent5 2 7 2 7 2 3" xfId="39666"/>
    <cellStyle name="40% - Accent5 2 7 2 7 3" xfId="39667"/>
    <cellStyle name="40% - Accent5 2 7 2 7 3 2" xfId="39668"/>
    <cellStyle name="40% - Accent5 2 7 2 7 4" xfId="39669"/>
    <cellStyle name="40% - Accent5 2 7 2 8" xfId="39670"/>
    <cellStyle name="40% - Accent5 2 7 2 8 2" xfId="39671"/>
    <cellStyle name="40% - Accent5 2 7 2 8 2 2" xfId="39672"/>
    <cellStyle name="40% - Accent5 2 7 2 8 3" xfId="39673"/>
    <cellStyle name="40% - Accent5 2 7 2 9" xfId="39674"/>
    <cellStyle name="40% - Accent5 2 7 2 9 2" xfId="39675"/>
    <cellStyle name="40% - Accent5 2 7 3" xfId="39676"/>
    <cellStyle name="40% - Accent5 2 7 3 2" xfId="39677"/>
    <cellStyle name="40% - Accent5 2 7 3 2 2" xfId="39678"/>
    <cellStyle name="40% - Accent5 2 7 3 2 2 2" xfId="39679"/>
    <cellStyle name="40% - Accent5 2 7 3 2 2 2 2" xfId="39680"/>
    <cellStyle name="40% - Accent5 2 7 3 2 2 3" xfId="39681"/>
    <cellStyle name="40% - Accent5 2 7 3 2 3" xfId="39682"/>
    <cellStyle name="40% - Accent5 2 7 3 2 3 2" xfId="39683"/>
    <cellStyle name="40% - Accent5 2 7 3 2 4" xfId="39684"/>
    <cellStyle name="40% - Accent5 2 7 3 3" xfId="39685"/>
    <cellStyle name="40% - Accent5 2 7 3 3 2" xfId="39686"/>
    <cellStyle name="40% - Accent5 2 7 3 3 2 2" xfId="39687"/>
    <cellStyle name="40% - Accent5 2 7 3 3 3" xfId="39688"/>
    <cellStyle name="40% - Accent5 2 7 3 4" xfId="39689"/>
    <cellStyle name="40% - Accent5 2 7 3 4 2" xfId="39690"/>
    <cellStyle name="40% - Accent5 2 7 3 5" xfId="39691"/>
    <cellStyle name="40% - Accent5 2 7 4" xfId="39692"/>
    <cellStyle name="40% - Accent5 2 7 4 2" xfId="39693"/>
    <cellStyle name="40% - Accent5 2 7 4 2 2" xfId="39694"/>
    <cellStyle name="40% - Accent5 2 7 4 2 2 2" xfId="39695"/>
    <cellStyle name="40% - Accent5 2 7 4 2 2 2 2" xfId="39696"/>
    <cellStyle name="40% - Accent5 2 7 4 2 2 3" xfId="39697"/>
    <cellStyle name="40% - Accent5 2 7 4 2 3" xfId="39698"/>
    <cellStyle name="40% - Accent5 2 7 4 2 3 2" xfId="39699"/>
    <cellStyle name="40% - Accent5 2 7 4 2 4" xfId="39700"/>
    <cellStyle name="40% - Accent5 2 7 4 3" xfId="39701"/>
    <cellStyle name="40% - Accent5 2 7 4 3 2" xfId="39702"/>
    <cellStyle name="40% - Accent5 2 7 4 3 2 2" xfId="39703"/>
    <cellStyle name="40% - Accent5 2 7 4 3 3" xfId="39704"/>
    <cellStyle name="40% - Accent5 2 7 4 4" xfId="39705"/>
    <cellStyle name="40% - Accent5 2 7 4 4 2" xfId="39706"/>
    <cellStyle name="40% - Accent5 2 7 4 5" xfId="39707"/>
    <cellStyle name="40% - Accent5 2 7 5" xfId="39708"/>
    <cellStyle name="40% - Accent5 2 7 5 2" xfId="39709"/>
    <cellStyle name="40% - Accent5 2 7 5 2 2" xfId="39710"/>
    <cellStyle name="40% - Accent5 2 7 5 2 2 2" xfId="39711"/>
    <cellStyle name="40% - Accent5 2 7 5 2 2 2 2" xfId="39712"/>
    <cellStyle name="40% - Accent5 2 7 5 2 2 3" xfId="39713"/>
    <cellStyle name="40% - Accent5 2 7 5 2 3" xfId="39714"/>
    <cellStyle name="40% - Accent5 2 7 5 2 3 2" xfId="39715"/>
    <cellStyle name="40% - Accent5 2 7 5 2 4" xfId="39716"/>
    <cellStyle name="40% - Accent5 2 7 5 3" xfId="39717"/>
    <cellStyle name="40% - Accent5 2 7 5 3 2" xfId="39718"/>
    <cellStyle name="40% - Accent5 2 7 5 3 2 2" xfId="39719"/>
    <cellStyle name="40% - Accent5 2 7 5 3 3" xfId="39720"/>
    <cellStyle name="40% - Accent5 2 7 5 4" xfId="39721"/>
    <cellStyle name="40% - Accent5 2 7 5 4 2" xfId="39722"/>
    <cellStyle name="40% - Accent5 2 7 5 5" xfId="39723"/>
    <cellStyle name="40% - Accent5 2 7 6" xfId="39724"/>
    <cellStyle name="40% - Accent5 2 7 6 2" xfId="39725"/>
    <cellStyle name="40% - Accent5 2 7 6 2 2" xfId="39726"/>
    <cellStyle name="40% - Accent5 2 7 6 2 2 2" xfId="39727"/>
    <cellStyle name="40% - Accent5 2 7 6 2 2 2 2" xfId="39728"/>
    <cellStyle name="40% - Accent5 2 7 6 2 2 3" xfId="39729"/>
    <cellStyle name="40% - Accent5 2 7 6 2 3" xfId="39730"/>
    <cellStyle name="40% - Accent5 2 7 6 2 3 2" xfId="39731"/>
    <cellStyle name="40% - Accent5 2 7 6 2 4" xfId="39732"/>
    <cellStyle name="40% - Accent5 2 7 6 3" xfId="39733"/>
    <cellStyle name="40% - Accent5 2 7 6 3 2" xfId="39734"/>
    <cellStyle name="40% - Accent5 2 7 6 3 2 2" xfId="39735"/>
    <cellStyle name="40% - Accent5 2 7 6 3 3" xfId="39736"/>
    <cellStyle name="40% - Accent5 2 7 6 4" xfId="39737"/>
    <cellStyle name="40% - Accent5 2 7 6 4 2" xfId="39738"/>
    <cellStyle name="40% - Accent5 2 7 6 5" xfId="39739"/>
    <cellStyle name="40% - Accent5 2 7 7" xfId="39740"/>
    <cellStyle name="40% - Accent5 2 7 7 2" xfId="39741"/>
    <cellStyle name="40% - Accent5 2 7 7 2 2" xfId="39742"/>
    <cellStyle name="40% - Accent5 2 7 7 2 2 2" xfId="39743"/>
    <cellStyle name="40% - Accent5 2 7 7 2 2 2 2" xfId="39744"/>
    <cellStyle name="40% - Accent5 2 7 7 2 2 3" xfId="39745"/>
    <cellStyle name="40% - Accent5 2 7 7 2 3" xfId="39746"/>
    <cellStyle name="40% - Accent5 2 7 7 2 3 2" xfId="39747"/>
    <cellStyle name="40% - Accent5 2 7 7 2 4" xfId="39748"/>
    <cellStyle name="40% - Accent5 2 7 7 3" xfId="39749"/>
    <cellStyle name="40% - Accent5 2 7 7 3 2" xfId="39750"/>
    <cellStyle name="40% - Accent5 2 7 7 3 2 2" xfId="39751"/>
    <cellStyle name="40% - Accent5 2 7 7 3 3" xfId="39752"/>
    <cellStyle name="40% - Accent5 2 7 7 4" xfId="39753"/>
    <cellStyle name="40% - Accent5 2 7 7 4 2" xfId="39754"/>
    <cellStyle name="40% - Accent5 2 7 7 5" xfId="39755"/>
    <cellStyle name="40% - Accent5 2 7 8" xfId="39756"/>
    <cellStyle name="40% - Accent5 2 7 8 2" xfId="39757"/>
    <cellStyle name="40% - Accent5 2 7 8 2 2" xfId="39758"/>
    <cellStyle name="40% - Accent5 2 7 8 2 2 2" xfId="39759"/>
    <cellStyle name="40% - Accent5 2 7 8 2 3" xfId="39760"/>
    <cellStyle name="40% - Accent5 2 7 8 3" xfId="39761"/>
    <cellStyle name="40% - Accent5 2 7 8 3 2" xfId="39762"/>
    <cellStyle name="40% - Accent5 2 7 8 4" xfId="39763"/>
    <cellStyle name="40% - Accent5 2 7 9" xfId="39764"/>
    <cellStyle name="40% - Accent5 2 7 9 2" xfId="39765"/>
    <cellStyle name="40% - Accent5 2 7 9 2 2" xfId="39766"/>
    <cellStyle name="40% - Accent5 2 7 9 3" xfId="39767"/>
    <cellStyle name="40% - Accent5 2 8" xfId="39768"/>
    <cellStyle name="40% - Accent5 2 8 10" xfId="39769"/>
    <cellStyle name="40% - Accent5 2 8 10 2" xfId="39770"/>
    <cellStyle name="40% - Accent5 2 8 11" xfId="39771"/>
    <cellStyle name="40% - Accent5 2 8 2" xfId="39772"/>
    <cellStyle name="40% - Accent5 2 8 2 10" xfId="39773"/>
    <cellStyle name="40% - Accent5 2 8 2 2" xfId="39774"/>
    <cellStyle name="40% - Accent5 2 8 2 2 2" xfId="39775"/>
    <cellStyle name="40% - Accent5 2 8 2 2 2 2" xfId="39776"/>
    <cellStyle name="40% - Accent5 2 8 2 2 2 2 2" xfId="39777"/>
    <cellStyle name="40% - Accent5 2 8 2 2 2 2 2 2" xfId="39778"/>
    <cellStyle name="40% - Accent5 2 8 2 2 2 2 3" xfId="39779"/>
    <cellStyle name="40% - Accent5 2 8 2 2 2 3" xfId="39780"/>
    <cellStyle name="40% - Accent5 2 8 2 2 2 3 2" xfId="39781"/>
    <cellStyle name="40% - Accent5 2 8 2 2 2 4" xfId="39782"/>
    <cellStyle name="40% - Accent5 2 8 2 2 3" xfId="39783"/>
    <cellStyle name="40% - Accent5 2 8 2 2 3 2" xfId="39784"/>
    <cellStyle name="40% - Accent5 2 8 2 2 3 2 2" xfId="39785"/>
    <cellStyle name="40% - Accent5 2 8 2 2 3 3" xfId="39786"/>
    <cellStyle name="40% - Accent5 2 8 2 2 4" xfId="39787"/>
    <cellStyle name="40% - Accent5 2 8 2 2 4 2" xfId="39788"/>
    <cellStyle name="40% - Accent5 2 8 2 2 5" xfId="39789"/>
    <cellStyle name="40% - Accent5 2 8 2 3" xfId="39790"/>
    <cellStyle name="40% - Accent5 2 8 2 3 2" xfId="39791"/>
    <cellStyle name="40% - Accent5 2 8 2 3 2 2" xfId="39792"/>
    <cellStyle name="40% - Accent5 2 8 2 3 2 2 2" xfId="39793"/>
    <cellStyle name="40% - Accent5 2 8 2 3 2 2 2 2" xfId="39794"/>
    <cellStyle name="40% - Accent5 2 8 2 3 2 2 3" xfId="39795"/>
    <cellStyle name="40% - Accent5 2 8 2 3 2 3" xfId="39796"/>
    <cellStyle name="40% - Accent5 2 8 2 3 2 3 2" xfId="39797"/>
    <cellStyle name="40% - Accent5 2 8 2 3 2 4" xfId="39798"/>
    <cellStyle name="40% - Accent5 2 8 2 3 3" xfId="39799"/>
    <cellStyle name="40% - Accent5 2 8 2 3 3 2" xfId="39800"/>
    <cellStyle name="40% - Accent5 2 8 2 3 3 2 2" xfId="39801"/>
    <cellStyle name="40% - Accent5 2 8 2 3 3 3" xfId="39802"/>
    <cellStyle name="40% - Accent5 2 8 2 3 4" xfId="39803"/>
    <cellStyle name="40% - Accent5 2 8 2 3 4 2" xfId="39804"/>
    <cellStyle name="40% - Accent5 2 8 2 3 5" xfId="39805"/>
    <cellStyle name="40% - Accent5 2 8 2 4" xfId="39806"/>
    <cellStyle name="40% - Accent5 2 8 2 4 2" xfId="39807"/>
    <cellStyle name="40% - Accent5 2 8 2 4 2 2" xfId="39808"/>
    <cellStyle name="40% - Accent5 2 8 2 4 2 2 2" xfId="39809"/>
    <cellStyle name="40% - Accent5 2 8 2 4 2 2 2 2" xfId="39810"/>
    <cellStyle name="40% - Accent5 2 8 2 4 2 2 3" xfId="39811"/>
    <cellStyle name="40% - Accent5 2 8 2 4 2 3" xfId="39812"/>
    <cellStyle name="40% - Accent5 2 8 2 4 2 3 2" xfId="39813"/>
    <cellStyle name="40% - Accent5 2 8 2 4 2 4" xfId="39814"/>
    <cellStyle name="40% - Accent5 2 8 2 4 3" xfId="39815"/>
    <cellStyle name="40% - Accent5 2 8 2 4 3 2" xfId="39816"/>
    <cellStyle name="40% - Accent5 2 8 2 4 3 2 2" xfId="39817"/>
    <cellStyle name="40% - Accent5 2 8 2 4 3 3" xfId="39818"/>
    <cellStyle name="40% - Accent5 2 8 2 4 4" xfId="39819"/>
    <cellStyle name="40% - Accent5 2 8 2 4 4 2" xfId="39820"/>
    <cellStyle name="40% - Accent5 2 8 2 4 5" xfId="39821"/>
    <cellStyle name="40% - Accent5 2 8 2 5" xfId="39822"/>
    <cellStyle name="40% - Accent5 2 8 2 5 2" xfId="39823"/>
    <cellStyle name="40% - Accent5 2 8 2 5 2 2" xfId="39824"/>
    <cellStyle name="40% - Accent5 2 8 2 5 2 2 2" xfId="39825"/>
    <cellStyle name="40% - Accent5 2 8 2 5 2 2 2 2" xfId="39826"/>
    <cellStyle name="40% - Accent5 2 8 2 5 2 2 3" xfId="39827"/>
    <cellStyle name="40% - Accent5 2 8 2 5 2 3" xfId="39828"/>
    <cellStyle name="40% - Accent5 2 8 2 5 2 3 2" xfId="39829"/>
    <cellStyle name="40% - Accent5 2 8 2 5 2 4" xfId="39830"/>
    <cellStyle name="40% - Accent5 2 8 2 5 3" xfId="39831"/>
    <cellStyle name="40% - Accent5 2 8 2 5 3 2" xfId="39832"/>
    <cellStyle name="40% - Accent5 2 8 2 5 3 2 2" xfId="39833"/>
    <cellStyle name="40% - Accent5 2 8 2 5 3 3" xfId="39834"/>
    <cellStyle name="40% - Accent5 2 8 2 5 4" xfId="39835"/>
    <cellStyle name="40% - Accent5 2 8 2 5 4 2" xfId="39836"/>
    <cellStyle name="40% - Accent5 2 8 2 5 5" xfId="39837"/>
    <cellStyle name="40% - Accent5 2 8 2 6" xfId="39838"/>
    <cellStyle name="40% - Accent5 2 8 2 6 2" xfId="39839"/>
    <cellStyle name="40% - Accent5 2 8 2 6 2 2" xfId="39840"/>
    <cellStyle name="40% - Accent5 2 8 2 6 2 2 2" xfId="39841"/>
    <cellStyle name="40% - Accent5 2 8 2 6 2 2 2 2" xfId="39842"/>
    <cellStyle name="40% - Accent5 2 8 2 6 2 2 3" xfId="39843"/>
    <cellStyle name="40% - Accent5 2 8 2 6 2 3" xfId="39844"/>
    <cellStyle name="40% - Accent5 2 8 2 6 2 3 2" xfId="39845"/>
    <cellStyle name="40% - Accent5 2 8 2 6 2 4" xfId="39846"/>
    <cellStyle name="40% - Accent5 2 8 2 6 3" xfId="39847"/>
    <cellStyle name="40% - Accent5 2 8 2 6 3 2" xfId="39848"/>
    <cellStyle name="40% - Accent5 2 8 2 6 3 2 2" xfId="39849"/>
    <cellStyle name="40% - Accent5 2 8 2 6 3 3" xfId="39850"/>
    <cellStyle name="40% - Accent5 2 8 2 6 4" xfId="39851"/>
    <cellStyle name="40% - Accent5 2 8 2 6 4 2" xfId="39852"/>
    <cellStyle name="40% - Accent5 2 8 2 6 5" xfId="39853"/>
    <cellStyle name="40% - Accent5 2 8 2 7" xfId="39854"/>
    <cellStyle name="40% - Accent5 2 8 2 7 2" xfId="39855"/>
    <cellStyle name="40% - Accent5 2 8 2 7 2 2" xfId="39856"/>
    <cellStyle name="40% - Accent5 2 8 2 7 2 2 2" xfId="39857"/>
    <cellStyle name="40% - Accent5 2 8 2 7 2 3" xfId="39858"/>
    <cellStyle name="40% - Accent5 2 8 2 7 3" xfId="39859"/>
    <cellStyle name="40% - Accent5 2 8 2 7 3 2" xfId="39860"/>
    <cellStyle name="40% - Accent5 2 8 2 7 4" xfId="39861"/>
    <cellStyle name="40% - Accent5 2 8 2 8" xfId="39862"/>
    <cellStyle name="40% - Accent5 2 8 2 8 2" xfId="39863"/>
    <cellStyle name="40% - Accent5 2 8 2 8 2 2" xfId="39864"/>
    <cellStyle name="40% - Accent5 2 8 2 8 3" xfId="39865"/>
    <cellStyle name="40% - Accent5 2 8 2 9" xfId="39866"/>
    <cellStyle name="40% - Accent5 2 8 2 9 2" xfId="39867"/>
    <cellStyle name="40% - Accent5 2 8 3" xfId="39868"/>
    <cellStyle name="40% - Accent5 2 8 3 2" xfId="39869"/>
    <cellStyle name="40% - Accent5 2 8 3 2 2" xfId="39870"/>
    <cellStyle name="40% - Accent5 2 8 3 2 2 2" xfId="39871"/>
    <cellStyle name="40% - Accent5 2 8 3 2 2 2 2" xfId="39872"/>
    <cellStyle name="40% - Accent5 2 8 3 2 2 3" xfId="39873"/>
    <cellStyle name="40% - Accent5 2 8 3 2 3" xfId="39874"/>
    <cellStyle name="40% - Accent5 2 8 3 2 3 2" xfId="39875"/>
    <cellStyle name="40% - Accent5 2 8 3 2 4" xfId="39876"/>
    <cellStyle name="40% - Accent5 2 8 3 3" xfId="39877"/>
    <cellStyle name="40% - Accent5 2 8 3 3 2" xfId="39878"/>
    <cellStyle name="40% - Accent5 2 8 3 3 2 2" xfId="39879"/>
    <cellStyle name="40% - Accent5 2 8 3 3 3" xfId="39880"/>
    <cellStyle name="40% - Accent5 2 8 3 4" xfId="39881"/>
    <cellStyle name="40% - Accent5 2 8 3 4 2" xfId="39882"/>
    <cellStyle name="40% - Accent5 2 8 3 5" xfId="39883"/>
    <cellStyle name="40% - Accent5 2 8 4" xfId="39884"/>
    <cellStyle name="40% - Accent5 2 8 4 2" xfId="39885"/>
    <cellStyle name="40% - Accent5 2 8 4 2 2" xfId="39886"/>
    <cellStyle name="40% - Accent5 2 8 4 2 2 2" xfId="39887"/>
    <cellStyle name="40% - Accent5 2 8 4 2 2 2 2" xfId="39888"/>
    <cellStyle name="40% - Accent5 2 8 4 2 2 3" xfId="39889"/>
    <cellStyle name="40% - Accent5 2 8 4 2 3" xfId="39890"/>
    <cellStyle name="40% - Accent5 2 8 4 2 3 2" xfId="39891"/>
    <cellStyle name="40% - Accent5 2 8 4 2 4" xfId="39892"/>
    <cellStyle name="40% - Accent5 2 8 4 3" xfId="39893"/>
    <cellStyle name="40% - Accent5 2 8 4 3 2" xfId="39894"/>
    <cellStyle name="40% - Accent5 2 8 4 3 2 2" xfId="39895"/>
    <cellStyle name="40% - Accent5 2 8 4 3 3" xfId="39896"/>
    <cellStyle name="40% - Accent5 2 8 4 4" xfId="39897"/>
    <cellStyle name="40% - Accent5 2 8 4 4 2" xfId="39898"/>
    <cellStyle name="40% - Accent5 2 8 4 5" xfId="39899"/>
    <cellStyle name="40% - Accent5 2 8 5" xfId="39900"/>
    <cellStyle name="40% - Accent5 2 8 5 2" xfId="39901"/>
    <cellStyle name="40% - Accent5 2 8 5 2 2" xfId="39902"/>
    <cellStyle name="40% - Accent5 2 8 5 2 2 2" xfId="39903"/>
    <cellStyle name="40% - Accent5 2 8 5 2 2 2 2" xfId="39904"/>
    <cellStyle name="40% - Accent5 2 8 5 2 2 3" xfId="39905"/>
    <cellStyle name="40% - Accent5 2 8 5 2 3" xfId="39906"/>
    <cellStyle name="40% - Accent5 2 8 5 2 3 2" xfId="39907"/>
    <cellStyle name="40% - Accent5 2 8 5 2 4" xfId="39908"/>
    <cellStyle name="40% - Accent5 2 8 5 3" xfId="39909"/>
    <cellStyle name="40% - Accent5 2 8 5 3 2" xfId="39910"/>
    <cellStyle name="40% - Accent5 2 8 5 3 2 2" xfId="39911"/>
    <cellStyle name="40% - Accent5 2 8 5 3 3" xfId="39912"/>
    <cellStyle name="40% - Accent5 2 8 5 4" xfId="39913"/>
    <cellStyle name="40% - Accent5 2 8 5 4 2" xfId="39914"/>
    <cellStyle name="40% - Accent5 2 8 5 5" xfId="39915"/>
    <cellStyle name="40% - Accent5 2 8 6" xfId="39916"/>
    <cellStyle name="40% - Accent5 2 8 6 2" xfId="39917"/>
    <cellStyle name="40% - Accent5 2 8 6 2 2" xfId="39918"/>
    <cellStyle name="40% - Accent5 2 8 6 2 2 2" xfId="39919"/>
    <cellStyle name="40% - Accent5 2 8 6 2 2 2 2" xfId="39920"/>
    <cellStyle name="40% - Accent5 2 8 6 2 2 3" xfId="39921"/>
    <cellStyle name="40% - Accent5 2 8 6 2 3" xfId="39922"/>
    <cellStyle name="40% - Accent5 2 8 6 2 3 2" xfId="39923"/>
    <cellStyle name="40% - Accent5 2 8 6 2 4" xfId="39924"/>
    <cellStyle name="40% - Accent5 2 8 6 3" xfId="39925"/>
    <cellStyle name="40% - Accent5 2 8 6 3 2" xfId="39926"/>
    <cellStyle name="40% - Accent5 2 8 6 3 2 2" xfId="39927"/>
    <cellStyle name="40% - Accent5 2 8 6 3 3" xfId="39928"/>
    <cellStyle name="40% - Accent5 2 8 6 4" xfId="39929"/>
    <cellStyle name="40% - Accent5 2 8 6 4 2" xfId="39930"/>
    <cellStyle name="40% - Accent5 2 8 6 5" xfId="39931"/>
    <cellStyle name="40% - Accent5 2 8 7" xfId="39932"/>
    <cellStyle name="40% - Accent5 2 8 7 2" xfId="39933"/>
    <cellStyle name="40% - Accent5 2 8 7 2 2" xfId="39934"/>
    <cellStyle name="40% - Accent5 2 8 7 2 2 2" xfId="39935"/>
    <cellStyle name="40% - Accent5 2 8 7 2 2 2 2" xfId="39936"/>
    <cellStyle name="40% - Accent5 2 8 7 2 2 3" xfId="39937"/>
    <cellStyle name="40% - Accent5 2 8 7 2 3" xfId="39938"/>
    <cellStyle name="40% - Accent5 2 8 7 2 3 2" xfId="39939"/>
    <cellStyle name="40% - Accent5 2 8 7 2 4" xfId="39940"/>
    <cellStyle name="40% - Accent5 2 8 7 3" xfId="39941"/>
    <cellStyle name="40% - Accent5 2 8 7 3 2" xfId="39942"/>
    <cellStyle name="40% - Accent5 2 8 7 3 2 2" xfId="39943"/>
    <cellStyle name="40% - Accent5 2 8 7 3 3" xfId="39944"/>
    <cellStyle name="40% - Accent5 2 8 7 4" xfId="39945"/>
    <cellStyle name="40% - Accent5 2 8 7 4 2" xfId="39946"/>
    <cellStyle name="40% - Accent5 2 8 7 5" xfId="39947"/>
    <cellStyle name="40% - Accent5 2 8 8" xfId="39948"/>
    <cellStyle name="40% - Accent5 2 8 8 2" xfId="39949"/>
    <cellStyle name="40% - Accent5 2 8 8 2 2" xfId="39950"/>
    <cellStyle name="40% - Accent5 2 8 8 2 2 2" xfId="39951"/>
    <cellStyle name="40% - Accent5 2 8 8 2 3" xfId="39952"/>
    <cellStyle name="40% - Accent5 2 8 8 3" xfId="39953"/>
    <cellStyle name="40% - Accent5 2 8 8 3 2" xfId="39954"/>
    <cellStyle name="40% - Accent5 2 8 8 4" xfId="39955"/>
    <cellStyle name="40% - Accent5 2 8 9" xfId="39956"/>
    <cellStyle name="40% - Accent5 2 8 9 2" xfId="39957"/>
    <cellStyle name="40% - Accent5 2 8 9 2 2" xfId="39958"/>
    <cellStyle name="40% - Accent5 2 8 9 3" xfId="39959"/>
    <cellStyle name="40% - Accent5 2 9" xfId="39960"/>
    <cellStyle name="40% - Accent5 2 9 10" xfId="39961"/>
    <cellStyle name="40% - Accent5 2 9 10 2" xfId="39962"/>
    <cellStyle name="40% - Accent5 2 9 11" xfId="39963"/>
    <cellStyle name="40% - Accent5 2 9 2" xfId="39964"/>
    <cellStyle name="40% - Accent5 2 9 2 10" xfId="39965"/>
    <cellStyle name="40% - Accent5 2 9 2 2" xfId="39966"/>
    <cellStyle name="40% - Accent5 2 9 2 2 2" xfId="39967"/>
    <cellStyle name="40% - Accent5 2 9 2 2 2 2" xfId="39968"/>
    <cellStyle name="40% - Accent5 2 9 2 2 2 2 2" xfId="39969"/>
    <cellStyle name="40% - Accent5 2 9 2 2 2 2 2 2" xfId="39970"/>
    <cellStyle name="40% - Accent5 2 9 2 2 2 2 3" xfId="39971"/>
    <cellStyle name="40% - Accent5 2 9 2 2 2 3" xfId="39972"/>
    <cellStyle name="40% - Accent5 2 9 2 2 2 3 2" xfId="39973"/>
    <cellStyle name="40% - Accent5 2 9 2 2 2 4" xfId="39974"/>
    <cellStyle name="40% - Accent5 2 9 2 2 3" xfId="39975"/>
    <cellStyle name="40% - Accent5 2 9 2 2 3 2" xfId="39976"/>
    <cellStyle name="40% - Accent5 2 9 2 2 3 2 2" xfId="39977"/>
    <cellStyle name="40% - Accent5 2 9 2 2 3 3" xfId="39978"/>
    <cellStyle name="40% - Accent5 2 9 2 2 4" xfId="39979"/>
    <cellStyle name="40% - Accent5 2 9 2 2 4 2" xfId="39980"/>
    <cellStyle name="40% - Accent5 2 9 2 2 5" xfId="39981"/>
    <cellStyle name="40% - Accent5 2 9 2 3" xfId="39982"/>
    <cellStyle name="40% - Accent5 2 9 2 3 2" xfId="39983"/>
    <cellStyle name="40% - Accent5 2 9 2 3 2 2" xfId="39984"/>
    <cellStyle name="40% - Accent5 2 9 2 3 2 2 2" xfId="39985"/>
    <cellStyle name="40% - Accent5 2 9 2 3 2 2 2 2" xfId="39986"/>
    <cellStyle name="40% - Accent5 2 9 2 3 2 2 3" xfId="39987"/>
    <cellStyle name="40% - Accent5 2 9 2 3 2 3" xfId="39988"/>
    <cellStyle name="40% - Accent5 2 9 2 3 2 3 2" xfId="39989"/>
    <cellStyle name="40% - Accent5 2 9 2 3 2 4" xfId="39990"/>
    <cellStyle name="40% - Accent5 2 9 2 3 3" xfId="39991"/>
    <cellStyle name="40% - Accent5 2 9 2 3 3 2" xfId="39992"/>
    <cellStyle name="40% - Accent5 2 9 2 3 3 2 2" xfId="39993"/>
    <cellStyle name="40% - Accent5 2 9 2 3 3 3" xfId="39994"/>
    <cellStyle name="40% - Accent5 2 9 2 3 4" xfId="39995"/>
    <cellStyle name="40% - Accent5 2 9 2 3 4 2" xfId="39996"/>
    <cellStyle name="40% - Accent5 2 9 2 3 5" xfId="39997"/>
    <cellStyle name="40% - Accent5 2 9 2 4" xfId="39998"/>
    <cellStyle name="40% - Accent5 2 9 2 4 2" xfId="39999"/>
    <cellStyle name="40% - Accent5 2 9 2 4 2 2" xfId="40000"/>
    <cellStyle name="40% - Accent5 2 9 2 4 2 2 2" xfId="40001"/>
    <cellStyle name="40% - Accent5 2 9 2 4 2 2 2 2" xfId="40002"/>
    <cellStyle name="40% - Accent5 2 9 2 4 2 2 3" xfId="40003"/>
    <cellStyle name="40% - Accent5 2 9 2 4 2 3" xfId="40004"/>
    <cellStyle name="40% - Accent5 2 9 2 4 2 3 2" xfId="40005"/>
    <cellStyle name="40% - Accent5 2 9 2 4 2 4" xfId="40006"/>
    <cellStyle name="40% - Accent5 2 9 2 4 3" xfId="40007"/>
    <cellStyle name="40% - Accent5 2 9 2 4 3 2" xfId="40008"/>
    <cellStyle name="40% - Accent5 2 9 2 4 3 2 2" xfId="40009"/>
    <cellStyle name="40% - Accent5 2 9 2 4 3 3" xfId="40010"/>
    <cellStyle name="40% - Accent5 2 9 2 4 4" xfId="40011"/>
    <cellStyle name="40% - Accent5 2 9 2 4 4 2" xfId="40012"/>
    <cellStyle name="40% - Accent5 2 9 2 4 5" xfId="40013"/>
    <cellStyle name="40% - Accent5 2 9 2 5" xfId="40014"/>
    <cellStyle name="40% - Accent5 2 9 2 5 2" xfId="40015"/>
    <cellStyle name="40% - Accent5 2 9 2 5 2 2" xfId="40016"/>
    <cellStyle name="40% - Accent5 2 9 2 5 2 2 2" xfId="40017"/>
    <cellStyle name="40% - Accent5 2 9 2 5 2 2 2 2" xfId="40018"/>
    <cellStyle name="40% - Accent5 2 9 2 5 2 2 3" xfId="40019"/>
    <cellStyle name="40% - Accent5 2 9 2 5 2 3" xfId="40020"/>
    <cellStyle name="40% - Accent5 2 9 2 5 2 3 2" xfId="40021"/>
    <cellStyle name="40% - Accent5 2 9 2 5 2 4" xfId="40022"/>
    <cellStyle name="40% - Accent5 2 9 2 5 3" xfId="40023"/>
    <cellStyle name="40% - Accent5 2 9 2 5 3 2" xfId="40024"/>
    <cellStyle name="40% - Accent5 2 9 2 5 3 2 2" xfId="40025"/>
    <cellStyle name="40% - Accent5 2 9 2 5 3 3" xfId="40026"/>
    <cellStyle name="40% - Accent5 2 9 2 5 4" xfId="40027"/>
    <cellStyle name="40% - Accent5 2 9 2 5 4 2" xfId="40028"/>
    <cellStyle name="40% - Accent5 2 9 2 5 5" xfId="40029"/>
    <cellStyle name="40% - Accent5 2 9 2 6" xfId="40030"/>
    <cellStyle name="40% - Accent5 2 9 2 6 2" xfId="40031"/>
    <cellStyle name="40% - Accent5 2 9 2 6 2 2" xfId="40032"/>
    <cellStyle name="40% - Accent5 2 9 2 6 2 2 2" xfId="40033"/>
    <cellStyle name="40% - Accent5 2 9 2 6 2 2 2 2" xfId="40034"/>
    <cellStyle name="40% - Accent5 2 9 2 6 2 2 3" xfId="40035"/>
    <cellStyle name="40% - Accent5 2 9 2 6 2 3" xfId="40036"/>
    <cellStyle name="40% - Accent5 2 9 2 6 2 3 2" xfId="40037"/>
    <cellStyle name="40% - Accent5 2 9 2 6 2 4" xfId="40038"/>
    <cellStyle name="40% - Accent5 2 9 2 6 3" xfId="40039"/>
    <cellStyle name="40% - Accent5 2 9 2 6 3 2" xfId="40040"/>
    <cellStyle name="40% - Accent5 2 9 2 6 3 2 2" xfId="40041"/>
    <cellStyle name="40% - Accent5 2 9 2 6 3 3" xfId="40042"/>
    <cellStyle name="40% - Accent5 2 9 2 6 4" xfId="40043"/>
    <cellStyle name="40% - Accent5 2 9 2 6 4 2" xfId="40044"/>
    <cellStyle name="40% - Accent5 2 9 2 6 5" xfId="40045"/>
    <cellStyle name="40% - Accent5 2 9 2 7" xfId="40046"/>
    <cellStyle name="40% - Accent5 2 9 2 7 2" xfId="40047"/>
    <cellStyle name="40% - Accent5 2 9 2 7 2 2" xfId="40048"/>
    <cellStyle name="40% - Accent5 2 9 2 7 2 2 2" xfId="40049"/>
    <cellStyle name="40% - Accent5 2 9 2 7 2 3" xfId="40050"/>
    <cellStyle name="40% - Accent5 2 9 2 7 3" xfId="40051"/>
    <cellStyle name="40% - Accent5 2 9 2 7 3 2" xfId="40052"/>
    <cellStyle name="40% - Accent5 2 9 2 7 4" xfId="40053"/>
    <cellStyle name="40% - Accent5 2 9 2 8" xfId="40054"/>
    <cellStyle name="40% - Accent5 2 9 2 8 2" xfId="40055"/>
    <cellStyle name="40% - Accent5 2 9 2 8 2 2" xfId="40056"/>
    <cellStyle name="40% - Accent5 2 9 2 8 3" xfId="40057"/>
    <cellStyle name="40% - Accent5 2 9 2 9" xfId="40058"/>
    <cellStyle name="40% - Accent5 2 9 2 9 2" xfId="40059"/>
    <cellStyle name="40% - Accent5 2 9 3" xfId="40060"/>
    <cellStyle name="40% - Accent5 2 9 3 2" xfId="40061"/>
    <cellStyle name="40% - Accent5 2 9 3 2 2" xfId="40062"/>
    <cellStyle name="40% - Accent5 2 9 3 2 2 2" xfId="40063"/>
    <cellStyle name="40% - Accent5 2 9 3 2 2 2 2" xfId="40064"/>
    <cellStyle name="40% - Accent5 2 9 3 2 2 3" xfId="40065"/>
    <cellStyle name="40% - Accent5 2 9 3 2 3" xfId="40066"/>
    <cellStyle name="40% - Accent5 2 9 3 2 3 2" xfId="40067"/>
    <cellStyle name="40% - Accent5 2 9 3 2 4" xfId="40068"/>
    <cellStyle name="40% - Accent5 2 9 3 3" xfId="40069"/>
    <cellStyle name="40% - Accent5 2 9 3 3 2" xfId="40070"/>
    <cellStyle name="40% - Accent5 2 9 3 3 2 2" xfId="40071"/>
    <cellStyle name="40% - Accent5 2 9 3 3 3" xfId="40072"/>
    <cellStyle name="40% - Accent5 2 9 3 4" xfId="40073"/>
    <cellStyle name="40% - Accent5 2 9 3 4 2" xfId="40074"/>
    <cellStyle name="40% - Accent5 2 9 3 5" xfId="40075"/>
    <cellStyle name="40% - Accent5 2 9 4" xfId="40076"/>
    <cellStyle name="40% - Accent5 2 9 4 2" xfId="40077"/>
    <cellStyle name="40% - Accent5 2 9 4 2 2" xfId="40078"/>
    <cellStyle name="40% - Accent5 2 9 4 2 2 2" xfId="40079"/>
    <cellStyle name="40% - Accent5 2 9 4 2 2 2 2" xfId="40080"/>
    <cellStyle name="40% - Accent5 2 9 4 2 2 3" xfId="40081"/>
    <cellStyle name="40% - Accent5 2 9 4 2 3" xfId="40082"/>
    <cellStyle name="40% - Accent5 2 9 4 2 3 2" xfId="40083"/>
    <cellStyle name="40% - Accent5 2 9 4 2 4" xfId="40084"/>
    <cellStyle name="40% - Accent5 2 9 4 3" xfId="40085"/>
    <cellStyle name="40% - Accent5 2 9 4 3 2" xfId="40086"/>
    <cellStyle name="40% - Accent5 2 9 4 3 2 2" xfId="40087"/>
    <cellStyle name="40% - Accent5 2 9 4 3 3" xfId="40088"/>
    <cellStyle name="40% - Accent5 2 9 4 4" xfId="40089"/>
    <cellStyle name="40% - Accent5 2 9 4 4 2" xfId="40090"/>
    <cellStyle name="40% - Accent5 2 9 4 5" xfId="40091"/>
    <cellStyle name="40% - Accent5 2 9 5" xfId="40092"/>
    <cellStyle name="40% - Accent5 2 9 5 2" xfId="40093"/>
    <cellStyle name="40% - Accent5 2 9 5 2 2" xfId="40094"/>
    <cellStyle name="40% - Accent5 2 9 5 2 2 2" xfId="40095"/>
    <cellStyle name="40% - Accent5 2 9 5 2 2 2 2" xfId="40096"/>
    <cellStyle name="40% - Accent5 2 9 5 2 2 3" xfId="40097"/>
    <cellStyle name="40% - Accent5 2 9 5 2 3" xfId="40098"/>
    <cellStyle name="40% - Accent5 2 9 5 2 3 2" xfId="40099"/>
    <cellStyle name="40% - Accent5 2 9 5 2 4" xfId="40100"/>
    <cellStyle name="40% - Accent5 2 9 5 3" xfId="40101"/>
    <cellStyle name="40% - Accent5 2 9 5 3 2" xfId="40102"/>
    <cellStyle name="40% - Accent5 2 9 5 3 2 2" xfId="40103"/>
    <cellStyle name="40% - Accent5 2 9 5 3 3" xfId="40104"/>
    <cellStyle name="40% - Accent5 2 9 5 4" xfId="40105"/>
    <cellStyle name="40% - Accent5 2 9 5 4 2" xfId="40106"/>
    <cellStyle name="40% - Accent5 2 9 5 5" xfId="40107"/>
    <cellStyle name="40% - Accent5 2 9 6" xfId="40108"/>
    <cellStyle name="40% - Accent5 2 9 6 2" xfId="40109"/>
    <cellStyle name="40% - Accent5 2 9 6 2 2" xfId="40110"/>
    <cellStyle name="40% - Accent5 2 9 6 2 2 2" xfId="40111"/>
    <cellStyle name="40% - Accent5 2 9 6 2 2 2 2" xfId="40112"/>
    <cellStyle name="40% - Accent5 2 9 6 2 2 3" xfId="40113"/>
    <cellStyle name="40% - Accent5 2 9 6 2 3" xfId="40114"/>
    <cellStyle name="40% - Accent5 2 9 6 2 3 2" xfId="40115"/>
    <cellStyle name="40% - Accent5 2 9 6 2 4" xfId="40116"/>
    <cellStyle name="40% - Accent5 2 9 6 3" xfId="40117"/>
    <cellStyle name="40% - Accent5 2 9 6 3 2" xfId="40118"/>
    <cellStyle name="40% - Accent5 2 9 6 3 2 2" xfId="40119"/>
    <cellStyle name="40% - Accent5 2 9 6 3 3" xfId="40120"/>
    <cellStyle name="40% - Accent5 2 9 6 4" xfId="40121"/>
    <cellStyle name="40% - Accent5 2 9 6 4 2" xfId="40122"/>
    <cellStyle name="40% - Accent5 2 9 6 5" xfId="40123"/>
    <cellStyle name="40% - Accent5 2 9 7" xfId="40124"/>
    <cellStyle name="40% - Accent5 2 9 7 2" xfId="40125"/>
    <cellStyle name="40% - Accent5 2 9 7 2 2" xfId="40126"/>
    <cellStyle name="40% - Accent5 2 9 7 2 2 2" xfId="40127"/>
    <cellStyle name="40% - Accent5 2 9 7 2 2 2 2" xfId="40128"/>
    <cellStyle name="40% - Accent5 2 9 7 2 2 3" xfId="40129"/>
    <cellStyle name="40% - Accent5 2 9 7 2 3" xfId="40130"/>
    <cellStyle name="40% - Accent5 2 9 7 2 3 2" xfId="40131"/>
    <cellStyle name="40% - Accent5 2 9 7 2 4" xfId="40132"/>
    <cellStyle name="40% - Accent5 2 9 7 3" xfId="40133"/>
    <cellStyle name="40% - Accent5 2 9 7 3 2" xfId="40134"/>
    <cellStyle name="40% - Accent5 2 9 7 3 2 2" xfId="40135"/>
    <cellStyle name="40% - Accent5 2 9 7 3 3" xfId="40136"/>
    <cellStyle name="40% - Accent5 2 9 7 4" xfId="40137"/>
    <cellStyle name="40% - Accent5 2 9 7 4 2" xfId="40138"/>
    <cellStyle name="40% - Accent5 2 9 7 5" xfId="40139"/>
    <cellStyle name="40% - Accent5 2 9 8" xfId="40140"/>
    <cellStyle name="40% - Accent5 2 9 8 2" xfId="40141"/>
    <cellStyle name="40% - Accent5 2 9 8 2 2" xfId="40142"/>
    <cellStyle name="40% - Accent5 2 9 8 2 2 2" xfId="40143"/>
    <cellStyle name="40% - Accent5 2 9 8 2 3" xfId="40144"/>
    <cellStyle name="40% - Accent5 2 9 8 3" xfId="40145"/>
    <cellStyle name="40% - Accent5 2 9 8 3 2" xfId="40146"/>
    <cellStyle name="40% - Accent5 2 9 8 4" xfId="40147"/>
    <cellStyle name="40% - Accent5 2 9 9" xfId="40148"/>
    <cellStyle name="40% - Accent5 2 9 9 2" xfId="40149"/>
    <cellStyle name="40% - Accent5 2 9 9 2 2" xfId="40150"/>
    <cellStyle name="40% - Accent5 2 9 9 3" xfId="40151"/>
    <cellStyle name="40% - Accent5 20" xfId="40152"/>
    <cellStyle name="40% - Accent5 20 2" xfId="40153"/>
    <cellStyle name="40% - Accent5 20 2 2" xfId="40154"/>
    <cellStyle name="40% - Accent5 20 2 2 2" xfId="40155"/>
    <cellStyle name="40% - Accent5 20 2 2 2 2" xfId="40156"/>
    <cellStyle name="40% - Accent5 20 2 2 3" xfId="40157"/>
    <cellStyle name="40% - Accent5 20 2 3" xfId="40158"/>
    <cellStyle name="40% - Accent5 20 2 3 2" xfId="40159"/>
    <cellStyle name="40% - Accent5 20 2 4" xfId="40160"/>
    <cellStyle name="40% - Accent5 20 3" xfId="40161"/>
    <cellStyle name="40% - Accent5 20 3 2" xfId="40162"/>
    <cellStyle name="40% - Accent5 20 3 2 2" xfId="40163"/>
    <cellStyle name="40% - Accent5 20 3 3" xfId="40164"/>
    <cellStyle name="40% - Accent5 20 4" xfId="40165"/>
    <cellStyle name="40% - Accent5 20 4 2" xfId="40166"/>
    <cellStyle name="40% - Accent5 20 5" xfId="40167"/>
    <cellStyle name="40% - Accent5 21" xfId="40168"/>
    <cellStyle name="40% - Accent5 21 2" xfId="40169"/>
    <cellStyle name="40% - Accent5 21 2 2" xfId="40170"/>
    <cellStyle name="40% - Accent5 21 2 2 2" xfId="40171"/>
    <cellStyle name="40% - Accent5 21 2 3" xfId="40172"/>
    <cellStyle name="40% - Accent5 21 3" xfId="40173"/>
    <cellStyle name="40% - Accent5 21 3 2" xfId="40174"/>
    <cellStyle name="40% - Accent5 21 4" xfId="40175"/>
    <cellStyle name="40% - Accent5 22" xfId="40176"/>
    <cellStyle name="40% - Accent5 22 2" xfId="40177"/>
    <cellStyle name="40% - Accent5 22 2 2" xfId="40178"/>
    <cellStyle name="40% - Accent5 22 3" xfId="40179"/>
    <cellStyle name="40% - Accent5 23" xfId="40180"/>
    <cellStyle name="40% - Accent5 23 2" xfId="40181"/>
    <cellStyle name="40% - Accent5 24" xfId="40182"/>
    <cellStyle name="40% - Accent5 3" xfId="40183"/>
    <cellStyle name="40% - Accent5 3 10" xfId="40184"/>
    <cellStyle name="40% - Accent5 3 10 2" xfId="40185"/>
    <cellStyle name="40% - Accent5 3 11" xfId="40186"/>
    <cellStyle name="40% - Accent5 3 2" xfId="40187"/>
    <cellStyle name="40% - Accent5 3 2 10" xfId="40188"/>
    <cellStyle name="40% - Accent5 3 2 2" xfId="40189"/>
    <cellStyle name="40% - Accent5 3 2 2 2" xfId="40190"/>
    <cellStyle name="40% - Accent5 3 2 2 2 2" xfId="40191"/>
    <cellStyle name="40% - Accent5 3 2 2 2 2 2" xfId="40192"/>
    <cellStyle name="40% - Accent5 3 2 2 2 2 2 2" xfId="40193"/>
    <cellStyle name="40% - Accent5 3 2 2 2 2 3" xfId="40194"/>
    <cellStyle name="40% - Accent5 3 2 2 2 3" xfId="40195"/>
    <cellStyle name="40% - Accent5 3 2 2 2 3 2" xfId="40196"/>
    <cellStyle name="40% - Accent5 3 2 2 2 4" xfId="40197"/>
    <cellStyle name="40% - Accent5 3 2 2 3" xfId="40198"/>
    <cellStyle name="40% - Accent5 3 2 2 3 2" xfId="40199"/>
    <cellStyle name="40% - Accent5 3 2 2 3 2 2" xfId="40200"/>
    <cellStyle name="40% - Accent5 3 2 2 3 3" xfId="40201"/>
    <cellStyle name="40% - Accent5 3 2 2 4" xfId="40202"/>
    <cellStyle name="40% - Accent5 3 2 2 4 2" xfId="40203"/>
    <cellStyle name="40% - Accent5 3 2 2 5" xfId="40204"/>
    <cellStyle name="40% - Accent5 3 2 3" xfId="40205"/>
    <cellStyle name="40% - Accent5 3 2 3 2" xfId="40206"/>
    <cellStyle name="40% - Accent5 3 2 3 2 2" xfId="40207"/>
    <cellStyle name="40% - Accent5 3 2 3 2 2 2" xfId="40208"/>
    <cellStyle name="40% - Accent5 3 2 3 2 2 2 2" xfId="40209"/>
    <cellStyle name="40% - Accent5 3 2 3 2 2 3" xfId="40210"/>
    <cellStyle name="40% - Accent5 3 2 3 2 3" xfId="40211"/>
    <cellStyle name="40% - Accent5 3 2 3 2 3 2" xfId="40212"/>
    <cellStyle name="40% - Accent5 3 2 3 2 4" xfId="40213"/>
    <cellStyle name="40% - Accent5 3 2 3 3" xfId="40214"/>
    <cellStyle name="40% - Accent5 3 2 3 3 2" xfId="40215"/>
    <cellStyle name="40% - Accent5 3 2 3 3 2 2" xfId="40216"/>
    <cellStyle name="40% - Accent5 3 2 3 3 3" xfId="40217"/>
    <cellStyle name="40% - Accent5 3 2 3 4" xfId="40218"/>
    <cellStyle name="40% - Accent5 3 2 3 4 2" xfId="40219"/>
    <cellStyle name="40% - Accent5 3 2 3 5" xfId="40220"/>
    <cellStyle name="40% - Accent5 3 2 4" xfId="40221"/>
    <cellStyle name="40% - Accent5 3 2 4 2" xfId="40222"/>
    <cellStyle name="40% - Accent5 3 2 4 2 2" xfId="40223"/>
    <cellStyle name="40% - Accent5 3 2 4 2 2 2" xfId="40224"/>
    <cellStyle name="40% - Accent5 3 2 4 2 2 2 2" xfId="40225"/>
    <cellStyle name="40% - Accent5 3 2 4 2 2 3" xfId="40226"/>
    <cellStyle name="40% - Accent5 3 2 4 2 3" xfId="40227"/>
    <cellStyle name="40% - Accent5 3 2 4 2 3 2" xfId="40228"/>
    <cellStyle name="40% - Accent5 3 2 4 2 4" xfId="40229"/>
    <cellStyle name="40% - Accent5 3 2 4 3" xfId="40230"/>
    <cellStyle name="40% - Accent5 3 2 4 3 2" xfId="40231"/>
    <cellStyle name="40% - Accent5 3 2 4 3 2 2" xfId="40232"/>
    <cellStyle name="40% - Accent5 3 2 4 3 3" xfId="40233"/>
    <cellStyle name="40% - Accent5 3 2 4 4" xfId="40234"/>
    <cellStyle name="40% - Accent5 3 2 4 4 2" xfId="40235"/>
    <cellStyle name="40% - Accent5 3 2 4 5" xfId="40236"/>
    <cellStyle name="40% - Accent5 3 2 5" xfId="40237"/>
    <cellStyle name="40% - Accent5 3 2 5 2" xfId="40238"/>
    <cellStyle name="40% - Accent5 3 2 5 2 2" xfId="40239"/>
    <cellStyle name="40% - Accent5 3 2 5 2 2 2" xfId="40240"/>
    <cellStyle name="40% - Accent5 3 2 5 2 2 2 2" xfId="40241"/>
    <cellStyle name="40% - Accent5 3 2 5 2 2 3" xfId="40242"/>
    <cellStyle name="40% - Accent5 3 2 5 2 3" xfId="40243"/>
    <cellStyle name="40% - Accent5 3 2 5 2 3 2" xfId="40244"/>
    <cellStyle name="40% - Accent5 3 2 5 2 4" xfId="40245"/>
    <cellStyle name="40% - Accent5 3 2 5 3" xfId="40246"/>
    <cellStyle name="40% - Accent5 3 2 5 3 2" xfId="40247"/>
    <cellStyle name="40% - Accent5 3 2 5 3 2 2" xfId="40248"/>
    <cellStyle name="40% - Accent5 3 2 5 3 3" xfId="40249"/>
    <cellStyle name="40% - Accent5 3 2 5 4" xfId="40250"/>
    <cellStyle name="40% - Accent5 3 2 5 4 2" xfId="40251"/>
    <cellStyle name="40% - Accent5 3 2 5 5" xfId="40252"/>
    <cellStyle name="40% - Accent5 3 2 6" xfId="40253"/>
    <cellStyle name="40% - Accent5 3 2 6 2" xfId="40254"/>
    <cellStyle name="40% - Accent5 3 2 6 2 2" xfId="40255"/>
    <cellStyle name="40% - Accent5 3 2 6 2 2 2" xfId="40256"/>
    <cellStyle name="40% - Accent5 3 2 6 2 2 2 2" xfId="40257"/>
    <cellStyle name="40% - Accent5 3 2 6 2 2 3" xfId="40258"/>
    <cellStyle name="40% - Accent5 3 2 6 2 3" xfId="40259"/>
    <cellStyle name="40% - Accent5 3 2 6 2 3 2" xfId="40260"/>
    <cellStyle name="40% - Accent5 3 2 6 2 4" xfId="40261"/>
    <cellStyle name="40% - Accent5 3 2 6 3" xfId="40262"/>
    <cellStyle name="40% - Accent5 3 2 6 3 2" xfId="40263"/>
    <cellStyle name="40% - Accent5 3 2 6 3 2 2" xfId="40264"/>
    <cellStyle name="40% - Accent5 3 2 6 3 3" xfId="40265"/>
    <cellStyle name="40% - Accent5 3 2 6 4" xfId="40266"/>
    <cellStyle name="40% - Accent5 3 2 6 4 2" xfId="40267"/>
    <cellStyle name="40% - Accent5 3 2 6 5" xfId="40268"/>
    <cellStyle name="40% - Accent5 3 2 7" xfId="40269"/>
    <cellStyle name="40% - Accent5 3 2 7 2" xfId="40270"/>
    <cellStyle name="40% - Accent5 3 2 7 2 2" xfId="40271"/>
    <cellStyle name="40% - Accent5 3 2 7 2 2 2" xfId="40272"/>
    <cellStyle name="40% - Accent5 3 2 7 2 3" xfId="40273"/>
    <cellStyle name="40% - Accent5 3 2 7 3" xfId="40274"/>
    <cellStyle name="40% - Accent5 3 2 7 3 2" xfId="40275"/>
    <cellStyle name="40% - Accent5 3 2 7 4" xfId="40276"/>
    <cellStyle name="40% - Accent5 3 2 8" xfId="40277"/>
    <cellStyle name="40% - Accent5 3 2 8 2" xfId="40278"/>
    <cellStyle name="40% - Accent5 3 2 8 2 2" xfId="40279"/>
    <cellStyle name="40% - Accent5 3 2 8 3" xfId="40280"/>
    <cellStyle name="40% - Accent5 3 2 9" xfId="40281"/>
    <cellStyle name="40% - Accent5 3 2 9 2" xfId="40282"/>
    <cellStyle name="40% - Accent5 3 3" xfId="40283"/>
    <cellStyle name="40% - Accent5 3 3 2" xfId="40284"/>
    <cellStyle name="40% - Accent5 3 3 2 2" xfId="40285"/>
    <cellStyle name="40% - Accent5 3 3 2 2 2" xfId="40286"/>
    <cellStyle name="40% - Accent5 3 3 2 2 2 2" xfId="40287"/>
    <cellStyle name="40% - Accent5 3 3 2 2 3" xfId="40288"/>
    <cellStyle name="40% - Accent5 3 3 2 3" xfId="40289"/>
    <cellStyle name="40% - Accent5 3 3 2 3 2" xfId="40290"/>
    <cellStyle name="40% - Accent5 3 3 2 4" xfId="40291"/>
    <cellStyle name="40% - Accent5 3 3 3" xfId="40292"/>
    <cellStyle name="40% - Accent5 3 3 3 2" xfId="40293"/>
    <cellStyle name="40% - Accent5 3 3 3 2 2" xfId="40294"/>
    <cellStyle name="40% - Accent5 3 3 3 3" xfId="40295"/>
    <cellStyle name="40% - Accent5 3 3 4" xfId="40296"/>
    <cellStyle name="40% - Accent5 3 3 4 2" xfId="40297"/>
    <cellStyle name="40% - Accent5 3 3 5" xfId="40298"/>
    <cellStyle name="40% - Accent5 3 4" xfId="40299"/>
    <cellStyle name="40% - Accent5 3 4 2" xfId="40300"/>
    <cellStyle name="40% - Accent5 3 4 2 2" xfId="40301"/>
    <cellStyle name="40% - Accent5 3 4 2 2 2" xfId="40302"/>
    <cellStyle name="40% - Accent5 3 4 2 2 2 2" xfId="40303"/>
    <cellStyle name="40% - Accent5 3 4 2 2 3" xfId="40304"/>
    <cellStyle name="40% - Accent5 3 4 2 3" xfId="40305"/>
    <cellStyle name="40% - Accent5 3 4 2 3 2" xfId="40306"/>
    <cellStyle name="40% - Accent5 3 4 2 4" xfId="40307"/>
    <cellStyle name="40% - Accent5 3 4 3" xfId="40308"/>
    <cellStyle name="40% - Accent5 3 4 3 2" xfId="40309"/>
    <cellStyle name="40% - Accent5 3 4 3 2 2" xfId="40310"/>
    <cellStyle name="40% - Accent5 3 4 3 3" xfId="40311"/>
    <cellStyle name="40% - Accent5 3 4 4" xfId="40312"/>
    <cellStyle name="40% - Accent5 3 4 4 2" xfId="40313"/>
    <cellStyle name="40% - Accent5 3 4 5" xfId="40314"/>
    <cellStyle name="40% - Accent5 3 5" xfId="40315"/>
    <cellStyle name="40% - Accent5 3 5 2" xfId="40316"/>
    <cellStyle name="40% - Accent5 3 5 2 2" xfId="40317"/>
    <cellStyle name="40% - Accent5 3 5 2 2 2" xfId="40318"/>
    <cellStyle name="40% - Accent5 3 5 2 2 2 2" xfId="40319"/>
    <cellStyle name="40% - Accent5 3 5 2 2 3" xfId="40320"/>
    <cellStyle name="40% - Accent5 3 5 2 3" xfId="40321"/>
    <cellStyle name="40% - Accent5 3 5 2 3 2" xfId="40322"/>
    <cellStyle name="40% - Accent5 3 5 2 4" xfId="40323"/>
    <cellStyle name="40% - Accent5 3 5 3" xfId="40324"/>
    <cellStyle name="40% - Accent5 3 5 3 2" xfId="40325"/>
    <cellStyle name="40% - Accent5 3 5 3 2 2" xfId="40326"/>
    <cellStyle name="40% - Accent5 3 5 3 3" xfId="40327"/>
    <cellStyle name="40% - Accent5 3 5 4" xfId="40328"/>
    <cellStyle name="40% - Accent5 3 5 4 2" xfId="40329"/>
    <cellStyle name="40% - Accent5 3 5 5" xfId="40330"/>
    <cellStyle name="40% - Accent5 3 6" xfId="40331"/>
    <cellStyle name="40% - Accent5 3 6 2" xfId="40332"/>
    <cellStyle name="40% - Accent5 3 6 2 2" xfId="40333"/>
    <cellStyle name="40% - Accent5 3 6 2 2 2" xfId="40334"/>
    <cellStyle name="40% - Accent5 3 6 2 2 2 2" xfId="40335"/>
    <cellStyle name="40% - Accent5 3 6 2 2 3" xfId="40336"/>
    <cellStyle name="40% - Accent5 3 6 2 3" xfId="40337"/>
    <cellStyle name="40% - Accent5 3 6 2 3 2" xfId="40338"/>
    <cellStyle name="40% - Accent5 3 6 2 4" xfId="40339"/>
    <cellStyle name="40% - Accent5 3 6 3" xfId="40340"/>
    <cellStyle name="40% - Accent5 3 6 3 2" xfId="40341"/>
    <cellStyle name="40% - Accent5 3 6 3 2 2" xfId="40342"/>
    <cellStyle name="40% - Accent5 3 6 3 3" xfId="40343"/>
    <cellStyle name="40% - Accent5 3 6 4" xfId="40344"/>
    <cellStyle name="40% - Accent5 3 6 4 2" xfId="40345"/>
    <cellStyle name="40% - Accent5 3 6 5" xfId="40346"/>
    <cellStyle name="40% - Accent5 3 7" xfId="40347"/>
    <cellStyle name="40% - Accent5 3 7 2" xfId="40348"/>
    <cellStyle name="40% - Accent5 3 7 2 2" xfId="40349"/>
    <cellStyle name="40% - Accent5 3 7 2 2 2" xfId="40350"/>
    <cellStyle name="40% - Accent5 3 7 2 2 2 2" xfId="40351"/>
    <cellStyle name="40% - Accent5 3 7 2 2 3" xfId="40352"/>
    <cellStyle name="40% - Accent5 3 7 2 3" xfId="40353"/>
    <cellStyle name="40% - Accent5 3 7 2 3 2" xfId="40354"/>
    <cellStyle name="40% - Accent5 3 7 2 4" xfId="40355"/>
    <cellStyle name="40% - Accent5 3 7 3" xfId="40356"/>
    <cellStyle name="40% - Accent5 3 7 3 2" xfId="40357"/>
    <cellStyle name="40% - Accent5 3 7 3 2 2" xfId="40358"/>
    <cellStyle name="40% - Accent5 3 7 3 3" xfId="40359"/>
    <cellStyle name="40% - Accent5 3 7 4" xfId="40360"/>
    <cellStyle name="40% - Accent5 3 7 4 2" xfId="40361"/>
    <cellStyle name="40% - Accent5 3 7 5" xfId="40362"/>
    <cellStyle name="40% - Accent5 3 8" xfId="40363"/>
    <cellStyle name="40% - Accent5 3 8 2" xfId="40364"/>
    <cellStyle name="40% - Accent5 3 8 2 2" xfId="40365"/>
    <cellStyle name="40% - Accent5 3 8 2 2 2" xfId="40366"/>
    <cellStyle name="40% - Accent5 3 8 2 3" xfId="40367"/>
    <cellStyle name="40% - Accent5 3 8 3" xfId="40368"/>
    <cellStyle name="40% - Accent5 3 8 3 2" xfId="40369"/>
    <cellStyle name="40% - Accent5 3 8 4" xfId="40370"/>
    <cellStyle name="40% - Accent5 3 9" xfId="40371"/>
    <cellStyle name="40% - Accent5 3 9 2" xfId="40372"/>
    <cellStyle name="40% - Accent5 3 9 2 2" xfId="40373"/>
    <cellStyle name="40% - Accent5 3 9 3" xfId="40374"/>
    <cellStyle name="40% - Accent5 4" xfId="40375"/>
    <cellStyle name="40% - Accent5 4 10" xfId="40376"/>
    <cellStyle name="40% - Accent5 4 10 2" xfId="40377"/>
    <cellStyle name="40% - Accent5 4 11" xfId="40378"/>
    <cellStyle name="40% - Accent5 4 2" xfId="40379"/>
    <cellStyle name="40% - Accent5 4 2 10" xfId="40380"/>
    <cellStyle name="40% - Accent5 4 2 2" xfId="40381"/>
    <cellStyle name="40% - Accent5 4 2 2 2" xfId="40382"/>
    <cellStyle name="40% - Accent5 4 2 2 2 2" xfId="40383"/>
    <cellStyle name="40% - Accent5 4 2 2 2 2 2" xfId="40384"/>
    <cellStyle name="40% - Accent5 4 2 2 2 2 2 2" xfId="40385"/>
    <cellStyle name="40% - Accent5 4 2 2 2 2 3" xfId="40386"/>
    <cellStyle name="40% - Accent5 4 2 2 2 3" xfId="40387"/>
    <cellStyle name="40% - Accent5 4 2 2 2 3 2" xfId="40388"/>
    <cellStyle name="40% - Accent5 4 2 2 2 4" xfId="40389"/>
    <cellStyle name="40% - Accent5 4 2 2 3" xfId="40390"/>
    <cellStyle name="40% - Accent5 4 2 2 3 2" xfId="40391"/>
    <cellStyle name="40% - Accent5 4 2 2 3 2 2" xfId="40392"/>
    <cellStyle name="40% - Accent5 4 2 2 3 3" xfId="40393"/>
    <cellStyle name="40% - Accent5 4 2 2 4" xfId="40394"/>
    <cellStyle name="40% - Accent5 4 2 2 4 2" xfId="40395"/>
    <cellStyle name="40% - Accent5 4 2 2 5" xfId="40396"/>
    <cellStyle name="40% - Accent5 4 2 3" xfId="40397"/>
    <cellStyle name="40% - Accent5 4 2 3 2" xfId="40398"/>
    <cellStyle name="40% - Accent5 4 2 3 2 2" xfId="40399"/>
    <cellStyle name="40% - Accent5 4 2 3 2 2 2" xfId="40400"/>
    <cellStyle name="40% - Accent5 4 2 3 2 2 2 2" xfId="40401"/>
    <cellStyle name="40% - Accent5 4 2 3 2 2 3" xfId="40402"/>
    <cellStyle name="40% - Accent5 4 2 3 2 3" xfId="40403"/>
    <cellStyle name="40% - Accent5 4 2 3 2 3 2" xfId="40404"/>
    <cellStyle name="40% - Accent5 4 2 3 2 4" xfId="40405"/>
    <cellStyle name="40% - Accent5 4 2 3 3" xfId="40406"/>
    <cellStyle name="40% - Accent5 4 2 3 3 2" xfId="40407"/>
    <cellStyle name="40% - Accent5 4 2 3 3 2 2" xfId="40408"/>
    <cellStyle name="40% - Accent5 4 2 3 3 3" xfId="40409"/>
    <cellStyle name="40% - Accent5 4 2 3 4" xfId="40410"/>
    <cellStyle name="40% - Accent5 4 2 3 4 2" xfId="40411"/>
    <cellStyle name="40% - Accent5 4 2 3 5" xfId="40412"/>
    <cellStyle name="40% - Accent5 4 2 4" xfId="40413"/>
    <cellStyle name="40% - Accent5 4 2 4 2" xfId="40414"/>
    <cellStyle name="40% - Accent5 4 2 4 2 2" xfId="40415"/>
    <cellStyle name="40% - Accent5 4 2 4 2 2 2" xfId="40416"/>
    <cellStyle name="40% - Accent5 4 2 4 2 2 2 2" xfId="40417"/>
    <cellStyle name="40% - Accent5 4 2 4 2 2 3" xfId="40418"/>
    <cellStyle name="40% - Accent5 4 2 4 2 3" xfId="40419"/>
    <cellStyle name="40% - Accent5 4 2 4 2 3 2" xfId="40420"/>
    <cellStyle name="40% - Accent5 4 2 4 2 4" xfId="40421"/>
    <cellStyle name="40% - Accent5 4 2 4 3" xfId="40422"/>
    <cellStyle name="40% - Accent5 4 2 4 3 2" xfId="40423"/>
    <cellStyle name="40% - Accent5 4 2 4 3 2 2" xfId="40424"/>
    <cellStyle name="40% - Accent5 4 2 4 3 3" xfId="40425"/>
    <cellStyle name="40% - Accent5 4 2 4 4" xfId="40426"/>
    <cellStyle name="40% - Accent5 4 2 4 4 2" xfId="40427"/>
    <cellStyle name="40% - Accent5 4 2 4 5" xfId="40428"/>
    <cellStyle name="40% - Accent5 4 2 5" xfId="40429"/>
    <cellStyle name="40% - Accent5 4 2 5 2" xfId="40430"/>
    <cellStyle name="40% - Accent5 4 2 5 2 2" xfId="40431"/>
    <cellStyle name="40% - Accent5 4 2 5 2 2 2" xfId="40432"/>
    <cellStyle name="40% - Accent5 4 2 5 2 2 2 2" xfId="40433"/>
    <cellStyle name="40% - Accent5 4 2 5 2 2 3" xfId="40434"/>
    <cellStyle name="40% - Accent5 4 2 5 2 3" xfId="40435"/>
    <cellStyle name="40% - Accent5 4 2 5 2 3 2" xfId="40436"/>
    <cellStyle name="40% - Accent5 4 2 5 2 4" xfId="40437"/>
    <cellStyle name="40% - Accent5 4 2 5 3" xfId="40438"/>
    <cellStyle name="40% - Accent5 4 2 5 3 2" xfId="40439"/>
    <cellStyle name="40% - Accent5 4 2 5 3 2 2" xfId="40440"/>
    <cellStyle name="40% - Accent5 4 2 5 3 3" xfId="40441"/>
    <cellStyle name="40% - Accent5 4 2 5 4" xfId="40442"/>
    <cellStyle name="40% - Accent5 4 2 5 4 2" xfId="40443"/>
    <cellStyle name="40% - Accent5 4 2 5 5" xfId="40444"/>
    <cellStyle name="40% - Accent5 4 2 6" xfId="40445"/>
    <cellStyle name="40% - Accent5 4 2 6 2" xfId="40446"/>
    <cellStyle name="40% - Accent5 4 2 6 2 2" xfId="40447"/>
    <cellStyle name="40% - Accent5 4 2 6 2 2 2" xfId="40448"/>
    <cellStyle name="40% - Accent5 4 2 6 2 2 2 2" xfId="40449"/>
    <cellStyle name="40% - Accent5 4 2 6 2 2 3" xfId="40450"/>
    <cellStyle name="40% - Accent5 4 2 6 2 3" xfId="40451"/>
    <cellStyle name="40% - Accent5 4 2 6 2 3 2" xfId="40452"/>
    <cellStyle name="40% - Accent5 4 2 6 2 4" xfId="40453"/>
    <cellStyle name="40% - Accent5 4 2 6 3" xfId="40454"/>
    <cellStyle name="40% - Accent5 4 2 6 3 2" xfId="40455"/>
    <cellStyle name="40% - Accent5 4 2 6 3 2 2" xfId="40456"/>
    <cellStyle name="40% - Accent5 4 2 6 3 3" xfId="40457"/>
    <cellStyle name="40% - Accent5 4 2 6 4" xfId="40458"/>
    <cellStyle name="40% - Accent5 4 2 6 4 2" xfId="40459"/>
    <cellStyle name="40% - Accent5 4 2 6 5" xfId="40460"/>
    <cellStyle name="40% - Accent5 4 2 7" xfId="40461"/>
    <cellStyle name="40% - Accent5 4 2 7 2" xfId="40462"/>
    <cellStyle name="40% - Accent5 4 2 7 2 2" xfId="40463"/>
    <cellStyle name="40% - Accent5 4 2 7 2 2 2" xfId="40464"/>
    <cellStyle name="40% - Accent5 4 2 7 2 3" xfId="40465"/>
    <cellStyle name="40% - Accent5 4 2 7 3" xfId="40466"/>
    <cellStyle name="40% - Accent5 4 2 7 3 2" xfId="40467"/>
    <cellStyle name="40% - Accent5 4 2 7 4" xfId="40468"/>
    <cellStyle name="40% - Accent5 4 2 8" xfId="40469"/>
    <cellStyle name="40% - Accent5 4 2 8 2" xfId="40470"/>
    <cellStyle name="40% - Accent5 4 2 8 2 2" xfId="40471"/>
    <cellStyle name="40% - Accent5 4 2 8 3" xfId="40472"/>
    <cellStyle name="40% - Accent5 4 2 9" xfId="40473"/>
    <cellStyle name="40% - Accent5 4 2 9 2" xfId="40474"/>
    <cellStyle name="40% - Accent5 4 3" xfId="40475"/>
    <cellStyle name="40% - Accent5 4 3 2" xfId="40476"/>
    <cellStyle name="40% - Accent5 4 3 2 2" xfId="40477"/>
    <cellStyle name="40% - Accent5 4 3 2 2 2" xfId="40478"/>
    <cellStyle name="40% - Accent5 4 3 2 2 2 2" xfId="40479"/>
    <cellStyle name="40% - Accent5 4 3 2 2 3" xfId="40480"/>
    <cellStyle name="40% - Accent5 4 3 2 3" xfId="40481"/>
    <cellStyle name="40% - Accent5 4 3 2 3 2" xfId="40482"/>
    <cellStyle name="40% - Accent5 4 3 2 4" xfId="40483"/>
    <cellStyle name="40% - Accent5 4 3 3" xfId="40484"/>
    <cellStyle name="40% - Accent5 4 3 3 2" xfId="40485"/>
    <cellStyle name="40% - Accent5 4 3 3 2 2" xfId="40486"/>
    <cellStyle name="40% - Accent5 4 3 3 3" xfId="40487"/>
    <cellStyle name="40% - Accent5 4 3 4" xfId="40488"/>
    <cellStyle name="40% - Accent5 4 3 4 2" xfId="40489"/>
    <cellStyle name="40% - Accent5 4 3 5" xfId="40490"/>
    <cellStyle name="40% - Accent5 4 4" xfId="40491"/>
    <cellStyle name="40% - Accent5 4 4 2" xfId="40492"/>
    <cellStyle name="40% - Accent5 4 4 2 2" xfId="40493"/>
    <cellStyle name="40% - Accent5 4 4 2 2 2" xfId="40494"/>
    <cellStyle name="40% - Accent5 4 4 2 2 2 2" xfId="40495"/>
    <cellStyle name="40% - Accent5 4 4 2 2 3" xfId="40496"/>
    <cellStyle name="40% - Accent5 4 4 2 3" xfId="40497"/>
    <cellStyle name="40% - Accent5 4 4 2 3 2" xfId="40498"/>
    <cellStyle name="40% - Accent5 4 4 2 4" xfId="40499"/>
    <cellStyle name="40% - Accent5 4 4 3" xfId="40500"/>
    <cellStyle name="40% - Accent5 4 4 3 2" xfId="40501"/>
    <cellStyle name="40% - Accent5 4 4 3 2 2" xfId="40502"/>
    <cellStyle name="40% - Accent5 4 4 3 3" xfId="40503"/>
    <cellStyle name="40% - Accent5 4 4 4" xfId="40504"/>
    <cellStyle name="40% - Accent5 4 4 4 2" xfId="40505"/>
    <cellStyle name="40% - Accent5 4 4 5" xfId="40506"/>
    <cellStyle name="40% - Accent5 4 5" xfId="40507"/>
    <cellStyle name="40% - Accent5 4 5 2" xfId="40508"/>
    <cellStyle name="40% - Accent5 4 5 2 2" xfId="40509"/>
    <cellStyle name="40% - Accent5 4 5 2 2 2" xfId="40510"/>
    <cellStyle name="40% - Accent5 4 5 2 2 2 2" xfId="40511"/>
    <cellStyle name="40% - Accent5 4 5 2 2 3" xfId="40512"/>
    <cellStyle name="40% - Accent5 4 5 2 3" xfId="40513"/>
    <cellStyle name="40% - Accent5 4 5 2 3 2" xfId="40514"/>
    <cellStyle name="40% - Accent5 4 5 2 4" xfId="40515"/>
    <cellStyle name="40% - Accent5 4 5 3" xfId="40516"/>
    <cellStyle name="40% - Accent5 4 5 3 2" xfId="40517"/>
    <cellStyle name="40% - Accent5 4 5 3 2 2" xfId="40518"/>
    <cellStyle name="40% - Accent5 4 5 3 3" xfId="40519"/>
    <cellStyle name="40% - Accent5 4 5 4" xfId="40520"/>
    <cellStyle name="40% - Accent5 4 5 4 2" xfId="40521"/>
    <cellStyle name="40% - Accent5 4 5 5" xfId="40522"/>
    <cellStyle name="40% - Accent5 4 6" xfId="40523"/>
    <cellStyle name="40% - Accent5 4 6 2" xfId="40524"/>
    <cellStyle name="40% - Accent5 4 6 2 2" xfId="40525"/>
    <cellStyle name="40% - Accent5 4 6 2 2 2" xfId="40526"/>
    <cellStyle name="40% - Accent5 4 6 2 2 2 2" xfId="40527"/>
    <cellStyle name="40% - Accent5 4 6 2 2 3" xfId="40528"/>
    <cellStyle name="40% - Accent5 4 6 2 3" xfId="40529"/>
    <cellStyle name="40% - Accent5 4 6 2 3 2" xfId="40530"/>
    <cellStyle name="40% - Accent5 4 6 2 4" xfId="40531"/>
    <cellStyle name="40% - Accent5 4 6 3" xfId="40532"/>
    <cellStyle name="40% - Accent5 4 6 3 2" xfId="40533"/>
    <cellStyle name="40% - Accent5 4 6 3 2 2" xfId="40534"/>
    <cellStyle name="40% - Accent5 4 6 3 3" xfId="40535"/>
    <cellStyle name="40% - Accent5 4 6 4" xfId="40536"/>
    <cellStyle name="40% - Accent5 4 6 4 2" xfId="40537"/>
    <cellStyle name="40% - Accent5 4 6 5" xfId="40538"/>
    <cellStyle name="40% - Accent5 4 7" xfId="40539"/>
    <cellStyle name="40% - Accent5 4 7 2" xfId="40540"/>
    <cellStyle name="40% - Accent5 4 7 2 2" xfId="40541"/>
    <cellStyle name="40% - Accent5 4 7 2 2 2" xfId="40542"/>
    <cellStyle name="40% - Accent5 4 7 2 2 2 2" xfId="40543"/>
    <cellStyle name="40% - Accent5 4 7 2 2 3" xfId="40544"/>
    <cellStyle name="40% - Accent5 4 7 2 3" xfId="40545"/>
    <cellStyle name="40% - Accent5 4 7 2 3 2" xfId="40546"/>
    <cellStyle name="40% - Accent5 4 7 2 4" xfId="40547"/>
    <cellStyle name="40% - Accent5 4 7 3" xfId="40548"/>
    <cellStyle name="40% - Accent5 4 7 3 2" xfId="40549"/>
    <cellStyle name="40% - Accent5 4 7 3 2 2" xfId="40550"/>
    <cellStyle name="40% - Accent5 4 7 3 3" xfId="40551"/>
    <cellStyle name="40% - Accent5 4 7 4" xfId="40552"/>
    <cellStyle name="40% - Accent5 4 7 4 2" xfId="40553"/>
    <cellStyle name="40% - Accent5 4 7 5" xfId="40554"/>
    <cellStyle name="40% - Accent5 4 8" xfId="40555"/>
    <cellStyle name="40% - Accent5 4 8 2" xfId="40556"/>
    <cellStyle name="40% - Accent5 4 8 2 2" xfId="40557"/>
    <cellStyle name="40% - Accent5 4 8 2 2 2" xfId="40558"/>
    <cellStyle name="40% - Accent5 4 8 2 3" xfId="40559"/>
    <cellStyle name="40% - Accent5 4 8 3" xfId="40560"/>
    <cellStyle name="40% - Accent5 4 8 3 2" xfId="40561"/>
    <cellStyle name="40% - Accent5 4 8 4" xfId="40562"/>
    <cellStyle name="40% - Accent5 4 9" xfId="40563"/>
    <cellStyle name="40% - Accent5 4 9 2" xfId="40564"/>
    <cellStyle name="40% - Accent5 4 9 2 2" xfId="40565"/>
    <cellStyle name="40% - Accent5 4 9 3" xfId="40566"/>
    <cellStyle name="40% - Accent5 5" xfId="40567"/>
    <cellStyle name="40% - Accent5 5 10" xfId="40568"/>
    <cellStyle name="40% - Accent5 5 10 2" xfId="40569"/>
    <cellStyle name="40% - Accent5 5 11" xfId="40570"/>
    <cellStyle name="40% - Accent5 5 2" xfId="40571"/>
    <cellStyle name="40% - Accent5 5 2 10" xfId="40572"/>
    <cellStyle name="40% - Accent5 5 2 2" xfId="40573"/>
    <cellStyle name="40% - Accent5 5 2 2 2" xfId="40574"/>
    <cellStyle name="40% - Accent5 5 2 2 2 2" xfId="40575"/>
    <cellStyle name="40% - Accent5 5 2 2 2 2 2" xfId="40576"/>
    <cellStyle name="40% - Accent5 5 2 2 2 2 2 2" xfId="40577"/>
    <cellStyle name="40% - Accent5 5 2 2 2 2 3" xfId="40578"/>
    <cellStyle name="40% - Accent5 5 2 2 2 3" xfId="40579"/>
    <cellStyle name="40% - Accent5 5 2 2 2 3 2" xfId="40580"/>
    <cellStyle name="40% - Accent5 5 2 2 2 4" xfId="40581"/>
    <cellStyle name="40% - Accent5 5 2 2 3" xfId="40582"/>
    <cellStyle name="40% - Accent5 5 2 2 3 2" xfId="40583"/>
    <cellStyle name="40% - Accent5 5 2 2 3 2 2" xfId="40584"/>
    <cellStyle name="40% - Accent5 5 2 2 3 3" xfId="40585"/>
    <cellStyle name="40% - Accent5 5 2 2 4" xfId="40586"/>
    <cellStyle name="40% - Accent5 5 2 2 4 2" xfId="40587"/>
    <cellStyle name="40% - Accent5 5 2 2 5" xfId="40588"/>
    <cellStyle name="40% - Accent5 5 2 3" xfId="40589"/>
    <cellStyle name="40% - Accent5 5 2 3 2" xfId="40590"/>
    <cellStyle name="40% - Accent5 5 2 3 2 2" xfId="40591"/>
    <cellStyle name="40% - Accent5 5 2 3 2 2 2" xfId="40592"/>
    <cellStyle name="40% - Accent5 5 2 3 2 2 2 2" xfId="40593"/>
    <cellStyle name="40% - Accent5 5 2 3 2 2 3" xfId="40594"/>
    <cellStyle name="40% - Accent5 5 2 3 2 3" xfId="40595"/>
    <cellStyle name="40% - Accent5 5 2 3 2 3 2" xfId="40596"/>
    <cellStyle name="40% - Accent5 5 2 3 2 4" xfId="40597"/>
    <cellStyle name="40% - Accent5 5 2 3 3" xfId="40598"/>
    <cellStyle name="40% - Accent5 5 2 3 3 2" xfId="40599"/>
    <cellStyle name="40% - Accent5 5 2 3 3 2 2" xfId="40600"/>
    <cellStyle name="40% - Accent5 5 2 3 3 3" xfId="40601"/>
    <cellStyle name="40% - Accent5 5 2 3 4" xfId="40602"/>
    <cellStyle name="40% - Accent5 5 2 3 4 2" xfId="40603"/>
    <cellStyle name="40% - Accent5 5 2 3 5" xfId="40604"/>
    <cellStyle name="40% - Accent5 5 2 4" xfId="40605"/>
    <cellStyle name="40% - Accent5 5 2 4 2" xfId="40606"/>
    <cellStyle name="40% - Accent5 5 2 4 2 2" xfId="40607"/>
    <cellStyle name="40% - Accent5 5 2 4 2 2 2" xfId="40608"/>
    <cellStyle name="40% - Accent5 5 2 4 2 2 2 2" xfId="40609"/>
    <cellStyle name="40% - Accent5 5 2 4 2 2 3" xfId="40610"/>
    <cellStyle name="40% - Accent5 5 2 4 2 3" xfId="40611"/>
    <cellStyle name="40% - Accent5 5 2 4 2 3 2" xfId="40612"/>
    <cellStyle name="40% - Accent5 5 2 4 2 4" xfId="40613"/>
    <cellStyle name="40% - Accent5 5 2 4 3" xfId="40614"/>
    <cellStyle name="40% - Accent5 5 2 4 3 2" xfId="40615"/>
    <cellStyle name="40% - Accent5 5 2 4 3 2 2" xfId="40616"/>
    <cellStyle name="40% - Accent5 5 2 4 3 3" xfId="40617"/>
    <cellStyle name="40% - Accent5 5 2 4 4" xfId="40618"/>
    <cellStyle name="40% - Accent5 5 2 4 4 2" xfId="40619"/>
    <cellStyle name="40% - Accent5 5 2 4 5" xfId="40620"/>
    <cellStyle name="40% - Accent5 5 2 5" xfId="40621"/>
    <cellStyle name="40% - Accent5 5 2 5 2" xfId="40622"/>
    <cellStyle name="40% - Accent5 5 2 5 2 2" xfId="40623"/>
    <cellStyle name="40% - Accent5 5 2 5 2 2 2" xfId="40624"/>
    <cellStyle name="40% - Accent5 5 2 5 2 2 2 2" xfId="40625"/>
    <cellStyle name="40% - Accent5 5 2 5 2 2 3" xfId="40626"/>
    <cellStyle name="40% - Accent5 5 2 5 2 3" xfId="40627"/>
    <cellStyle name="40% - Accent5 5 2 5 2 3 2" xfId="40628"/>
    <cellStyle name="40% - Accent5 5 2 5 2 4" xfId="40629"/>
    <cellStyle name="40% - Accent5 5 2 5 3" xfId="40630"/>
    <cellStyle name="40% - Accent5 5 2 5 3 2" xfId="40631"/>
    <cellStyle name="40% - Accent5 5 2 5 3 2 2" xfId="40632"/>
    <cellStyle name="40% - Accent5 5 2 5 3 3" xfId="40633"/>
    <cellStyle name="40% - Accent5 5 2 5 4" xfId="40634"/>
    <cellStyle name="40% - Accent5 5 2 5 4 2" xfId="40635"/>
    <cellStyle name="40% - Accent5 5 2 5 5" xfId="40636"/>
    <cellStyle name="40% - Accent5 5 2 6" xfId="40637"/>
    <cellStyle name="40% - Accent5 5 2 6 2" xfId="40638"/>
    <cellStyle name="40% - Accent5 5 2 6 2 2" xfId="40639"/>
    <cellStyle name="40% - Accent5 5 2 6 2 2 2" xfId="40640"/>
    <cellStyle name="40% - Accent5 5 2 6 2 2 2 2" xfId="40641"/>
    <cellStyle name="40% - Accent5 5 2 6 2 2 3" xfId="40642"/>
    <cellStyle name="40% - Accent5 5 2 6 2 3" xfId="40643"/>
    <cellStyle name="40% - Accent5 5 2 6 2 3 2" xfId="40644"/>
    <cellStyle name="40% - Accent5 5 2 6 2 4" xfId="40645"/>
    <cellStyle name="40% - Accent5 5 2 6 3" xfId="40646"/>
    <cellStyle name="40% - Accent5 5 2 6 3 2" xfId="40647"/>
    <cellStyle name="40% - Accent5 5 2 6 3 2 2" xfId="40648"/>
    <cellStyle name="40% - Accent5 5 2 6 3 3" xfId="40649"/>
    <cellStyle name="40% - Accent5 5 2 6 4" xfId="40650"/>
    <cellStyle name="40% - Accent5 5 2 6 4 2" xfId="40651"/>
    <cellStyle name="40% - Accent5 5 2 6 5" xfId="40652"/>
    <cellStyle name="40% - Accent5 5 2 7" xfId="40653"/>
    <cellStyle name="40% - Accent5 5 2 7 2" xfId="40654"/>
    <cellStyle name="40% - Accent5 5 2 7 2 2" xfId="40655"/>
    <cellStyle name="40% - Accent5 5 2 7 2 2 2" xfId="40656"/>
    <cellStyle name="40% - Accent5 5 2 7 2 3" xfId="40657"/>
    <cellStyle name="40% - Accent5 5 2 7 3" xfId="40658"/>
    <cellStyle name="40% - Accent5 5 2 7 3 2" xfId="40659"/>
    <cellStyle name="40% - Accent5 5 2 7 4" xfId="40660"/>
    <cellStyle name="40% - Accent5 5 2 8" xfId="40661"/>
    <cellStyle name="40% - Accent5 5 2 8 2" xfId="40662"/>
    <cellStyle name="40% - Accent5 5 2 8 2 2" xfId="40663"/>
    <cellStyle name="40% - Accent5 5 2 8 3" xfId="40664"/>
    <cellStyle name="40% - Accent5 5 2 9" xfId="40665"/>
    <cellStyle name="40% - Accent5 5 2 9 2" xfId="40666"/>
    <cellStyle name="40% - Accent5 5 3" xfId="40667"/>
    <cellStyle name="40% - Accent5 5 3 2" xfId="40668"/>
    <cellStyle name="40% - Accent5 5 3 2 2" xfId="40669"/>
    <cellStyle name="40% - Accent5 5 3 2 2 2" xfId="40670"/>
    <cellStyle name="40% - Accent5 5 3 2 2 2 2" xfId="40671"/>
    <cellStyle name="40% - Accent5 5 3 2 2 3" xfId="40672"/>
    <cellStyle name="40% - Accent5 5 3 2 3" xfId="40673"/>
    <cellStyle name="40% - Accent5 5 3 2 3 2" xfId="40674"/>
    <cellStyle name="40% - Accent5 5 3 2 4" xfId="40675"/>
    <cellStyle name="40% - Accent5 5 3 3" xfId="40676"/>
    <cellStyle name="40% - Accent5 5 3 3 2" xfId="40677"/>
    <cellStyle name="40% - Accent5 5 3 3 2 2" xfId="40678"/>
    <cellStyle name="40% - Accent5 5 3 3 3" xfId="40679"/>
    <cellStyle name="40% - Accent5 5 3 4" xfId="40680"/>
    <cellStyle name="40% - Accent5 5 3 4 2" xfId="40681"/>
    <cellStyle name="40% - Accent5 5 3 5" xfId="40682"/>
    <cellStyle name="40% - Accent5 5 4" xfId="40683"/>
    <cellStyle name="40% - Accent5 5 4 2" xfId="40684"/>
    <cellStyle name="40% - Accent5 5 4 2 2" xfId="40685"/>
    <cellStyle name="40% - Accent5 5 4 2 2 2" xfId="40686"/>
    <cellStyle name="40% - Accent5 5 4 2 2 2 2" xfId="40687"/>
    <cellStyle name="40% - Accent5 5 4 2 2 3" xfId="40688"/>
    <cellStyle name="40% - Accent5 5 4 2 3" xfId="40689"/>
    <cellStyle name="40% - Accent5 5 4 2 3 2" xfId="40690"/>
    <cellStyle name="40% - Accent5 5 4 2 4" xfId="40691"/>
    <cellStyle name="40% - Accent5 5 4 3" xfId="40692"/>
    <cellStyle name="40% - Accent5 5 4 3 2" xfId="40693"/>
    <cellStyle name="40% - Accent5 5 4 3 2 2" xfId="40694"/>
    <cellStyle name="40% - Accent5 5 4 3 3" xfId="40695"/>
    <cellStyle name="40% - Accent5 5 4 4" xfId="40696"/>
    <cellStyle name="40% - Accent5 5 4 4 2" xfId="40697"/>
    <cellStyle name="40% - Accent5 5 4 5" xfId="40698"/>
    <cellStyle name="40% - Accent5 5 5" xfId="40699"/>
    <cellStyle name="40% - Accent5 5 5 2" xfId="40700"/>
    <cellStyle name="40% - Accent5 5 5 2 2" xfId="40701"/>
    <cellStyle name="40% - Accent5 5 5 2 2 2" xfId="40702"/>
    <cellStyle name="40% - Accent5 5 5 2 2 2 2" xfId="40703"/>
    <cellStyle name="40% - Accent5 5 5 2 2 3" xfId="40704"/>
    <cellStyle name="40% - Accent5 5 5 2 3" xfId="40705"/>
    <cellStyle name="40% - Accent5 5 5 2 3 2" xfId="40706"/>
    <cellStyle name="40% - Accent5 5 5 2 4" xfId="40707"/>
    <cellStyle name="40% - Accent5 5 5 3" xfId="40708"/>
    <cellStyle name="40% - Accent5 5 5 3 2" xfId="40709"/>
    <cellStyle name="40% - Accent5 5 5 3 2 2" xfId="40710"/>
    <cellStyle name="40% - Accent5 5 5 3 3" xfId="40711"/>
    <cellStyle name="40% - Accent5 5 5 4" xfId="40712"/>
    <cellStyle name="40% - Accent5 5 5 4 2" xfId="40713"/>
    <cellStyle name="40% - Accent5 5 5 5" xfId="40714"/>
    <cellStyle name="40% - Accent5 5 6" xfId="40715"/>
    <cellStyle name="40% - Accent5 5 6 2" xfId="40716"/>
    <cellStyle name="40% - Accent5 5 6 2 2" xfId="40717"/>
    <cellStyle name="40% - Accent5 5 6 2 2 2" xfId="40718"/>
    <cellStyle name="40% - Accent5 5 6 2 2 2 2" xfId="40719"/>
    <cellStyle name="40% - Accent5 5 6 2 2 3" xfId="40720"/>
    <cellStyle name="40% - Accent5 5 6 2 3" xfId="40721"/>
    <cellStyle name="40% - Accent5 5 6 2 3 2" xfId="40722"/>
    <cellStyle name="40% - Accent5 5 6 2 4" xfId="40723"/>
    <cellStyle name="40% - Accent5 5 6 3" xfId="40724"/>
    <cellStyle name="40% - Accent5 5 6 3 2" xfId="40725"/>
    <cellStyle name="40% - Accent5 5 6 3 2 2" xfId="40726"/>
    <cellStyle name="40% - Accent5 5 6 3 3" xfId="40727"/>
    <cellStyle name="40% - Accent5 5 6 4" xfId="40728"/>
    <cellStyle name="40% - Accent5 5 6 4 2" xfId="40729"/>
    <cellStyle name="40% - Accent5 5 6 5" xfId="40730"/>
    <cellStyle name="40% - Accent5 5 7" xfId="40731"/>
    <cellStyle name="40% - Accent5 5 7 2" xfId="40732"/>
    <cellStyle name="40% - Accent5 5 7 2 2" xfId="40733"/>
    <cellStyle name="40% - Accent5 5 7 2 2 2" xfId="40734"/>
    <cellStyle name="40% - Accent5 5 7 2 2 2 2" xfId="40735"/>
    <cellStyle name="40% - Accent5 5 7 2 2 3" xfId="40736"/>
    <cellStyle name="40% - Accent5 5 7 2 3" xfId="40737"/>
    <cellStyle name="40% - Accent5 5 7 2 3 2" xfId="40738"/>
    <cellStyle name="40% - Accent5 5 7 2 4" xfId="40739"/>
    <cellStyle name="40% - Accent5 5 7 3" xfId="40740"/>
    <cellStyle name="40% - Accent5 5 7 3 2" xfId="40741"/>
    <cellStyle name="40% - Accent5 5 7 3 2 2" xfId="40742"/>
    <cellStyle name="40% - Accent5 5 7 3 3" xfId="40743"/>
    <cellStyle name="40% - Accent5 5 7 4" xfId="40744"/>
    <cellStyle name="40% - Accent5 5 7 4 2" xfId="40745"/>
    <cellStyle name="40% - Accent5 5 7 5" xfId="40746"/>
    <cellStyle name="40% - Accent5 5 8" xfId="40747"/>
    <cellStyle name="40% - Accent5 5 8 2" xfId="40748"/>
    <cellStyle name="40% - Accent5 5 8 2 2" xfId="40749"/>
    <cellStyle name="40% - Accent5 5 8 2 2 2" xfId="40750"/>
    <cellStyle name="40% - Accent5 5 8 2 3" xfId="40751"/>
    <cellStyle name="40% - Accent5 5 8 3" xfId="40752"/>
    <cellStyle name="40% - Accent5 5 8 3 2" xfId="40753"/>
    <cellStyle name="40% - Accent5 5 8 4" xfId="40754"/>
    <cellStyle name="40% - Accent5 5 9" xfId="40755"/>
    <cellStyle name="40% - Accent5 5 9 2" xfId="40756"/>
    <cellStyle name="40% - Accent5 5 9 2 2" xfId="40757"/>
    <cellStyle name="40% - Accent5 5 9 3" xfId="40758"/>
    <cellStyle name="40% - Accent5 6" xfId="40759"/>
    <cellStyle name="40% - Accent5 6 10" xfId="40760"/>
    <cellStyle name="40% - Accent5 6 10 2" xfId="40761"/>
    <cellStyle name="40% - Accent5 6 11" xfId="40762"/>
    <cellStyle name="40% - Accent5 6 2" xfId="40763"/>
    <cellStyle name="40% - Accent5 6 2 10" xfId="40764"/>
    <cellStyle name="40% - Accent5 6 2 2" xfId="40765"/>
    <cellStyle name="40% - Accent5 6 2 2 2" xfId="40766"/>
    <cellStyle name="40% - Accent5 6 2 2 2 2" xfId="40767"/>
    <cellStyle name="40% - Accent5 6 2 2 2 2 2" xfId="40768"/>
    <cellStyle name="40% - Accent5 6 2 2 2 2 2 2" xfId="40769"/>
    <cellStyle name="40% - Accent5 6 2 2 2 2 3" xfId="40770"/>
    <cellStyle name="40% - Accent5 6 2 2 2 3" xfId="40771"/>
    <cellStyle name="40% - Accent5 6 2 2 2 3 2" xfId="40772"/>
    <cellStyle name="40% - Accent5 6 2 2 2 4" xfId="40773"/>
    <cellStyle name="40% - Accent5 6 2 2 3" xfId="40774"/>
    <cellStyle name="40% - Accent5 6 2 2 3 2" xfId="40775"/>
    <cellStyle name="40% - Accent5 6 2 2 3 2 2" xfId="40776"/>
    <cellStyle name="40% - Accent5 6 2 2 3 3" xfId="40777"/>
    <cellStyle name="40% - Accent5 6 2 2 4" xfId="40778"/>
    <cellStyle name="40% - Accent5 6 2 2 4 2" xfId="40779"/>
    <cellStyle name="40% - Accent5 6 2 2 5" xfId="40780"/>
    <cellStyle name="40% - Accent5 6 2 3" xfId="40781"/>
    <cellStyle name="40% - Accent5 6 2 3 2" xfId="40782"/>
    <cellStyle name="40% - Accent5 6 2 3 2 2" xfId="40783"/>
    <cellStyle name="40% - Accent5 6 2 3 2 2 2" xfId="40784"/>
    <cellStyle name="40% - Accent5 6 2 3 2 2 2 2" xfId="40785"/>
    <cellStyle name="40% - Accent5 6 2 3 2 2 3" xfId="40786"/>
    <cellStyle name="40% - Accent5 6 2 3 2 3" xfId="40787"/>
    <cellStyle name="40% - Accent5 6 2 3 2 3 2" xfId="40788"/>
    <cellStyle name="40% - Accent5 6 2 3 2 4" xfId="40789"/>
    <cellStyle name="40% - Accent5 6 2 3 3" xfId="40790"/>
    <cellStyle name="40% - Accent5 6 2 3 3 2" xfId="40791"/>
    <cellStyle name="40% - Accent5 6 2 3 3 2 2" xfId="40792"/>
    <cellStyle name="40% - Accent5 6 2 3 3 3" xfId="40793"/>
    <cellStyle name="40% - Accent5 6 2 3 4" xfId="40794"/>
    <cellStyle name="40% - Accent5 6 2 3 4 2" xfId="40795"/>
    <cellStyle name="40% - Accent5 6 2 3 5" xfId="40796"/>
    <cellStyle name="40% - Accent5 6 2 4" xfId="40797"/>
    <cellStyle name="40% - Accent5 6 2 4 2" xfId="40798"/>
    <cellStyle name="40% - Accent5 6 2 4 2 2" xfId="40799"/>
    <cellStyle name="40% - Accent5 6 2 4 2 2 2" xfId="40800"/>
    <cellStyle name="40% - Accent5 6 2 4 2 2 2 2" xfId="40801"/>
    <cellStyle name="40% - Accent5 6 2 4 2 2 3" xfId="40802"/>
    <cellStyle name="40% - Accent5 6 2 4 2 3" xfId="40803"/>
    <cellStyle name="40% - Accent5 6 2 4 2 3 2" xfId="40804"/>
    <cellStyle name="40% - Accent5 6 2 4 2 4" xfId="40805"/>
    <cellStyle name="40% - Accent5 6 2 4 3" xfId="40806"/>
    <cellStyle name="40% - Accent5 6 2 4 3 2" xfId="40807"/>
    <cellStyle name="40% - Accent5 6 2 4 3 2 2" xfId="40808"/>
    <cellStyle name="40% - Accent5 6 2 4 3 3" xfId="40809"/>
    <cellStyle name="40% - Accent5 6 2 4 4" xfId="40810"/>
    <cellStyle name="40% - Accent5 6 2 4 4 2" xfId="40811"/>
    <cellStyle name="40% - Accent5 6 2 4 5" xfId="40812"/>
    <cellStyle name="40% - Accent5 6 2 5" xfId="40813"/>
    <cellStyle name="40% - Accent5 6 2 5 2" xfId="40814"/>
    <cellStyle name="40% - Accent5 6 2 5 2 2" xfId="40815"/>
    <cellStyle name="40% - Accent5 6 2 5 2 2 2" xfId="40816"/>
    <cellStyle name="40% - Accent5 6 2 5 2 2 2 2" xfId="40817"/>
    <cellStyle name="40% - Accent5 6 2 5 2 2 3" xfId="40818"/>
    <cellStyle name="40% - Accent5 6 2 5 2 3" xfId="40819"/>
    <cellStyle name="40% - Accent5 6 2 5 2 3 2" xfId="40820"/>
    <cellStyle name="40% - Accent5 6 2 5 2 4" xfId="40821"/>
    <cellStyle name="40% - Accent5 6 2 5 3" xfId="40822"/>
    <cellStyle name="40% - Accent5 6 2 5 3 2" xfId="40823"/>
    <cellStyle name="40% - Accent5 6 2 5 3 2 2" xfId="40824"/>
    <cellStyle name="40% - Accent5 6 2 5 3 3" xfId="40825"/>
    <cellStyle name="40% - Accent5 6 2 5 4" xfId="40826"/>
    <cellStyle name="40% - Accent5 6 2 5 4 2" xfId="40827"/>
    <cellStyle name="40% - Accent5 6 2 5 5" xfId="40828"/>
    <cellStyle name="40% - Accent5 6 2 6" xfId="40829"/>
    <cellStyle name="40% - Accent5 6 2 6 2" xfId="40830"/>
    <cellStyle name="40% - Accent5 6 2 6 2 2" xfId="40831"/>
    <cellStyle name="40% - Accent5 6 2 6 2 2 2" xfId="40832"/>
    <cellStyle name="40% - Accent5 6 2 6 2 2 2 2" xfId="40833"/>
    <cellStyle name="40% - Accent5 6 2 6 2 2 3" xfId="40834"/>
    <cellStyle name="40% - Accent5 6 2 6 2 3" xfId="40835"/>
    <cellStyle name="40% - Accent5 6 2 6 2 3 2" xfId="40836"/>
    <cellStyle name="40% - Accent5 6 2 6 2 4" xfId="40837"/>
    <cellStyle name="40% - Accent5 6 2 6 3" xfId="40838"/>
    <cellStyle name="40% - Accent5 6 2 6 3 2" xfId="40839"/>
    <cellStyle name="40% - Accent5 6 2 6 3 2 2" xfId="40840"/>
    <cellStyle name="40% - Accent5 6 2 6 3 3" xfId="40841"/>
    <cellStyle name="40% - Accent5 6 2 6 4" xfId="40842"/>
    <cellStyle name="40% - Accent5 6 2 6 4 2" xfId="40843"/>
    <cellStyle name="40% - Accent5 6 2 6 5" xfId="40844"/>
    <cellStyle name="40% - Accent5 6 2 7" xfId="40845"/>
    <cellStyle name="40% - Accent5 6 2 7 2" xfId="40846"/>
    <cellStyle name="40% - Accent5 6 2 7 2 2" xfId="40847"/>
    <cellStyle name="40% - Accent5 6 2 7 2 2 2" xfId="40848"/>
    <cellStyle name="40% - Accent5 6 2 7 2 3" xfId="40849"/>
    <cellStyle name="40% - Accent5 6 2 7 3" xfId="40850"/>
    <cellStyle name="40% - Accent5 6 2 7 3 2" xfId="40851"/>
    <cellStyle name="40% - Accent5 6 2 7 4" xfId="40852"/>
    <cellStyle name="40% - Accent5 6 2 8" xfId="40853"/>
    <cellStyle name="40% - Accent5 6 2 8 2" xfId="40854"/>
    <cellStyle name="40% - Accent5 6 2 8 2 2" xfId="40855"/>
    <cellStyle name="40% - Accent5 6 2 8 3" xfId="40856"/>
    <cellStyle name="40% - Accent5 6 2 9" xfId="40857"/>
    <cellStyle name="40% - Accent5 6 2 9 2" xfId="40858"/>
    <cellStyle name="40% - Accent5 6 3" xfId="40859"/>
    <cellStyle name="40% - Accent5 6 3 2" xfId="40860"/>
    <cellStyle name="40% - Accent5 6 3 2 2" xfId="40861"/>
    <cellStyle name="40% - Accent5 6 3 2 2 2" xfId="40862"/>
    <cellStyle name="40% - Accent5 6 3 2 2 2 2" xfId="40863"/>
    <cellStyle name="40% - Accent5 6 3 2 2 3" xfId="40864"/>
    <cellStyle name="40% - Accent5 6 3 2 3" xfId="40865"/>
    <cellStyle name="40% - Accent5 6 3 2 3 2" xfId="40866"/>
    <cellStyle name="40% - Accent5 6 3 2 4" xfId="40867"/>
    <cellStyle name="40% - Accent5 6 3 3" xfId="40868"/>
    <cellStyle name="40% - Accent5 6 3 3 2" xfId="40869"/>
    <cellStyle name="40% - Accent5 6 3 3 2 2" xfId="40870"/>
    <cellStyle name="40% - Accent5 6 3 3 3" xfId="40871"/>
    <cellStyle name="40% - Accent5 6 3 4" xfId="40872"/>
    <cellStyle name="40% - Accent5 6 3 4 2" xfId="40873"/>
    <cellStyle name="40% - Accent5 6 3 5" xfId="40874"/>
    <cellStyle name="40% - Accent5 6 4" xfId="40875"/>
    <cellStyle name="40% - Accent5 6 4 2" xfId="40876"/>
    <cellStyle name="40% - Accent5 6 4 2 2" xfId="40877"/>
    <cellStyle name="40% - Accent5 6 4 2 2 2" xfId="40878"/>
    <cellStyle name="40% - Accent5 6 4 2 2 2 2" xfId="40879"/>
    <cellStyle name="40% - Accent5 6 4 2 2 3" xfId="40880"/>
    <cellStyle name="40% - Accent5 6 4 2 3" xfId="40881"/>
    <cellStyle name="40% - Accent5 6 4 2 3 2" xfId="40882"/>
    <cellStyle name="40% - Accent5 6 4 2 4" xfId="40883"/>
    <cellStyle name="40% - Accent5 6 4 3" xfId="40884"/>
    <cellStyle name="40% - Accent5 6 4 3 2" xfId="40885"/>
    <cellStyle name="40% - Accent5 6 4 3 2 2" xfId="40886"/>
    <cellStyle name="40% - Accent5 6 4 3 3" xfId="40887"/>
    <cellStyle name="40% - Accent5 6 4 4" xfId="40888"/>
    <cellStyle name="40% - Accent5 6 4 4 2" xfId="40889"/>
    <cellStyle name="40% - Accent5 6 4 5" xfId="40890"/>
    <cellStyle name="40% - Accent5 6 5" xfId="40891"/>
    <cellStyle name="40% - Accent5 6 5 2" xfId="40892"/>
    <cellStyle name="40% - Accent5 6 5 2 2" xfId="40893"/>
    <cellStyle name="40% - Accent5 6 5 2 2 2" xfId="40894"/>
    <cellStyle name="40% - Accent5 6 5 2 2 2 2" xfId="40895"/>
    <cellStyle name="40% - Accent5 6 5 2 2 3" xfId="40896"/>
    <cellStyle name="40% - Accent5 6 5 2 3" xfId="40897"/>
    <cellStyle name="40% - Accent5 6 5 2 3 2" xfId="40898"/>
    <cellStyle name="40% - Accent5 6 5 2 4" xfId="40899"/>
    <cellStyle name="40% - Accent5 6 5 3" xfId="40900"/>
    <cellStyle name="40% - Accent5 6 5 3 2" xfId="40901"/>
    <cellStyle name="40% - Accent5 6 5 3 2 2" xfId="40902"/>
    <cellStyle name="40% - Accent5 6 5 3 3" xfId="40903"/>
    <cellStyle name="40% - Accent5 6 5 4" xfId="40904"/>
    <cellStyle name="40% - Accent5 6 5 4 2" xfId="40905"/>
    <cellStyle name="40% - Accent5 6 5 5" xfId="40906"/>
    <cellStyle name="40% - Accent5 6 6" xfId="40907"/>
    <cellStyle name="40% - Accent5 6 6 2" xfId="40908"/>
    <cellStyle name="40% - Accent5 6 6 2 2" xfId="40909"/>
    <cellStyle name="40% - Accent5 6 6 2 2 2" xfId="40910"/>
    <cellStyle name="40% - Accent5 6 6 2 2 2 2" xfId="40911"/>
    <cellStyle name="40% - Accent5 6 6 2 2 3" xfId="40912"/>
    <cellStyle name="40% - Accent5 6 6 2 3" xfId="40913"/>
    <cellStyle name="40% - Accent5 6 6 2 3 2" xfId="40914"/>
    <cellStyle name="40% - Accent5 6 6 2 4" xfId="40915"/>
    <cellStyle name="40% - Accent5 6 6 3" xfId="40916"/>
    <cellStyle name="40% - Accent5 6 6 3 2" xfId="40917"/>
    <cellStyle name="40% - Accent5 6 6 3 2 2" xfId="40918"/>
    <cellStyle name="40% - Accent5 6 6 3 3" xfId="40919"/>
    <cellStyle name="40% - Accent5 6 6 4" xfId="40920"/>
    <cellStyle name="40% - Accent5 6 6 4 2" xfId="40921"/>
    <cellStyle name="40% - Accent5 6 6 5" xfId="40922"/>
    <cellStyle name="40% - Accent5 6 7" xfId="40923"/>
    <cellStyle name="40% - Accent5 6 7 2" xfId="40924"/>
    <cellStyle name="40% - Accent5 6 7 2 2" xfId="40925"/>
    <cellStyle name="40% - Accent5 6 7 2 2 2" xfId="40926"/>
    <cellStyle name="40% - Accent5 6 7 2 2 2 2" xfId="40927"/>
    <cellStyle name="40% - Accent5 6 7 2 2 3" xfId="40928"/>
    <cellStyle name="40% - Accent5 6 7 2 3" xfId="40929"/>
    <cellStyle name="40% - Accent5 6 7 2 3 2" xfId="40930"/>
    <cellStyle name="40% - Accent5 6 7 2 4" xfId="40931"/>
    <cellStyle name="40% - Accent5 6 7 3" xfId="40932"/>
    <cellStyle name="40% - Accent5 6 7 3 2" xfId="40933"/>
    <cellStyle name="40% - Accent5 6 7 3 2 2" xfId="40934"/>
    <cellStyle name="40% - Accent5 6 7 3 3" xfId="40935"/>
    <cellStyle name="40% - Accent5 6 7 4" xfId="40936"/>
    <cellStyle name="40% - Accent5 6 7 4 2" xfId="40937"/>
    <cellStyle name="40% - Accent5 6 7 5" xfId="40938"/>
    <cellStyle name="40% - Accent5 6 8" xfId="40939"/>
    <cellStyle name="40% - Accent5 6 8 2" xfId="40940"/>
    <cellStyle name="40% - Accent5 6 8 2 2" xfId="40941"/>
    <cellStyle name="40% - Accent5 6 8 2 2 2" xfId="40942"/>
    <cellStyle name="40% - Accent5 6 8 2 3" xfId="40943"/>
    <cellStyle name="40% - Accent5 6 8 3" xfId="40944"/>
    <cellStyle name="40% - Accent5 6 8 3 2" xfId="40945"/>
    <cellStyle name="40% - Accent5 6 8 4" xfId="40946"/>
    <cellStyle name="40% - Accent5 6 9" xfId="40947"/>
    <cellStyle name="40% - Accent5 6 9 2" xfId="40948"/>
    <cellStyle name="40% - Accent5 6 9 2 2" xfId="40949"/>
    <cellStyle name="40% - Accent5 6 9 3" xfId="40950"/>
    <cellStyle name="40% - Accent5 7" xfId="40951"/>
    <cellStyle name="40% - Accent5 7 10" xfId="40952"/>
    <cellStyle name="40% - Accent5 7 10 2" xfId="40953"/>
    <cellStyle name="40% - Accent5 7 11" xfId="40954"/>
    <cellStyle name="40% - Accent5 7 2" xfId="40955"/>
    <cellStyle name="40% - Accent5 7 2 10" xfId="40956"/>
    <cellStyle name="40% - Accent5 7 2 2" xfId="40957"/>
    <cellStyle name="40% - Accent5 7 2 2 2" xfId="40958"/>
    <cellStyle name="40% - Accent5 7 2 2 2 2" xfId="40959"/>
    <cellStyle name="40% - Accent5 7 2 2 2 2 2" xfId="40960"/>
    <cellStyle name="40% - Accent5 7 2 2 2 2 2 2" xfId="40961"/>
    <cellStyle name="40% - Accent5 7 2 2 2 2 3" xfId="40962"/>
    <cellStyle name="40% - Accent5 7 2 2 2 3" xfId="40963"/>
    <cellStyle name="40% - Accent5 7 2 2 2 3 2" xfId="40964"/>
    <cellStyle name="40% - Accent5 7 2 2 2 4" xfId="40965"/>
    <cellStyle name="40% - Accent5 7 2 2 3" xfId="40966"/>
    <cellStyle name="40% - Accent5 7 2 2 3 2" xfId="40967"/>
    <cellStyle name="40% - Accent5 7 2 2 3 2 2" xfId="40968"/>
    <cellStyle name="40% - Accent5 7 2 2 3 3" xfId="40969"/>
    <cellStyle name="40% - Accent5 7 2 2 4" xfId="40970"/>
    <cellStyle name="40% - Accent5 7 2 2 4 2" xfId="40971"/>
    <cellStyle name="40% - Accent5 7 2 2 5" xfId="40972"/>
    <cellStyle name="40% - Accent5 7 2 3" xfId="40973"/>
    <cellStyle name="40% - Accent5 7 2 3 2" xfId="40974"/>
    <cellStyle name="40% - Accent5 7 2 3 2 2" xfId="40975"/>
    <cellStyle name="40% - Accent5 7 2 3 2 2 2" xfId="40976"/>
    <cellStyle name="40% - Accent5 7 2 3 2 2 2 2" xfId="40977"/>
    <cellStyle name="40% - Accent5 7 2 3 2 2 3" xfId="40978"/>
    <cellStyle name="40% - Accent5 7 2 3 2 3" xfId="40979"/>
    <cellStyle name="40% - Accent5 7 2 3 2 3 2" xfId="40980"/>
    <cellStyle name="40% - Accent5 7 2 3 2 4" xfId="40981"/>
    <cellStyle name="40% - Accent5 7 2 3 3" xfId="40982"/>
    <cellStyle name="40% - Accent5 7 2 3 3 2" xfId="40983"/>
    <cellStyle name="40% - Accent5 7 2 3 3 2 2" xfId="40984"/>
    <cellStyle name="40% - Accent5 7 2 3 3 3" xfId="40985"/>
    <cellStyle name="40% - Accent5 7 2 3 4" xfId="40986"/>
    <cellStyle name="40% - Accent5 7 2 3 4 2" xfId="40987"/>
    <cellStyle name="40% - Accent5 7 2 3 5" xfId="40988"/>
    <cellStyle name="40% - Accent5 7 2 4" xfId="40989"/>
    <cellStyle name="40% - Accent5 7 2 4 2" xfId="40990"/>
    <cellStyle name="40% - Accent5 7 2 4 2 2" xfId="40991"/>
    <cellStyle name="40% - Accent5 7 2 4 2 2 2" xfId="40992"/>
    <cellStyle name="40% - Accent5 7 2 4 2 2 2 2" xfId="40993"/>
    <cellStyle name="40% - Accent5 7 2 4 2 2 3" xfId="40994"/>
    <cellStyle name="40% - Accent5 7 2 4 2 3" xfId="40995"/>
    <cellStyle name="40% - Accent5 7 2 4 2 3 2" xfId="40996"/>
    <cellStyle name="40% - Accent5 7 2 4 2 4" xfId="40997"/>
    <cellStyle name="40% - Accent5 7 2 4 3" xfId="40998"/>
    <cellStyle name="40% - Accent5 7 2 4 3 2" xfId="40999"/>
    <cellStyle name="40% - Accent5 7 2 4 3 2 2" xfId="41000"/>
    <cellStyle name="40% - Accent5 7 2 4 3 3" xfId="41001"/>
    <cellStyle name="40% - Accent5 7 2 4 4" xfId="41002"/>
    <cellStyle name="40% - Accent5 7 2 4 4 2" xfId="41003"/>
    <cellStyle name="40% - Accent5 7 2 4 5" xfId="41004"/>
    <cellStyle name="40% - Accent5 7 2 5" xfId="41005"/>
    <cellStyle name="40% - Accent5 7 2 5 2" xfId="41006"/>
    <cellStyle name="40% - Accent5 7 2 5 2 2" xfId="41007"/>
    <cellStyle name="40% - Accent5 7 2 5 2 2 2" xfId="41008"/>
    <cellStyle name="40% - Accent5 7 2 5 2 2 2 2" xfId="41009"/>
    <cellStyle name="40% - Accent5 7 2 5 2 2 3" xfId="41010"/>
    <cellStyle name="40% - Accent5 7 2 5 2 3" xfId="41011"/>
    <cellStyle name="40% - Accent5 7 2 5 2 3 2" xfId="41012"/>
    <cellStyle name="40% - Accent5 7 2 5 2 4" xfId="41013"/>
    <cellStyle name="40% - Accent5 7 2 5 3" xfId="41014"/>
    <cellStyle name="40% - Accent5 7 2 5 3 2" xfId="41015"/>
    <cellStyle name="40% - Accent5 7 2 5 3 2 2" xfId="41016"/>
    <cellStyle name="40% - Accent5 7 2 5 3 3" xfId="41017"/>
    <cellStyle name="40% - Accent5 7 2 5 4" xfId="41018"/>
    <cellStyle name="40% - Accent5 7 2 5 4 2" xfId="41019"/>
    <cellStyle name="40% - Accent5 7 2 5 5" xfId="41020"/>
    <cellStyle name="40% - Accent5 7 2 6" xfId="41021"/>
    <cellStyle name="40% - Accent5 7 2 6 2" xfId="41022"/>
    <cellStyle name="40% - Accent5 7 2 6 2 2" xfId="41023"/>
    <cellStyle name="40% - Accent5 7 2 6 2 2 2" xfId="41024"/>
    <cellStyle name="40% - Accent5 7 2 6 2 2 2 2" xfId="41025"/>
    <cellStyle name="40% - Accent5 7 2 6 2 2 3" xfId="41026"/>
    <cellStyle name="40% - Accent5 7 2 6 2 3" xfId="41027"/>
    <cellStyle name="40% - Accent5 7 2 6 2 3 2" xfId="41028"/>
    <cellStyle name="40% - Accent5 7 2 6 2 4" xfId="41029"/>
    <cellStyle name="40% - Accent5 7 2 6 3" xfId="41030"/>
    <cellStyle name="40% - Accent5 7 2 6 3 2" xfId="41031"/>
    <cellStyle name="40% - Accent5 7 2 6 3 2 2" xfId="41032"/>
    <cellStyle name="40% - Accent5 7 2 6 3 3" xfId="41033"/>
    <cellStyle name="40% - Accent5 7 2 6 4" xfId="41034"/>
    <cellStyle name="40% - Accent5 7 2 6 4 2" xfId="41035"/>
    <cellStyle name="40% - Accent5 7 2 6 5" xfId="41036"/>
    <cellStyle name="40% - Accent5 7 2 7" xfId="41037"/>
    <cellStyle name="40% - Accent5 7 2 7 2" xfId="41038"/>
    <cellStyle name="40% - Accent5 7 2 7 2 2" xfId="41039"/>
    <cellStyle name="40% - Accent5 7 2 7 2 2 2" xfId="41040"/>
    <cellStyle name="40% - Accent5 7 2 7 2 3" xfId="41041"/>
    <cellStyle name="40% - Accent5 7 2 7 3" xfId="41042"/>
    <cellStyle name="40% - Accent5 7 2 7 3 2" xfId="41043"/>
    <cellStyle name="40% - Accent5 7 2 7 4" xfId="41044"/>
    <cellStyle name="40% - Accent5 7 2 8" xfId="41045"/>
    <cellStyle name="40% - Accent5 7 2 8 2" xfId="41046"/>
    <cellStyle name="40% - Accent5 7 2 8 2 2" xfId="41047"/>
    <cellStyle name="40% - Accent5 7 2 8 3" xfId="41048"/>
    <cellStyle name="40% - Accent5 7 2 9" xfId="41049"/>
    <cellStyle name="40% - Accent5 7 2 9 2" xfId="41050"/>
    <cellStyle name="40% - Accent5 7 3" xfId="41051"/>
    <cellStyle name="40% - Accent5 7 3 2" xfId="41052"/>
    <cellStyle name="40% - Accent5 7 3 2 2" xfId="41053"/>
    <cellStyle name="40% - Accent5 7 3 2 2 2" xfId="41054"/>
    <cellStyle name="40% - Accent5 7 3 2 2 2 2" xfId="41055"/>
    <cellStyle name="40% - Accent5 7 3 2 2 3" xfId="41056"/>
    <cellStyle name="40% - Accent5 7 3 2 3" xfId="41057"/>
    <cellStyle name="40% - Accent5 7 3 2 3 2" xfId="41058"/>
    <cellStyle name="40% - Accent5 7 3 2 4" xfId="41059"/>
    <cellStyle name="40% - Accent5 7 3 3" xfId="41060"/>
    <cellStyle name="40% - Accent5 7 3 3 2" xfId="41061"/>
    <cellStyle name="40% - Accent5 7 3 3 2 2" xfId="41062"/>
    <cellStyle name="40% - Accent5 7 3 3 3" xfId="41063"/>
    <cellStyle name="40% - Accent5 7 3 4" xfId="41064"/>
    <cellStyle name="40% - Accent5 7 3 4 2" xfId="41065"/>
    <cellStyle name="40% - Accent5 7 3 5" xfId="41066"/>
    <cellStyle name="40% - Accent5 7 4" xfId="41067"/>
    <cellStyle name="40% - Accent5 7 4 2" xfId="41068"/>
    <cellStyle name="40% - Accent5 7 4 2 2" xfId="41069"/>
    <cellStyle name="40% - Accent5 7 4 2 2 2" xfId="41070"/>
    <cellStyle name="40% - Accent5 7 4 2 2 2 2" xfId="41071"/>
    <cellStyle name="40% - Accent5 7 4 2 2 3" xfId="41072"/>
    <cellStyle name="40% - Accent5 7 4 2 3" xfId="41073"/>
    <cellStyle name="40% - Accent5 7 4 2 3 2" xfId="41074"/>
    <cellStyle name="40% - Accent5 7 4 2 4" xfId="41075"/>
    <cellStyle name="40% - Accent5 7 4 3" xfId="41076"/>
    <cellStyle name="40% - Accent5 7 4 3 2" xfId="41077"/>
    <cellStyle name="40% - Accent5 7 4 3 2 2" xfId="41078"/>
    <cellStyle name="40% - Accent5 7 4 3 3" xfId="41079"/>
    <cellStyle name="40% - Accent5 7 4 4" xfId="41080"/>
    <cellStyle name="40% - Accent5 7 4 4 2" xfId="41081"/>
    <cellStyle name="40% - Accent5 7 4 5" xfId="41082"/>
    <cellStyle name="40% - Accent5 7 5" xfId="41083"/>
    <cellStyle name="40% - Accent5 7 5 2" xfId="41084"/>
    <cellStyle name="40% - Accent5 7 5 2 2" xfId="41085"/>
    <cellStyle name="40% - Accent5 7 5 2 2 2" xfId="41086"/>
    <cellStyle name="40% - Accent5 7 5 2 2 2 2" xfId="41087"/>
    <cellStyle name="40% - Accent5 7 5 2 2 3" xfId="41088"/>
    <cellStyle name="40% - Accent5 7 5 2 3" xfId="41089"/>
    <cellStyle name="40% - Accent5 7 5 2 3 2" xfId="41090"/>
    <cellStyle name="40% - Accent5 7 5 2 4" xfId="41091"/>
    <cellStyle name="40% - Accent5 7 5 3" xfId="41092"/>
    <cellStyle name="40% - Accent5 7 5 3 2" xfId="41093"/>
    <cellStyle name="40% - Accent5 7 5 3 2 2" xfId="41094"/>
    <cellStyle name="40% - Accent5 7 5 3 3" xfId="41095"/>
    <cellStyle name="40% - Accent5 7 5 4" xfId="41096"/>
    <cellStyle name="40% - Accent5 7 5 4 2" xfId="41097"/>
    <cellStyle name="40% - Accent5 7 5 5" xfId="41098"/>
    <cellStyle name="40% - Accent5 7 6" xfId="41099"/>
    <cellStyle name="40% - Accent5 7 6 2" xfId="41100"/>
    <cellStyle name="40% - Accent5 7 6 2 2" xfId="41101"/>
    <cellStyle name="40% - Accent5 7 6 2 2 2" xfId="41102"/>
    <cellStyle name="40% - Accent5 7 6 2 2 2 2" xfId="41103"/>
    <cellStyle name="40% - Accent5 7 6 2 2 3" xfId="41104"/>
    <cellStyle name="40% - Accent5 7 6 2 3" xfId="41105"/>
    <cellStyle name="40% - Accent5 7 6 2 3 2" xfId="41106"/>
    <cellStyle name="40% - Accent5 7 6 2 4" xfId="41107"/>
    <cellStyle name="40% - Accent5 7 6 3" xfId="41108"/>
    <cellStyle name="40% - Accent5 7 6 3 2" xfId="41109"/>
    <cellStyle name="40% - Accent5 7 6 3 2 2" xfId="41110"/>
    <cellStyle name="40% - Accent5 7 6 3 3" xfId="41111"/>
    <cellStyle name="40% - Accent5 7 6 4" xfId="41112"/>
    <cellStyle name="40% - Accent5 7 6 4 2" xfId="41113"/>
    <cellStyle name="40% - Accent5 7 6 5" xfId="41114"/>
    <cellStyle name="40% - Accent5 7 7" xfId="41115"/>
    <cellStyle name="40% - Accent5 7 7 2" xfId="41116"/>
    <cellStyle name="40% - Accent5 7 7 2 2" xfId="41117"/>
    <cellStyle name="40% - Accent5 7 7 2 2 2" xfId="41118"/>
    <cellStyle name="40% - Accent5 7 7 2 2 2 2" xfId="41119"/>
    <cellStyle name="40% - Accent5 7 7 2 2 3" xfId="41120"/>
    <cellStyle name="40% - Accent5 7 7 2 3" xfId="41121"/>
    <cellStyle name="40% - Accent5 7 7 2 3 2" xfId="41122"/>
    <cellStyle name="40% - Accent5 7 7 2 4" xfId="41123"/>
    <cellStyle name="40% - Accent5 7 7 3" xfId="41124"/>
    <cellStyle name="40% - Accent5 7 7 3 2" xfId="41125"/>
    <cellStyle name="40% - Accent5 7 7 3 2 2" xfId="41126"/>
    <cellStyle name="40% - Accent5 7 7 3 3" xfId="41127"/>
    <cellStyle name="40% - Accent5 7 7 4" xfId="41128"/>
    <cellStyle name="40% - Accent5 7 7 4 2" xfId="41129"/>
    <cellStyle name="40% - Accent5 7 7 5" xfId="41130"/>
    <cellStyle name="40% - Accent5 7 8" xfId="41131"/>
    <cellStyle name="40% - Accent5 7 8 2" xfId="41132"/>
    <cellStyle name="40% - Accent5 7 8 2 2" xfId="41133"/>
    <cellStyle name="40% - Accent5 7 8 2 2 2" xfId="41134"/>
    <cellStyle name="40% - Accent5 7 8 2 3" xfId="41135"/>
    <cellStyle name="40% - Accent5 7 8 3" xfId="41136"/>
    <cellStyle name="40% - Accent5 7 8 3 2" xfId="41137"/>
    <cellStyle name="40% - Accent5 7 8 4" xfId="41138"/>
    <cellStyle name="40% - Accent5 7 9" xfId="41139"/>
    <cellStyle name="40% - Accent5 7 9 2" xfId="41140"/>
    <cellStyle name="40% - Accent5 7 9 2 2" xfId="41141"/>
    <cellStyle name="40% - Accent5 7 9 3" xfId="41142"/>
    <cellStyle name="40% - Accent5 8" xfId="41143"/>
    <cellStyle name="40% - Accent5 8 10" xfId="41144"/>
    <cellStyle name="40% - Accent5 8 10 2" xfId="41145"/>
    <cellStyle name="40% - Accent5 8 11" xfId="41146"/>
    <cellStyle name="40% - Accent5 8 2" xfId="41147"/>
    <cellStyle name="40% - Accent5 8 2 10" xfId="41148"/>
    <cellStyle name="40% - Accent5 8 2 2" xfId="41149"/>
    <cellStyle name="40% - Accent5 8 2 2 2" xfId="41150"/>
    <cellStyle name="40% - Accent5 8 2 2 2 2" xfId="41151"/>
    <cellStyle name="40% - Accent5 8 2 2 2 2 2" xfId="41152"/>
    <cellStyle name="40% - Accent5 8 2 2 2 2 2 2" xfId="41153"/>
    <cellStyle name="40% - Accent5 8 2 2 2 2 3" xfId="41154"/>
    <cellStyle name="40% - Accent5 8 2 2 2 3" xfId="41155"/>
    <cellStyle name="40% - Accent5 8 2 2 2 3 2" xfId="41156"/>
    <cellStyle name="40% - Accent5 8 2 2 2 4" xfId="41157"/>
    <cellStyle name="40% - Accent5 8 2 2 3" xfId="41158"/>
    <cellStyle name="40% - Accent5 8 2 2 3 2" xfId="41159"/>
    <cellStyle name="40% - Accent5 8 2 2 3 2 2" xfId="41160"/>
    <cellStyle name="40% - Accent5 8 2 2 3 3" xfId="41161"/>
    <cellStyle name="40% - Accent5 8 2 2 4" xfId="41162"/>
    <cellStyle name="40% - Accent5 8 2 2 4 2" xfId="41163"/>
    <cellStyle name="40% - Accent5 8 2 2 5" xfId="41164"/>
    <cellStyle name="40% - Accent5 8 2 3" xfId="41165"/>
    <cellStyle name="40% - Accent5 8 2 3 2" xfId="41166"/>
    <cellStyle name="40% - Accent5 8 2 3 2 2" xfId="41167"/>
    <cellStyle name="40% - Accent5 8 2 3 2 2 2" xfId="41168"/>
    <cellStyle name="40% - Accent5 8 2 3 2 2 2 2" xfId="41169"/>
    <cellStyle name="40% - Accent5 8 2 3 2 2 3" xfId="41170"/>
    <cellStyle name="40% - Accent5 8 2 3 2 3" xfId="41171"/>
    <cellStyle name="40% - Accent5 8 2 3 2 3 2" xfId="41172"/>
    <cellStyle name="40% - Accent5 8 2 3 2 4" xfId="41173"/>
    <cellStyle name="40% - Accent5 8 2 3 3" xfId="41174"/>
    <cellStyle name="40% - Accent5 8 2 3 3 2" xfId="41175"/>
    <cellStyle name="40% - Accent5 8 2 3 3 2 2" xfId="41176"/>
    <cellStyle name="40% - Accent5 8 2 3 3 3" xfId="41177"/>
    <cellStyle name="40% - Accent5 8 2 3 4" xfId="41178"/>
    <cellStyle name="40% - Accent5 8 2 3 4 2" xfId="41179"/>
    <cellStyle name="40% - Accent5 8 2 3 5" xfId="41180"/>
    <cellStyle name="40% - Accent5 8 2 4" xfId="41181"/>
    <cellStyle name="40% - Accent5 8 2 4 2" xfId="41182"/>
    <cellStyle name="40% - Accent5 8 2 4 2 2" xfId="41183"/>
    <cellStyle name="40% - Accent5 8 2 4 2 2 2" xfId="41184"/>
    <cellStyle name="40% - Accent5 8 2 4 2 2 2 2" xfId="41185"/>
    <cellStyle name="40% - Accent5 8 2 4 2 2 3" xfId="41186"/>
    <cellStyle name="40% - Accent5 8 2 4 2 3" xfId="41187"/>
    <cellStyle name="40% - Accent5 8 2 4 2 3 2" xfId="41188"/>
    <cellStyle name="40% - Accent5 8 2 4 2 4" xfId="41189"/>
    <cellStyle name="40% - Accent5 8 2 4 3" xfId="41190"/>
    <cellStyle name="40% - Accent5 8 2 4 3 2" xfId="41191"/>
    <cellStyle name="40% - Accent5 8 2 4 3 2 2" xfId="41192"/>
    <cellStyle name="40% - Accent5 8 2 4 3 3" xfId="41193"/>
    <cellStyle name="40% - Accent5 8 2 4 4" xfId="41194"/>
    <cellStyle name="40% - Accent5 8 2 4 4 2" xfId="41195"/>
    <cellStyle name="40% - Accent5 8 2 4 5" xfId="41196"/>
    <cellStyle name="40% - Accent5 8 2 5" xfId="41197"/>
    <cellStyle name="40% - Accent5 8 2 5 2" xfId="41198"/>
    <cellStyle name="40% - Accent5 8 2 5 2 2" xfId="41199"/>
    <cellStyle name="40% - Accent5 8 2 5 2 2 2" xfId="41200"/>
    <cellStyle name="40% - Accent5 8 2 5 2 2 2 2" xfId="41201"/>
    <cellStyle name="40% - Accent5 8 2 5 2 2 3" xfId="41202"/>
    <cellStyle name="40% - Accent5 8 2 5 2 3" xfId="41203"/>
    <cellStyle name="40% - Accent5 8 2 5 2 3 2" xfId="41204"/>
    <cellStyle name="40% - Accent5 8 2 5 2 4" xfId="41205"/>
    <cellStyle name="40% - Accent5 8 2 5 3" xfId="41206"/>
    <cellStyle name="40% - Accent5 8 2 5 3 2" xfId="41207"/>
    <cellStyle name="40% - Accent5 8 2 5 3 2 2" xfId="41208"/>
    <cellStyle name="40% - Accent5 8 2 5 3 3" xfId="41209"/>
    <cellStyle name="40% - Accent5 8 2 5 4" xfId="41210"/>
    <cellStyle name="40% - Accent5 8 2 5 4 2" xfId="41211"/>
    <cellStyle name="40% - Accent5 8 2 5 5" xfId="41212"/>
    <cellStyle name="40% - Accent5 8 2 6" xfId="41213"/>
    <cellStyle name="40% - Accent5 8 2 6 2" xfId="41214"/>
    <cellStyle name="40% - Accent5 8 2 6 2 2" xfId="41215"/>
    <cellStyle name="40% - Accent5 8 2 6 2 2 2" xfId="41216"/>
    <cellStyle name="40% - Accent5 8 2 6 2 2 2 2" xfId="41217"/>
    <cellStyle name="40% - Accent5 8 2 6 2 2 3" xfId="41218"/>
    <cellStyle name="40% - Accent5 8 2 6 2 3" xfId="41219"/>
    <cellStyle name="40% - Accent5 8 2 6 2 3 2" xfId="41220"/>
    <cellStyle name="40% - Accent5 8 2 6 2 4" xfId="41221"/>
    <cellStyle name="40% - Accent5 8 2 6 3" xfId="41222"/>
    <cellStyle name="40% - Accent5 8 2 6 3 2" xfId="41223"/>
    <cellStyle name="40% - Accent5 8 2 6 3 2 2" xfId="41224"/>
    <cellStyle name="40% - Accent5 8 2 6 3 3" xfId="41225"/>
    <cellStyle name="40% - Accent5 8 2 6 4" xfId="41226"/>
    <cellStyle name="40% - Accent5 8 2 6 4 2" xfId="41227"/>
    <cellStyle name="40% - Accent5 8 2 6 5" xfId="41228"/>
    <cellStyle name="40% - Accent5 8 2 7" xfId="41229"/>
    <cellStyle name="40% - Accent5 8 2 7 2" xfId="41230"/>
    <cellStyle name="40% - Accent5 8 2 7 2 2" xfId="41231"/>
    <cellStyle name="40% - Accent5 8 2 7 2 2 2" xfId="41232"/>
    <cellStyle name="40% - Accent5 8 2 7 2 3" xfId="41233"/>
    <cellStyle name="40% - Accent5 8 2 7 3" xfId="41234"/>
    <cellStyle name="40% - Accent5 8 2 7 3 2" xfId="41235"/>
    <cellStyle name="40% - Accent5 8 2 7 4" xfId="41236"/>
    <cellStyle name="40% - Accent5 8 2 8" xfId="41237"/>
    <cellStyle name="40% - Accent5 8 2 8 2" xfId="41238"/>
    <cellStyle name="40% - Accent5 8 2 8 2 2" xfId="41239"/>
    <cellStyle name="40% - Accent5 8 2 8 3" xfId="41240"/>
    <cellStyle name="40% - Accent5 8 2 9" xfId="41241"/>
    <cellStyle name="40% - Accent5 8 2 9 2" xfId="41242"/>
    <cellStyle name="40% - Accent5 8 3" xfId="41243"/>
    <cellStyle name="40% - Accent5 8 3 2" xfId="41244"/>
    <cellStyle name="40% - Accent5 8 3 2 2" xfId="41245"/>
    <cellStyle name="40% - Accent5 8 3 2 2 2" xfId="41246"/>
    <cellStyle name="40% - Accent5 8 3 2 2 2 2" xfId="41247"/>
    <cellStyle name="40% - Accent5 8 3 2 2 3" xfId="41248"/>
    <cellStyle name="40% - Accent5 8 3 2 3" xfId="41249"/>
    <cellStyle name="40% - Accent5 8 3 2 3 2" xfId="41250"/>
    <cellStyle name="40% - Accent5 8 3 2 4" xfId="41251"/>
    <cellStyle name="40% - Accent5 8 3 3" xfId="41252"/>
    <cellStyle name="40% - Accent5 8 3 3 2" xfId="41253"/>
    <cellStyle name="40% - Accent5 8 3 3 2 2" xfId="41254"/>
    <cellStyle name="40% - Accent5 8 3 3 3" xfId="41255"/>
    <cellStyle name="40% - Accent5 8 3 4" xfId="41256"/>
    <cellStyle name="40% - Accent5 8 3 4 2" xfId="41257"/>
    <cellStyle name="40% - Accent5 8 3 5" xfId="41258"/>
    <cellStyle name="40% - Accent5 8 4" xfId="41259"/>
    <cellStyle name="40% - Accent5 8 4 2" xfId="41260"/>
    <cellStyle name="40% - Accent5 8 4 2 2" xfId="41261"/>
    <cellStyle name="40% - Accent5 8 4 2 2 2" xfId="41262"/>
    <cellStyle name="40% - Accent5 8 4 2 2 2 2" xfId="41263"/>
    <cellStyle name="40% - Accent5 8 4 2 2 3" xfId="41264"/>
    <cellStyle name="40% - Accent5 8 4 2 3" xfId="41265"/>
    <cellStyle name="40% - Accent5 8 4 2 3 2" xfId="41266"/>
    <cellStyle name="40% - Accent5 8 4 2 4" xfId="41267"/>
    <cellStyle name="40% - Accent5 8 4 3" xfId="41268"/>
    <cellStyle name="40% - Accent5 8 4 3 2" xfId="41269"/>
    <cellStyle name="40% - Accent5 8 4 3 2 2" xfId="41270"/>
    <cellStyle name="40% - Accent5 8 4 3 3" xfId="41271"/>
    <cellStyle name="40% - Accent5 8 4 4" xfId="41272"/>
    <cellStyle name="40% - Accent5 8 4 4 2" xfId="41273"/>
    <cellStyle name="40% - Accent5 8 4 5" xfId="41274"/>
    <cellStyle name="40% - Accent5 8 5" xfId="41275"/>
    <cellStyle name="40% - Accent5 8 5 2" xfId="41276"/>
    <cellStyle name="40% - Accent5 8 5 2 2" xfId="41277"/>
    <cellStyle name="40% - Accent5 8 5 2 2 2" xfId="41278"/>
    <cellStyle name="40% - Accent5 8 5 2 2 2 2" xfId="41279"/>
    <cellStyle name="40% - Accent5 8 5 2 2 3" xfId="41280"/>
    <cellStyle name="40% - Accent5 8 5 2 3" xfId="41281"/>
    <cellStyle name="40% - Accent5 8 5 2 3 2" xfId="41282"/>
    <cellStyle name="40% - Accent5 8 5 2 4" xfId="41283"/>
    <cellStyle name="40% - Accent5 8 5 3" xfId="41284"/>
    <cellStyle name="40% - Accent5 8 5 3 2" xfId="41285"/>
    <cellStyle name="40% - Accent5 8 5 3 2 2" xfId="41286"/>
    <cellStyle name="40% - Accent5 8 5 3 3" xfId="41287"/>
    <cellStyle name="40% - Accent5 8 5 4" xfId="41288"/>
    <cellStyle name="40% - Accent5 8 5 4 2" xfId="41289"/>
    <cellStyle name="40% - Accent5 8 5 5" xfId="41290"/>
    <cellStyle name="40% - Accent5 8 6" xfId="41291"/>
    <cellStyle name="40% - Accent5 8 6 2" xfId="41292"/>
    <cellStyle name="40% - Accent5 8 6 2 2" xfId="41293"/>
    <cellStyle name="40% - Accent5 8 6 2 2 2" xfId="41294"/>
    <cellStyle name="40% - Accent5 8 6 2 2 2 2" xfId="41295"/>
    <cellStyle name="40% - Accent5 8 6 2 2 3" xfId="41296"/>
    <cellStyle name="40% - Accent5 8 6 2 3" xfId="41297"/>
    <cellStyle name="40% - Accent5 8 6 2 3 2" xfId="41298"/>
    <cellStyle name="40% - Accent5 8 6 2 4" xfId="41299"/>
    <cellStyle name="40% - Accent5 8 6 3" xfId="41300"/>
    <cellStyle name="40% - Accent5 8 6 3 2" xfId="41301"/>
    <cellStyle name="40% - Accent5 8 6 3 2 2" xfId="41302"/>
    <cellStyle name="40% - Accent5 8 6 3 3" xfId="41303"/>
    <cellStyle name="40% - Accent5 8 6 4" xfId="41304"/>
    <cellStyle name="40% - Accent5 8 6 4 2" xfId="41305"/>
    <cellStyle name="40% - Accent5 8 6 5" xfId="41306"/>
    <cellStyle name="40% - Accent5 8 7" xfId="41307"/>
    <cellStyle name="40% - Accent5 8 7 2" xfId="41308"/>
    <cellStyle name="40% - Accent5 8 7 2 2" xfId="41309"/>
    <cellStyle name="40% - Accent5 8 7 2 2 2" xfId="41310"/>
    <cellStyle name="40% - Accent5 8 7 2 2 2 2" xfId="41311"/>
    <cellStyle name="40% - Accent5 8 7 2 2 3" xfId="41312"/>
    <cellStyle name="40% - Accent5 8 7 2 3" xfId="41313"/>
    <cellStyle name="40% - Accent5 8 7 2 3 2" xfId="41314"/>
    <cellStyle name="40% - Accent5 8 7 2 4" xfId="41315"/>
    <cellStyle name="40% - Accent5 8 7 3" xfId="41316"/>
    <cellStyle name="40% - Accent5 8 7 3 2" xfId="41317"/>
    <cellStyle name="40% - Accent5 8 7 3 2 2" xfId="41318"/>
    <cellStyle name="40% - Accent5 8 7 3 3" xfId="41319"/>
    <cellStyle name="40% - Accent5 8 7 4" xfId="41320"/>
    <cellStyle name="40% - Accent5 8 7 4 2" xfId="41321"/>
    <cellStyle name="40% - Accent5 8 7 5" xfId="41322"/>
    <cellStyle name="40% - Accent5 8 8" xfId="41323"/>
    <cellStyle name="40% - Accent5 8 8 2" xfId="41324"/>
    <cellStyle name="40% - Accent5 8 8 2 2" xfId="41325"/>
    <cellStyle name="40% - Accent5 8 8 2 2 2" xfId="41326"/>
    <cellStyle name="40% - Accent5 8 8 2 3" xfId="41327"/>
    <cellStyle name="40% - Accent5 8 8 3" xfId="41328"/>
    <cellStyle name="40% - Accent5 8 8 3 2" xfId="41329"/>
    <cellStyle name="40% - Accent5 8 8 4" xfId="41330"/>
    <cellStyle name="40% - Accent5 8 9" xfId="41331"/>
    <cellStyle name="40% - Accent5 8 9 2" xfId="41332"/>
    <cellStyle name="40% - Accent5 8 9 2 2" xfId="41333"/>
    <cellStyle name="40% - Accent5 8 9 3" xfId="41334"/>
    <cellStyle name="40% - Accent5 9" xfId="41335"/>
    <cellStyle name="40% - Accent5 9 10" xfId="41336"/>
    <cellStyle name="40% - Accent5 9 10 2" xfId="41337"/>
    <cellStyle name="40% - Accent5 9 11" xfId="41338"/>
    <cellStyle name="40% - Accent5 9 2" xfId="41339"/>
    <cellStyle name="40% - Accent5 9 2 10" xfId="41340"/>
    <cellStyle name="40% - Accent5 9 2 2" xfId="41341"/>
    <cellStyle name="40% - Accent5 9 2 2 2" xfId="41342"/>
    <cellStyle name="40% - Accent5 9 2 2 2 2" xfId="41343"/>
    <cellStyle name="40% - Accent5 9 2 2 2 2 2" xfId="41344"/>
    <cellStyle name="40% - Accent5 9 2 2 2 2 2 2" xfId="41345"/>
    <cellStyle name="40% - Accent5 9 2 2 2 2 3" xfId="41346"/>
    <cellStyle name="40% - Accent5 9 2 2 2 3" xfId="41347"/>
    <cellStyle name="40% - Accent5 9 2 2 2 3 2" xfId="41348"/>
    <cellStyle name="40% - Accent5 9 2 2 2 4" xfId="41349"/>
    <cellStyle name="40% - Accent5 9 2 2 3" xfId="41350"/>
    <cellStyle name="40% - Accent5 9 2 2 3 2" xfId="41351"/>
    <cellStyle name="40% - Accent5 9 2 2 3 2 2" xfId="41352"/>
    <cellStyle name="40% - Accent5 9 2 2 3 3" xfId="41353"/>
    <cellStyle name="40% - Accent5 9 2 2 4" xfId="41354"/>
    <cellStyle name="40% - Accent5 9 2 2 4 2" xfId="41355"/>
    <cellStyle name="40% - Accent5 9 2 2 5" xfId="41356"/>
    <cellStyle name="40% - Accent5 9 2 3" xfId="41357"/>
    <cellStyle name="40% - Accent5 9 2 3 2" xfId="41358"/>
    <cellStyle name="40% - Accent5 9 2 3 2 2" xfId="41359"/>
    <cellStyle name="40% - Accent5 9 2 3 2 2 2" xfId="41360"/>
    <cellStyle name="40% - Accent5 9 2 3 2 2 2 2" xfId="41361"/>
    <cellStyle name="40% - Accent5 9 2 3 2 2 3" xfId="41362"/>
    <cellStyle name="40% - Accent5 9 2 3 2 3" xfId="41363"/>
    <cellStyle name="40% - Accent5 9 2 3 2 3 2" xfId="41364"/>
    <cellStyle name="40% - Accent5 9 2 3 2 4" xfId="41365"/>
    <cellStyle name="40% - Accent5 9 2 3 3" xfId="41366"/>
    <cellStyle name="40% - Accent5 9 2 3 3 2" xfId="41367"/>
    <cellStyle name="40% - Accent5 9 2 3 3 2 2" xfId="41368"/>
    <cellStyle name="40% - Accent5 9 2 3 3 3" xfId="41369"/>
    <cellStyle name="40% - Accent5 9 2 3 4" xfId="41370"/>
    <cellStyle name="40% - Accent5 9 2 3 4 2" xfId="41371"/>
    <cellStyle name="40% - Accent5 9 2 3 5" xfId="41372"/>
    <cellStyle name="40% - Accent5 9 2 4" xfId="41373"/>
    <cellStyle name="40% - Accent5 9 2 4 2" xfId="41374"/>
    <cellStyle name="40% - Accent5 9 2 4 2 2" xfId="41375"/>
    <cellStyle name="40% - Accent5 9 2 4 2 2 2" xfId="41376"/>
    <cellStyle name="40% - Accent5 9 2 4 2 2 2 2" xfId="41377"/>
    <cellStyle name="40% - Accent5 9 2 4 2 2 3" xfId="41378"/>
    <cellStyle name="40% - Accent5 9 2 4 2 3" xfId="41379"/>
    <cellStyle name="40% - Accent5 9 2 4 2 3 2" xfId="41380"/>
    <cellStyle name="40% - Accent5 9 2 4 2 4" xfId="41381"/>
    <cellStyle name="40% - Accent5 9 2 4 3" xfId="41382"/>
    <cellStyle name="40% - Accent5 9 2 4 3 2" xfId="41383"/>
    <cellStyle name="40% - Accent5 9 2 4 3 2 2" xfId="41384"/>
    <cellStyle name="40% - Accent5 9 2 4 3 3" xfId="41385"/>
    <cellStyle name="40% - Accent5 9 2 4 4" xfId="41386"/>
    <cellStyle name="40% - Accent5 9 2 4 4 2" xfId="41387"/>
    <cellStyle name="40% - Accent5 9 2 4 5" xfId="41388"/>
    <cellStyle name="40% - Accent5 9 2 5" xfId="41389"/>
    <cellStyle name="40% - Accent5 9 2 5 2" xfId="41390"/>
    <cellStyle name="40% - Accent5 9 2 5 2 2" xfId="41391"/>
    <cellStyle name="40% - Accent5 9 2 5 2 2 2" xfId="41392"/>
    <cellStyle name="40% - Accent5 9 2 5 2 2 2 2" xfId="41393"/>
    <cellStyle name="40% - Accent5 9 2 5 2 2 3" xfId="41394"/>
    <cellStyle name="40% - Accent5 9 2 5 2 3" xfId="41395"/>
    <cellStyle name="40% - Accent5 9 2 5 2 3 2" xfId="41396"/>
    <cellStyle name="40% - Accent5 9 2 5 2 4" xfId="41397"/>
    <cellStyle name="40% - Accent5 9 2 5 3" xfId="41398"/>
    <cellStyle name="40% - Accent5 9 2 5 3 2" xfId="41399"/>
    <cellStyle name="40% - Accent5 9 2 5 3 2 2" xfId="41400"/>
    <cellStyle name="40% - Accent5 9 2 5 3 3" xfId="41401"/>
    <cellStyle name="40% - Accent5 9 2 5 4" xfId="41402"/>
    <cellStyle name="40% - Accent5 9 2 5 4 2" xfId="41403"/>
    <cellStyle name="40% - Accent5 9 2 5 5" xfId="41404"/>
    <cellStyle name="40% - Accent5 9 2 6" xfId="41405"/>
    <cellStyle name="40% - Accent5 9 2 6 2" xfId="41406"/>
    <cellStyle name="40% - Accent5 9 2 6 2 2" xfId="41407"/>
    <cellStyle name="40% - Accent5 9 2 6 2 2 2" xfId="41408"/>
    <cellStyle name="40% - Accent5 9 2 6 2 2 2 2" xfId="41409"/>
    <cellStyle name="40% - Accent5 9 2 6 2 2 3" xfId="41410"/>
    <cellStyle name="40% - Accent5 9 2 6 2 3" xfId="41411"/>
    <cellStyle name="40% - Accent5 9 2 6 2 3 2" xfId="41412"/>
    <cellStyle name="40% - Accent5 9 2 6 2 4" xfId="41413"/>
    <cellStyle name="40% - Accent5 9 2 6 3" xfId="41414"/>
    <cellStyle name="40% - Accent5 9 2 6 3 2" xfId="41415"/>
    <cellStyle name="40% - Accent5 9 2 6 3 2 2" xfId="41416"/>
    <cellStyle name="40% - Accent5 9 2 6 3 3" xfId="41417"/>
    <cellStyle name="40% - Accent5 9 2 6 4" xfId="41418"/>
    <cellStyle name="40% - Accent5 9 2 6 4 2" xfId="41419"/>
    <cellStyle name="40% - Accent5 9 2 6 5" xfId="41420"/>
    <cellStyle name="40% - Accent5 9 2 7" xfId="41421"/>
    <cellStyle name="40% - Accent5 9 2 7 2" xfId="41422"/>
    <cellStyle name="40% - Accent5 9 2 7 2 2" xfId="41423"/>
    <cellStyle name="40% - Accent5 9 2 7 2 2 2" xfId="41424"/>
    <cellStyle name="40% - Accent5 9 2 7 2 3" xfId="41425"/>
    <cellStyle name="40% - Accent5 9 2 7 3" xfId="41426"/>
    <cellStyle name="40% - Accent5 9 2 7 3 2" xfId="41427"/>
    <cellStyle name="40% - Accent5 9 2 7 4" xfId="41428"/>
    <cellStyle name="40% - Accent5 9 2 8" xfId="41429"/>
    <cellStyle name="40% - Accent5 9 2 8 2" xfId="41430"/>
    <cellStyle name="40% - Accent5 9 2 8 2 2" xfId="41431"/>
    <cellStyle name="40% - Accent5 9 2 8 3" xfId="41432"/>
    <cellStyle name="40% - Accent5 9 2 9" xfId="41433"/>
    <cellStyle name="40% - Accent5 9 2 9 2" xfId="41434"/>
    <cellStyle name="40% - Accent5 9 3" xfId="41435"/>
    <cellStyle name="40% - Accent5 9 3 2" xfId="41436"/>
    <cellStyle name="40% - Accent5 9 3 2 2" xfId="41437"/>
    <cellStyle name="40% - Accent5 9 3 2 2 2" xfId="41438"/>
    <cellStyle name="40% - Accent5 9 3 2 2 2 2" xfId="41439"/>
    <cellStyle name="40% - Accent5 9 3 2 2 3" xfId="41440"/>
    <cellStyle name="40% - Accent5 9 3 2 3" xfId="41441"/>
    <cellStyle name="40% - Accent5 9 3 2 3 2" xfId="41442"/>
    <cellStyle name="40% - Accent5 9 3 2 4" xfId="41443"/>
    <cellStyle name="40% - Accent5 9 3 3" xfId="41444"/>
    <cellStyle name="40% - Accent5 9 3 3 2" xfId="41445"/>
    <cellStyle name="40% - Accent5 9 3 3 2 2" xfId="41446"/>
    <cellStyle name="40% - Accent5 9 3 3 3" xfId="41447"/>
    <cellStyle name="40% - Accent5 9 3 4" xfId="41448"/>
    <cellStyle name="40% - Accent5 9 3 4 2" xfId="41449"/>
    <cellStyle name="40% - Accent5 9 3 5" xfId="41450"/>
    <cellStyle name="40% - Accent5 9 4" xfId="41451"/>
    <cellStyle name="40% - Accent5 9 4 2" xfId="41452"/>
    <cellStyle name="40% - Accent5 9 4 2 2" xfId="41453"/>
    <cellStyle name="40% - Accent5 9 4 2 2 2" xfId="41454"/>
    <cellStyle name="40% - Accent5 9 4 2 2 2 2" xfId="41455"/>
    <cellStyle name="40% - Accent5 9 4 2 2 3" xfId="41456"/>
    <cellStyle name="40% - Accent5 9 4 2 3" xfId="41457"/>
    <cellStyle name="40% - Accent5 9 4 2 3 2" xfId="41458"/>
    <cellStyle name="40% - Accent5 9 4 2 4" xfId="41459"/>
    <cellStyle name="40% - Accent5 9 4 3" xfId="41460"/>
    <cellStyle name="40% - Accent5 9 4 3 2" xfId="41461"/>
    <cellStyle name="40% - Accent5 9 4 3 2 2" xfId="41462"/>
    <cellStyle name="40% - Accent5 9 4 3 3" xfId="41463"/>
    <cellStyle name="40% - Accent5 9 4 4" xfId="41464"/>
    <cellStyle name="40% - Accent5 9 4 4 2" xfId="41465"/>
    <cellStyle name="40% - Accent5 9 4 5" xfId="41466"/>
    <cellStyle name="40% - Accent5 9 5" xfId="41467"/>
    <cellStyle name="40% - Accent5 9 5 2" xfId="41468"/>
    <cellStyle name="40% - Accent5 9 5 2 2" xfId="41469"/>
    <cellStyle name="40% - Accent5 9 5 2 2 2" xfId="41470"/>
    <cellStyle name="40% - Accent5 9 5 2 2 2 2" xfId="41471"/>
    <cellStyle name="40% - Accent5 9 5 2 2 3" xfId="41472"/>
    <cellStyle name="40% - Accent5 9 5 2 3" xfId="41473"/>
    <cellStyle name="40% - Accent5 9 5 2 3 2" xfId="41474"/>
    <cellStyle name="40% - Accent5 9 5 2 4" xfId="41475"/>
    <cellStyle name="40% - Accent5 9 5 3" xfId="41476"/>
    <cellStyle name="40% - Accent5 9 5 3 2" xfId="41477"/>
    <cellStyle name="40% - Accent5 9 5 3 2 2" xfId="41478"/>
    <cellStyle name="40% - Accent5 9 5 3 3" xfId="41479"/>
    <cellStyle name="40% - Accent5 9 5 4" xfId="41480"/>
    <cellStyle name="40% - Accent5 9 5 4 2" xfId="41481"/>
    <cellStyle name="40% - Accent5 9 5 5" xfId="41482"/>
    <cellStyle name="40% - Accent5 9 6" xfId="41483"/>
    <cellStyle name="40% - Accent5 9 6 2" xfId="41484"/>
    <cellStyle name="40% - Accent5 9 6 2 2" xfId="41485"/>
    <cellStyle name="40% - Accent5 9 6 2 2 2" xfId="41486"/>
    <cellStyle name="40% - Accent5 9 6 2 2 2 2" xfId="41487"/>
    <cellStyle name="40% - Accent5 9 6 2 2 3" xfId="41488"/>
    <cellStyle name="40% - Accent5 9 6 2 3" xfId="41489"/>
    <cellStyle name="40% - Accent5 9 6 2 3 2" xfId="41490"/>
    <cellStyle name="40% - Accent5 9 6 2 4" xfId="41491"/>
    <cellStyle name="40% - Accent5 9 6 3" xfId="41492"/>
    <cellStyle name="40% - Accent5 9 6 3 2" xfId="41493"/>
    <cellStyle name="40% - Accent5 9 6 3 2 2" xfId="41494"/>
    <cellStyle name="40% - Accent5 9 6 3 3" xfId="41495"/>
    <cellStyle name="40% - Accent5 9 6 4" xfId="41496"/>
    <cellStyle name="40% - Accent5 9 6 4 2" xfId="41497"/>
    <cellStyle name="40% - Accent5 9 6 5" xfId="41498"/>
    <cellStyle name="40% - Accent5 9 7" xfId="41499"/>
    <cellStyle name="40% - Accent5 9 7 2" xfId="41500"/>
    <cellStyle name="40% - Accent5 9 7 2 2" xfId="41501"/>
    <cellStyle name="40% - Accent5 9 7 2 2 2" xfId="41502"/>
    <cellStyle name="40% - Accent5 9 7 2 2 2 2" xfId="41503"/>
    <cellStyle name="40% - Accent5 9 7 2 2 3" xfId="41504"/>
    <cellStyle name="40% - Accent5 9 7 2 3" xfId="41505"/>
    <cellStyle name="40% - Accent5 9 7 2 3 2" xfId="41506"/>
    <cellStyle name="40% - Accent5 9 7 2 4" xfId="41507"/>
    <cellStyle name="40% - Accent5 9 7 3" xfId="41508"/>
    <cellStyle name="40% - Accent5 9 7 3 2" xfId="41509"/>
    <cellStyle name="40% - Accent5 9 7 3 2 2" xfId="41510"/>
    <cellStyle name="40% - Accent5 9 7 3 3" xfId="41511"/>
    <cellStyle name="40% - Accent5 9 7 4" xfId="41512"/>
    <cellStyle name="40% - Accent5 9 7 4 2" xfId="41513"/>
    <cellStyle name="40% - Accent5 9 7 5" xfId="41514"/>
    <cellStyle name="40% - Accent5 9 8" xfId="41515"/>
    <cellStyle name="40% - Accent5 9 8 2" xfId="41516"/>
    <cellStyle name="40% - Accent5 9 8 2 2" xfId="41517"/>
    <cellStyle name="40% - Accent5 9 8 2 2 2" xfId="41518"/>
    <cellStyle name="40% - Accent5 9 8 2 3" xfId="41519"/>
    <cellStyle name="40% - Accent5 9 8 3" xfId="41520"/>
    <cellStyle name="40% - Accent5 9 8 3 2" xfId="41521"/>
    <cellStyle name="40% - Accent5 9 8 4" xfId="41522"/>
    <cellStyle name="40% - Accent5 9 9" xfId="41523"/>
    <cellStyle name="40% - Accent5 9 9 2" xfId="41524"/>
    <cellStyle name="40% - Accent5 9 9 2 2" xfId="41525"/>
    <cellStyle name="40% - Accent5 9 9 3" xfId="41526"/>
    <cellStyle name="40% - Accent6" xfId="52870" builtinId="51" customBuiltin="1"/>
    <cellStyle name="40% - Accent6 10" xfId="41527"/>
    <cellStyle name="40% - Accent6 10 10" xfId="41528"/>
    <cellStyle name="40% - Accent6 10 10 2" xfId="41529"/>
    <cellStyle name="40% - Accent6 10 11" xfId="41530"/>
    <cellStyle name="40% - Accent6 10 2" xfId="41531"/>
    <cellStyle name="40% - Accent6 10 2 10" xfId="41532"/>
    <cellStyle name="40% - Accent6 10 2 2" xfId="41533"/>
    <cellStyle name="40% - Accent6 10 2 2 2" xfId="41534"/>
    <cellStyle name="40% - Accent6 10 2 2 2 2" xfId="41535"/>
    <cellStyle name="40% - Accent6 10 2 2 2 2 2" xfId="41536"/>
    <cellStyle name="40% - Accent6 10 2 2 2 2 2 2" xfId="41537"/>
    <cellStyle name="40% - Accent6 10 2 2 2 2 3" xfId="41538"/>
    <cellStyle name="40% - Accent6 10 2 2 2 3" xfId="41539"/>
    <cellStyle name="40% - Accent6 10 2 2 2 3 2" xfId="41540"/>
    <cellStyle name="40% - Accent6 10 2 2 2 4" xfId="41541"/>
    <cellStyle name="40% - Accent6 10 2 2 3" xfId="41542"/>
    <cellStyle name="40% - Accent6 10 2 2 3 2" xfId="41543"/>
    <cellStyle name="40% - Accent6 10 2 2 3 2 2" xfId="41544"/>
    <cellStyle name="40% - Accent6 10 2 2 3 3" xfId="41545"/>
    <cellStyle name="40% - Accent6 10 2 2 4" xfId="41546"/>
    <cellStyle name="40% - Accent6 10 2 2 4 2" xfId="41547"/>
    <cellStyle name="40% - Accent6 10 2 2 5" xfId="41548"/>
    <cellStyle name="40% - Accent6 10 2 3" xfId="41549"/>
    <cellStyle name="40% - Accent6 10 2 3 2" xfId="41550"/>
    <cellStyle name="40% - Accent6 10 2 3 2 2" xfId="41551"/>
    <cellStyle name="40% - Accent6 10 2 3 2 2 2" xfId="41552"/>
    <cellStyle name="40% - Accent6 10 2 3 2 2 2 2" xfId="41553"/>
    <cellStyle name="40% - Accent6 10 2 3 2 2 3" xfId="41554"/>
    <cellStyle name="40% - Accent6 10 2 3 2 3" xfId="41555"/>
    <cellStyle name="40% - Accent6 10 2 3 2 3 2" xfId="41556"/>
    <cellStyle name="40% - Accent6 10 2 3 2 4" xfId="41557"/>
    <cellStyle name="40% - Accent6 10 2 3 3" xfId="41558"/>
    <cellStyle name="40% - Accent6 10 2 3 3 2" xfId="41559"/>
    <cellStyle name="40% - Accent6 10 2 3 3 2 2" xfId="41560"/>
    <cellStyle name="40% - Accent6 10 2 3 3 3" xfId="41561"/>
    <cellStyle name="40% - Accent6 10 2 3 4" xfId="41562"/>
    <cellStyle name="40% - Accent6 10 2 3 4 2" xfId="41563"/>
    <cellStyle name="40% - Accent6 10 2 3 5" xfId="41564"/>
    <cellStyle name="40% - Accent6 10 2 4" xfId="41565"/>
    <cellStyle name="40% - Accent6 10 2 4 2" xfId="41566"/>
    <cellStyle name="40% - Accent6 10 2 4 2 2" xfId="41567"/>
    <cellStyle name="40% - Accent6 10 2 4 2 2 2" xfId="41568"/>
    <cellStyle name="40% - Accent6 10 2 4 2 2 2 2" xfId="41569"/>
    <cellStyle name="40% - Accent6 10 2 4 2 2 3" xfId="41570"/>
    <cellStyle name="40% - Accent6 10 2 4 2 3" xfId="41571"/>
    <cellStyle name="40% - Accent6 10 2 4 2 3 2" xfId="41572"/>
    <cellStyle name="40% - Accent6 10 2 4 2 4" xfId="41573"/>
    <cellStyle name="40% - Accent6 10 2 4 3" xfId="41574"/>
    <cellStyle name="40% - Accent6 10 2 4 3 2" xfId="41575"/>
    <cellStyle name="40% - Accent6 10 2 4 3 2 2" xfId="41576"/>
    <cellStyle name="40% - Accent6 10 2 4 3 3" xfId="41577"/>
    <cellStyle name="40% - Accent6 10 2 4 4" xfId="41578"/>
    <cellStyle name="40% - Accent6 10 2 4 4 2" xfId="41579"/>
    <cellStyle name="40% - Accent6 10 2 4 5" xfId="41580"/>
    <cellStyle name="40% - Accent6 10 2 5" xfId="41581"/>
    <cellStyle name="40% - Accent6 10 2 5 2" xfId="41582"/>
    <cellStyle name="40% - Accent6 10 2 5 2 2" xfId="41583"/>
    <cellStyle name="40% - Accent6 10 2 5 2 2 2" xfId="41584"/>
    <cellStyle name="40% - Accent6 10 2 5 2 2 2 2" xfId="41585"/>
    <cellStyle name="40% - Accent6 10 2 5 2 2 3" xfId="41586"/>
    <cellStyle name="40% - Accent6 10 2 5 2 3" xfId="41587"/>
    <cellStyle name="40% - Accent6 10 2 5 2 3 2" xfId="41588"/>
    <cellStyle name="40% - Accent6 10 2 5 2 4" xfId="41589"/>
    <cellStyle name="40% - Accent6 10 2 5 3" xfId="41590"/>
    <cellStyle name="40% - Accent6 10 2 5 3 2" xfId="41591"/>
    <cellStyle name="40% - Accent6 10 2 5 3 2 2" xfId="41592"/>
    <cellStyle name="40% - Accent6 10 2 5 3 3" xfId="41593"/>
    <cellStyle name="40% - Accent6 10 2 5 4" xfId="41594"/>
    <cellStyle name="40% - Accent6 10 2 5 4 2" xfId="41595"/>
    <cellStyle name="40% - Accent6 10 2 5 5" xfId="41596"/>
    <cellStyle name="40% - Accent6 10 2 6" xfId="41597"/>
    <cellStyle name="40% - Accent6 10 2 6 2" xfId="41598"/>
    <cellStyle name="40% - Accent6 10 2 6 2 2" xfId="41599"/>
    <cellStyle name="40% - Accent6 10 2 6 2 2 2" xfId="41600"/>
    <cellStyle name="40% - Accent6 10 2 6 2 2 2 2" xfId="41601"/>
    <cellStyle name="40% - Accent6 10 2 6 2 2 3" xfId="41602"/>
    <cellStyle name="40% - Accent6 10 2 6 2 3" xfId="41603"/>
    <cellStyle name="40% - Accent6 10 2 6 2 3 2" xfId="41604"/>
    <cellStyle name="40% - Accent6 10 2 6 2 4" xfId="41605"/>
    <cellStyle name="40% - Accent6 10 2 6 3" xfId="41606"/>
    <cellStyle name="40% - Accent6 10 2 6 3 2" xfId="41607"/>
    <cellStyle name="40% - Accent6 10 2 6 3 2 2" xfId="41608"/>
    <cellStyle name="40% - Accent6 10 2 6 3 3" xfId="41609"/>
    <cellStyle name="40% - Accent6 10 2 6 4" xfId="41610"/>
    <cellStyle name="40% - Accent6 10 2 6 4 2" xfId="41611"/>
    <cellStyle name="40% - Accent6 10 2 6 5" xfId="41612"/>
    <cellStyle name="40% - Accent6 10 2 7" xfId="41613"/>
    <cellStyle name="40% - Accent6 10 2 7 2" xfId="41614"/>
    <cellStyle name="40% - Accent6 10 2 7 2 2" xfId="41615"/>
    <cellStyle name="40% - Accent6 10 2 7 2 2 2" xfId="41616"/>
    <cellStyle name="40% - Accent6 10 2 7 2 3" xfId="41617"/>
    <cellStyle name="40% - Accent6 10 2 7 3" xfId="41618"/>
    <cellStyle name="40% - Accent6 10 2 7 3 2" xfId="41619"/>
    <cellStyle name="40% - Accent6 10 2 7 4" xfId="41620"/>
    <cellStyle name="40% - Accent6 10 2 8" xfId="41621"/>
    <cellStyle name="40% - Accent6 10 2 8 2" xfId="41622"/>
    <cellStyle name="40% - Accent6 10 2 8 2 2" xfId="41623"/>
    <cellStyle name="40% - Accent6 10 2 8 3" xfId="41624"/>
    <cellStyle name="40% - Accent6 10 2 9" xfId="41625"/>
    <cellStyle name="40% - Accent6 10 2 9 2" xfId="41626"/>
    <cellStyle name="40% - Accent6 10 3" xfId="41627"/>
    <cellStyle name="40% - Accent6 10 3 2" xfId="41628"/>
    <cellStyle name="40% - Accent6 10 3 2 2" xfId="41629"/>
    <cellStyle name="40% - Accent6 10 3 2 2 2" xfId="41630"/>
    <cellStyle name="40% - Accent6 10 3 2 2 2 2" xfId="41631"/>
    <cellStyle name="40% - Accent6 10 3 2 2 3" xfId="41632"/>
    <cellStyle name="40% - Accent6 10 3 2 3" xfId="41633"/>
    <cellStyle name="40% - Accent6 10 3 2 3 2" xfId="41634"/>
    <cellStyle name="40% - Accent6 10 3 2 4" xfId="41635"/>
    <cellStyle name="40% - Accent6 10 3 3" xfId="41636"/>
    <cellStyle name="40% - Accent6 10 3 3 2" xfId="41637"/>
    <cellStyle name="40% - Accent6 10 3 3 2 2" xfId="41638"/>
    <cellStyle name="40% - Accent6 10 3 3 3" xfId="41639"/>
    <cellStyle name="40% - Accent6 10 3 4" xfId="41640"/>
    <cellStyle name="40% - Accent6 10 3 4 2" xfId="41641"/>
    <cellStyle name="40% - Accent6 10 3 5" xfId="41642"/>
    <cellStyle name="40% - Accent6 10 4" xfId="41643"/>
    <cellStyle name="40% - Accent6 10 4 2" xfId="41644"/>
    <cellStyle name="40% - Accent6 10 4 2 2" xfId="41645"/>
    <cellStyle name="40% - Accent6 10 4 2 2 2" xfId="41646"/>
    <cellStyle name="40% - Accent6 10 4 2 2 2 2" xfId="41647"/>
    <cellStyle name="40% - Accent6 10 4 2 2 3" xfId="41648"/>
    <cellStyle name="40% - Accent6 10 4 2 3" xfId="41649"/>
    <cellStyle name="40% - Accent6 10 4 2 3 2" xfId="41650"/>
    <cellStyle name="40% - Accent6 10 4 2 4" xfId="41651"/>
    <cellStyle name="40% - Accent6 10 4 3" xfId="41652"/>
    <cellStyle name="40% - Accent6 10 4 3 2" xfId="41653"/>
    <cellStyle name="40% - Accent6 10 4 3 2 2" xfId="41654"/>
    <cellStyle name="40% - Accent6 10 4 3 3" xfId="41655"/>
    <cellStyle name="40% - Accent6 10 4 4" xfId="41656"/>
    <cellStyle name="40% - Accent6 10 4 4 2" xfId="41657"/>
    <cellStyle name="40% - Accent6 10 4 5" xfId="41658"/>
    <cellStyle name="40% - Accent6 10 5" xfId="41659"/>
    <cellStyle name="40% - Accent6 10 5 2" xfId="41660"/>
    <cellStyle name="40% - Accent6 10 5 2 2" xfId="41661"/>
    <cellStyle name="40% - Accent6 10 5 2 2 2" xfId="41662"/>
    <cellStyle name="40% - Accent6 10 5 2 2 2 2" xfId="41663"/>
    <cellStyle name="40% - Accent6 10 5 2 2 3" xfId="41664"/>
    <cellStyle name="40% - Accent6 10 5 2 3" xfId="41665"/>
    <cellStyle name="40% - Accent6 10 5 2 3 2" xfId="41666"/>
    <cellStyle name="40% - Accent6 10 5 2 4" xfId="41667"/>
    <cellStyle name="40% - Accent6 10 5 3" xfId="41668"/>
    <cellStyle name="40% - Accent6 10 5 3 2" xfId="41669"/>
    <cellStyle name="40% - Accent6 10 5 3 2 2" xfId="41670"/>
    <cellStyle name="40% - Accent6 10 5 3 3" xfId="41671"/>
    <cellStyle name="40% - Accent6 10 5 4" xfId="41672"/>
    <cellStyle name="40% - Accent6 10 5 4 2" xfId="41673"/>
    <cellStyle name="40% - Accent6 10 5 5" xfId="41674"/>
    <cellStyle name="40% - Accent6 10 6" xfId="41675"/>
    <cellStyle name="40% - Accent6 10 6 2" xfId="41676"/>
    <cellStyle name="40% - Accent6 10 6 2 2" xfId="41677"/>
    <cellStyle name="40% - Accent6 10 6 2 2 2" xfId="41678"/>
    <cellStyle name="40% - Accent6 10 6 2 2 2 2" xfId="41679"/>
    <cellStyle name="40% - Accent6 10 6 2 2 3" xfId="41680"/>
    <cellStyle name="40% - Accent6 10 6 2 3" xfId="41681"/>
    <cellStyle name="40% - Accent6 10 6 2 3 2" xfId="41682"/>
    <cellStyle name="40% - Accent6 10 6 2 4" xfId="41683"/>
    <cellStyle name="40% - Accent6 10 6 3" xfId="41684"/>
    <cellStyle name="40% - Accent6 10 6 3 2" xfId="41685"/>
    <cellStyle name="40% - Accent6 10 6 3 2 2" xfId="41686"/>
    <cellStyle name="40% - Accent6 10 6 3 3" xfId="41687"/>
    <cellStyle name="40% - Accent6 10 6 4" xfId="41688"/>
    <cellStyle name="40% - Accent6 10 6 4 2" xfId="41689"/>
    <cellStyle name="40% - Accent6 10 6 5" xfId="41690"/>
    <cellStyle name="40% - Accent6 10 7" xfId="41691"/>
    <cellStyle name="40% - Accent6 10 7 2" xfId="41692"/>
    <cellStyle name="40% - Accent6 10 7 2 2" xfId="41693"/>
    <cellStyle name="40% - Accent6 10 7 2 2 2" xfId="41694"/>
    <cellStyle name="40% - Accent6 10 7 2 2 2 2" xfId="41695"/>
    <cellStyle name="40% - Accent6 10 7 2 2 3" xfId="41696"/>
    <cellStyle name="40% - Accent6 10 7 2 3" xfId="41697"/>
    <cellStyle name="40% - Accent6 10 7 2 3 2" xfId="41698"/>
    <cellStyle name="40% - Accent6 10 7 2 4" xfId="41699"/>
    <cellStyle name="40% - Accent6 10 7 3" xfId="41700"/>
    <cellStyle name="40% - Accent6 10 7 3 2" xfId="41701"/>
    <cellStyle name="40% - Accent6 10 7 3 2 2" xfId="41702"/>
    <cellStyle name="40% - Accent6 10 7 3 3" xfId="41703"/>
    <cellStyle name="40% - Accent6 10 7 4" xfId="41704"/>
    <cellStyle name="40% - Accent6 10 7 4 2" xfId="41705"/>
    <cellStyle name="40% - Accent6 10 7 5" xfId="41706"/>
    <cellStyle name="40% - Accent6 10 8" xfId="41707"/>
    <cellStyle name="40% - Accent6 10 8 2" xfId="41708"/>
    <cellStyle name="40% - Accent6 10 8 2 2" xfId="41709"/>
    <cellStyle name="40% - Accent6 10 8 2 2 2" xfId="41710"/>
    <cellStyle name="40% - Accent6 10 8 2 3" xfId="41711"/>
    <cellStyle name="40% - Accent6 10 8 3" xfId="41712"/>
    <cellStyle name="40% - Accent6 10 8 3 2" xfId="41713"/>
    <cellStyle name="40% - Accent6 10 8 4" xfId="41714"/>
    <cellStyle name="40% - Accent6 10 9" xfId="41715"/>
    <cellStyle name="40% - Accent6 10 9 2" xfId="41716"/>
    <cellStyle name="40% - Accent6 10 9 2 2" xfId="41717"/>
    <cellStyle name="40% - Accent6 10 9 3" xfId="41718"/>
    <cellStyle name="40% - Accent6 11" xfId="41719"/>
    <cellStyle name="40% - Accent6 11 10" xfId="41720"/>
    <cellStyle name="40% - Accent6 11 10 2" xfId="41721"/>
    <cellStyle name="40% - Accent6 11 11" xfId="41722"/>
    <cellStyle name="40% - Accent6 11 2" xfId="41723"/>
    <cellStyle name="40% - Accent6 11 2 10" xfId="41724"/>
    <cellStyle name="40% - Accent6 11 2 2" xfId="41725"/>
    <cellStyle name="40% - Accent6 11 2 2 2" xfId="41726"/>
    <cellStyle name="40% - Accent6 11 2 2 2 2" xfId="41727"/>
    <cellStyle name="40% - Accent6 11 2 2 2 2 2" xfId="41728"/>
    <cellStyle name="40% - Accent6 11 2 2 2 2 2 2" xfId="41729"/>
    <cellStyle name="40% - Accent6 11 2 2 2 2 3" xfId="41730"/>
    <cellStyle name="40% - Accent6 11 2 2 2 3" xfId="41731"/>
    <cellStyle name="40% - Accent6 11 2 2 2 3 2" xfId="41732"/>
    <cellStyle name="40% - Accent6 11 2 2 2 4" xfId="41733"/>
    <cellStyle name="40% - Accent6 11 2 2 3" xfId="41734"/>
    <cellStyle name="40% - Accent6 11 2 2 3 2" xfId="41735"/>
    <cellStyle name="40% - Accent6 11 2 2 3 2 2" xfId="41736"/>
    <cellStyle name="40% - Accent6 11 2 2 3 3" xfId="41737"/>
    <cellStyle name="40% - Accent6 11 2 2 4" xfId="41738"/>
    <cellStyle name="40% - Accent6 11 2 2 4 2" xfId="41739"/>
    <cellStyle name="40% - Accent6 11 2 2 5" xfId="41740"/>
    <cellStyle name="40% - Accent6 11 2 3" xfId="41741"/>
    <cellStyle name="40% - Accent6 11 2 3 2" xfId="41742"/>
    <cellStyle name="40% - Accent6 11 2 3 2 2" xfId="41743"/>
    <cellStyle name="40% - Accent6 11 2 3 2 2 2" xfId="41744"/>
    <cellStyle name="40% - Accent6 11 2 3 2 2 2 2" xfId="41745"/>
    <cellStyle name="40% - Accent6 11 2 3 2 2 3" xfId="41746"/>
    <cellStyle name="40% - Accent6 11 2 3 2 3" xfId="41747"/>
    <cellStyle name="40% - Accent6 11 2 3 2 3 2" xfId="41748"/>
    <cellStyle name="40% - Accent6 11 2 3 2 4" xfId="41749"/>
    <cellStyle name="40% - Accent6 11 2 3 3" xfId="41750"/>
    <cellStyle name="40% - Accent6 11 2 3 3 2" xfId="41751"/>
    <cellStyle name="40% - Accent6 11 2 3 3 2 2" xfId="41752"/>
    <cellStyle name="40% - Accent6 11 2 3 3 3" xfId="41753"/>
    <cellStyle name="40% - Accent6 11 2 3 4" xfId="41754"/>
    <cellStyle name="40% - Accent6 11 2 3 4 2" xfId="41755"/>
    <cellStyle name="40% - Accent6 11 2 3 5" xfId="41756"/>
    <cellStyle name="40% - Accent6 11 2 4" xfId="41757"/>
    <cellStyle name="40% - Accent6 11 2 4 2" xfId="41758"/>
    <cellStyle name="40% - Accent6 11 2 4 2 2" xfId="41759"/>
    <cellStyle name="40% - Accent6 11 2 4 2 2 2" xfId="41760"/>
    <cellStyle name="40% - Accent6 11 2 4 2 2 2 2" xfId="41761"/>
    <cellStyle name="40% - Accent6 11 2 4 2 2 3" xfId="41762"/>
    <cellStyle name="40% - Accent6 11 2 4 2 3" xfId="41763"/>
    <cellStyle name="40% - Accent6 11 2 4 2 3 2" xfId="41764"/>
    <cellStyle name="40% - Accent6 11 2 4 2 4" xfId="41765"/>
    <cellStyle name="40% - Accent6 11 2 4 3" xfId="41766"/>
    <cellStyle name="40% - Accent6 11 2 4 3 2" xfId="41767"/>
    <cellStyle name="40% - Accent6 11 2 4 3 2 2" xfId="41768"/>
    <cellStyle name="40% - Accent6 11 2 4 3 3" xfId="41769"/>
    <cellStyle name="40% - Accent6 11 2 4 4" xfId="41770"/>
    <cellStyle name="40% - Accent6 11 2 4 4 2" xfId="41771"/>
    <cellStyle name="40% - Accent6 11 2 4 5" xfId="41772"/>
    <cellStyle name="40% - Accent6 11 2 5" xfId="41773"/>
    <cellStyle name="40% - Accent6 11 2 5 2" xfId="41774"/>
    <cellStyle name="40% - Accent6 11 2 5 2 2" xfId="41775"/>
    <cellStyle name="40% - Accent6 11 2 5 2 2 2" xfId="41776"/>
    <cellStyle name="40% - Accent6 11 2 5 2 2 2 2" xfId="41777"/>
    <cellStyle name="40% - Accent6 11 2 5 2 2 3" xfId="41778"/>
    <cellStyle name="40% - Accent6 11 2 5 2 3" xfId="41779"/>
    <cellStyle name="40% - Accent6 11 2 5 2 3 2" xfId="41780"/>
    <cellStyle name="40% - Accent6 11 2 5 2 4" xfId="41781"/>
    <cellStyle name="40% - Accent6 11 2 5 3" xfId="41782"/>
    <cellStyle name="40% - Accent6 11 2 5 3 2" xfId="41783"/>
    <cellStyle name="40% - Accent6 11 2 5 3 2 2" xfId="41784"/>
    <cellStyle name="40% - Accent6 11 2 5 3 3" xfId="41785"/>
    <cellStyle name="40% - Accent6 11 2 5 4" xfId="41786"/>
    <cellStyle name="40% - Accent6 11 2 5 4 2" xfId="41787"/>
    <cellStyle name="40% - Accent6 11 2 5 5" xfId="41788"/>
    <cellStyle name="40% - Accent6 11 2 6" xfId="41789"/>
    <cellStyle name="40% - Accent6 11 2 6 2" xfId="41790"/>
    <cellStyle name="40% - Accent6 11 2 6 2 2" xfId="41791"/>
    <cellStyle name="40% - Accent6 11 2 6 2 2 2" xfId="41792"/>
    <cellStyle name="40% - Accent6 11 2 6 2 2 2 2" xfId="41793"/>
    <cellStyle name="40% - Accent6 11 2 6 2 2 3" xfId="41794"/>
    <cellStyle name="40% - Accent6 11 2 6 2 3" xfId="41795"/>
    <cellStyle name="40% - Accent6 11 2 6 2 3 2" xfId="41796"/>
    <cellStyle name="40% - Accent6 11 2 6 2 4" xfId="41797"/>
    <cellStyle name="40% - Accent6 11 2 6 3" xfId="41798"/>
    <cellStyle name="40% - Accent6 11 2 6 3 2" xfId="41799"/>
    <cellStyle name="40% - Accent6 11 2 6 3 2 2" xfId="41800"/>
    <cellStyle name="40% - Accent6 11 2 6 3 3" xfId="41801"/>
    <cellStyle name="40% - Accent6 11 2 6 4" xfId="41802"/>
    <cellStyle name="40% - Accent6 11 2 6 4 2" xfId="41803"/>
    <cellStyle name="40% - Accent6 11 2 6 5" xfId="41804"/>
    <cellStyle name="40% - Accent6 11 2 7" xfId="41805"/>
    <cellStyle name="40% - Accent6 11 2 7 2" xfId="41806"/>
    <cellStyle name="40% - Accent6 11 2 7 2 2" xfId="41807"/>
    <cellStyle name="40% - Accent6 11 2 7 2 2 2" xfId="41808"/>
    <cellStyle name="40% - Accent6 11 2 7 2 3" xfId="41809"/>
    <cellStyle name="40% - Accent6 11 2 7 3" xfId="41810"/>
    <cellStyle name="40% - Accent6 11 2 7 3 2" xfId="41811"/>
    <cellStyle name="40% - Accent6 11 2 7 4" xfId="41812"/>
    <cellStyle name="40% - Accent6 11 2 8" xfId="41813"/>
    <cellStyle name="40% - Accent6 11 2 8 2" xfId="41814"/>
    <cellStyle name="40% - Accent6 11 2 8 2 2" xfId="41815"/>
    <cellStyle name="40% - Accent6 11 2 8 3" xfId="41816"/>
    <cellStyle name="40% - Accent6 11 2 9" xfId="41817"/>
    <cellStyle name="40% - Accent6 11 2 9 2" xfId="41818"/>
    <cellStyle name="40% - Accent6 11 3" xfId="41819"/>
    <cellStyle name="40% - Accent6 11 3 2" xfId="41820"/>
    <cellStyle name="40% - Accent6 11 3 2 2" xfId="41821"/>
    <cellStyle name="40% - Accent6 11 3 2 2 2" xfId="41822"/>
    <cellStyle name="40% - Accent6 11 3 2 2 2 2" xfId="41823"/>
    <cellStyle name="40% - Accent6 11 3 2 2 3" xfId="41824"/>
    <cellStyle name="40% - Accent6 11 3 2 3" xfId="41825"/>
    <cellStyle name="40% - Accent6 11 3 2 3 2" xfId="41826"/>
    <cellStyle name="40% - Accent6 11 3 2 4" xfId="41827"/>
    <cellStyle name="40% - Accent6 11 3 3" xfId="41828"/>
    <cellStyle name="40% - Accent6 11 3 3 2" xfId="41829"/>
    <cellStyle name="40% - Accent6 11 3 3 2 2" xfId="41830"/>
    <cellStyle name="40% - Accent6 11 3 3 3" xfId="41831"/>
    <cellStyle name="40% - Accent6 11 3 4" xfId="41832"/>
    <cellStyle name="40% - Accent6 11 3 4 2" xfId="41833"/>
    <cellStyle name="40% - Accent6 11 3 5" xfId="41834"/>
    <cellStyle name="40% - Accent6 11 4" xfId="41835"/>
    <cellStyle name="40% - Accent6 11 4 2" xfId="41836"/>
    <cellStyle name="40% - Accent6 11 4 2 2" xfId="41837"/>
    <cellStyle name="40% - Accent6 11 4 2 2 2" xfId="41838"/>
    <cellStyle name="40% - Accent6 11 4 2 2 2 2" xfId="41839"/>
    <cellStyle name="40% - Accent6 11 4 2 2 3" xfId="41840"/>
    <cellStyle name="40% - Accent6 11 4 2 3" xfId="41841"/>
    <cellStyle name="40% - Accent6 11 4 2 3 2" xfId="41842"/>
    <cellStyle name="40% - Accent6 11 4 2 4" xfId="41843"/>
    <cellStyle name="40% - Accent6 11 4 3" xfId="41844"/>
    <cellStyle name="40% - Accent6 11 4 3 2" xfId="41845"/>
    <cellStyle name="40% - Accent6 11 4 3 2 2" xfId="41846"/>
    <cellStyle name="40% - Accent6 11 4 3 3" xfId="41847"/>
    <cellStyle name="40% - Accent6 11 4 4" xfId="41848"/>
    <cellStyle name="40% - Accent6 11 4 4 2" xfId="41849"/>
    <cellStyle name="40% - Accent6 11 4 5" xfId="41850"/>
    <cellStyle name="40% - Accent6 11 5" xfId="41851"/>
    <cellStyle name="40% - Accent6 11 5 2" xfId="41852"/>
    <cellStyle name="40% - Accent6 11 5 2 2" xfId="41853"/>
    <cellStyle name="40% - Accent6 11 5 2 2 2" xfId="41854"/>
    <cellStyle name="40% - Accent6 11 5 2 2 2 2" xfId="41855"/>
    <cellStyle name="40% - Accent6 11 5 2 2 3" xfId="41856"/>
    <cellStyle name="40% - Accent6 11 5 2 3" xfId="41857"/>
    <cellStyle name="40% - Accent6 11 5 2 3 2" xfId="41858"/>
    <cellStyle name="40% - Accent6 11 5 2 4" xfId="41859"/>
    <cellStyle name="40% - Accent6 11 5 3" xfId="41860"/>
    <cellStyle name="40% - Accent6 11 5 3 2" xfId="41861"/>
    <cellStyle name="40% - Accent6 11 5 3 2 2" xfId="41862"/>
    <cellStyle name="40% - Accent6 11 5 3 3" xfId="41863"/>
    <cellStyle name="40% - Accent6 11 5 4" xfId="41864"/>
    <cellStyle name="40% - Accent6 11 5 4 2" xfId="41865"/>
    <cellStyle name="40% - Accent6 11 5 5" xfId="41866"/>
    <cellStyle name="40% - Accent6 11 6" xfId="41867"/>
    <cellStyle name="40% - Accent6 11 6 2" xfId="41868"/>
    <cellStyle name="40% - Accent6 11 6 2 2" xfId="41869"/>
    <cellStyle name="40% - Accent6 11 6 2 2 2" xfId="41870"/>
    <cellStyle name="40% - Accent6 11 6 2 2 2 2" xfId="41871"/>
    <cellStyle name="40% - Accent6 11 6 2 2 3" xfId="41872"/>
    <cellStyle name="40% - Accent6 11 6 2 3" xfId="41873"/>
    <cellStyle name="40% - Accent6 11 6 2 3 2" xfId="41874"/>
    <cellStyle name="40% - Accent6 11 6 2 4" xfId="41875"/>
    <cellStyle name="40% - Accent6 11 6 3" xfId="41876"/>
    <cellStyle name="40% - Accent6 11 6 3 2" xfId="41877"/>
    <cellStyle name="40% - Accent6 11 6 3 2 2" xfId="41878"/>
    <cellStyle name="40% - Accent6 11 6 3 3" xfId="41879"/>
    <cellStyle name="40% - Accent6 11 6 4" xfId="41880"/>
    <cellStyle name="40% - Accent6 11 6 4 2" xfId="41881"/>
    <cellStyle name="40% - Accent6 11 6 5" xfId="41882"/>
    <cellStyle name="40% - Accent6 11 7" xfId="41883"/>
    <cellStyle name="40% - Accent6 11 7 2" xfId="41884"/>
    <cellStyle name="40% - Accent6 11 7 2 2" xfId="41885"/>
    <cellStyle name="40% - Accent6 11 7 2 2 2" xfId="41886"/>
    <cellStyle name="40% - Accent6 11 7 2 2 2 2" xfId="41887"/>
    <cellStyle name="40% - Accent6 11 7 2 2 3" xfId="41888"/>
    <cellStyle name="40% - Accent6 11 7 2 3" xfId="41889"/>
    <cellStyle name="40% - Accent6 11 7 2 3 2" xfId="41890"/>
    <cellStyle name="40% - Accent6 11 7 2 4" xfId="41891"/>
    <cellStyle name="40% - Accent6 11 7 3" xfId="41892"/>
    <cellStyle name="40% - Accent6 11 7 3 2" xfId="41893"/>
    <cellStyle name="40% - Accent6 11 7 3 2 2" xfId="41894"/>
    <cellStyle name="40% - Accent6 11 7 3 3" xfId="41895"/>
    <cellStyle name="40% - Accent6 11 7 4" xfId="41896"/>
    <cellStyle name="40% - Accent6 11 7 4 2" xfId="41897"/>
    <cellStyle name="40% - Accent6 11 7 5" xfId="41898"/>
    <cellStyle name="40% - Accent6 11 8" xfId="41899"/>
    <cellStyle name="40% - Accent6 11 8 2" xfId="41900"/>
    <cellStyle name="40% - Accent6 11 8 2 2" xfId="41901"/>
    <cellStyle name="40% - Accent6 11 8 2 2 2" xfId="41902"/>
    <cellStyle name="40% - Accent6 11 8 2 3" xfId="41903"/>
    <cellStyle name="40% - Accent6 11 8 3" xfId="41904"/>
    <cellStyle name="40% - Accent6 11 8 3 2" xfId="41905"/>
    <cellStyle name="40% - Accent6 11 8 4" xfId="41906"/>
    <cellStyle name="40% - Accent6 11 9" xfId="41907"/>
    <cellStyle name="40% - Accent6 11 9 2" xfId="41908"/>
    <cellStyle name="40% - Accent6 11 9 2 2" xfId="41909"/>
    <cellStyle name="40% - Accent6 11 9 3" xfId="41910"/>
    <cellStyle name="40% - Accent6 12" xfId="41911"/>
    <cellStyle name="40% - Accent6 12 10" xfId="41912"/>
    <cellStyle name="40% - Accent6 12 2" xfId="41913"/>
    <cellStyle name="40% - Accent6 12 2 2" xfId="41914"/>
    <cellStyle name="40% - Accent6 12 2 2 2" xfId="41915"/>
    <cellStyle name="40% - Accent6 12 2 2 2 2" xfId="41916"/>
    <cellStyle name="40% - Accent6 12 2 2 2 2 2" xfId="41917"/>
    <cellStyle name="40% - Accent6 12 2 2 2 3" xfId="41918"/>
    <cellStyle name="40% - Accent6 12 2 2 3" xfId="41919"/>
    <cellStyle name="40% - Accent6 12 2 2 3 2" xfId="41920"/>
    <cellStyle name="40% - Accent6 12 2 2 4" xfId="41921"/>
    <cellStyle name="40% - Accent6 12 2 3" xfId="41922"/>
    <cellStyle name="40% - Accent6 12 2 3 2" xfId="41923"/>
    <cellStyle name="40% - Accent6 12 2 3 2 2" xfId="41924"/>
    <cellStyle name="40% - Accent6 12 2 3 3" xfId="41925"/>
    <cellStyle name="40% - Accent6 12 2 4" xfId="41926"/>
    <cellStyle name="40% - Accent6 12 2 4 2" xfId="41927"/>
    <cellStyle name="40% - Accent6 12 2 5" xfId="41928"/>
    <cellStyle name="40% - Accent6 12 3" xfId="41929"/>
    <cellStyle name="40% - Accent6 12 3 2" xfId="41930"/>
    <cellStyle name="40% - Accent6 12 3 2 2" xfId="41931"/>
    <cellStyle name="40% - Accent6 12 3 2 2 2" xfId="41932"/>
    <cellStyle name="40% - Accent6 12 3 2 2 2 2" xfId="41933"/>
    <cellStyle name="40% - Accent6 12 3 2 2 3" xfId="41934"/>
    <cellStyle name="40% - Accent6 12 3 2 3" xfId="41935"/>
    <cellStyle name="40% - Accent6 12 3 2 3 2" xfId="41936"/>
    <cellStyle name="40% - Accent6 12 3 2 4" xfId="41937"/>
    <cellStyle name="40% - Accent6 12 3 3" xfId="41938"/>
    <cellStyle name="40% - Accent6 12 3 3 2" xfId="41939"/>
    <cellStyle name="40% - Accent6 12 3 3 2 2" xfId="41940"/>
    <cellStyle name="40% - Accent6 12 3 3 3" xfId="41941"/>
    <cellStyle name="40% - Accent6 12 3 4" xfId="41942"/>
    <cellStyle name="40% - Accent6 12 3 4 2" xfId="41943"/>
    <cellStyle name="40% - Accent6 12 3 5" xfId="41944"/>
    <cellStyle name="40% - Accent6 12 4" xfId="41945"/>
    <cellStyle name="40% - Accent6 12 4 2" xfId="41946"/>
    <cellStyle name="40% - Accent6 12 4 2 2" xfId="41947"/>
    <cellStyle name="40% - Accent6 12 4 2 2 2" xfId="41948"/>
    <cellStyle name="40% - Accent6 12 4 2 2 2 2" xfId="41949"/>
    <cellStyle name="40% - Accent6 12 4 2 2 3" xfId="41950"/>
    <cellStyle name="40% - Accent6 12 4 2 3" xfId="41951"/>
    <cellStyle name="40% - Accent6 12 4 2 3 2" xfId="41952"/>
    <cellStyle name="40% - Accent6 12 4 2 4" xfId="41953"/>
    <cellStyle name="40% - Accent6 12 4 3" xfId="41954"/>
    <cellStyle name="40% - Accent6 12 4 3 2" xfId="41955"/>
    <cellStyle name="40% - Accent6 12 4 3 2 2" xfId="41956"/>
    <cellStyle name="40% - Accent6 12 4 3 3" xfId="41957"/>
    <cellStyle name="40% - Accent6 12 4 4" xfId="41958"/>
    <cellStyle name="40% - Accent6 12 4 4 2" xfId="41959"/>
    <cellStyle name="40% - Accent6 12 4 5" xfId="41960"/>
    <cellStyle name="40% - Accent6 12 5" xfId="41961"/>
    <cellStyle name="40% - Accent6 12 5 2" xfId="41962"/>
    <cellStyle name="40% - Accent6 12 5 2 2" xfId="41963"/>
    <cellStyle name="40% - Accent6 12 5 2 2 2" xfId="41964"/>
    <cellStyle name="40% - Accent6 12 5 2 2 2 2" xfId="41965"/>
    <cellStyle name="40% - Accent6 12 5 2 2 3" xfId="41966"/>
    <cellStyle name="40% - Accent6 12 5 2 3" xfId="41967"/>
    <cellStyle name="40% - Accent6 12 5 2 3 2" xfId="41968"/>
    <cellStyle name="40% - Accent6 12 5 2 4" xfId="41969"/>
    <cellStyle name="40% - Accent6 12 5 3" xfId="41970"/>
    <cellStyle name="40% - Accent6 12 5 3 2" xfId="41971"/>
    <cellStyle name="40% - Accent6 12 5 3 2 2" xfId="41972"/>
    <cellStyle name="40% - Accent6 12 5 3 3" xfId="41973"/>
    <cellStyle name="40% - Accent6 12 5 4" xfId="41974"/>
    <cellStyle name="40% - Accent6 12 5 4 2" xfId="41975"/>
    <cellStyle name="40% - Accent6 12 5 5" xfId="41976"/>
    <cellStyle name="40% - Accent6 12 6" xfId="41977"/>
    <cellStyle name="40% - Accent6 12 6 2" xfId="41978"/>
    <cellStyle name="40% - Accent6 12 6 2 2" xfId="41979"/>
    <cellStyle name="40% - Accent6 12 6 2 2 2" xfId="41980"/>
    <cellStyle name="40% - Accent6 12 6 2 2 2 2" xfId="41981"/>
    <cellStyle name="40% - Accent6 12 6 2 2 3" xfId="41982"/>
    <cellStyle name="40% - Accent6 12 6 2 3" xfId="41983"/>
    <cellStyle name="40% - Accent6 12 6 2 3 2" xfId="41984"/>
    <cellStyle name="40% - Accent6 12 6 2 4" xfId="41985"/>
    <cellStyle name="40% - Accent6 12 6 3" xfId="41986"/>
    <cellStyle name="40% - Accent6 12 6 3 2" xfId="41987"/>
    <cellStyle name="40% - Accent6 12 6 3 2 2" xfId="41988"/>
    <cellStyle name="40% - Accent6 12 6 3 3" xfId="41989"/>
    <cellStyle name="40% - Accent6 12 6 4" xfId="41990"/>
    <cellStyle name="40% - Accent6 12 6 4 2" xfId="41991"/>
    <cellStyle name="40% - Accent6 12 6 5" xfId="41992"/>
    <cellStyle name="40% - Accent6 12 7" xfId="41993"/>
    <cellStyle name="40% - Accent6 12 7 2" xfId="41994"/>
    <cellStyle name="40% - Accent6 12 7 2 2" xfId="41995"/>
    <cellStyle name="40% - Accent6 12 7 2 2 2" xfId="41996"/>
    <cellStyle name="40% - Accent6 12 7 2 3" xfId="41997"/>
    <cellStyle name="40% - Accent6 12 7 3" xfId="41998"/>
    <cellStyle name="40% - Accent6 12 7 3 2" xfId="41999"/>
    <cellStyle name="40% - Accent6 12 7 4" xfId="42000"/>
    <cellStyle name="40% - Accent6 12 8" xfId="42001"/>
    <cellStyle name="40% - Accent6 12 8 2" xfId="42002"/>
    <cellStyle name="40% - Accent6 12 8 2 2" xfId="42003"/>
    <cellStyle name="40% - Accent6 12 8 3" xfId="42004"/>
    <cellStyle name="40% - Accent6 12 9" xfId="42005"/>
    <cellStyle name="40% - Accent6 12 9 2" xfId="42006"/>
    <cellStyle name="40% - Accent6 13" xfId="42007"/>
    <cellStyle name="40% - Accent6 13 10" xfId="42008"/>
    <cellStyle name="40% - Accent6 13 2" xfId="42009"/>
    <cellStyle name="40% - Accent6 13 2 2" xfId="42010"/>
    <cellStyle name="40% - Accent6 13 2 2 2" xfId="42011"/>
    <cellStyle name="40% - Accent6 13 2 2 2 2" xfId="42012"/>
    <cellStyle name="40% - Accent6 13 2 2 2 2 2" xfId="42013"/>
    <cellStyle name="40% - Accent6 13 2 2 2 3" xfId="42014"/>
    <cellStyle name="40% - Accent6 13 2 2 3" xfId="42015"/>
    <cellStyle name="40% - Accent6 13 2 2 3 2" xfId="42016"/>
    <cellStyle name="40% - Accent6 13 2 2 4" xfId="42017"/>
    <cellStyle name="40% - Accent6 13 2 3" xfId="42018"/>
    <cellStyle name="40% - Accent6 13 2 3 2" xfId="42019"/>
    <cellStyle name="40% - Accent6 13 2 3 2 2" xfId="42020"/>
    <cellStyle name="40% - Accent6 13 2 3 3" xfId="42021"/>
    <cellStyle name="40% - Accent6 13 2 4" xfId="42022"/>
    <cellStyle name="40% - Accent6 13 2 4 2" xfId="42023"/>
    <cellStyle name="40% - Accent6 13 2 5" xfId="42024"/>
    <cellStyle name="40% - Accent6 13 3" xfId="42025"/>
    <cellStyle name="40% - Accent6 13 3 2" xfId="42026"/>
    <cellStyle name="40% - Accent6 13 3 2 2" xfId="42027"/>
    <cellStyle name="40% - Accent6 13 3 2 2 2" xfId="42028"/>
    <cellStyle name="40% - Accent6 13 3 2 2 2 2" xfId="42029"/>
    <cellStyle name="40% - Accent6 13 3 2 2 3" xfId="42030"/>
    <cellStyle name="40% - Accent6 13 3 2 3" xfId="42031"/>
    <cellStyle name="40% - Accent6 13 3 2 3 2" xfId="42032"/>
    <cellStyle name="40% - Accent6 13 3 2 4" xfId="42033"/>
    <cellStyle name="40% - Accent6 13 3 3" xfId="42034"/>
    <cellStyle name="40% - Accent6 13 3 3 2" xfId="42035"/>
    <cellStyle name="40% - Accent6 13 3 3 2 2" xfId="42036"/>
    <cellStyle name="40% - Accent6 13 3 3 3" xfId="42037"/>
    <cellStyle name="40% - Accent6 13 3 4" xfId="42038"/>
    <cellStyle name="40% - Accent6 13 3 4 2" xfId="42039"/>
    <cellStyle name="40% - Accent6 13 3 5" xfId="42040"/>
    <cellStyle name="40% - Accent6 13 4" xfId="42041"/>
    <cellStyle name="40% - Accent6 13 4 2" xfId="42042"/>
    <cellStyle name="40% - Accent6 13 4 2 2" xfId="42043"/>
    <cellStyle name="40% - Accent6 13 4 2 2 2" xfId="42044"/>
    <cellStyle name="40% - Accent6 13 4 2 2 2 2" xfId="42045"/>
    <cellStyle name="40% - Accent6 13 4 2 2 3" xfId="42046"/>
    <cellStyle name="40% - Accent6 13 4 2 3" xfId="42047"/>
    <cellStyle name="40% - Accent6 13 4 2 3 2" xfId="42048"/>
    <cellStyle name="40% - Accent6 13 4 2 4" xfId="42049"/>
    <cellStyle name="40% - Accent6 13 4 3" xfId="42050"/>
    <cellStyle name="40% - Accent6 13 4 3 2" xfId="42051"/>
    <cellStyle name="40% - Accent6 13 4 3 2 2" xfId="42052"/>
    <cellStyle name="40% - Accent6 13 4 3 3" xfId="42053"/>
    <cellStyle name="40% - Accent6 13 4 4" xfId="42054"/>
    <cellStyle name="40% - Accent6 13 4 4 2" xfId="42055"/>
    <cellStyle name="40% - Accent6 13 4 5" xfId="42056"/>
    <cellStyle name="40% - Accent6 13 5" xfId="42057"/>
    <cellStyle name="40% - Accent6 13 5 2" xfId="42058"/>
    <cellStyle name="40% - Accent6 13 5 2 2" xfId="42059"/>
    <cellStyle name="40% - Accent6 13 5 2 2 2" xfId="42060"/>
    <cellStyle name="40% - Accent6 13 5 2 2 2 2" xfId="42061"/>
    <cellStyle name="40% - Accent6 13 5 2 2 3" xfId="42062"/>
    <cellStyle name="40% - Accent6 13 5 2 3" xfId="42063"/>
    <cellStyle name="40% - Accent6 13 5 2 3 2" xfId="42064"/>
    <cellStyle name="40% - Accent6 13 5 2 4" xfId="42065"/>
    <cellStyle name="40% - Accent6 13 5 3" xfId="42066"/>
    <cellStyle name="40% - Accent6 13 5 3 2" xfId="42067"/>
    <cellStyle name="40% - Accent6 13 5 3 2 2" xfId="42068"/>
    <cellStyle name="40% - Accent6 13 5 3 3" xfId="42069"/>
    <cellStyle name="40% - Accent6 13 5 4" xfId="42070"/>
    <cellStyle name="40% - Accent6 13 5 4 2" xfId="42071"/>
    <cellStyle name="40% - Accent6 13 5 5" xfId="42072"/>
    <cellStyle name="40% - Accent6 13 6" xfId="42073"/>
    <cellStyle name="40% - Accent6 13 6 2" xfId="42074"/>
    <cellStyle name="40% - Accent6 13 6 2 2" xfId="42075"/>
    <cellStyle name="40% - Accent6 13 6 2 2 2" xfId="42076"/>
    <cellStyle name="40% - Accent6 13 6 2 2 2 2" xfId="42077"/>
    <cellStyle name="40% - Accent6 13 6 2 2 3" xfId="42078"/>
    <cellStyle name="40% - Accent6 13 6 2 3" xfId="42079"/>
    <cellStyle name="40% - Accent6 13 6 2 3 2" xfId="42080"/>
    <cellStyle name="40% - Accent6 13 6 2 4" xfId="42081"/>
    <cellStyle name="40% - Accent6 13 6 3" xfId="42082"/>
    <cellStyle name="40% - Accent6 13 6 3 2" xfId="42083"/>
    <cellStyle name="40% - Accent6 13 6 3 2 2" xfId="42084"/>
    <cellStyle name="40% - Accent6 13 6 3 3" xfId="42085"/>
    <cellStyle name="40% - Accent6 13 6 4" xfId="42086"/>
    <cellStyle name="40% - Accent6 13 6 4 2" xfId="42087"/>
    <cellStyle name="40% - Accent6 13 6 5" xfId="42088"/>
    <cellStyle name="40% - Accent6 13 7" xfId="42089"/>
    <cellStyle name="40% - Accent6 13 7 2" xfId="42090"/>
    <cellStyle name="40% - Accent6 13 7 2 2" xfId="42091"/>
    <cellStyle name="40% - Accent6 13 7 2 2 2" xfId="42092"/>
    <cellStyle name="40% - Accent6 13 7 2 3" xfId="42093"/>
    <cellStyle name="40% - Accent6 13 7 3" xfId="42094"/>
    <cellStyle name="40% - Accent6 13 7 3 2" xfId="42095"/>
    <cellStyle name="40% - Accent6 13 7 4" xfId="42096"/>
    <cellStyle name="40% - Accent6 13 8" xfId="42097"/>
    <cellStyle name="40% - Accent6 13 8 2" xfId="42098"/>
    <cellStyle name="40% - Accent6 13 8 2 2" xfId="42099"/>
    <cellStyle name="40% - Accent6 13 8 3" xfId="42100"/>
    <cellStyle name="40% - Accent6 13 9" xfId="42101"/>
    <cellStyle name="40% - Accent6 13 9 2" xfId="42102"/>
    <cellStyle name="40% - Accent6 14" xfId="42103"/>
    <cellStyle name="40% - Accent6 14 2" xfId="42104"/>
    <cellStyle name="40% - Accent6 14 2 2" xfId="42105"/>
    <cellStyle name="40% - Accent6 14 2 2 2" xfId="42106"/>
    <cellStyle name="40% - Accent6 14 2 2 2 2" xfId="42107"/>
    <cellStyle name="40% - Accent6 14 2 2 3" xfId="42108"/>
    <cellStyle name="40% - Accent6 14 2 3" xfId="42109"/>
    <cellStyle name="40% - Accent6 14 2 3 2" xfId="42110"/>
    <cellStyle name="40% - Accent6 14 2 4" xfId="42111"/>
    <cellStyle name="40% - Accent6 14 3" xfId="42112"/>
    <cellStyle name="40% - Accent6 14 3 2" xfId="42113"/>
    <cellStyle name="40% - Accent6 14 3 2 2" xfId="42114"/>
    <cellStyle name="40% - Accent6 14 3 3" xfId="42115"/>
    <cellStyle name="40% - Accent6 14 4" xfId="42116"/>
    <cellStyle name="40% - Accent6 14 4 2" xfId="42117"/>
    <cellStyle name="40% - Accent6 14 5" xfId="42118"/>
    <cellStyle name="40% - Accent6 15" xfId="42119"/>
    <cellStyle name="40% - Accent6 15 2" xfId="42120"/>
    <cellStyle name="40% - Accent6 15 2 2" xfId="42121"/>
    <cellStyle name="40% - Accent6 15 2 2 2" xfId="42122"/>
    <cellStyle name="40% - Accent6 15 2 2 2 2" xfId="42123"/>
    <cellStyle name="40% - Accent6 15 2 2 3" xfId="42124"/>
    <cellStyle name="40% - Accent6 15 2 3" xfId="42125"/>
    <cellStyle name="40% - Accent6 15 2 3 2" xfId="42126"/>
    <cellStyle name="40% - Accent6 15 2 4" xfId="42127"/>
    <cellStyle name="40% - Accent6 15 3" xfId="42128"/>
    <cellStyle name="40% - Accent6 15 3 2" xfId="42129"/>
    <cellStyle name="40% - Accent6 15 3 2 2" xfId="42130"/>
    <cellStyle name="40% - Accent6 15 3 3" xfId="42131"/>
    <cellStyle name="40% - Accent6 15 4" xfId="42132"/>
    <cellStyle name="40% - Accent6 15 4 2" xfId="42133"/>
    <cellStyle name="40% - Accent6 15 5" xfId="42134"/>
    <cellStyle name="40% - Accent6 16" xfId="42135"/>
    <cellStyle name="40% - Accent6 16 2" xfId="42136"/>
    <cellStyle name="40% - Accent6 16 2 2" xfId="42137"/>
    <cellStyle name="40% - Accent6 16 2 2 2" xfId="42138"/>
    <cellStyle name="40% - Accent6 16 2 2 2 2" xfId="42139"/>
    <cellStyle name="40% - Accent6 16 2 2 3" xfId="42140"/>
    <cellStyle name="40% - Accent6 16 2 3" xfId="42141"/>
    <cellStyle name="40% - Accent6 16 2 3 2" xfId="42142"/>
    <cellStyle name="40% - Accent6 16 2 4" xfId="42143"/>
    <cellStyle name="40% - Accent6 16 3" xfId="42144"/>
    <cellStyle name="40% - Accent6 16 3 2" xfId="42145"/>
    <cellStyle name="40% - Accent6 16 3 2 2" xfId="42146"/>
    <cellStyle name="40% - Accent6 16 3 3" xfId="42147"/>
    <cellStyle name="40% - Accent6 16 4" xfId="42148"/>
    <cellStyle name="40% - Accent6 16 4 2" xfId="42149"/>
    <cellStyle name="40% - Accent6 16 5" xfId="42150"/>
    <cellStyle name="40% - Accent6 17" xfId="42151"/>
    <cellStyle name="40% - Accent6 17 2" xfId="42152"/>
    <cellStyle name="40% - Accent6 17 2 2" xfId="42153"/>
    <cellStyle name="40% - Accent6 17 2 2 2" xfId="42154"/>
    <cellStyle name="40% - Accent6 17 2 2 2 2" xfId="42155"/>
    <cellStyle name="40% - Accent6 17 2 2 3" xfId="42156"/>
    <cellStyle name="40% - Accent6 17 2 3" xfId="42157"/>
    <cellStyle name="40% - Accent6 17 2 3 2" xfId="42158"/>
    <cellStyle name="40% - Accent6 17 2 4" xfId="42159"/>
    <cellStyle name="40% - Accent6 17 3" xfId="42160"/>
    <cellStyle name="40% - Accent6 17 3 2" xfId="42161"/>
    <cellStyle name="40% - Accent6 17 3 2 2" xfId="42162"/>
    <cellStyle name="40% - Accent6 17 3 3" xfId="42163"/>
    <cellStyle name="40% - Accent6 17 4" xfId="42164"/>
    <cellStyle name="40% - Accent6 17 4 2" xfId="42165"/>
    <cellStyle name="40% - Accent6 17 5" xfId="42166"/>
    <cellStyle name="40% - Accent6 18" xfId="42167"/>
    <cellStyle name="40% - Accent6 18 2" xfId="42168"/>
    <cellStyle name="40% - Accent6 18 2 2" xfId="42169"/>
    <cellStyle name="40% - Accent6 18 2 2 2" xfId="42170"/>
    <cellStyle name="40% - Accent6 18 2 2 2 2" xfId="42171"/>
    <cellStyle name="40% - Accent6 18 2 2 3" xfId="42172"/>
    <cellStyle name="40% - Accent6 18 2 3" xfId="42173"/>
    <cellStyle name="40% - Accent6 18 2 3 2" xfId="42174"/>
    <cellStyle name="40% - Accent6 18 2 4" xfId="42175"/>
    <cellStyle name="40% - Accent6 18 3" xfId="42176"/>
    <cellStyle name="40% - Accent6 18 3 2" xfId="42177"/>
    <cellStyle name="40% - Accent6 18 3 2 2" xfId="42178"/>
    <cellStyle name="40% - Accent6 18 3 3" xfId="42179"/>
    <cellStyle name="40% - Accent6 18 4" xfId="42180"/>
    <cellStyle name="40% - Accent6 18 4 2" xfId="42181"/>
    <cellStyle name="40% - Accent6 18 5" xfId="42182"/>
    <cellStyle name="40% - Accent6 19" xfId="42183"/>
    <cellStyle name="40% - Accent6 19 2" xfId="42184"/>
    <cellStyle name="40% - Accent6 19 2 2" xfId="42185"/>
    <cellStyle name="40% - Accent6 19 2 2 2" xfId="42186"/>
    <cellStyle name="40% - Accent6 19 2 2 2 2" xfId="42187"/>
    <cellStyle name="40% - Accent6 19 2 2 3" xfId="42188"/>
    <cellStyle name="40% - Accent6 19 2 3" xfId="42189"/>
    <cellStyle name="40% - Accent6 19 2 3 2" xfId="42190"/>
    <cellStyle name="40% - Accent6 19 2 4" xfId="42191"/>
    <cellStyle name="40% - Accent6 19 3" xfId="42192"/>
    <cellStyle name="40% - Accent6 19 3 2" xfId="42193"/>
    <cellStyle name="40% - Accent6 19 3 2 2" xfId="42194"/>
    <cellStyle name="40% - Accent6 19 3 3" xfId="42195"/>
    <cellStyle name="40% - Accent6 19 4" xfId="42196"/>
    <cellStyle name="40% - Accent6 19 4 2" xfId="42197"/>
    <cellStyle name="40% - Accent6 19 5" xfId="42198"/>
    <cellStyle name="40% - Accent6 2" xfId="42199"/>
    <cellStyle name="40% - Accent6 2 10" xfId="42200"/>
    <cellStyle name="40% - Accent6 2 10 10" xfId="42201"/>
    <cellStyle name="40% - Accent6 2 10 2" xfId="42202"/>
    <cellStyle name="40% - Accent6 2 10 2 2" xfId="42203"/>
    <cellStyle name="40% - Accent6 2 10 2 2 2" xfId="42204"/>
    <cellStyle name="40% - Accent6 2 10 2 2 2 2" xfId="42205"/>
    <cellStyle name="40% - Accent6 2 10 2 2 2 2 2" xfId="42206"/>
    <cellStyle name="40% - Accent6 2 10 2 2 2 3" xfId="42207"/>
    <cellStyle name="40% - Accent6 2 10 2 2 3" xfId="42208"/>
    <cellStyle name="40% - Accent6 2 10 2 2 3 2" xfId="42209"/>
    <cellStyle name="40% - Accent6 2 10 2 2 4" xfId="42210"/>
    <cellStyle name="40% - Accent6 2 10 2 3" xfId="42211"/>
    <cellStyle name="40% - Accent6 2 10 2 3 2" xfId="42212"/>
    <cellStyle name="40% - Accent6 2 10 2 3 2 2" xfId="42213"/>
    <cellStyle name="40% - Accent6 2 10 2 3 3" xfId="42214"/>
    <cellStyle name="40% - Accent6 2 10 2 4" xfId="42215"/>
    <cellStyle name="40% - Accent6 2 10 2 4 2" xfId="42216"/>
    <cellStyle name="40% - Accent6 2 10 2 5" xfId="42217"/>
    <cellStyle name="40% - Accent6 2 10 3" xfId="42218"/>
    <cellStyle name="40% - Accent6 2 10 3 2" xfId="42219"/>
    <cellStyle name="40% - Accent6 2 10 3 2 2" xfId="42220"/>
    <cellStyle name="40% - Accent6 2 10 3 2 2 2" xfId="42221"/>
    <cellStyle name="40% - Accent6 2 10 3 2 2 2 2" xfId="42222"/>
    <cellStyle name="40% - Accent6 2 10 3 2 2 3" xfId="42223"/>
    <cellStyle name="40% - Accent6 2 10 3 2 3" xfId="42224"/>
    <cellStyle name="40% - Accent6 2 10 3 2 3 2" xfId="42225"/>
    <cellStyle name="40% - Accent6 2 10 3 2 4" xfId="42226"/>
    <cellStyle name="40% - Accent6 2 10 3 3" xfId="42227"/>
    <cellStyle name="40% - Accent6 2 10 3 3 2" xfId="42228"/>
    <cellStyle name="40% - Accent6 2 10 3 3 2 2" xfId="42229"/>
    <cellStyle name="40% - Accent6 2 10 3 3 3" xfId="42230"/>
    <cellStyle name="40% - Accent6 2 10 3 4" xfId="42231"/>
    <cellStyle name="40% - Accent6 2 10 3 4 2" xfId="42232"/>
    <cellStyle name="40% - Accent6 2 10 3 5" xfId="42233"/>
    <cellStyle name="40% - Accent6 2 10 4" xfId="42234"/>
    <cellStyle name="40% - Accent6 2 10 4 2" xfId="42235"/>
    <cellStyle name="40% - Accent6 2 10 4 2 2" xfId="42236"/>
    <cellStyle name="40% - Accent6 2 10 4 2 2 2" xfId="42237"/>
    <cellStyle name="40% - Accent6 2 10 4 2 2 2 2" xfId="42238"/>
    <cellStyle name="40% - Accent6 2 10 4 2 2 3" xfId="42239"/>
    <cellStyle name="40% - Accent6 2 10 4 2 3" xfId="42240"/>
    <cellStyle name="40% - Accent6 2 10 4 2 3 2" xfId="42241"/>
    <cellStyle name="40% - Accent6 2 10 4 2 4" xfId="42242"/>
    <cellStyle name="40% - Accent6 2 10 4 3" xfId="42243"/>
    <cellStyle name="40% - Accent6 2 10 4 3 2" xfId="42244"/>
    <cellStyle name="40% - Accent6 2 10 4 3 2 2" xfId="42245"/>
    <cellStyle name="40% - Accent6 2 10 4 3 3" xfId="42246"/>
    <cellStyle name="40% - Accent6 2 10 4 4" xfId="42247"/>
    <cellStyle name="40% - Accent6 2 10 4 4 2" xfId="42248"/>
    <cellStyle name="40% - Accent6 2 10 4 5" xfId="42249"/>
    <cellStyle name="40% - Accent6 2 10 5" xfId="42250"/>
    <cellStyle name="40% - Accent6 2 10 5 2" xfId="42251"/>
    <cellStyle name="40% - Accent6 2 10 5 2 2" xfId="42252"/>
    <cellStyle name="40% - Accent6 2 10 5 2 2 2" xfId="42253"/>
    <cellStyle name="40% - Accent6 2 10 5 2 2 2 2" xfId="42254"/>
    <cellStyle name="40% - Accent6 2 10 5 2 2 3" xfId="42255"/>
    <cellStyle name="40% - Accent6 2 10 5 2 3" xfId="42256"/>
    <cellStyle name="40% - Accent6 2 10 5 2 3 2" xfId="42257"/>
    <cellStyle name="40% - Accent6 2 10 5 2 4" xfId="42258"/>
    <cellStyle name="40% - Accent6 2 10 5 3" xfId="42259"/>
    <cellStyle name="40% - Accent6 2 10 5 3 2" xfId="42260"/>
    <cellStyle name="40% - Accent6 2 10 5 3 2 2" xfId="42261"/>
    <cellStyle name="40% - Accent6 2 10 5 3 3" xfId="42262"/>
    <cellStyle name="40% - Accent6 2 10 5 4" xfId="42263"/>
    <cellStyle name="40% - Accent6 2 10 5 4 2" xfId="42264"/>
    <cellStyle name="40% - Accent6 2 10 5 5" xfId="42265"/>
    <cellStyle name="40% - Accent6 2 10 6" xfId="42266"/>
    <cellStyle name="40% - Accent6 2 10 6 2" xfId="42267"/>
    <cellStyle name="40% - Accent6 2 10 6 2 2" xfId="42268"/>
    <cellStyle name="40% - Accent6 2 10 6 2 2 2" xfId="42269"/>
    <cellStyle name="40% - Accent6 2 10 6 2 2 2 2" xfId="42270"/>
    <cellStyle name="40% - Accent6 2 10 6 2 2 3" xfId="42271"/>
    <cellStyle name="40% - Accent6 2 10 6 2 3" xfId="42272"/>
    <cellStyle name="40% - Accent6 2 10 6 2 3 2" xfId="42273"/>
    <cellStyle name="40% - Accent6 2 10 6 2 4" xfId="42274"/>
    <cellStyle name="40% - Accent6 2 10 6 3" xfId="42275"/>
    <cellStyle name="40% - Accent6 2 10 6 3 2" xfId="42276"/>
    <cellStyle name="40% - Accent6 2 10 6 3 2 2" xfId="42277"/>
    <cellStyle name="40% - Accent6 2 10 6 3 3" xfId="42278"/>
    <cellStyle name="40% - Accent6 2 10 6 4" xfId="42279"/>
    <cellStyle name="40% - Accent6 2 10 6 4 2" xfId="42280"/>
    <cellStyle name="40% - Accent6 2 10 6 5" xfId="42281"/>
    <cellStyle name="40% - Accent6 2 10 7" xfId="42282"/>
    <cellStyle name="40% - Accent6 2 10 7 2" xfId="42283"/>
    <cellStyle name="40% - Accent6 2 10 7 2 2" xfId="42284"/>
    <cellStyle name="40% - Accent6 2 10 7 2 2 2" xfId="42285"/>
    <cellStyle name="40% - Accent6 2 10 7 2 3" xfId="42286"/>
    <cellStyle name="40% - Accent6 2 10 7 3" xfId="42287"/>
    <cellStyle name="40% - Accent6 2 10 7 3 2" xfId="42288"/>
    <cellStyle name="40% - Accent6 2 10 7 4" xfId="42289"/>
    <cellStyle name="40% - Accent6 2 10 8" xfId="42290"/>
    <cellStyle name="40% - Accent6 2 10 8 2" xfId="42291"/>
    <cellStyle name="40% - Accent6 2 10 8 2 2" xfId="42292"/>
    <cellStyle name="40% - Accent6 2 10 8 3" xfId="42293"/>
    <cellStyle name="40% - Accent6 2 10 9" xfId="42294"/>
    <cellStyle name="40% - Accent6 2 10 9 2" xfId="42295"/>
    <cellStyle name="40% - Accent6 2 11" xfId="42296"/>
    <cellStyle name="40% - Accent6 2 11 2" xfId="42297"/>
    <cellStyle name="40% - Accent6 2 11 2 2" xfId="42298"/>
    <cellStyle name="40% - Accent6 2 11 2 2 2" xfId="42299"/>
    <cellStyle name="40% - Accent6 2 11 2 2 2 2" xfId="42300"/>
    <cellStyle name="40% - Accent6 2 11 2 2 3" xfId="42301"/>
    <cellStyle name="40% - Accent6 2 11 2 3" xfId="42302"/>
    <cellStyle name="40% - Accent6 2 11 2 3 2" xfId="42303"/>
    <cellStyle name="40% - Accent6 2 11 2 4" xfId="42304"/>
    <cellStyle name="40% - Accent6 2 11 3" xfId="42305"/>
    <cellStyle name="40% - Accent6 2 11 3 2" xfId="42306"/>
    <cellStyle name="40% - Accent6 2 11 3 2 2" xfId="42307"/>
    <cellStyle name="40% - Accent6 2 11 3 3" xfId="42308"/>
    <cellStyle name="40% - Accent6 2 11 4" xfId="42309"/>
    <cellStyle name="40% - Accent6 2 11 4 2" xfId="42310"/>
    <cellStyle name="40% - Accent6 2 11 5" xfId="42311"/>
    <cellStyle name="40% - Accent6 2 12" xfId="42312"/>
    <cellStyle name="40% - Accent6 2 12 2" xfId="42313"/>
    <cellStyle name="40% - Accent6 2 12 2 2" xfId="42314"/>
    <cellStyle name="40% - Accent6 2 12 2 2 2" xfId="42315"/>
    <cellStyle name="40% - Accent6 2 12 2 2 2 2" xfId="42316"/>
    <cellStyle name="40% - Accent6 2 12 2 2 3" xfId="42317"/>
    <cellStyle name="40% - Accent6 2 12 2 3" xfId="42318"/>
    <cellStyle name="40% - Accent6 2 12 2 3 2" xfId="42319"/>
    <cellStyle name="40% - Accent6 2 12 2 4" xfId="42320"/>
    <cellStyle name="40% - Accent6 2 12 3" xfId="42321"/>
    <cellStyle name="40% - Accent6 2 12 3 2" xfId="42322"/>
    <cellStyle name="40% - Accent6 2 12 3 2 2" xfId="42323"/>
    <cellStyle name="40% - Accent6 2 12 3 3" xfId="42324"/>
    <cellStyle name="40% - Accent6 2 12 4" xfId="42325"/>
    <cellStyle name="40% - Accent6 2 12 4 2" xfId="42326"/>
    <cellStyle name="40% - Accent6 2 12 5" xfId="42327"/>
    <cellStyle name="40% - Accent6 2 13" xfId="42328"/>
    <cellStyle name="40% - Accent6 2 13 2" xfId="42329"/>
    <cellStyle name="40% - Accent6 2 13 2 2" xfId="42330"/>
    <cellStyle name="40% - Accent6 2 13 2 2 2" xfId="42331"/>
    <cellStyle name="40% - Accent6 2 13 2 2 2 2" xfId="42332"/>
    <cellStyle name="40% - Accent6 2 13 2 2 3" xfId="42333"/>
    <cellStyle name="40% - Accent6 2 13 2 3" xfId="42334"/>
    <cellStyle name="40% - Accent6 2 13 2 3 2" xfId="42335"/>
    <cellStyle name="40% - Accent6 2 13 2 4" xfId="42336"/>
    <cellStyle name="40% - Accent6 2 13 3" xfId="42337"/>
    <cellStyle name="40% - Accent6 2 13 3 2" xfId="42338"/>
    <cellStyle name="40% - Accent6 2 13 3 2 2" xfId="42339"/>
    <cellStyle name="40% - Accent6 2 13 3 3" xfId="42340"/>
    <cellStyle name="40% - Accent6 2 13 4" xfId="42341"/>
    <cellStyle name="40% - Accent6 2 13 4 2" xfId="42342"/>
    <cellStyle name="40% - Accent6 2 13 5" xfId="42343"/>
    <cellStyle name="40% - Accent6 2 14" xfId="42344"/>
    <cellStyle name="40% - Accent6 2 14 2" xfId="42345"/>
    <cellStyle name="40% - Accent6 2 14 2 2" xfId="42346"/>
    <cellStyle name="40% - Accent6 2 14 2 2 2" xfId="42347"/>
    <cellStyle name="40% - Accent6 2 14 2 2 2 2" xfId="42348"/>
    <cellStyle name="40% - Accent6 2 14 2 2 3" xfId="42349"/>
    <cellStyle name="40% - Accent6 2 14 2 3" xfId="42350"/>
    <cellStyle name="40% - Accent6 2 14 2 3 2" xfId="42351"/>
    <cellStyle name="40% - Accent6 2 14 2 4" xfId="42352"/>
    <cellStyle name="40% - Accent6 2 14 3" xfId="42353"/>
    <cellStyle name="40% - Accent6 2 14 3 2" xfId="42354"/>
    <cellStyle name="40% - Accent6 2 14 3 2 2" xfId="42355"/>
    <cellStyle name="40% - Accent6 2 14 3 3" xfId="42356"/>
    <cellStyle name="40% - Accent6 2 14 4" xfId="42357"/>
    <cellStyle name="40% - Accent6 2 14 4 2" xfId="42358"/>
    <cellStyle name="40% - Accent6 2 14 5" xfId="42359"/>
    <cellStyle name="40% - Accent6 2 15" xfId="42360"/>
    <cellStyle name="40% - Accent6 2 15 2" xfId="42361"/>
    <cellStyle name="40% - Accent6 2 15 2 2" xfId="42362"/>
    <cellStyle name="40% - Accent6 2 15 2 2 2" xfId="42363"/>
    <cellStyle name="40% - Accent6 2 15 2 2 2 2" xfId="42364"/>
    <cellStyle name="40% - Accent6 2 15 2 2 3" xfId="42365"/>
    <cellStyle name="40% - Accent6 2 15 2 3" xfId="42366"/>
    <cellStyle name="40% - Accent6 2 15 2 3 2" xfId="42367"/>
    <cellStyle name="40% - Accent6 2 15 2 4" xfId="42368"/>
    <cellStyle name="40% - Accent6 2 15 3" xfId="42369"/>
    <cellStyle name="40% - Accent6 2 15 3 2" xfId="42370"/>
    <cellStyle name="40% - Accent6 2 15 3 2 2" xfId="42371"/>
    <cellStyle name="40% - Accent6 2 15 3 3" xfId="42372"/>
    <cellStyle name="40% - Accent6 2 15 4" xfId="42373"/>
    <cellStyle name="40% - Accent6 2 15 4 2" xfId="42374"/>
    <cellStyle name="40% - Accent6 2 15 5" xfId="42375"/>
    <cellStyle name="40% - Accent6 2 16" xfId="42376"/>
    <cellStyle name="40% - Accent6 2 16 2" xfId="42377"/>
    <cellStyle name="40% - Accent6 2 16 2 2" xfId="42378"/>
    <cellStyle name="40% - Accent6 2 16 2 2 2" xfId="42379"/>
    <cellStyle name="40% - Accent6 2 16 2 3" xfId="42380"/>
    <cellStyle name="40% - Accent6 2 16 3" xfId="42381"/>
    <cellStyle name="40% - Accent6 2 16 3 2" xfId="42382"/>
    <cellStyle name="40% - Accent6 2 16 4" xfId="42383"/>
    <cellStyle name="40% - Accent6 2 17" xfId="42384"/>
    <cellStyle name="40% - Accent6 2 17 2" xfId="42385"/>
    <cellStyle name="40% - Accent6 2 17 2 2" xfId="42386"/>
    <cellStyle name="40% - Accent6 2 17 3" xfId="42387"/>
    <cellStyle name="40% - Accent6 2 18" xfId="42388"/>
    <cellStyle name="40% - Accent6 2 18 2" xfId="42389"/>
    <cellStyle name="40% - Accent6 2 19" xfId="42390"/>
    <cellStyle name="40% - Accent6 2 2" xfId="42391"/>
    <cellStyle name="40% - Accent6 2 2 10" xfId="42392"/>
    <cellStyle name="40% - Accent6 2 2 10 2" xfId="42393"/>
    <cellStyle name="40% - Accent6 2 2 11" xfId="42394"/>
    <cellStyle name="40% - Accent6 2 2 2" xfId="42395"/>
    <cellStyle name="40% - Accent6 2 2 2 10" xfId="42396"/>
    <cellStyle name="40% - Accent6 2 2 2 2" xfId="42397"/>
    <cellStyle name="40% - Accent6 2 2 2 2 2" xfId="42398"/>
    <cellStyle name="40% - Accent6 2 2 2 2 2 2" xfId="42399"/>
    <cellStyle name="40% - Accent6 2 2 2 2 2 2 2" xfId="42400"/>
    <cellStyle name="40% - Accent6 2 2 2 2 2 2 2 2" xfId="42401"/>
    <cellStyle name="40% - Accent6 2 2 2 2 2 2 3" xfId="42402"/>
    <cellStyle name="40% - Accent6 2 2 2 2 2 3" xfId="42403"/>
    <cellStyle name="40% - Accent6 2 2 2 2 2 3 2" xfId="42404"/>
    <cellStyle name="40% - Accent6 2 2 2 2 2 4" xfId="42405"/>
    <cellStyle name="40% - Accent6 2 2 2 2 3" xfId="42406"/>
    <cellStyle name="40% - Accent6 2 2 2 2 3 2" xfId="42407"/>
    <cellStyle name="40% - Accent6 2 2 2 2 3 2 2" xfId="42408"/>
    <cellStyle name="40% - Accent6 2 2 2 2 3 3" xfId="42409"/>
    <cellStyle name="40% - Accent6 2 2 2 2 4" xfId="42410"/>
    <cellStyle name="40% - Accent6 2 2 2 2 4 2" xfId="42411"/>
    <cellStyle name="40% - Accent6 2 2 2 2 5" xfId="42412"/>
    <cellStyle name="40% - Accent6 2 2 2 3" xfId="42413"/>
    <cellStyle name="40% - Accent6 2 2 2 3 2" xfId="42414"/>
    <cellStyle name="40% - Accent6 2 2 2 3 2 2" xfId="42415"/>
    <cellStyle name="40% - Accent6 2 2 2 3 2 2 2" xfId="42416"/>
    <cellStyle name="40% - Accent6 2 2 2 3 2 2 2 2" xfId="42417"/>
    <cellStyle name="40% - Accent6 2 2 2 3 2 2 3" xfId="42418"/>
    <cellStyle name="40% - Accent6 2 2 2 3 2 3" xfId="42419"/>
    <cellStyle name="40% - Accent6 2 2 2 3 2 3 2" xfId="42420"/>
    <cellStyle name="40% - Accent6 2 2 2 3 2 4" xfId="42421"/>
    <cellStyle name="40% - Accent6 2 2 2 3 3" xfId="42422"/>
    <cellStyle name="40% - Accent6 2 2 2 3 3 2" xfId="42423"/>
    <cellStyle name="40% - Accent6 2 2 2 3 3 2 2" xfId="42424"/>
    <cellStyle name="40% - Accent6 2 2 2 3 3 3" xfId="42425"/>
    <cellStyle name="40% - Accent6 2 2 2 3 4" xfId="42426"/>
    <cellStyle name="40% - Accent6 2 2 2 3 4 2" xfId="42427"/>
    <cellStyle name="40% - Accent6 2 2 2 3 5" xfId="42428"/>
    <cellStyle name="40% - Accent6 2 2 2 4" xfId="42429"/>
    <cellStyle name="40% - Accent6 2 2 2 4 2" xfId="42430"/>
    <cellStyle name="40% - Accent6 2 2 2 4 2 2" xfId="42431"/>
    <cellStyle name="40% - Accent6 2 2 2 4 2 2 2" xfId="42432"/>
    <cellStyle name="40% - Accent6 2 2 2 4 2 2 2 2" xfId="42433"/>
    <cellStyle name="40% - Accent6 2 2 2 4 2 2 3" xfId="42434"/>
    <cellStyle name="40% - Accent6 2 2 2 4 2 3" xfId="42435"/>
    <cellStyle name="40% - Accent6 2 2 2 4 2 3 2" xfId="42436"/>
    <cellStyle name="40% - Accent6 2 2 2 4 2 4" xfId="42437"/>
    <cellStyle name="40% - Accent6 2 2 2 4 3" xfId="42438"/>
    <cellStyle name="40% - Accent6 2 2 2 4 3 2" xfId="42439"/>
    <cellStyle name="40% - Accent6 2 2 2 4 3 2 2" xfId="42440"/>
    <cellStyle name="40% - Accent6 2 2 2 4 3 3" xfId="42441"/>
    <cellStyle name="40% - Accent6 2 2 2 4 4" xfId="42442"/>
    <cellStyle name="40% - Accent6 2 2 2 4 4 2" xfId="42443"/>
    <cellStyle name="40% - Accent6 2 2 2 4 5" xfId="42444"/>
    <cellStyle name="40% - Accent6 2 2 2 5" xfId="42445"/>
    <cellStyle name="40% - Accent6 2 2 2 5 2" xfId="42446"/>
    <cellStyle name="40% - Accent6 2 2 2 5 2 2" xfId="42447"/>
    <cellStyle name="40% - Accent6 2 2 2 5 2 2 2" xfId="42448"/>
    <cellStyle name="40% - Accent6 2 2 2 5 2 2 2 2" xfId="42449"/>
    <cellStyle name="40% - Accent6 2 2 2 5 2 2 3" xfId="42450"/>
    <cellStyle name="40% - Accent6 2 2 2 5 2 3" xfId="42451"/>
    <cellStyle name="40% - Accent6 2 2 2 5 2 3 2" xfId="42452"/>
    <cellStyle name="40% - Accent6 2 2 2 5 2 4" xfId="42453"/>
    <cellStyle name="40% - Accent6 2 2 2 5 3" xfId="42454"/>
    <cellStyle name="40% - Accent6 2 2 2 5 3 2" xfId="42455"/>
    <cellStyle name="40% - Accent6 2 2 2 5 3 2 2" xfId="42456"/>
    <cellStyle name="40% - Accent6 2 2 2 5 3 3" xfId="42457"/>
    <cellStyle name="40% - Accent6 2 2 2 5 4" xfId="42458"/>
    <cellStyle name="40% - Accent6 2 2 2 5 4 2" xfId="42459"/>
    <cellStyle name="40% - Accent6 2 2 2 5 5" xfId="42460"/>
    <cellStyle name="40% - Accent6 2 2 2 6" xfId="42461"/>
    <cellStyle name="40% - Accent6 2 2 2 6 2" xfId="42462"/>
    <cellStyle name="40% - Accent6 2 2 2 6 2 2" xfId="42463"/>
    <cellStyle name="40% - Accent6 2 2 2 6 2 2 2" xfId="42464"/>
    <cellStyle name="40% - Accent6 2 2 2 6 2 2 2 2" xfId="42465"/>
    <cellStyle name="40% - Accent6 2 2 2 6 2 2 3" xfId="42466"/>
    <cellStyle name="40% - Accent6 2 2 2 6 2 3" xfId="42467"/>
    <cellStyle name="40% - Accent6 2 2 2 6 2 3 2" xfId="42468"/>
    <cellStyle name="40% - Accent6 2 2 2 6 2 4" xfId="42469"/>
    <cellStyle name="40% - Accent6 2 2 2 6 3" xfId="42470"/>
    <cellStyle name="40% - Accent6 2 2 2 6 3 2" xfId="42471"/>
    <cellStyle name="40% - Accent6 2 2 2 6 3 2 2" xfId="42472"/>
    <cellStyle name="40% - Accent6 2 2 2 6 3 3" xfId="42473"/>
    <cellStyle name="40% - Accent6 2 2 2 6 4" xfId="42474"/>
    <cellStyle name="40% - Accent6 2 2 2 6 4 2" xfId="42475"/>
    <cellStyle name="40% - Accent6 2 2 2 6 5" xfId="42476"/>
    <cellStyle name="40% - Accent6 2 2 2 7" xfId="42477"/>
    <cellStyle name="40% - Accent6 2 2 2 7 2" xfId="42478"/>
    <cellStyle name="40% - Accent6 2 2 2 7 2 2" xfId="42479"/>
    <cellStyle name="40% - Accent6 2 2 2 7 2 2 2" xfId="42480"/>
    <cellStyle name="40% - Accent6 2 2 2 7 2 3" xfId="42481"/>
    <cellStyle name="40% - Accent6 2 2 2 7 3" xfId="42482"/>
    <cellStyle name="40% - Accent6 2 2 2 7 3 2" xfId="42483"/>
    <cellStyle name="40% - Accent6 2 2 2 7 4" xfId="42484"/>
    <cellStyle name="40% - Accent6 2 2 2 8" xfId="42485"/>
    <cellStyle name="40% - Accent6 2 2 2 8 2" xfId="42486"/>
    <cellStyle name="40% - Accent6 2 2 2 8 2 2" xfId="42487"/>
    <cellStyle name="40% - Accent6 2 2 2 8 3" xfId="42488"/>
    <cellStyle name="40% - Accent6 2 2 2 9" xfId="42489"/>
    <cellStyle name="40% - Accent6 2 2 2 9 2" xfId="42490"/>
    <cellStyle name="40% - Accent6 2 2 3" xfId="42491"/>
    <cellStyle name="40% - Accent6 2 2 3 2" xfId="42492"/>
    <cellStyle name="40% - Accent6 2 2 3 2 2" xfId="42493"/>
    <cellStyle name="40% - Accent6 2 2 3 2 2 2" xfId="42494"/>
    <cellStyle name="40% - Accent6 2 2 3 2 2 2 2" xfId="42495"/>
    <cellStyle name="40% - Accent6 2 2 3 2 2 3" xfId="42496"/>
    <cellStyle name="40% - Accent6 2 2 3 2 3" xfId="42497"/>
    <cellStyle name="40% - Accent6 2 2 3 2 3 2" xfId="42498"/>
    <cellStyle name="40% - Accent6 2 2 3 2 4" xfId="42499"/>
    <cellStyle name="40% - Accent6 2 2 3 3" xfId="42500"/>
    <cellStyle name="40% - Accent6 2 2 3 3 2" xfId="42501"/>
    <cellStyle name="40% - Accent6 2 2 3 3 2 2" xfId="42502"/>
    <cellStyle name="40% - Accent6 2 2 3 3 3" xfId="42503"/>
    <cellStyle name="40% - Accent6 2 2 3 4" xfId="42504"/>
    <cellStyle name="40% - Accent6 2 2 3 4 2" xfId="42505"/>
    <cellStyle name="40% - Accent6 2 2 3 5" xfId="42506"/>
    <cellStyle name="40% - Accent6 2 2 4" xfId="42507"/>
    <cellStyle name="40% - Accent6 2 2 4 2" xfId="42508"/>
    <cellStyle name="40% - Accent6 2 2 4 2 2" xfId="42509"/>
    <cellStyle name="40% - Accent6 2 2 4 2 2 2" xfId="42510"/>
    <cellStyle name="40% - Accent6 2 2 4 2 2 2 2" xfId="42511"/>
    <cellStyle name="40% - Accent6 2 2 4 2 2 3" xfId="42512"/>
    <cellStyle name="40% - Accent6 2 2 4 2 3" xfId="42513"/>
    <cellStyle name="40% - Accent6 2 2 4 2 3 2" xfId="42514"/>
    <cellStyle name="40% - Accent6 2 2 4 2 4" xfId="42515"/>
    <cellStyle name="40% - Accent6 2 2 4 3" xfId="42516"/>
    <cellStyle name="40% - Accent6 2 2 4 3 2" xfId="42517"/>
    <cellStyle name="40% - Accent6 2 2 4 3 2 2" xfId="42518"/>
    <cellStyle name="40% - Accent6 2 2 4 3 3" xfId="42519"/>
    <cellStyle name="40% - Accent6 2 2 4 4" xfId="42520"/>
    <cellStyle name="40% - Accent6 2 2 4 4 2" xfId="42521"/>
    <cellStyle name="40% - Accent6 2 2 4 5" xfId="42522"/>
    <cellStyle name="40% - Accent6 2 2 5" xfId="42523"/>
    <cellStyle name="40% - Accent6 2 2 5 2" xfId="42524"/>
    <cellStyle name="40% - Accent6 2 2 5 2 2" xfId="42525"/>
    <cellStyle name="40% - Accent6 2 2 5 2 2 2" xfId="42526"/>
    <cellStyle name="40% - Accent6 2 2 5 2 2 2 2" xfId="42527"/>
    <cellStyle name="40% - Accent6 2 2 5 2 2 3" xfId="42528"/>
    <cellStyle name="40% - Accent6 2 2 5 2 3" xfId="42529"/>
    <cellStyle name="40% - Accent6 2 2 5 2 3 2" xfId="42530"/>
    <cellStyle name="40% - Accent6 2 2 5 2 4" xfId="42531"/>
    <cellStyle name="40% - Accent6 2 2 5 3" xfId="42532"/>
    <cellStyle name="40% - Accent6 2 2 5 3 2" xfId="42533"/>
    <cellStyle name="40% - Accent6 2 2 5 3 2 2" xfId="42534"/>
    <cellStyle name="40% - Accent6 2 2 5 3 3" xfId="42535"/>
    <cellStyle name="40% - Accent6 2 2 5 4" xfId="42536"/>
    <cellStyle name="40% - Accent6 2 2 5 4 2" xfId="42537"/>
    <cellStyle name="40% - Accent6 2 2 5 5" xfId="42538"/>
    <cellStyle name="40% - Accent6 2 2 6" xfId="42539"/>
    <cellStyle name="40% - Accent6 2 2 6 2" xfId="42540"/>
    <cellStyle name="40% - Accent6 2 2 6 2 2" xfId="42541"/>
    <cellStyle name="40% - Accent6 2 2 6 2 2 2" xfId="42542"/>
    <cellStyle name="40% - Accent6 2 2 6 2 2 2 2" xfId="42543"/>
    <cellStyle name="40% - Accent6 2 2 6 2 2 3" xfId="42544"/>
    <cellStyle name="40% - Accent6 2 2 6 2 3" xfId="42545"/>
    <cellStyle name="40% - Accent6 2 2 6 2 3 2" xfId="42546"/>
    <cellStyle name="40% - Accent6 2 2 6 2 4" xfId="42547"/>
    <cellStyle name="40% - Accent6 2 2 6 3" xfId="42548"/>
    <cellStyle name="40% - Accent6 2 2 6 3 2" xfId="42549"/>
    <cellStyle name="40% - Accent6 2 2 6 3 2 2" xfId="42550"/>
    <cellStyle name="40% - Accent6 2 2 6 3 3" xfId="42551"/>
    <cellStyle name="40% - Accent6 2 2 6 4" xfId="42552"/>
    <cellStyle name="40% - Accent6 2 2 6 4 2" xfId="42553"/>
    <cellStyle name="40% - Accent6 2 2 6 5" xfId="42554"/>
    <cellStyle name="40% - Accent6 2 2 7" xfId="42555"/>
    <cellStyle name="40% - Accent6 2 2 7 2" xfId="42556"/>
    <cellStyle name="40% - Accent6 2 2 7 2 2" xfId="42557"/>
    <cellStyle name="40% - Accent6 2 2 7 2 2 2" xfId="42558"/>
    <cellStyle name="40% - Accent6 2 2 7 2 2 2 2" xfId="42559"/>
    <cellStyle name="40% - Accent6 2 2 7 2 2 3" xfId="42560"/>
    <cellStyle name="40% - Accent6 2 2 7 2 3" xfId="42561"/>
    <cellStyle name="40% - Accent6 2 2 7 2 3 2" xfId="42562"/>
    <cellStyle name="40% - Accent6 2 2 7 2 4" xfId="42563"/>
    <cellStyle name="40% - Accent6 2 2 7 3" xfId="42564"/>
    <cellStyle name="40% - Accent6 2 2 7 3 2" xfId="42565"/>
    <cellStyle name="40% - Accent6 2 2 7 3 2 2" xfId="42566"/>
    <cellStyle name="40% - Accent6 2 2 7 3 3" xfId="42567"/>
    <cellStyle name="40% - Accent6 2 2 7 4" xfId="42568"/>
    <cellStyle name="40% - Accent6 2 2 7 4 2" xfId="42569"/>
    <cellStyle name="40% - Accent6 2 2 7 5" xfId="42570"/>
    <cellStyle name="40% - Accent6 2 2 8" xfId="42571"/>
    <cellStyle name="40% - Accent6 2 2 8 2" xfId="42572"/>
    <cellStyle name="40% - Accent6 2 2 8 2 2" xfId="42573"/>
    <cellStyle name="40% - Accent6 2 2 8 2 2 2" xfId="42574"/>
    <cellStyle name="40% - Accent6 2 2 8 2 3" xfId="42575"/>
    <cellStyle name="40% - Accent6 2 2 8 3" xfId="42576"/>
    <cellStyle name="40% - Accent6 2 2 8 3 2" xfId="42577"/>
    <cellStyle name="40% - Accent6 2 2 8 4" xfId="42578"/>
    <cellStyle name="40% - Accent6 2 2 9" xfId="42579"/>
    <cellStyle name="40% - Accent6 2 2 9 2" xfId="42580"/>
    <cellStyle name="40% - Accent6 2 2 9 2 2" xfId="42581"/>
    <cellStyle name="40% - Accent6 2 2 9 3" xfId="42582"/>
    <cellStyle name="40% - Accent6 2 3" xfId="42583"/>
    <cellStyle name="40% - Accent6 2 3 10" xfId="42584"/>
    <cellStyle name="40% - Accent6 2 3 10 2" xfId="42585"/>
    <cellStyle name="40% - Accent6 2 3 11" xfId="42586"/>
    <cellStyle name="40% - Accent6 2 3 2" xfId="42587"/>
    <cellStyle name="40% - Accent6 2 3 2 10" xfId="42588"/>
    <cellStyle name="40% - Accent6 2 3 2 2" xfId="42589"/>
    <cellStyle name="40% - Accent6 2 3 2 2 2" xfId="42590"/>
    <cellStyle name="40% - Accent6 2 3 2 2 2 2" xfId="42591"/>
    <cellStyle name="40% - Accent6 2 3 2 2 2 2 2" xfId="42592"/>
    <cellStyle name="40% - Accent6 2 3 2 2 2 2 2 2" xfId="42593"/>
    <cellStyle name="40% - Accent6 2 3 2 2 2 2 3" xfId="42594"/>
    <cellStyle name="40% - Accent6 2 3 2 2 2 3" xfId="42595"/>
    <cellStyle name="40% - Accent6 2 3 2 2 2 3 2" xfId="42596"/>
    <cellStyle name="40% - Accent6 2 3 2 2 2 4" xfId="42597"/>
    <cellStyle name="40% - Accent6 2 3 2 2 3" xfId="42598"/>
    <cellStyle name="40% - Accent6 2 3 2 2 3 2" xfId="42599"/>
    <cellStyle name="40% - Accent6 2 3 2 2 3 2 2" xfId="42600"/>
    <cellStyle name="40% - Accent6 2 3 2 2 3 3" xfId="42601"/>
    <cellStyle name="40% - Accent6 2 3 2 2 4" xfId="42602"/>
    <cellStyle name="40% - Accent6 2 3 2 2 4 2" xfId="42603"/>
    <cellStyle name="40% - Accent6 2 3 2 2 5" xfId="42604"/>
    <cellStyle name="40% - Accent6 2 3 2 3" xfId="42605"/>
    <cellStyle name="40% - Accent6 2 3 2 3 2" xfId="42606"/>
    <cellStyle name="40% - Accent6 2 3 2 3 2 2" xfId="42607"/>
    <cellStyle name="40% - Accent6 2 3 2 3 2 2 2" xfId="42608"/>
    <cellStyle name="40% - Accent6 2 3 2 3 2 2 2 2" xfId="42609"/>
    <cellStyle name="40% - Accent6 2 3 2 3 2 2 3" xfId="42610"/>
    <cellStyle name="40% - Accent6 2 3 2 3 2 3" xfId="42611"/>
    <cellStyle name="40% - Accent6 2 3 2 3 2 3 2" xfId="42612"/>
    <cellStyle name="40% - Accent6 2 3 2 3 2 4" xfId="42613"/>
    <cellStyle name="40% - Accent6 2 3 2 3 3" xfId="42614"/>
    <cellStyle name="40% - Accent6 2 3 2 3 3 2" xfId="42615"/>
    <cellStyle name="40% - Accent6 2 3 2 3 3 2 2" xfId="42616"/>
    <cellStyle name="40% - Accent6 2 3 2 3 3 3" xfId="42617"/>
    <cellStyle name="40% - Accent6 2 3 2 3 4" xfId="42618"/>
    <cellStyle name="40% - Accent6 2 3 2 3 4 2" xfId="42619"/>
    <cellStyle name="40% - Accent6 2 3 2 3 5" xfId="42620"/>
    <cellStyle name="40% - Accent6 2 3 2 4" xfId="42621"/>
    <cellStyle name="40% - Accent6 2 3 2 4 2" xfId="42622"/>
    <cellStyle name="40% - Accent6 2 3 2 4 2 2" xfId="42623"/>
    <cellStyle name="40% - Accent6 2 3 2 4 2 2 2" xfId="42624"/>
    <cellStyle name="40% - Accent6 2 3 2 4 2 2 2 2" xfId="42625"/>
    <cellStyle name="40% - Accent6 2 3 2 4 2 2 3" xfId="42626"/>
    <cellStyle name="40% - Accent6 2 3 2 4 2 3" xfId="42627"/>
    <cellStyle name="40% - Accent6 2 3 2 4 2 3 2" xfId="42628"/>
    <cellStyle name="40% - Accent6 2 3 2 4 2 4" xfId="42629"/>
    <cellStyle name="40% - Accent6 2 3 2 4 3" xfId="42630"/>
    <cellStyle name="40% - Accent6 2 3 2 4 3 2" xfId="42631"/>
    <cellStyle name="40% - Accent6 2 3 2 4 3 2 2" xfId="42632"/>
    <cellStyle name="40% - Accent6 2 3 2 4 3 3" xfId="42633"/>
    <cellStyle name="40% - Accent6 2 3 2 4 4" xfId="42634"/>
    <cellStyle name="40% - Accent6 2 3 2 4 4 2" xfId="42635"/>
    <cellStyle name="40% - Accent6 2 3 2 4 5" xfId="42636"/>
    <cellStyle name="40% - Accent6 2 3 2 5" xfId="42637"/>
    <cellStyle name="40% - Accent6 2 3 2 5 2" xfId="42638"/>
    <cellStyle name="40% - Accent6 2 3 2 5 2 2" xfId="42639"/>
    <cellStyle name="40% - Accent6 2 3 2 5 2 2 2" xfId="42640"/>
    <cellStyle name="40% - Accent6 2 3 2 5 2 2 2 2" xfId="42641"/>
    <cellStyle name="40% - Accent6 2 3 2 5 2 2 3" xfId="42642"/>
    <cellStyle name="40% - Accent6 2 3 2 5 2 3" xfId="42643"/>
    <cellStyle name="40% - Accent6 2 3 2 5 2 3 2" xfId="42644"/>
    <cellStyle name="40% - Accent6 2 3 2 5 2 4" xfId="42645"/>
    <cellStyle name="40% - Accent6 2 3 2 5 3" xfId="42646"/>
    <cellStyle name="40% - Accent6 2 3 2 5 3 2" xfId="42647"/>
    <cellStyle name="40% - Accent6 2 3 2 5 3 2 2" xfId="42648"/>
    <cellStyle name="40% - Accent6 2 3 2 5 3 3" xfId="42649"/>
    <cellStyle name="40% - Accent6 2 3 2 5 4" xfId="42650"/>
    <cellStyle name="40% - Accent6 2 3 2 5 4 2" xfId="42651"/>
    <cellStyle name="40% - Accent6 2 3 2 5 5" xfId="42652"/>
    <cellStyle name="40% - Accent6 2 3 2 6" xfId="42653"/>
    <cellStyle name="40% - Accent6 2 3 2 6 2" xfId="42654"/>
    <cellStyle name="40% - Accent6 2 3 2 6 2 2" xfId="42655"/>
    <cellStyle name="40% - Accent6 2 3 2 6 2 2 2" xfId="42656"/>
    <cellStyle name="40% - Accent6 2 3 2 6 2 2 2 2" xfId="42657"/>
    <cellStyle name="40% - Accent6 2 3 2 6 2 2 3" xfId="42658"/>
    <cellStyle name="40% - Accent6 2 3 2 6 2 3" xfId="42659"/>
    <cellStyle name="40% - Accent6 2 3 2 6 2 3 2" xfId="42660"/>
    <cellStyle name="40% - Accent6 2 3 2 6 2 4" xfId="42661"/>
    <cellStyle name="40% - Accent6 2 3 2 6 3" xfId="42662"/>
    <cellStyle name="40% - Accent6 2 3 2 6 3 2" xfId="42663"/>
    <cellStyle name="40% - Accent6 2 3 2 6 3 2 2" xfId="42664"/>
    <cellStyle name="40% - Accent6 2 3 2 6 3 3" xfId="42665"/>
    <cellStyle name="40% - Accent6 2 3 2 6 4" xfId="42666"/>
    <cellStyle name="40% - Accent6 2 3 2 6 4 2" xfId="42667"/>
    <cellStyle name="40% - Accent6 2 3 2 6 5" xfId="42668"/>
    <cellStyle name="40% - Accent6 2 3 2 7" xfId="42669"/>
    <cellStyle name="40% - Accent6 2 3 2 7 2" xfId="42670"/>
    <cellStyle name="40% - Accent6 2 3 2 7 2 2" xfId="42671"/>
    <cellStyle name="40% - Accent6 2 3 2 7 2 2 2" xfId="42672"/>
    <cellStyle name="40% - Accent6 2 3 2 7 2 3" xfId="42673"/>
    <cellStyle name="40% - Accent6 2 3 2 7 3" xfId="42674"/>
    <cellStyle name="40% - Accent6 2 3 2 7 3 2" xfId="42675"/>
    <cellStyle name="40% - Accent6 2 3 2 7 4" xfId="42676"/>
    <cellStyle name="40% - Accent6 2 3 2 8" xfId="42677"/>
    <cellStyle name="40% - Accent6 2 3 2 8 2" xfId="42678"/>
    <cellStyle name="40% - Accent6 2 3 2 8 2 2" xfId="42679"/>
    <cellStyle name="40% - Accent6 2 3 2 8 3" xfId="42680"/>
    <cellStyle name="40% - Accent6 2 3 2 9" xfId="42681"/>
    <cellStyle name="40% - Accent6 2 3 2 9 2" xfId="42682"/>
    <cellStyle name="40% - Accent6 2 3 3" xfId="42683"/>
    <cellStyle name="40% - Accent6 2 3 3 2" xfId="42684"/>
    <cellStyle name="40% - Accent6 2 3 3 2 2" xfId="42685"/>
    <cellStyle name="40% - Accent6 2 3 3 2 2 2" xfId="42686"/>
    <cellStyle name="40% - Accent6 2 3 3 2 2 2 2" xfId="42687"/>
    <cellStyle name="40% - Accent6 2 3 3 2 2 3" xfId="42688"/>
    <cellStyle name="40% - Accent6 2 3 3 2 3" xfId="42689"/>
    <cellStyle name="40% - Accent6 2 3 3 2 3 2" xfId="42690"/>
    <cellStyle name="40% - Accent6 2 3 3 2 4" xfId="42691"/>
    <cellStyle name="40% - Accent6 2 3 3 3" xfId="42692"/>
    <cellStyle name="40% - Accent6 2 3 3 3 2" xfId="42693"/>
    <cellStyle name="40% - Accent6 2 3 3 3 2 2" xfId="42694"/>
    <cellStyle name="40% - Accent6 2 3 3 3 3" xfId="42695"/>
    <cellStyle name="40% - Accent6 2 3 3 4" xfId="42696"/>
    <cellStyle name="40% - Accent6 2 3 3 4 2" xfId="42697"/>
    <cellStyle name="40% - Accent6 2 3 3 5" xfId="42698"/>
    <cellStyle name="40% - Accent6 2 3 4" xfId="42699"/>
    <cellStyle name="40% - Accent6 2 3 4 2" xfId="42700"/>
    <cellStyle name="40% - Accent6 2 3 4 2 2" xfId="42701"/>
    <cellStyle name="40% - Accent6 2 3 4 2 2 2" xfId="42702"/>
    <cellStyle name="40% - Accent6 2 3 4 2 2 2 2" xfId="42703"/>
    <cellStyle name="40% - Accent6 2 3 4 2 2 3" xfId="42704"/>
    <cellStyle name="40% - Accent6 2 3 4 2 3" xfId="42705"/>
    <cellStyle name="40% - Accent6 2 3 4 2 3 2" xfId="42706"/>
    <cellStyle name="40% - Accent6 2 3 4 2 4" xfId="42707"/>
    <cellStyle name="40% - Accent6 2 3 4 3" xfId="42708"/>
    <cellStyle name="40% - Accent6 2 3 4 3 2" xfId="42709"/>
    <cellStyle name="40% - Accent6 2 3 4 3 2 2" xfId="42710"/>
    <cellStyle name="40% - Accent6 2 3 4 3 3" xfId="42711"/>
    <cellStyle name="40% - Accent6 2 3 4 4" xfId="42712"/>
    <cellStyle name="40% - Accent6 2 3 4 4 2" xfId="42713"/>
    <cellStyle name="40% - Accent6 2 3 4 5" xfId="42714"/>
    <cellStyle name="40% - Accent6 2 3 5" xfId="42715"/>
    <cellStyle name="40% - Accent6 2 3 5 2" xfId="42716"/>
    <cellStyle name="40% - Accent6 2 3 5 2 2" xfId="42717"/>
    <cellStyle name="40% - Accent6 2 3 5 2 2 2" xfId="42718"/>
    <cellStyle name="40% - Accent6 2 3 5 2 2 2 2" xfId="42719"/>
    <cellStyle name="40% - Accent6 2 3 5 2 2 3" xfId="42720"/>
    <cellStyle name="40% - Accent6 2 3 5 2 3" xfId="42721"/>
    <cellStyle name="40% - Accent6 2 3 5 2 3 2" xfId="42722"/>
    <cellStyle name="40% - Accent6 2 3 5 2 4" xfId="42723"/>
    <cellStyle name="40% - Accent6 2 3 5 3" xfId="42724"/>
    <cellStyle name="40% - Accent6 2 3 5 3 2" xfId="42725"/>
    <cellStyle name="40% - Accent6 2 3 5 3 2 2" xfId="42726"/>
    <cellStyle name="40% - Accent6 2 3 5 3 3" xfId="42727"/>
    <cellStyle name="40% - Accent6 2 3 5 4" xfId="42728"/>
    <cellStyle name="40% - Accent6 2 3 5 4 2" xfId="42729"/>
    <cellStyle name="40% - Accent6 2 3 5 5" xfId="42730"/>
    <cellStyle name="40% - Accent6 2 3 6" xfId="42731"/>
    <cellStyle name="40% - Accent6 2 3 6 2" xfId="42732"/>
    <cellStyle name="40% - Accent6 2 3 6 2 2" xfId="42733"/>
    <cellStyle name="40% - Accent6 2 3 6 2 2 2" xfId="42734"/>
    <cellStyle name="40% - Accent6 2 3 6 2 2 2 2" xfId="42735"/>
    <cellStyle name="40% - Accent6 2 3 6 2 2 3" xfId="42736"/>
    <cellStyle name="40% - Accent6 2 3 6 2 3" xfId="42737"/>
    <cellStyle name="40% - Accent6 2 3 6 2 3 2" xfId="42738"/>
    <cellStyle name="40% - Accent6 2 3 6 2 4" xfId="42739"/>
    <cellStyle name="40% - Accent6 2 3 6 3" xfId="42740"/>
    <cellStyle name="40% - Accent6 2 3 6 3 2" xfId="42741"/>
    <cellStyle name="40% - Accent6 2 3 6 3 2 2" xfId="42742"/>
    <cellStyle name="40% - Accent6 2 3 6 3 3" xfId="42743"/>
    <cellStyle name="40% - Accent6 2 3 6 4" xfId="42744"/>
    <cellStyle name="40% - Accent6 2 3 6 4 2" xfId="42745"/>
    <cellStyle name="40% - Accent6 2 3 6 5" xfId="42746"/>
    <cellStyle name="40% - Accent6 2 3 7" xfId="42747"/>
    <cellStyle name="40% - Accent6 2 3 7 2" xfId="42748"/>
    <cellStyle name="40% - Accent6 2 3 7 2 2" xfId="42749"/>
    <cellStyle name="40% - Accent6 2 3 7 2 2 2" xfId="42750"/>
    <cellStyle name="40% - Accent6 2 3 7 2 2 2 2" xfId="42751"/>
    <cellStyle name="40% - Accent6 2 3 7 2 2 3" xfId="42752"/>
    <cellStyle name="40% - Accent6 2 3 7 2 3" xfId="42753"/>
    <cellStyle name="40% - Accent6 2 3 7 2 3 2" xfId="42754"/>
    <cellStyle name="40% - Accent6 2 3 7 2 4" xfId="42755"/>
    <cellStyle name="40% - Accent6 2 3 7 3" xfId="42756"/>
    <cellStyle name="40% - Accent6 2 3 7 3 2" xfId="42757"/>
    <cellStyle name="40% - Accent6 2 3 7 3 2 2" xfId="42758"/>
    <cellStyle name="40% - Accent6 2 3 7 3 3" xfId="42759"/>
    <cellStyle name="40% - Accent6 2 3 7 4" xfId="42760"/>
    <cellStyle name="40% - Accent6 2 3 7 4 2" xfId="42761"/>
    <cellStyle name="40% - Accent6 2 3 7 5" xfId="42762"/>
    <cellStyle name="40% - Accent6 2 3 8" xfId="42763"/>
    <cellStyle name="40% - Accent6 2 3 8 2" xfId="42764"/>
    <cellStyle name="40% - Accent6 2 3 8 2 2" xfId="42765"/>
    <cellStyle name="40% - Accent6 2 3 8 2 2 2" xfId="42766"/>
    <cellStyle name="40% - Accent6 2 3 8 2 3" xfId="42767"/>
    <cellStyle name="40% - Accent6 2 3 8 3" xfId="42768"/>
    <cellStyle name="40% - Accent6 2 3 8 3 2" xfId="42769"/>
    <cellStyle name="40% - Accent6 2 3 8 4" xfId="42770"/>
    <cellStyle name="40% - Accent6 2 3 9" xfId="42771"/>
    <cellStyle name="40% - Accent6 2 3 9 2" xfId="42772"/>
    <cellStyle name="40% - Accent6 2 3 9 2 2" xfId="42773"/>
    <cellStyle name="40% - Accent6 2 3 9 3" xfId="42774"/>
    <cellStyle name="40% - Accent6 2 4" xfId="42775"/>
    <cellStyle name="40% - Accent6 2 4 10" xfId="42776"/>
    <cellStyle name="40% - Accent6 2 4 10 2" xfId="42777"/>
    <cellStyle name="40% - Accent6 2 4 11" xfId="42778"/>
    <cellStyle name="40% - Accent6 2 4 2" xfId="42779"/>
    <cellStyle name="40% - Accent6 2 4 2 10" xfId="42780"/>
    <cellStyle name="40% - Accent6 2 4 2 2" xfId="42781"/>
    <cellStyle name="40% - Accent6 2 4 2 2 2" xfId="42782"/>
    <cellStyle name="40% - Accent6 2 4 2 2 2 2" xfId="42783"/>
    <cellStyle name="40% - Accent6 2 4 2 2 2 2 2" xfId="42784"/>
    <cellStyle name="40% - Accent6 2 4 2 2 2 2 2 2" xfId="42785"/>
    <cellStyle name="40% - Accent6 2 4 2 2 2 2 3" xfId="42786"/>
    <cellStyle name="40% - Accent6 2 4 2 2 2 3" xfId="42787"/>
    <cellStyle name="40% - Accent6 2 4 2 2 2 3 2" xfId="42788"/>
    <cellStyle name="40% - Accent6 2 4 2 2 2 4" xfId="42789"/>
    <cellStyle name="40% - Accent6 2 4 2 2 3" xfId="42790"/>
    <cellStyle name="40% - Accent6 2 4 2 2 3 2" xfId="42791"/>
    <cellStyle name="40% - Accent6 2 4 2 2 3 2 2" xfId="42792"/>
    <cellStyle name="40% - Accent6 2 4 2 2 3 3" xfId="42793"/>
    <cellStyle name="40% - Accent6 2 4 2 2 4" xfId="42794"/>
    <cellStyle name="40% - Accent6 2 4 2 2 4 2" xfId="42795"/>
    <cellStyle name="40% - Accent6 2 4 2 2 5" xfId="42796"/>
    <cellStyle name="40% - Accent6 2 4 2 3" xfId="42797"/>
    <cellStyle name="40% - Accent6 2 4 2 3 2" xfId="42798"/>
    <cellStyle name="40% - Accent6 2 4 2 3 2 2" xfId="42799"/>
    <cellStyle name="40% - Accent6 2 4 2 3 2 2 2" xfId="42800"/>
    <cellStyle name="40% - Accent6 2 4 2 3 2 2 2 2" xfId="42801"/>
    <cellStyle name="40% - Accent6 2 4 2 3 2 2 3" xfId="42802"/>
    <cellStyle name="40% - Accent6 2 4 2 3 2 3" xfId="42803"/>
    <cellStyle name="40% - Accent6 2 4 2 3 2 3 2" xfId="42804"/>
    <cellStyle name="40% - Accent6 2 4 2 3 2 4" xfId="42805"/>
    <cellStyle name="40% - Accent6 2 4 2 3 3" xfId="42806"/>
    <cellStyle name="40% - Accent6 2 4 2 3 3 2" xfId="42807"/>
    <cellStyle name="40% - Accent6 2 4 2 3 3 2 2" xfId="42808"/>
    <cellStyle name="40% - Accent6 2 4 2 3 3 3" xfId="42809"/>
    <cellStyle name="40% - Accent6 2 4 2 3 4" xfId="42810"/>
    <cellStyle name="40% - Accent6 2 4 2 3 4 2" xfId="42811"/>
    <cellStyle name="40% - Accent6 2 4 2 3 5" xfId="42812"/>
    <cellStyle name="40% - Accent6 2 4 2 4" xfId="42813"/>
    <cellStyle name="40% - Accent6 2 4 2 4 2" xfId="42814"/>
    <cellStyle name="40% - Accent6 2 4 2 4 2 2" xfId="42815"/>
    <cellStyle name="40% - Accent6 2 4 2 4 2 2 2" xfId="42816"/>
    <cellStyle name="40% - Accent6 2 4 2 4 2 2 2 2" xfId="42817"/>
    <cellStyle name="40% - Accent6 2 4 2 4 2 2 3" xfId="42818"/>
    <cellStyle name="40% - Accent6 2 4 2 4 2 3" xfId="42819"/>
    <cellStyle name="40% - Accent6 2 4 2 4 2 3 2" xfId="42820"/>
    <cellStyle name="40% - Accent6 2 4 2 4 2 4" xfId="42821"/>
    <cellStyle name="40% - Accent6 2 4 2 4 3" xfId="42822"/>
    <cellStyle name="40% - Accent6 2 4 2 4 3 2" xfId="42823"/>
    <cellStyle name="40% - Accent6 2 4 2 4 3 2 2" xfId="42824"/>
    <cellStyle name="40% - Accent6 2 4 2 4 3 3" xfId="42825"/>
    <cellStyle name="40% - Accent6 2 4 2 4 4" xfId="42826"/>
    <cellStyle name="40% - Accent6 2 4 2 4 4 2" xfId="42827"/>
    <cellStyle name="40% - Accent6 2 4 2 4 5" xfId="42828"/>
    <cellStyle name="40% - Accent6 2 4 2 5" xfId="42829"/>
    <cellStyle name="40% - Accent6 2 4 2 5 2" xfId="42830"/>
    <cellStyle name="40% - Accent6 2 4 2 5 2 2" xfId="42831"/>
    <cellStyle name="40% - Accent6 2 4 2 5 2 2 2" xfId="42832"/>
    <cellStyle name="40% - Accent6 2 4 2 5 2 2 2 2" xfId="42833"/>
    <cellStyle name="40% - Accent6 2 4 2 5 2 2 3" xfId="42834"/>
    <cellStyle name="40% - Accent6 2 4 2 5 2 3" xfId="42835"/>
    <cellStyle name="40% - Accent6 2 4 2 5 2 3 2" xfId="42836"/>
    <cellStyle name="40% - Accent6 2 4 2 5 2 4" xfId="42837"/>
    <cellStyle name="40% - Accent6 2 4 2 5 3" xfId="42838"/>
    <cellStyle name="40% - Accent6 2 4 2 5 3 2" xfId="42839"/>
    <cellStyle name="40% - Accent6 2 4 2 5 3 2 2" xfId="42840"/>
    <cellStyle name="40% - Accent6 2 4 2 5 3 3" xfId="42841"/>
    <cellStyle name="40% - Accent6 2 4 2 5 4" xfId="42842"/>
    <cellStyle name="40% - Accent6 2 4 2 5 4 2" xfId="42843"/>
    <cellStyle name="40% - Accent6 2 4 2 5 5" xfId="42844"/>
    <cellStyle name="40% - Accent6 2 4 2 6" xfId="42845"/>
    <cellStyle name="40% - Accent6 2 4 2 6 2" xfId="42846"/>
    <cellStyle name="40% - Accent6 2 4 2 6 2 2" xfId="42847"/>
    <cellStyle name="40% - Accent6 2 4 2 6 2 2 2" xfId="42848"/>
    <cellStyle name="40% - Accent6 2 4 2 6 2 2 2 2" xfId="42849"/>
    <cellStyle name="40% - Accent6 2 4 2 6 2 2 3" xfId="42850"/>
    <cellStyle name="40% - Accent6 2 4 2 6 2 3" xfId="42851"/>
    <cellStyle name="40% - Accent6 2 4 2 6 2 3 2" xfId="42852"/>
    <cellStyle name="40% - Accent6 2 4 2 6 2 4" xfId="42853"/>
    <cellStyle name="40% - Accent6 2 4 2 6 3" xfId="42854"/>
    <cellStyle name="40% - Accent6 2 4 2 6 3 2" xfId="42855"/>
    <cellStyle name="40% - Accent6 2 4 2 6 3 2 2" xfId="42856"/>
    <cellStyle name="40% - Accent6 2 4 2 6 3 3" xfId="42857"/>
    <cellStyle name="40% - Accent6 2 4 2 6 4" xfId="42858"/>
    <cellStyle name="40% - Accent6 2 4 2 6 4 2" xfId="42859"/>
    <cellStyle name="40% - Accent6 2 4 2 6 5" xfId="42860"/>
    <cellStyle name="40% - Accent6 2 4 2 7" xfId="42861"/>
    <cellStyle name="40% - Accent6 2 4 2 7 2" xfId="42862"/>
    <cellStyle name="40% - Accent6 2 4 2 7 2 2" xfId="42863"/>
    <cellStyle name="40% - Accent6 2 4 2 7 2 2 2" xfId="42864"/>
    <cellStyle name="40% - Accent6 2 4 2 7 2 3" xfId="42865"/>
    <cellStyle name="40% - Accent6 2 4 2 7 3" xfId="42866"/>
    <cellStyle name="40% - Accent6 2 4 2 7 3 2" xfId="42867"/>
    <cellStyle name="40% - Accent6 2 4 2 7 4" xfId="42868"/>
    <cellStyle name="40% - Accent6 2 4 2 8" xfId="42869"/>
    <cellStyle name="40% - Accent6 2 4 2 8 2" xfId="42870"/>
    <cellStyle name="40% - Accent6 2 4 2 8 2 2" xfId="42871"/>
    <cellStyle name="40% - Accent6 2 4 2 8 3" xfId="42872"/>
    <cellStyle name="40% - Accent6 2 4 2 9" xfId="42873"/>
    <cellStyle name="40% - Accent6 2 4 2 9 2" xfId="42874"/>
    <cellStyle name="40% - Accent6 2 4 3" xfId="42875"/>
    <cellStyle name="40% - Accent6 2 4 3 2" xfId="42876"/>
    <cellStyle name="40% - Accent6 2 4 3 2 2" xfId="42877"/>
    <cellStyle name="40% - Accent6 2 4 3 2 2 2" xfId="42878"/>
    <cellStyle name="40% - Accent6 2 4 3 2 2 2 2" xfId="42879"/>
    <cellStyle name="40% - Accent6 2 4 3 2 2 3" xfId="42880"/>
    <cellStyle name="40% - Accent6 2 4 3 2 3" xfId="42881"/>
    <cellStyle name="40% - Accent6 2 4 3 2 3 2" xfId="42882"/>
    <cellStyle name="40% - Accent6 2 4 3 2 4" xfId="42883"/>
    <cellStyle name="40% - Accent6 2 4 3 3" xfId="42884"/>
    <cellStyle name="40% - Accent6 2 4 3 3 2" xfId="42885"/>
    <cellStyle name="40% - Accent6 2 4 3 3 2 2" xfId="42886"/>
    <cellStyle name="40% - Accent6 2 4 3 3 3" xfId="42887"/>
    <cellStyle name="40% - Accent6 2 4 3 4" xfId="42888"/>
    <cellStyle name="40% - Accent6 2 4 3 4 2" xfId="42889"/>
    <cellStyle name="40% - Accent6 2 4 3 5" xfId="42890"/>
    <cellStyle name="40% - Accent6 2 4 4" xfId="42891"/>
    <cellStyle name="40% - Accent6 2 4 4 2" xfId="42892"/>
    <cellStyle name="40% - Accent6 2 4 4 2 2" xfId="42893"/>
    <cellStyle name="40% - Accent6 2 4 4 2 2 2" xfId="42894"/>
    <cellStyle name="40% - Accent6 2 4 4 2 2 2 2" xfId="42895"/>
    <cellStyle name="40% - Accent6 2 4 4 2 2 3" xfId="42896"/>
    <cellStyle name="40% - Accent6 2 4 4 2 3" xfId="42897"/>
    <cellStyle name="40% - Accent6 2 4 4 2 3 2" xfId="42898"/>
    <cellStyle name="40% - Accent6 2 4 4 2 4" xfId="42899"/>
    <cellStyle name="40% - Accent6 2 4 4 3" xfId="42900"/>
    <cellStyle name="40% - Accent6 2 4 4 3 2" xfId="42901"/>
    <cellStyle name="40% - Accent6 2 4 4 3 2 2" xfId="42902"/>
    <cellStyle name="40% - Accent6 2 4 4 3 3" xfId="42903"/>
    <cellStyle name="40% - Accent6 2 4 4 4" xfId="42904"/>
    <cellStyle name="40% - Accent6 2 4 4 4 2" xfId="42905"/>
    <cellStyle name="40% - Accent6 2 4 4 5" xfId="42906"/>
    <cellStyle name="40% - Accent6 2 4 5" xfId="42907"/>
    <cellStyle name="40% - Accent6 2 4 5 2" xfId="42908"/>
    <cellStyle name="40% - Accent6 2 4 5 2 2" xfId="42909"/>
    <cellStyle name="40% - Accent6 2 4 5 2 2 2" xfId="42910"/>
    <cellStyle name="40% - Accent6 2 4 5 2 2 2 2" xfId="42911"/>
    <cellStyle name="40% - Accent6 2 4 5 2 2 3" xfId="42912"/>
    <cellStyle name="40% - Accent6 2 4 5 2 3" xfId="42913"/>
    <cellStyle name="40% - Accent6 2 4 5 2 3 2" xfId="42914"/>
    <cellStyle name="40% - Accent6 2 4 5 2 4" xfId="42915"/>
    <cellStyle name="40% - Accent6 2 4 5 3" xfId="42916"/>
    <cellStyle name="40% - Accent6 2 4 5 3 2" xfId="42917"/>
    <cellStyle name="40% - Accent6 2 4 5 3 2 2" xfId="42918"/>
    <cellStyle name="40% - Accent6 2 4 5 3 3" xfId="42919"/>
    <cellStyle name="40% - Accent6 2 4 5 4" xfId="42920"/>
    <cellStyle name="40% - Accent6 2 4 5 4 2" xfId="42921"/>
    <cellStyle name="40% - Accent6 2 4 5 5" xfId="42922"/>
    <cellStyle name="40% - Accent6 2 4 6" xfId="42923"/>
    <cellStyle name="40% - Accent6 2 4 6 2" xfId="42924"/>
    <cellStyle name="40% - Accent6 2 4 6 2 2" xfId="42925"/>
    <cellStyle name="40% - Accent6 2 4 6 2 2 2" xfId="42926"/>
    <cellStyle name="40% - Accent6 2 4 6 2 2 2 2" xfId="42927"/>
    <cellStyle name="40% - Accent6 2 4 6 2 2 3" xfId="42928"/>
    <cellStyle name="40% - Accent6 2 4 6 2 3" xfId="42929"/>
    <cellStyle name="40% - Accent6 2 4 6 2 3 2" xfId="42930"/>
    <cellStyle name="40% - Accent6 2 4 6 2 4" xfId="42931"/>
    <cellStyle name="40% - Accent6 2 4 6 3" xfId="42932"/>
    <cellStyle name="40% - Accent6 2 4 6 3 2" xfId="42933"/>
    <cellStyle name="40% - Accent6 2 4 6 3 2 2" xfId="42934"/>
    <cellStyle name="40% - Accent6 2 4 6 3 3" xfId="42935"/>
    <cellStyle name="40% - Accent6 2 4 6 4" xfId="42936"/>
    <cellStyle name="40% - Accent6 2 4 6 4 2" xfId="42937"/>
    <cellStyle name="40% - Accent6 2 4 6 5" xfId="42938"/>
    <cellStyle name="40% - Accent6 2 4 7" xfId="42939"/>
    <cellStyle name="40% - Accent6 2 4 7 2" xfId="42940"/>
    <cellStyle name="40% - Accent6 2 4 7 2 2" xfId="42941"/>
    <cellStyle name="40% - Accent6 2 4 7 2 2 2" xfId="42942"/>
    <cellStyle name="40% - Accent6 2 4 7 2 2 2 2" xfId="42943"/>
    <cellStyle name="40% - Accent6 2 4 7 2 2 3" xfId="42944"/>
    <cellStyle name="40% - Accent6 2 4 7 2 3" xfId="42945"/>
    <cellStyle name="40% - Accent6 2 4 7 2 3 2" xfId="42946"/>
    <cellStyle name="40% - Accent6 2 4 7 2 4" xfId="42947"/>
    <cellStyle name="40% - Accent6 2 4 7 3" xfId="42948"/>
    <cellStyle name="40% - Accent6 2 4 7 3 2" xfId="42949"/>
    <cellStyle name="40% - Accent6 2 4 7 3 2 2" xfId="42950"/>
    <cellStyle name="40% - Accent6 2 4 7 3 3" xfId="42951"/>
    <cellStyle name="40% - Accent6 2 4 7 4" xfId="42952"/>
    <cellStyle name="40% - Accent6 2 4 7 4 2" xfId="42953"/>
    <cellStyle name="40% - Accent6 2 4 7 5" xfId="42954"/>
    <cellStyle name="40% - Accent6 2 4 8" xfId="42955"/>
    <cellStyle name="40% - Accent6 2 4 8 2" xfId="42956"/>
    <cellStyle name="40% - Accent6 2 4 8 2 2" xfId="42957"/>
    <cellStyle name="40% - Accent6 2 4 8 2 2 2" xfId="42958"/>
    <cellStyle name="40% - Accent6 2 4 8 2 3" xfId="42959"/>
    <cellStyle name="40% - Accent6 2 4 8 3" xfId="42960"/>
    <cellStyle name="40% - Accent6 2 4 8 3 2" xfId="42961"/>
    <cellStyle name="40% - Accent6 2 4 8 4" xfId="42962"/>
    <cellStyle name="40% - Accent6 2 4 9" xfId="42963"/>
    <cellStyle name="40% - Accent6 2 4 9 2" xfId="42964"/>
    <cellStyle name="40% - Accent6 2 4 9 2 2" xfId="42965"/>
    <cellStyle name="40% - Accent6 2 4 9 3" xfId="42966"/>
    <cellStyle name="40% - Accent6 2 5" xfId="42967"/>
    <cellStyle name="40% - Accent6 2 5 10" xfId="42968"/>
    <cellStyle name="40% - Accent6 2 5 10 2" xfId="42969"/>
    <cellStyle name="40% - Accent6 2 5 11" xfId="42970"/>
    <cellStyle name="40% - Accent6 2 5 2" xfId="42971"/>
    <cellStyle name="40% - Accent6 2 5 2 10" xfId="42972"/>
    <cellStyle name="40% - Accent6 2 5 2 2" xfId="42973"/>
    <cellStyle name="40% - Accent6 2 5 2 2 2" xfId="42974"/>
    <cellStyle name="40% - Accent6 2 5 2 2 2 2" xfId="42975"/>
    <cellStyle name="40% - Accent6 2 5 2 2 2 2 2" xfId="42976"/>
    <cellStyle name="40% - Accent6 2 5 2 2 2 2 2 2" xfId="42977"/>
    <cellStyle name="40% - Accent6 2 5 2 2 2 2 3" xfId="42978"/>
    <cellStyle name="40% - Accent6 2 5 2 2 2 3" xfId="42979"/>
    <cellStyle name="40% - Accent6 2 5 2 2 2 3 2" xfId="42980"/>
    <cellStyle name="40% - Accent6 2 5 2 2 2 4" xfId="42981"/>
    <cellStyle name="40% - Accent6 2 5 2 2 3" xfId="42982"/>
    <cellStyle name="40% - Accent6 2 5 2 2 3 2" xfId="42983"/>
    <cellStyle name="40% - Accent6 2 5 2 2 3 2 2" xfId="42984"/>
    <cellStyle name="40% - Accent6 2 5 2 2 3 3" xfId="42985"/>
    <cellStyle name="40% - Accent6 2 5 2 2 4" xfId="42986"/>
    <cellStyle name="40% - Accent6 2 5 2 2 4 2" xfId="42987"/>
    <cellStyle name="40% - Accent6 2 5 2 2 5" xfId="42988"/>
    <cellStyle name="40% - Accent6 2 5 2 3" xfId="42989"/>
    <cellStyle name="40% - Accent6 2 5 2 3 2" xfId="42990"/>
    <cellStyle name="40% - Accent6 2 5 2 3 2 2" xfId="42991"/>
    <cellStyle name="40% - Accent6 2 5 2 3 2 2 2" xfId="42992"/>
    <cellStyle name="40% - Accent6 2 5 2 3 2 2 2 2" xfId="42993"/>
    <cellStyle name="40% - Accent6 2 5 2 3 2 2 3" xfId="42994"/>
    <cellStyle name="40% - Accent6 2 5 2 3 2 3" xfId="42995"/>
    <cellStyle name="40% - Accent6 2 5 2 3 2 3 2" xfId="42996"/>
    <cellStyle name="40% - Accent6 2 5 2 3 2 4" xfId="42997"/>
    <cellStyle name="40% - Accent6 2 5 2 3 3" xfId="42998"/>
    <cellStyle name="40% - Accent6 2 5 2 3 3 2" xfId="42999"/>
    <cellStyle name="40% - Accent6 2 5 2 3 3 2 2" xfId="43000"/>
    <cellStyle name="40% - Accent6 2 5 2 3 3 3" xfId="43001"/>
    <cellStyle name="40% - Accent6 2 5 2 3 4" xfId="43002"/>
    <cellStyle name="40% - Accent6 2 5 2 3 4 2" xfId="43003"/>
    <cellStyle name="40% - Accent6 2 5 2 3 5" xfId="43004"/>
    <cellStyle name="40% - Accent6 2 5 2 4" xfId="43005"/>
    <cellStyle name="40% - Accent6 2 5 2 4 2" xfId="43006"/>
    <cellStyle name="40% - Accent6 2 5 2 4 2 2" xfId="43007"/>
    <cellStyle name="40% - Accent6 2 5 2 4 2 2 2" xfId="43008"/>
    <cellStyle name="40% - Accent6 2 5 2 4 2 2 2 2" xfId="43009"/>
    <cellStyle name="40% - Accent6 2 5 2 4 2 2 3" xfId="43010"/>
    <cellStyle name="40% - Accent6 2 5 2 4 2 3" xfId="43011"/>
    <cellStyle name="40% - Accent6 2 5 2 4 2 3 2" xfId="43012"/>
    <cellStyle name="40% - Accent6 2 5 2 4 2 4" xfId="43013"/>
    <cellStyle name="40% - Accent6 2 5 2 4 3" xfId="43014"/>
    <cellStyle name="40% - Accent6 2 5 2 4 3 2" xfId="43015"/>
    <cellStyle name="40% - Accent6 2 5 2 4 3 2 2" xfId="43016"/>
    <cellStyle name="40% - Accent6 2 5 2 4 3 3" xfId="43017"/>
    <cellStyle name="40% - Accent6 2 5 2 4 4" xfId="43018"/>
    <cellStyle name="40% - Accent6 2 5 2 4 4 2" xfId="43019"/>
    <cellStyle name="40% - Accent6 2 5 2 4 5" xfId="43020"/>
    <cellStyle name="40% - Accent6 2 5 2 5" xfId="43021"/>
    <cellStyle name="40% - Accent6 2 5 2 5 2" xfId="43022"/>
    <cellStyle name="40% - Accent6 2 5 2 5 2 2" xfId="43023"/>
    <cellStyle name="40% - Accent6 2 5 2 5 2 2 2" xfId="43024"/>
    <cellStyle name="40% - Accent6 2 5 2 5 2 2 2 2" xfId="43025"/>
    <cellStyle name="40% - Accent6 2 5 2 5 2 2 3" xfId="43026"/>
    <cellStyle name="40% - Accent6 2 5 2 5 2 3" xfId="43027"/>
    <cellStyle name="40% - Accent6 2 5 2 5 2 3 2" xfId="43028"/>
    <cellStyle name="40% - Accent6 2 5 2 5 2 4" xfId="43029"/>
    <cellStyle name="40% - Accent6 2 5 2 5 3" xfId="43030"/>
    <cellStyle name="40% - Accent6 2 5 2 5 3 2" xfId="43031"/>
    <cellStyle name="40% - Accent6 2 5 2 5 3 2 2" xfId="43032"/>
    <cellStyle name="40% - Accent6 2 5 2 5 3 3" xfId="43033"/>
    <cellStyle name="40% - Accent6 2 5 2 5 4" xfId="43034"/>
    <cellStyle name="40% - Accent6 2 5 2 5 4 2" xfId="43035"/>
    <cellStyle name="40% - Accent6 2 5 2 5 5" xfId="43036"/>
    <cellStyle name="40% - Accent6 2 5 2 6" xfId="43037"/>
    <cellStyle name="40% - Accent6 2 5 2 6 2" xfId="43038"/>
    <cellStyle name="40% - Accent6 2 5 2 6 2 2" xfId="43039"/>
    <cellStyle name="40% - Accent6 2 5 2 6 2 2 2" xfId="43040"/>
    <cellStyle name="40% - Accent6 2 5 2 6 2 2 2 2" xfId="43041"/>
    <cellStyle name="40% - Accent6 2 5 2 6 2 2 3" xfId="43042"/>
    <cellStyle name="40% - Accent6 2 5 2 6 2 3" xfId="43043"/>
    <cellStyle name="40% - Accent6 2 5 2 6 2 3 2" xfId="43044"/>
    <cellStyle name="40% - Accent6 2 5 2 6 2 4" xfId="43045"/>
    <cellStyle name="40% - Accent6 2 5 2 6 3" xfId="43046"/>
    <cellStyle name="40% - Accent6 2 5 2 6 3 2" xfId="43047"/>
    <cellStyle name="40% - Accent6 2 5 2 6 3 2 2" xfId="43048"/>
    <cellStyle name="40% - Accent6 2 5 2 6 3 3" xfId="43049"/>
    <cellStyle name="40% - Accent6 2 5 2 6 4" xfId="43050"/>
    <cellStyle name="40% - Accent6 2 5 2 6 4 2" xfId="43051"/>
    <cellStyle name="40% - Accent6 2 5 2 6 5" xfId="43052"/>
    <cellStyle name="40% - Accent6 2 5 2 7" xfId="43053"/>
    <cellStyle name="40% - Accent6 2 5 2 7 2" xfId="43054"/>
    <cellStyle name="40% - Accent6 2 5 2 7 2 2" xfId="43055"/>
    <cellStyle name="40% - Accent6 2 5 2 7 2 2 2" xfId="43056"/>
    <cellStyle name="40% - Accent6 2 5 2 7 2 3" xfId="43057"/>
    <cellStyle name="40% - Accent6 2 5 2 7 3" xfId="43058"/>
    <cellStyle name="40% - Accent6 2 5 2 7 3 2" xfId="43059"/>
    <cellStyle name="40% - Accent6 2 5 2 7 4" xfId="43060"/>
    <cellStyle name="40% - Accent6 2 5 2 8" xfId="43061"/>
    <cellStyle name="40% - Accent6 2 5 2 8 2" xfId="43062"/>
    <cellStyle name="40% - Accent6 2 5 2 8 2 2" xfId="43063"/>
    <cellStyle name="40% - Accent6 2 5 2 8 3" xfId="43064"/>
    <cellStyle name="40% - Accent6 2 5 2 9" xfId="43065"/>
    <cellStyle name="40% - Accent6 2 5 2 9 2" xfId="43066"/>
    <cellStyle name="40% - Accent6 2 5 3" xfId="43067"/>
    <cellStyle name="40% - Accent6 2 5 3 2" xfId="43068"/>
    <cellStyle name="40% - Accent6 2 5 3 2 2" xfId="43069"/>
    <cellStyle name="40% - Accent6 2 5 3 2 2 2" xfId="43070"/>
    <cellStyle name="40% - Accent6 2 5 3 2 2 2 2" xfId="43071"/>
    <cellStyle name="40% - Accent6 2 5 3 2 2 3" xfId="43072"/>
    <cellStyle name="40% - Accent6 2 5 3 2 3" xfId="43073"/>
    <cellStyle name="40% - Accent6 2 5 3 2 3 2" xfId="43074"/>
    <cellStyle name="40% - Accent6 2 5 3 2 4" xfId="43075"/>
    <cellStyle name="40% - Accent6 2 5 3 3" xfId="43076"/>
    <cellStyle name="40% - Accent6 2 5 3 3 2" xfId="43077"/>
    <cellStyle name="40% - Accent6 2 5 3 3 2 2" xfId="43078"/>
    <cellStyle name="40% - Accent6 2 5 3 3 3" xfId="43079"/>
    <cellStyle name="40% - Accent6 2 5 3 4" xfId="43080"/>
    <cellStyle name="40% - Accent6 2 5 3 4 2" xfId="43081"/>
    <cellStyle name="40% - Accent6 2 5 3 5" xfId="43082"/>
    <cellStyle name="40% - Accent6 2 5 4" xfId="43083"/>
    <cellStyle name="40% - Accent6 2 5 4 2" xfId="43084"/>
    <cellStyle name="40% - Accent6 2 5 4 2 2" xfId="43085"/>
    <cellStyle name="40% - Accent6 2 5 4 2 2 2" xfId="43086"/>
    <cellStyle name="40% - Accent6 2 5 4 2 2 2 2" xfId="43087"/>
    <cellStyle name="40% - Accent6 2 5 4 2 2 3" xfId="43088"/>
    <cellStyle name="40% - Accent6 2 5 4 2 3" xfId="43089"/>
    <cellStyle name="40% - Accent6 2 5 4 2 3 2" xfId="43090"/>
    <cellStyle name="40% - Accent6 2 5 4 2 4" xfId="43091"/>
    <cellStyle name="40% - Accent6 2 5 4 3" xfId="43092"/>
    <cellStyle name="40% - Accent6 2 5 4 3 2" xfId="43093"/>
    <cellStyle name="40% - Accent6 2 5 4 3 2 2" xfId="43094"/>
    <cellStyle name="40% - Accent6 2 5 4 3 3" xfId="43095"/>
    <cellStyle name="40% - Accent6 2 5 4 4" xfId="43096"/>
    <cellStyle name="40% - Accent6 2 5 4 4 2" xfId="43097"/>
    <cellStyle name="40% - Accent6 2 5 4 5" xfId="43098"/>
    <cellStyle name="40% - Accent6 2 5 5" xfId="43099"/>
    <cellStyle name="40% - Accent6 2 5 5 2" xfId="43100"/>
    <cellStyle name="40% - Accent6 2 5 5 2 2" xfId="43101"/>
    <cellStyle name="40% - Accent6 2 5 5 2 2 2" xfId="43102"/>
    <cellStyle name="40% - Accent6 2 5 5 2 2 2 2" xfId="43103"/>
    <cellStyle name="40% - Accent6 2 5 5 2 2 3" xfId="43104"/>
    <cellStyle name="40% - Accent6 2 5 5 2 3" xfId="43105"/>
    <cellStyle name="40% - Accent6 2 5 5 2 3 2" xfId="43106"/>
    <cellStyle name="40% - Accent6 2 5 5 2 4" xfId="43107"/>
    <cellStyle name="40% - Accent6 2 5 5 3" xfId="43108"/>
    <cellStyle name="40% - Accent6 2 5 5 3 2" xfId="43109"/>
    <cellStyle name="40% - Accent6 2 5 5 3 2 2" xfId="43110"/>
    <cellStyle name="40% - Accent6 2 5 5 3 3" xfId="43111"/>
    <cellStyle name="40% - Accent6 2 5 5 4" xfId="43112"/>
    <cellStyle name="40% - Accent6 2 5 5 4 2" xfId="43113"/>
    <cellStyle name="40% - Accent6 2 5 5 5" xfId="43114"/>
    <cellStyle name="40% - Accent6 2 5 6" xfId="43115"/>
    <cellStyle name="40% - Accent6 2 5 6 2" xfId="43116"/>
    <cellStyle name="40% - Accent6 2 5 6 2 2" xfId="43117"/>
    <cellStyle name="40% - Accent6 2 5 6 2 2 2" xfId="43118"/>
    <cellStyle name="40% - Accent6 2 5 6 2 2 2 2" xfId="43119"/>
    <cellStyle name="40% - Accent6 2 5 6 2 2 3" xfId="43120"/>
    <cellStyle name="40% - Accent6 2 5 6 2 3" xfId="43121"/>
    <cellStyle name="40% - Accent6 2 5 6 2 3 2" xfId="43122"/>
    <cellStyle name="40% - Accent6 2 5 6 2 4" xfId="43123"/>
    <cellStyle name="40% - Accent6 2 5 6 3" xfId="43124"/>
    <cellStyle name="40% - Accent6 2 5 6 3 2" xfId="43125"/>
    <cellStyle name="40% - Accent6 2 5 6 3 2 2" xfId="43126"/>
    <cellStyle name="40% - Accent6 2 5 6 3 3" xfId="43127"/>
    <cellStyle name="40% - Accent6 2 5 6 4" xfId="43128"/>
    <cellStyle name="40% - Accent6 2 5 6 4 2" xfId="43129"/>
    <cellStyle name="40% - Accent6 2 5 6 5" xfId="43130"/>
    <cellStyle name="40% - Accent6 2 5 7" xfId="43131"/>
    <cellStyle name="40% - Accent6 2 5 7 2" xfId="43132"/>
    <cellStyle name="40% - Accent6 2 5 7 2 2" xfId="43133"/>
    <cellStyle name="40% - Accent6 2 5 7 2 2 2" xfId="43134"/>
    <cellStyle name="40% - Accent6 2 5 7 2 2 2 2" xfId="43135"/>
    <cellStyle name="40% - Accent6 2 5 7 2 2 3" xfId="43136"/>
    <cellStyle name="40% - Accent6 2 5 7 2 3" xfId="43137"/>
    <cellStyle name="40% - Accent6 2 5 7 2 3 2" xfId="43138"/>
    <cellStyle name="40% - Accent6 2 5 7 2 4" xfId="43139"/>
    <cellStyle name="40% - Accent6 2 5 7 3" xfId="43140"/>
    <cellStyle name="40% - Accent6 2 5 7 3 2" xfId="43141"/>
    <cellStyle name="40% - Accent6 2 5 7 3 2 2" xfId="43142"/>
    <cellStyle name="40% - Accent6 2 5 7 3 3" xfId="43143"/>
    <cellStyle name="40% - Accent6 2 5 7 4" xfId="43144"/>
    <cellStyle name="40% - Accent6 2 5 7 4 2" xfId="43145"/>
    <cellStyle name="40% - Accent6 2 5 7 5" xfId="43146"/>
    <cellStyle name="40% - Accent6 2 5 8" xfId="43147"/>
    <cellStyle name="40% - Accent6 2 5 8 2" xfId="43148"/>
    <cellStyle name="40% - Accent6 2 5 8 2 2" xfId="43149"/>
    <cellStyle name="40% - Accent6 2 5 8 2 2 2" xfId="43150"/>
    <cellStyle name="40% - Accent6 2 5 8 2 3" xfId="43151"/>
    <cellStyle name="40% - Accent6 2 5 8 3" xfId="43152"/>
    <cellStyle name="40% - Accent6 2 5 8 3 2" xfId="43153"/>
    <cellStyle name="40% - Accent6 2 5 8 4" xfId="43154"/>
    <cellStyle name="40% - Accent6 2 5 9" xfId="43155"/>
    <cellStyle name="40% - Accent6 2 5 9 2" xfId="43156"/>
    <cellStyle name="40% - Accent6 2 5 9 2 2" xfId="43157"/>
    <cellStyle name="40% - Accent6 2 5 9 3" xfId="43158"/>
    <cellStyle name="40% - Accent6 2 6" xfId="43159"/>
    <cellStyle name="40% - Accent6 2 6 10" xfId="43160"/>
    <cellStyle name="40% - Accent6 2 6 10 2" xfId="43161"/>
    <cellStyle name="40% - Accent6 2 6 11" xfId="43162"/>
    <cellStyle name="40% - Accent6 2 6 2" xfId="43163"/>
    <cellStyle name="40% - Accent6 2 6 2 10" xfId="43164"/>
    <cellStyle name="40% - Accent6 2 6 2 2" xfId="43165"/>
    <cellStyle name="40% - Accent6 2 6 2 2 2" xfId="43166"/>
    <cellStyle name="40% - Accent6 2 6 2 2 2 2" xfId="43167"/>
    <cellStyle name="40% - Accent6 2 6 2 2 2 2 2" xfId="43168"/>
    <cellStyle name="40% - Accent6 2 6 2 2 2 2 2 2" xfId="43169"/>
    <cellStyle name="40% - Accent6 2 6 2 2 2 2 3" xfId="43170"/>
    <cellStyle name="40% - Accent6 2 6 2 2 2 3" xfId="43171"/>
    <cellStyle name="40% - Accent6 2 6 2 2 2 3 2" xfId="43172"/>
    <cellStyle name="40% - Accent6 2 6 2 2 2 4" xfId="43173"/>
    <cellStyle name="40% - Accent6 2 6 2 2 3" xfId="43174"/>
    <cellStyle name="40% - Accent6 2 6 2 2 3 2" xfId="43175"/>
    <cellStyle name="40% - Accent6 2 6 2 2 3 2 2" xfId="43176"/>
    <cellStyle name="40% - Accent6 2 6 2 2 3 3" xfId="43177"/>
    <cellStyle name="40% - Accent6 2 6 2 2 4" xfId="43178"/>
    <cellStyle name="40% - Accent6 2 6 2 2 4 2" xfId="43179"/>
    <cellStyle name="40% - Accent6 2 6 2 2 5" xfId="43180"/>
    <cellStyle name="40% - Accent6 2 6 2 3" xfId="43181"/>
    <cellStyle name="40% - Accent6 2 6 2 3 2" xfId="43182"/>
    <cellStyle name="40% - Accent6 2 6 2 3 2 2" xfId="43183"/>
    <cellStyle name="40% - Accent6 2 6 2 3 2 2 2" xfId="43184"/>
    <cellStyle name="40% - Accent6 2 6 2 3 2 2 2 2" xfId="43185"/>
    <cellStyle name="40% - Accent6 2 6 2 3 2 2 3" xfId="43186"/>
    <cellStyle name="40% - Accent6 2 6 2 3 2 3" xfId="43187"/>
    <cellStyle name="40% - Accent6 2 6 2 3 2 3 2" xfId="43188"/>
    <cellStyle name="40% - Accent6 2 6 2 3 2 4" xfId="43189"/>
    <cellStyle name="40% - Accent6 2 6 2 3 3" xfId="43190"/>
    <cellStyle name="40% - Accent6 2 6 2 3 3 2" xfId="43191"/>
    <cellStyle name="40% - Accent6 2 6 2 3 3 2 2" xfId="43192"/>
    <cellStyle name="40% - Accent6 2 6 2 3 3 3" xfId="43193"/>
    <cellStyle name="40% - Accent6 2 6 2 3 4" xfId="43194"/>
    <cellStyle name="40% - Accent6 2 6 2 3 4 2" xfId="43195"/>
    <cellStyle name="40% - Accent6 2 6 2 3 5" xfId="43196"/>
    <cellStyle name="40% - Accent6 2 6 2 4" xfId="43197"/>
    <cellStyle name="40% - Accent6 2 6 2 4 2" xfId="43198"/>
    <cellStyle name="40% - Accent6 2 6 2 4 2 2" xfId="43199"/>
    <cellStyle name="40% - Accent6 2 6 2 4 2 2 2" xfId="43200"/>
    <cellStyle name="40% - Accent6 2 6 2 4 2 2 2 2" xfId="43201"/>
    <cellStyle name="40% - Accent6 2 6 2 4 2 2 3" xfId="43202"/>
    <cellStyle name="40% - Accent6 2 6 2 4 2 3" xfId="43203"/>
    <cellStyle name="40% - Accent6 2 6 2 4 2 3 2" xfId="43204"/>
    <cellStyle name="40% - Accent6 2 6 2 4 2 4" xfId="43205"/>
    <cellStyle name="40% - Accent6 2 6 2 4 3" xfId="43206"/>
    <cellStyle name="40% - Accent6 2 6 2 4 3 2" xfId="43207"/>
    <cellStyle name="40% - Accent6 2 6 2 4 3 2 2" xfId="43208"/>
    <cellStyle name="40% - Accent6 2 6 2 4 3 3" xfId="43209"/>
    <cellStyle name="40% - Accent6 2 6 2 4 4" xfId="43210"/>
    <cellStyle name="40% - Accent6 2 6 2 4 4 2" xfId="43211"/>
    <cellStyle name="40% - Accent6 2 6 2 4 5" xfId="43212"/>
    <cellStyle name="40% - Accent6 2 6 2 5" xfId="43213"/>
    <cellStyle name="40% - Accent6 2 6 2 5 2" xfId="43214"/>
    <cellStyle name="40% - Accent6 2 6 2 5 2 2" xfId="43215"/>
    <cellStyle name="40% - Accent6 2 6 2 5 2 2 2" xfId="43216"/>
    <cellStyle name="40% - Accent6 2 6 2 5 2 2 2 2" xfId="43217"/>
    <cellStyle name="40% - Accent6 2 6 2 5 2 2 3" xfId="43218"/>
    <cellStyle name="40% - Accent6 2 6 2 5 2 3" xfId="43219"/>
    <cellStyle name="40% - Accent6 2 6 2 5 2 3 2" xfId="43220"/>
    <cellStyle name="40% - Accent6 2 6 2 5 2 4" xfId="43221"/>
    <cellStyle name="40% - Accent6 2 6 2 5 3" xfId="43222"/>
    <cellStyle name="40% - Accent6 2 6 2 5 3 2" xfId="43223"/>
    <cellStyle name="40% - Accent6 2 6 2 5 3 2 2" xfId="43224"/>
    <cellStyle name="40% - Accent6 2 6 2 5 3 3" xfId="43225"/>
    <cellStyle name="40% - Accent6 2 6 2 5 4" xfId="43226"/>
    <cellStyle name="40% - Accent6 2 6 2 5 4 2" xfId="43227"/>
    <cellStyle name="40% - Accent6 2 6 2 5 5" xfId="43228"/>
    <cellStyle name="40% - Accent6 2 6 2 6" xfId="43229"/>
    <cellStyle name="40% - Accent6 2 6 2 6 2" xfId="43230"/>
    <cellStyle name="40% - Accent6 2 6 2 6 2 2" xfId="43231"/>
    <cellStyle name="40% - Accent6 2 6 2 6 2 2 2" xfId="43232"/>
    <cellStyle name="40% - Accent6 2 6 2 6 2 2 2 2" xfId="43233"/>
    <cellStyle name="40% - Accent6 2 6 2 6 2 2 3" xfId="43234"/>
    <cellStyle name="40% - Accent6 2 6 2 6 2 3" xfId="43235"/>
    <cellStyle name="40% - Accent6 2 6 2 6 2 3 2" xfId="43236"/>
    <cellStyle name="40% - Accent6 2 6 2 6 2 4" xfId="43237"/>
    <cellStyle name="40% - Accent6 2 6 2 6 3" xfId="43238"/>
    <cellStyle name="40% - Accent6 2 6 2 6 3 2" xfId="43239"/>
    <cellStyle name="40% - Accent6 2 6 2 6 3 2 2" xfId="43240"/>
    <cellStyle name="40% - Accent6 2 6 2 6 3 3" xfId="43241"/>
    <cellStyle name="40% - Accent6 2 6 2 6 4" xfId="43242"/>
    <cellStyle name="40% - Accent6 2 6 2 6 4 2" xfId="43243"/>
    <cellStyle name="40% - Accent6 2 6 2 6 5" xfId="43244"/>
    <cellStyle name="40% - Accent6 2 6 2 7" xfId="43245"/>
    <cellStyle name="40% - Accent6 2 6 2 7 2" xfId="43246"/>
    <cellStyle name="40% - Accent6 2 6 2 7 2 2" xfId="43247"/>
    <cellStyle name="40% - Accent6 2 6 2 7 2 2 2" xfId="43248"/>
    <cellStyle name="40% - Accent6 2 6 2 7 2 3" xfId="43249"/>
    <cellStyle name="40% - Accent6 2 6 2 7 3" xfId="43250"/>
    <cellStyle name="40% - Accent6 2 6 2 7 3 2" xfId="43251"/>
    <cellStyle name="40% - Accent6 2 6 2 7 4" xfId="43252"/>
    <cellStyle name="40% - Accent6 2 6 2 8" xfId="43253"/>
    <cellStyle name="40% - Accent6 2 6 2 8 2" xfId="43254"/>
    <cellStyle name="40% - Accent6 2 6 2 8 2 2" xfId="43255"/>
    <cellStyle name="40% - Accent6 2 6 2 8 3" xfId="43256"/>
    <cellStyle name="40% - Accent6 2 6 2 9" xfId="43257"/>
    <cellStyle name="40% - Accent6 2 6 2 9 2" xfId="43258"/>
    <cellStyle name="40% - Accent6 2 6 3" xfId="43259"/>
    <cellStyle name="40% - Accent6 2 6 3 2" xfId="43260"/>
    <cellStyle name="40% - Accent6 2 6 3 2 2" xfId="43261"/>
    <cellStyle name="40% - Accent6 2 6 3 2 2 2" xfId="43262"/>
    <cellStyle name="40% - Accent6 2 6 3 2 2 2 2" xfId="43263"/>
    <cellStyle name="40% - Accent6 2 6 3 2 2 3" xfId="43264"/>
    <cellStyle name="40% - Accent6 2 6 3 2 3" xfId="43265"/>
    <cellStyle name="40% - Accent6 2 6 3 2 3 2" xfId="43266"/>
    <cellStyle name="40% - Accent6 2 6 3 2 4" xfId="43267"/>
    <cellStyle name="40% - Accent6 2 6 3 3" xfId="43268"/>
    <cellStyle name="40% - Accent6 2 6 3 3 2" xfId="43269"/>
    <cellStyle name="40% - Accent6 2 6 3 3 2 2" xfId="43270"/>
    <cellStyle name="40% - Accent6 2 6 3 3 3" xfId="43271"/>
    <cellStyle name="40% - Accent6 2 6 3 4" xfId="43272"/>
    <cellStyle name="40% - Accent6 2 6 3 4 2" xfId="43273"/>
    <cellStyle name="40% - Accent6 2 6 3 5" xfId="43274"/>
    <cellStyle name="40% - Accent6 2 6 4" xfId="43275"/>
    <cellStyle name="40% - Accent6 2 6 4 2" xfId="43276"/>
    <cellStyle name="40% - Accent6 2 6 4 2 2" xfId="43277"/>
    <cellStyle name="40% - Accent6 2 6 4 2 2 2" xfId="43278"/>
    <cellStyle name="40% - Accent6 2 6 4 2 2 2 2" xfId="43279"/>
    <cellStyle name="40% - Accent6 2 6 4 2 2 3" xfId="43280"/>
    <cellStyle name="40% - Accent6 2 6 4 2 3" xfId="43281"/>
    <cellStyle name="40% - Accent6 2 6 4 2 3 2" xfId="43282"/>
    <cellStyle name="40% - Accent6 2 6 4 2 4" xfId="43283"/>
    <cellStyle name="40% - Accent6 2 6 4 3" xfId="43284"/>
    <cellStyle name="40% - Accent6 2 6 4 3 2" xfId="43285"/>
    <cellStyle name="40% - Accent6 2 6 4 3 2 2" xfId="43286"/>
    <cellStyle name="40% - Accent6 2 6 4 3 3" xfId="43287"/>
    <cellStyle name="40% - Accent6 2 6 4 4" xfId="43288"/>
    <cellStyle name="40% - Accent6 2 6 4 4 2" xfId="43289"/>
    <cellStyle name="40% - Accent6 2 6 4 5" xfId="43290"/>
    <cellStyle name="40% - Accent6 2 6 5" xfId="43291"/>
    <cellStyle name="40% - Accent6 2 6 5 2" xfId="43292"/>
    <cellStyle name="40% - Accent6 2 6 5 2 2" xfId="43293"/>
    <cellStyle name="40% - Accent6 2 6 5 2 2 2" xfId="43294"/>
    <cellStyle name="40% - Accent6 2 6 5 2 2 2 2" xfId="43295"/>
    <cellStyle name="40% - Accent6 2 6 5 2 2 3" xfId="43296"/>
    <cellStyle name="40% - Accent6 2 6 5 2 3" xfId="43297"/>
    <cellStyle name="40% - Accent6 2 6 5 2 3 2" xfId="43298"/>
    <cellStyle name="40% - Accent6 2 6 5 2 4" xfId="43299"/>
    <cellStyle name="40% - Accent6 2 6 5 3" xfId="43300"/>
    <cellStyle name="40% - Accent6 2 6 5 3 2" xfId="43301"/>
    <cellStyle name="40% - Accent6 2 6 5 3 2 2" xfId="43302"/>
    <cellStyle name="40% - Accent6 2 6 5 3 3" xfId="43303"/>
    <cellStyle name="40% - Accent6 2 6 5 4" xfId="43304"/>
    <cellStyle name="40% - Accent6 2 6 5 4 2" xfId="43305"/>
    <cellStyle name="40% - Accent6 2 6 5 5" xfId="43306"/>
    <cellStyle name="40% - Accent6 2 6 6" xfId="43307"/>
    <cellStyle name="40% - Accent6 2 6 6 2" xfId="43308"/>
    <cellStyle name="40% - Accent6 2 6 6 2 2" xfId="43309"/>
    <cellStyle name="40% - Accent6 2 6 6 2 2 2" xfId="43310"/>
    <cellStyle name="40% - Accent6 2 6 6 2 2 2 2" xfId="43311"/>
    <cellStyle name="40% - Accent6 2 6 6 2 2 3" xfId="43312"/>
    <cellStyle name="40% - Accent6 2 6 6 2 3" xfId="43313"/>
    <cellStyle name="40% - Accent6 2 6 6 2 3 2" xfId="43314"/>
    <cellStyle name="40% - Accent6 2 6 6 2 4" xfId="43315"/>
    <cellStyle name="40% - Accent6 2 6 6 3" xfId="43316"/>
    <cellStyle name="40% - Accent6 2 6 6 3 2" xfId="43317"/>
    <cellStyle name="40% - Accent6 2 6 6 3 2 2" xfId="43318"/>
    <cellStyle name="40% - Accent6 2 6 6 3 3" xfId="43319"/>
    <cellStyle name="40% - Accent6 2 6 6 4" xfId="43320"/>
    <cellStyle name="40% - Accent6 2 6 6 4 2" xfId="43321"/>
    <cellStyle name="40% - Accent6 2 6 6 5" xfId="43322"/>
    <cellStyle name="40% - Accent6 2 6 7" xfId="43323"/>
    <cellStyle name="40% - Accent6 2 6 7 2" xfId="43324"/>
    <cellStyle name="40% - Accent6 2 6 7 2 2" xfId="43325"/>
    <cellStyle name="40% - Accent6 2 6 7 2 2 2" xfId="43326"/>
    <cellStyle name="40% - Accent6 2 6 7 2 2 2 2" xfId="43327"/>
    <cellStyle name="40% - Accent6 2 6 7 2 2 3" xfId="43328"/>
    <cellStyle name="40% - Accent6 2 6 7 2 3" xfId="43329"/>
    <cellStyle name="40% - Accent6 2 6 7 2 3 2" xfId="43330"/>
    <cellStyle name="40% - Accent6 2 6 7 2 4" xfId="43331"/>
    <cellStyle name="40% - Accent6 2 6 7 3" xfId="43332"/>
    <cellStyle name="40% - Accent6 2 6 7 3 2" xfId="43333"/>
    <cellStyle name="40% - Accent6 2 6 7 3 2 2" xfId="43334"/>
    <cellStyle name="40% - Accent6 2 6 7 3 3" xfId="43335"/>
    <cellStyle name="40% - Accent6 2 6 7 4" xfId="43336"/>
    <cellStyle name="40% - Accent6 2 6 7 4 2" xfId="43337"/>
    <cellStyle name="40% - Accent6 2 6 7 5" xfId="43338"/>
    <cellStyle name="40% - Accent6 2 6 8" xfId="43339"/>
    <cellStyle name="40% - Accent6 2 6 8 2" xfId="43340"/>
    <cellStyle name="40% - Accent6 2 6 8 2 2" xfId="43341"/>
    <cellStyle name="40% - Accent6 2 6 8 2 2 2" xfId="43342"/>
    <cellStyle name="40% - Accent6 2 6 8 2 3" xfId="43343"/>
    <cellStyle name="40% - Accent6 2 6 8 3" xfId="43344"/>
    <cellStyle name="40% - Accent6 2 6 8 3 2" xfId="43345"/>
    <cellStyle name="40% - Accent6 2 6 8 4" xfId="43346"/>
    <cellStyle name="40% - Accent6 2 6 9" xfId="43347"/>
    <cellStyle name="40% - Accent6 2 6 9 2" xfId="43348"/>
    <cellStyle name="40% - Accent6 2 6 9 2 2" xfId="43349"/>
    <cellStyle name="40% - Accent6 2 6 9 3" xfId="43350"/>
    <cellStyle name="40% - Accent6 2 7" xfId="43351"/>
    <cellStyle name="40% - Accent6 2 7 10" xfId="43352"/>
    <cellStyle name="40% - Accent6 2 7 10 2" xfId="43353"/>
    <cellStyle name="40% - Accent6 2 7 11" xfId="43354"/>
    <cellStyle name="40% - Accent6 2 7 2" xfId="43355"/>
    <cellStyle name="40% - Accent6 2 7 2 10" xfId="43356"/>
    <cellStyle name="40% - Accent6 2 7 2 2" xfId="43357"/>
    <cellStyle name="40% - Accent6 2 7 2 2 2" xfId="43358"/>
    <cellStyle name="40% - Accent6 2 7 2 2 2 2" xfId="43359"/>
    <cellStyle name="40% - Accent6 2 7 2 2 2 2 2" xfId="43360"/>
    <cellStyle name="40% - Accent6 2 7 2 2 2 2 2 2" xfId="43361"/>
    <cellStyle name="40% - Accent6 2 7 2 2 2 2 3" xfId="43362"/>
    <cellStyle name="40% - Accent6 2 7 2 2 2 3" xfId="43363"/>
    <cellStyle name="40% - Accent6 2 7 2 2 2 3 2" xfId="43364"/>
    <cellStyle name="40% - Accent6 2 7 2 2 2 4" xfId="43365"/>
    <cellStyle name="40% - Accent6 2 7 2 2 3" xfId="43366"/>
    <cellStyle name="40% - Accent6 2 7 2 2 3 2" xfId="43367"/>
    <cellStyle name="40% - Accent6 2 7 2 2 3 2 2" xfId="43368"/>
    <cellStyle name="40% - Accent6 2 7 2 2 3 3" xfId="43369"/>
    <cellStyle name="40% - Accent6 2 7 2 2 4" xfId="43370"/>
    <cellStyle name="40% - Accent6 2 7 2 2 4 2" xfId="43371"/>
    <cellStyle name="40% - Accent6 2 7 2 2 5" xfId="43372"/>
    <cellStyle name="40% - Accent6 2 7 2 3" xfId="43373"/>
    <cellStyle name="40% - Accent6 2 7 2 3 2" xfId="43374"/>
    <cellStyle name="40% - Accent6 2 7 2 3 2 2" xfId="43375"/>
    <cellStyle name="40% - Accent6 2 7 2 3 2 2 2" xfId="43376"/>
    <cellStyle name="40% - Accent6 2 7 2 3 2 2 2 2" xfId="43377"/>
    <cellStyle name="40% - Accent6 2 7 2 3 2 2 3" xfId="43378"/>
    <cellStyle name="40% - Accent6 2 7 2 3 2 3" xfId="43379"/>
    <cellStyle name="40% - Accent6 2 7 2 3 2 3 2" xfId="43380"/>
    <cellStyle name="40% - Accent6 2 7 2 3 2 4" xfId="43381"/>
    <cellStyle name="40% - Accent6 2 7 2 3 3" xfId="43382"/>
    <cellStyle name="40% - Accent6 2 7 2 3 3 2" xfId="43383"/>
    <cellStyle name="40% - Accent6 2 7 2 3 3 2 2" xfId="43384"/>
    <cellStyle name="40% - Accent6 2 7 2 3 3 3" xfId="43385"/>
    <cellStyle name="40% - Accent6 2 7 2 3 4" xfId="43386"/>
    <cellStyle name="40% - Accent6 2 7 2 3 4 2" xfId="43387"/>
    <cellStyle name="40% - Accent6 2 7 2 3 5" xfId="43388"/>
    <cellStyle name="40% - Accent6 2 7 2 4" xfId="43389"/>
    <cellStyle name="40% - Accent6 2 7 2 4 2" xfId="43390"/>
    <cellStyle name="40% - Accent6 2 7 2 4 2 2" xfId="43391"/>
    <cellStyle name="40% - Accent6 2 7 2 4 2 2 2" xfId="43392"/>
    <cellStyle name="40% - Accent6 2 7 2 4 2 2 2 2" xfId="43393"/>
    <cellStyle name="40% - Accent6 2 7 2 4 2 2 3" xfId="43394"/>
    <cellStyle name="40% - Accent6 2 7 2 4 2 3" xfId="43395"/>
    <cellStyle name="40% - Accent6 2 7 2 4 2 3 2" xfId="43396"/>
    <cellStyle name="40% - Accent6 2 7 2 4 2 4" xfId="43397"/>
    <cellStyle name="40% - Accent6 2 7 2 4 3" xfId="43398"/>
    <cellStyle name="40% - Accent6 2 7 2 4 3 2" xfId="43399"/>
    <cellStyle name="40% - Accent6 2 7 2 4 3 2 2" xfId="43400"/>
    <cellStyle name="40% - Accent6 2 7 2 4 3 3" xfId="43401"/>
    <cellStyle name="40% - Accent6 2 7 2 4 4" xfId="43402"/>
    <cellStyle name="40% - Accent6 2 7 2 4 4 2" xfId="43403"/>
    <cellStyle name="40% - Accent6 2 7 2 4 5" xfId="43404"/>
    <cellStyle name="40% - Accent6 2 7 2 5" xfId="43405"/>
    <cellStyle name="40% - Accent6 2 7 2 5 2" xfId="43406"/>
    <cellStyle name="40% - Accent6 2 7 2 5 2 2" xfId="43407"/>
    <cellStyle name="40% - Accent6 2 7 2 5 2 2 2" xfId="43408"/>
    <cellStyle name="40% - Accent6 2 7 2 5 2 2 2 2" xfId="43409"/>
    <cellStyle name="40% - Accent6 2 7 2 5 2 2 3" xfId="43410"/>
    <cellStyle name="40% - Accent6 2 7 2 5 2 3" xfId="43411"/>
    <cellStyle name="40% - Accent6 2 7 2 5 2 3 2" xfId="43412"/>
    <cellStyle name="40% - Accent6 2 7 2 5 2 4" xfId="43413"/>
    <cellStyle name="40% - Accent6 2 7 2 5 3" xfId="43414"/>
    <cellStyle name="40% - Accent6 2 7 2 5 3 2" xfId="43415"/>
    <cellStyle name="40% - Accent6 2 7 2 5 3 2 2" xfId="43416"/>
    <cellStyle name="40% - Accent6 2 7 2 5 3 3" xfId="43417"/>
    <cellStyle name="40% - Accent6 2 7 2 5 4" xfId="43418"/>
    <cellStyle name="40% - Accent6 2 7 2 5 4 2" xfId="43419"/>
    <cellStyle name="40% - Accent6 2 7 2 5 5" xfId="43420"/>
    <cellStyle name="40% - Accent6 2 7 2 6" xfId="43421"/>
    <cellStyle name="40% - Accent6 2 7 2 6 2" xfId="43422"/>
    <cellStyle name="40% - Accent6 2 7 2 6 2 2" xfId="43423"/>
    <cellStyle name="40% - Accent6 2 7 2 6 2 2 2" xfId="43424"/>
    <cellStyle name="40% - Accent6 2 7 2 6 2 2 2 2" xfId="43425"/>
    <cellStyle name="40% - Accent6 2 7 2 6 2 2 3" xfId="43426"/>
    <cellStyle name="40% - Accent6 2 7 2 6 2 3" xfId="43427"/>
    <cellStyle name="40% - Accent6 2 7 2 6 2 3 2" xfId="43428"/>
    <cellStyle name="40% - Accent6 2 7 2 6 2 4" xfId="43429"/>
    <cellStyle name="40% - Accent6 2 7 2 6 3" xfId="43430"/>
    <cellStyle name="40% - Accent6 2 7 2 6 3 2" xfId="43431"/>
    <cellStyle name="40% - Accent6 2 7 2 6 3 2 2" xfId="43432"/>
    <cellStyle name="40% - Accent6 2 7 2 6 3 3" xfId="43433"/>
    <cellStyle name="40% - Accent6 2 7 2 6 4" xfId="43434"/>
    <cellStyle name="40% - Accent6 2 7 2 6 4 2" xfId="43435"/>
    <cellStyle name="40% - Accent6 2 7 2 6 5" xfId="43436"/>
    <cellStyle name="40% - Accent6 2 7 2 7" xfId="43437"/>
    <cellStyle name="40% - Accent6 2 7 2 7 2" xfId="43438"/>
    <cellStyle name="40% - Accent6 2 7 2 7 2 2" xfId="43439"/>
    <cellStyle name="40% - Accent6 2 7 2 7 2 2 2" xfId="43440"/>
    <cellStyle name="40% - Accent6 2 7 2 7 2 3" xfId="43441"/>
    <cellStyle name="40% - Accent6 2 7 2 7 3" xfId="43442"/>
    <cellStyle name="40% - Accent6 2 7 2 7 3 2" xfId="43443"/>
    <cellStyle name="40% - Accent6 2 7 2 7 4" xfId="43444"/>
    <cellStyle name="40% - Accent6 2 7 2 8" xfId="43445"/>
    <cellStyle name="40% - Accent6 2 7 2 8 2" xfId="43446"/>
    <cellStyle name="40% - Accent6 2 7 2 8 2 2" xfId="43447"/>
    <cellStyle name="40% - Accent6 2 7 2 8 3" xfId="43448"/>
    <cellStyle name="40% - Accent6 2 7 2 9" xfId="43449"/>
    <cellStyle name="40% - Accent6 2 7 2 9 2" xfId="43450"/>
    <cellStyle name="40% - Accent6 2 7 3" xfId="43451"/>
    <cellStyle name="40% - Accent6 2 7 3 2" xfId="43452"/>
    <cellStyle name="40% - Accent6 2 7 3 2 2" xfId="43453"/>
    <cellStyle name="40% - Accent6 2 7 3 2 2 2" xfId="43454"/>
    <cellStyle name="40% - Accent6 2 7 3 2 2 2 2" xfId="43455"/>
    <cellStyle name="40% - Accent6 2 7 3 2 2 3" xfId="43456"/>
    <cellStyle name="40% - Accent6 2 7 3 2 3" xfId="43457"/>
    <cellStyle name="40% - Accent6 2 7 3 2 3 2" xfId="43458"/>
    <cellStyle name="40% - Accent6 2 7 3 2 4" xfId="43459"/>
    <cellStyle name="40% - Accent6 2 7 3 3" xfId="43460"/>
    <cellStyle name="40% - Accent6 2 7 3 3 2" xfId="43461"/>
    <cellStyle name="40% - Accent6 2 7 3 3 2 2" xfId="43462"/>
    <cellStyle name="40% - Accent6 2 7 3 3 3" xfId="43463"/>
    <cellStyle name="40% - Accent6 2 7 3 4" xfId="43464"/>
    <cellStyle name="40% - Accent6 2 7 3 4 2" xfId="43465"/>
    <cellStyle name="40% - Accent6 2 7 3 5" xfId="43466"/>
    <cellStyle name="40% - Accent6 2 7 4" xfId="43467"/>
    <cellStyle name="40% - Accent6 2 7 4 2" xfId="43468"/>
    <cellStyle name="40% - Accent6 2 7 4 2 2" xfId="43469"/>
    <cellStyle name="40% - Accent6 2 7 4 2 2 2" xfId="43470"/>
    <cellStyle name="40% - Accent6 2 7 4 2 2 2 2" xfId="43471"/>
    <cellStyle name="40% - Accent6 2 7 4 2 2 3" xfId="43472"/>
    <cellStyle name="40% - Accent6 2 7 4 2 3" xfId="43473"/>
    <cellStyle name="40% - Accent6 2 7 4 2 3 2" xfId="43474"/>
    <cellStyle name="40% - Accent6 2 7 4 2 4" xfId="43475"/>
    <cellStyle name="40% - Accent6 2 7 4 3" xfId="43476"/>
    <cellStyle name="40% - Accent6 2 7 4 3 2" xfId="43477"/>
    <cellStyle name="40% - Accent6 2 7 4 3 2 2" xfId="43478"/>
    <cellStyle name="40% - Accent6 2 7 4 3 3" xfId="43479"/>
    <cellStyle name="40% - Accent6 2 7 4 4" xfId="43480"/>
    <cellStyle name="40% - Accent6 2 7 4 4 2" xfId="43481"/>
    <cellStyle name="40% - Accent6 2 7 4 5" xfId="43482"/>
    <cellStyle name="40% - Accent6 2 7 5" xfId="43483"/>
    <cellStyle name="40% - Accent6 2 7 5 2" xfId="43484"/>
    <cellStyle name="40% - Accent6 2 7 5 2 2" xfId="43485"/>
    <cellStyle name="40% - Accent6 2 7 5 2 2 2" xfId="43486"/>
    <cellStyle name="40% - Accent6 2 7 5 2 2 2 2" xfId="43487"/>
    <cellStyle name="40% - Accent6 2 7 5 2 2 3" xfId="43488"/>
    <cellStyle name="40% - Accent6 2 7 5 2 3" xfId="43489"/>
    <cellStyle name="40% - Accent6 2 7 5 2 3 2" xfId="43490"/>
    <cellStyle name="40% - Accent6 2 7 5 2 4" xfId="43491"/>
    <cellStyle name="40% - Accent6 2 7 5 3" xfId="43492"/>
    <cellStyle name="40% - Accent6 2 7 5 3 2" xfId="43493"/>
    <cellStyle name="40% - Accent6 2 7 5 3 2 2" xfId="43494"/>
    <cellStyle name="40% - Accent6 2 7 5 3 3" xfId="43495"/>
    <cellStyle name="40% - Accent6 2 7 5 4" xfId="43496"/>
    <cellStyle name="40% - Accent6 2 7 5 4 2" xfId="43497"/>
    <cellStyle name="40% - Accent6 2 7 5 5" xfId="43498"/>
    <cellStyle name="40% - Accent6 2 7 6" xfId="43499"/>
    <cellStyle name="40% - Accent6 2 7 6 2" xfId="43500"/>
    <cellStyle name="40% - Accent6 2 7 6 2 2" xfId="43501"/>
    <cellStyle name="40% - Accent6 2 7 6 2 2 2" xfId="43502"/>
    <cellStyle name="40% - Accent6 2 7 6 2 2 2 2" xfId="43503"/>
    <cellStyle name="40% - Accent6 2 7 6 2 2 3" xfId="43504"/>
    <cellStyle name="40% - Accent6 2 7 6 2 3" xfId="43505"/>
    <cellStyle name="40% - Accent6 2 7 6 2 3 2" xfId="43506"/>
    <cellStyle name="40% - Accent6 2 7 6 2 4" xfId="43507"/>
    <cellStyle name="40% - Accent6 2 7 6 3" xfId="43508"/>
    <cellStyle name="40% - Accent6 2 7 6 3 2" xfId="43509"/>
    <cellStyle name="40% - Accent6 2 7 6 3 2 2" xfId="43510"/>
    <cellStyle name="40% - Accent6 2 7 6 3 3" xfId="43511"/>
    <cellStyle name="40% - Accent6 2 7 6 4" xfId="43512"/>
    <cellStyle name="40% - Accent6 2 7 6 4 2" xfId="43513"/>
    <cellStyle name="40% - Accent6 2 7 6 5" xfId="43514"/>
    <cellStyle name="40% - Accent6 2 7 7" xfId="43515"/>
    <cellStyle name="40% - Accent6 2 7 7 2" xfId="43516"/>
    <cellStyle name="40% - Accent6 2 7 7 2 2" xfId="43517"/>
    <cellStyle name="40% - Accent6 2 7 7 2 2 2" xfId="43518"/>
    <cellStyle name="40% - Accent6 2 7 7 2 2 2 2" xfId="43519"/>
    <cellStyle name="40% - Accent6 2 7 7 2 2 3" xfId="43520"/>
    <cellStyle name="40% - Accent6 2 7 7 2 3" xfId="43521"/>
    <cellStyle name="40% - Accent6 2 7 7 2 3 2" xfId="43522"/>
    <cellStyle name="40% - Accent6 2 7 7 2 4" xfId="43523"/>
    <cellStyle name="40% - Accent6 2 7 7 3" xfId="43524"/>
    <cellStyle name="40% - Accent6 2 7 7 3 2" xfId="43525"/>
    <cellStyle name="40% - Accent6 2 7 7 3 2 2" xfId="43526"/>
    <cellStyle name="40% - Accent6 2 7 7 3 3" xfId="43527"/>
    <cellStyle name="40% - Accent6 2 7 7 4" xfId="43528"/>
    <cellStyle name="40% - Accent6 2 7 7 4 2" xfId="43529"/>
    <cellStyle name="40% - Accent6 2 7 7 5" xfId="43530"/>
    <cellStyle name="40% - Accent6 2 7 8" xfId="43531"/>
    <cellStyle name="40% - Accent6 2 7 8 2" xfId="43532"/>
    <cellStyle name="40% - Accent6 2 7 8 2 2" xfId="43533"/>
    <cellStyle name="40% - Accent6 2 7 8 2 2 2" xfId="43534"/>
    <cellStyle name="40% - Accent6 2 7 8 2 3" xfId="43535"/>
    <cellStyle name="40% - Accent6 2 7 8 3" xfId="43536"/>
    <cellStyle name="40% - Accent6 2 7 8 3 2" xfId="43537"/>
    <cellStyle name="40% - Accent6 2 7 8 4" xfId="43538"/>
    <cellStyle name="40% - Accent6 2 7 9" xfId="43539"/>
    <cellStyle name="40% - Accent6 2 7 9 2" xfId="43540"/>
    <cellStyle name="40% - Accent6 2 7 9 2 2" xfId="43541"/>
    <cellStyle name="40% - Accent6 2 7 9 3" xfId="43542"/>
    <cellStyle name="40% - Accent6 2 8" xfId="43543"/>
    <cellStyle name="40% - Accent6 2 8 10" xfId="43544"/>
    <cellStyle name="40% - Accent6 2 8 10 2" xfId="43545"/>
    <cellStyle name="40% - Accent6 2 8 11" xfId="43546"/>
    <cellStyle name="40% - Accent6 2 8 2" xfId="43547"/>
    <cellStyle name="40% - Accent6 2 8 2 10" xfId="43548"/>
    <cellStyle name="40% - Accent6 2 8 2 2" xfId="43549"/>
    <cellStyle name="40% - Accent6 2 8 2 2 2" xfId="43550"/>
    <cellStyle name="40% - Accent6 2 8 2 2 2 2" xfId="43551"/>
    <cellStyle name="40% - Accent6 2 8 2 2 2 2 2" xfId="43552"/>
    <cellStyle name="40% - Accent6 2 8 2 2 2 2 2 2" xfId="43553"/>
    <cellStyle name="40% - Accent6 2 8 2 2 2 2 3" xfId="43554"/>
    <cellStyle name="40% - Accent6 2 8 2 2 2 3" xfId="43555"/>
    <cellStyle name="40% - Accent6 2 8 2 2 2 3 2" xfId="43556"/>
    <cellStyle name="40% - Accent6 2 8 2 2 2 4" xfId="43557"/>
    <cellStyle name="40% - Accent6 2 8 2 2 3" xfId="43558"/>
    <cellStyle name="40% - Accent6 2 8 2 2 3 2" xfId="43559"/>
    <cellStyle name="40% - Accent6 2 8 2 2 3 2 2" xfId="43560"/>
    <cellStyle name="40% - Accent6 2 8 2 2 3 3" xfId="43561"/>
    <cellStyle name="40% - Accent6 2 8 2 2 4" xfId="43562"/>
    <cellStyle name="40% - Accent6 2 8 2 2 4 2" xfId="43563"/>
    <cellStyle name="40% - Accent6 2 8 2 2 5" xfId="43564"/>
    <cellStyle name="40% - Accent6 2 8 2 3" xfId="43565"/>
    <cellStyle name="40% - Accent6 2 8 2 3 2" xfId="43566"/>
    <cellStyle name="40% - Accent6 2 8 2 3 2 2" xfId="43567"/>
    <cellStyle name="40% - Accent6 2 8 2 3 2 2 2" xfId="43568"/>
    <cellStyle name="40% - Accent6 2 8 2 3 2 2 2 2" xfId="43569"/>
    <cellStyle name="40% - Accent6 2 8 2 3 2 2 3" xfId="43570"/>
    <cellStyle name="40% - Accent6 2 8 2 3 2 3" xfId="43571"/>
    <cellStyle name="40% - Accent6 2 8 2 3 2 3 2" xfId="43572"/>
    <cellStyle name="40% - Accent6 2 8 2 3 2 4" xfId="43573"/>
    <cellStyle name="40% - Accent6 2 8 2 3 3" xfId="43574"/>
    <cellStyle name="40% - Accent6 2 8 2 3 3 2" xfId="43575"/>
    <cellStyle name="40% - Accent6 2 8 2 3 3 2 2" xfId="43576"/>
    <cellStyle name="40% - Accent6 2 8 2 3 3 3" xfId="43577"/>
    <cellStyle name="40% - Accent6 2 8 2 3 4" xfId="43578"/>
    <cellStyle name="40% - Accent6 2 8 2 3 4 2" xfId="43579"/>
    <cellStyle name="40% - Accent6 2 8 2 3 5" xfId="43580"/>
    <cellStyle name="40% - Accent6 2 8 2 4" xfId="43581"/>
    <cellStyle name="40% - Accent6 2 8 2 4 2" xfId="43582"/>
    <cellStyle name="40% - Accent6 2 8 2 4 2 2" xfId="43583"/>
    <cellStyle name="40% - Accent6 2 8 2 4 2 2 2" xfId="43584"/>
    <cellStyle name="40% - Accent6 2 8 2 4 2 2 2 2" xfId="43585"/>
    <cellStyle name="40% - Accent6 2 8 2 4 2 2 3" xfId="43586"/>
    <cellStyle name="40% - Accent6 2 8 2 4 2 3" xfId="43587"/>
    <cellStyle name="40% - Accent6 2 8 2 4 2 3 2" xfId="43588"/>
    <cellStyle name="40% - Accent6 2 8 2 4 2 4" xfId="43589"/>
    <cellStyle name="40% - Accent6 2 8 2 4 3" xfId="43590"/>
    <cellStyle name="40% - Accent6 2 8 2 4 3 2" xfId="43591"/>
    <cellStyle name="40% - Accent6 2 8 2 4 3 2 2" xfId="43592"/>
    <cellStyle name="40% - Accent6 2 8 2 4 3 3" xfId="43593"/>
    <cellStyle name="40% - Accent6 2 8 2 4 4" xfId="43594"/>
    <cellStyle name="40% - Accent6 2 8 2 4 4 2" xfId="43595"/>
    <cellStyle name="40% - Accent6 2 8 2 4 5" xfId="43596"/>
    <cellStyle name="40% - Accent6 2 8 2 5" xfId="43597"/>
    <cellStyle name="40% - Accent6 2 8 2 5 2" xfId="43598"/>
    <cellStyle name="40% - Accent6 2 8 2 5 2 2" xfId="43599"/>
    <cellStyle name="40% - Accent6 2 8 2 5 2 2 2" xfId="43600"/>
    <cellStyle name="40% - Accent6 2 8 2 5 2 2 2 2" xfId="43601"/>
    <cellStyle name="40% - Accent6 2 8 2 5 2 2 3" xfId="43602"/>
    <cellStyle name="40% - Accent6 2 8 2 5 2 3" xfId="43603"/>
    <cellStyle name="40% - Accent6 2 8 2 5 2 3 2" xfId="43604"/>
    <cellStyle name="40% - Accent6 2 8 2 5 2 4" xfId="43605"/>
    <cellStyle name="40% - Accent6 2 8 2 5 3" xfId="43606"/>
    <cellStyle name="40% - Accent6 2 8 2 5 3 2" xfId="43607"/>
    <cellStyle name="40% - Accent6 2 8 2 5 3 2 2" xfId="43608"/>
    <cellStyle name="40% - Accent6 2 8 2 5 3 3" xfId="43609"/>
    <cellStyle name="40% - Accent6 2 8 2 5 4" xfId="43610"/>
    <cellStyle name="40% - Accent6 2 8 2 5 4 2" xfId="43611"/>
    <cellStyle name="40% - Accent6 2 8 2 5 5" xfId="43612"/>
    <cellStyle name="40% - Accent6 2 8 2 6" xfId="43613"/>
    <cellStyle name="40% - Accent6 2 8 2 6 2" xfId="43614"/>
    <cellStyle name="40% - Accent6 2 8 2 6 2 2" xfId="43615"/>
    <cellStyle name="40% - Accent6 2 8 2 6 2 2 2" xfId="43616"/>
    <cellStyle name="40% - Accent6 2 8 2 6 2 2 2 2" xfId="43617"/>
    <cellStyle name="40% - Accent6 2 8 2 6 2 2 3" xfId="43618"/>
    <cellStyle name="40% - Accent6 2 8 2 6 2 3" xfId="43619"/>
    <cellStyle name="40% - Accent6 2 8 2 6 2 3 2" xfId="43620"/>
    <cellStyle name="40% - Accent6 2 8 2 6 2 4" xfId="43621"/>
    <cellStyle name="40% - Accent6 2 8 2 6 3" xfId="43622"/>
    <cellStyle name="40% - Accent6 2 8 2 6 3 2" xfId="43623"/>
    <cellStyle name="40% - Accent6 2 8 2 6 3 2 2" xfId="43624"/>
    <cellStyle name="40% - Accent6 2 8 2 6 3 3" xfId="43625"/>
    <cellStyle name="40% - Accent6 2 8 2 6 4" xfId="43626"/>
    <cellStyle name="40% - Accent6 2 8 2 6 4 2" xfId="43627"/>
    <cellStyle name="40% - Accent6 2 8 2 6 5" xfId="43628"/>
    <cellStyle name="40% - Accent6 2 8 2 7" xfId="43629"/>
    <cellStyle name="40% - Accent6 2 8 2 7 2" xfId="43630"/>
    <cellStyle name="40% - Accent6 2 8 2 7 2 2" xfId="43631"/>
    <cellStyle name="40% - Accent6 2 8 2 7 2 2 2" xfId="43632"/>
    <cellStyle name="40% - Accent6 2 8 2 7 2 3" xfId="43633"/>
    <cellStyle name="40% - Accent6 2 8 2 7 3" xfId="43634"/>
    <cellStyle name="40% - Accent6 2 8 2 7 3 2" xfId="43635"/>
    <cellStyle name="40% - Accent6 2 8 2 7 4" xfId="43636"/>
    <cellStyle name="40% - Accent6 2 8 2 8" xfId="43637"/>
    <cellStyle name="40% - Accent6 2 8 2 8 2" xfId="43638"/>
    <cellStyle name="40% - Accent6 2 8 2 8 2 2" xfId="43639"/>
    <cellStyle name="40% - Accent6 2 8 2 8 3" xfId="43640"/>
    <cellStyle name="40% - Accent6 2 8 2 9" xfId="43641"/>
    <cellStyle name="40% - Accent6 2 8 2 9 2" xfId="43642"/>
    <cellStyle name="40% - Accent6 2 8 3" xfId="43643"/>
    <cellStyle name="40% - Accent6 2 8 3 2" xfId="43644"/>
    <cellStyle name="40% - Accent6 2 8 3 2 2" xfId="43645"/>
    <cellStyle name="40% - Accent6 2 8 3 2 2 2" xfId="43646"/>
    <cellStyle name="40% - Accent6 2 8 3 2 2 2 2" xfId="43647"/>
    <cellStyle name="40% - Accent6 2 8 3 2 2 3" xfId="43648"/>
    <cellStyle name="40% - Accent6 2 8 3 2 3" xfId="43649"/>
    <cellStyle name="40% - Accent6 2 8 3 2 3 2" xfId="43650"/>
    <cellStyle name="40% - Accent6 2 8 3 2 4" xfId="43651"/>
    <cellStyle name="40% - Accent6 2 8 3 3" xfId="43652"/>
    <cellStyle name="40% - Accent6 2 8 3 3 2" xfId="43653"/>
    <cellStyle name="40% - Accent6 2 8 3 3 2 2" xfId="43654"/>
    <cellStyle name="40% - Accent6 2 8 3 3 3" xfId="43655"/>
    <cellStyle name="40% - Accent6 2 8 3 4" xfId="43656"/>
    <cellStyle name="40% - Accent6 2 8 3 4 2" xfId="43657"/>
    <cellStyle name="40% - Accent6 2 8 3 5" xfId="43658"/>
    <cellStyle name="40% - Accent6 2 8 4" xfId="43659"/>
    <cellStyle name="40% - Accent6 2 8 4 2" xfId="43660"/>
    <cellStyle name="40% - Accent6 2 8 4 2 2" xfId="43661"/>
    <cellStyle name="40% - Accent6 2 8 4 2 2 2" xfId="43662"/>
    <cellStyle name="40% - Accent6 2 8 4 2 2 2 2" xfId="43663"/>
    <cellStyle name="40% - Accent6 2 8 4 2 2 3" xfId="43664"/>
    <cellStyle name="40% - Accent6 2 8 4 2 3" xfId="43665"/>
    <cellStyle name="40% - Accent6 2 8 4 2 3 2" xfId="43666"/>
    <cellStyle name="40% - Accent6 2 8 4 2 4" xfId="43667"/>
    <cellStyle name="40% - Accent6 2 8 4 3" xfId="43668"/>
    <cellStyle name="40% - Accent6 2 8 4 3 2" xfId="43669"/>
    <cellStyle name="40% - Accent6 2 8 4 3 2 2" xfId="43670"/>
    <cellStyle name="40% - Accent6 2 8 4 3 3" xfId="43671"/>
    <cellStyle name="40% - Accent6 2 8 4 4" xfId="43672"/>
    <cellStyle name="40% - Accent6 2 8 4 4 2" xfId="43673"/>
    <cellStyle name="40% - Accent6 2 8 4 5" xfId="43674"/>
    <cellStyle name="40% - Accent6 2 8 5" xfId="43675"/>
    <cellStyle name="40% - Accent6 2 8 5 2" xfId="43676"/>
    <cellStyle name="40% - Accent6 2 8 5 2 2" xfId="43677"/>
    <cellStyle name="40% - Accent6 2 8 5 2 2 2" xfId="43678"/>
    <cellStyle name="40% - Accent6 2 8 5 2 2 2 2" xfId="43679"/>
    <cellStyle name="40% - Accent6 2 8 5 2 2 3" xfId="43680"/>
    <cellStyle name="40% - Accent6 2 8 5 2 3" xfId="43681"/>
    <cellStyle name="40% - Accent6 2 8 5 2 3 2" xfId="43682"/>
    <cellStyle name="40% - Accent6 2 8 5 2 4" xfId="43683"/>
    <cellStyle name="40% - Accent6 2 8 5 3" xfId="43684"/>
    <cellStyle name="40% - Accent6 2 8 5 3 2" xfId="43685"/>
    <cellStyle name="40% - Accent6 2 8 5 3 2 2" xfId="43686"/>
    <cellStyle name="40% - Accent6 2 8 5 3 3" xfId="43687"/>
    <cellStyle name="40% - Accent6 2 8 5 4" xfId="43688"/>
    <cellStyle name="40% - Accent6 2 8 5 4 2" xfId="43689"/>
    <cellStyle name="40% - Accent6 2 8 5 5" xfId="43690"/>
    <cellStyle name="40% - Accent6 2 8 6" xfId="43691"/>
    <cellStyle name="40% - Accent6 2 8 6 2" xfId="43692"/>
    <cellStyle name="40% - Accent6 2 8 6 2 2" xfId="43693"/>
    <cellStyle name="40% - Accent6 2 8 6 2 2 2" xfId="43694"/>
    <cellStyle name="40% - Accent6 2 8 6 2 2 2 2" xfId="43695"/>
    <cellStyle name="40% - Accent6 2 8 6 2 2 3" xfId="43696"/>
    <cellStyle name="40% - Accent6 2 8 6 2 3" xfId="43697"/>
    <cellStyle name="40% - Accent6 2 8 6 2 3 2" xfId="43698"/>
    <cellStyle name="40% - Accent6 2 8 6 2 4" xfId="43699"/>
    <cellStyle name="40% - Accent6 2 8 6 3" xfId="43700"/>
    <cellStyle name="40% - Accent6 2 8 6 3 2" xfId="43701"/>
    <cellStyle name="40% - Accent6 2 8 6 3 2 2" xfId="43702"/>
    <cellStyle name="40% - Accent6 2 8 6 3 3" xfId="43703"/>
    <cellStyle name="40% - Accent6 2 8 6 4" xfId="43704"/>
    <cellStyle name="40% - Accent6 2 8 6 4 2" xfId="43705"/>
    <cellStyle name="40% - Accent6 2 8 6 5" xfId="43706"/>
    <cellStyle name="40% - Accent6 2 8 7" xfId="43707"/>
    <cellStyle name="40% - Accent6 2 8 7 2" xfId="43708"/>
    <cellStyle name="40% - Accent6 2 8 7 2 2" xfId="43709"/>
    <cellStyle name="40% - Accent6 2 8 7 2 2 2" xfId="43710"/>
    <cellStyle name="40% - Accent6 2 8 7 2 2 2 2" xfId="43711"/>
    <cellStyle name="40% - Accent6 2 8 7 2 2 3" xfId="43712"/>
    <cellStyle name="40% - Accent6 2 8 7 2 3" xfId="43713"/>
    <cellStyle name="40% - Accent6 2 8 7 2 3 2" xfId="43714"/>
    <cellStyle name="40% - Accent6 2 8 7 2 4" xfId="43715"/>
    <cellStyle name="40% - Accent6 2 8 7 3" xfId="43716"/>
    <cellStyle name="40% - Accent6 2 8 7 3 2" xfId="43717"/>
    <cellStyle name="40% - Accent6 2 8 7 3 2 2" xfId="43718"/>
    <cellStyle name="40% - Accent6 2 8 7 3 3" xfId="43719"/>
    <cellStyle name="40% - Accent6 2 8 7 4" xfId="43720"/>
    <cellStyle name="40% - Accent6 2 8 7 4 2" xfId="43721"/>
    <cellStyle name="40% - Accent6 2 8 7 5" xfId="43722"/>
    <cellStyle name="40% - Accent6 2 8 8" xfId="43723"/>
    <cellStyle name="40% - Accent6 2 8 8 2" xfId="43724"/>
    <cellStyle name="40% - Accent6 2 8 8 2 2" xfId="43725"/>
    <cellStyle name="40% - Accent6 2 8 8 2 2 2" xfId="43726"/>
    <cellStyle name="40% - Accent6 2 8 8 2 3" xfId="43727"/>
    <cellStyle name="40% - Accent6 2 8 8 3" xfId="43728"/>
    <cellStyle name="40% - Accent6 2 8 8 3 2" xfId="43729"/>
    <cellStyle name="40% - Accent6 2 8 8 4" xfId="43730"/>
    <cellStyle name="40% - Accent6 2 8 9" xfId="43731"/>
    <cellStyle name="40% - Accent6 2 8 9 2" xfId="43732"/>
    <cellStyle name="40% - Accent6 2 8 9 2 2" xfId="43733"/>
    <cellStyle name="40% - Accent6 2 8 9 3" xfId="43734"/>
    <cellStyle name="40% - Accent6 2 9" xfId="43735"/>
    <cellStyle name="40% - Accent6 2 9 10" xfId="43736"/>
    <cellStyle name="40% - Accent6 2 9 10 2" xfId="43737"/>
    <cellStyle name="40% - Accent6 2 9 11" xfId="43738"/>
    <cellStyle name="40% - Accent6 2 9 2" xfId="43739"/>
    <cellStyle name="40% - Accent6 2 9 2 10" xfId="43740"/>
    <cellStyle name="40% - Accent6 2 9 2 2" xfId="43741"/>
    <cellStyle name="40% - Accent6 2 9 2 2 2" xfId="43742"/>
    <cellStyle name="40% - Accent6 2 9 2 2 2 2" xfId="43743"/>
    <cellStyle name="40% - Accent6 2 9 2 2 2 2 2" xfId="43744"/>
    <cellStyle name="40% - Accent6 2 9 2 2 2 2 2 2" xfId="43745"/>
    <cellStyle name="40% - Accent6 2 9 2 2 2 2 3" xfId="43746"/>
    <cellStyle name="40% - Accent6 2 9 2 2 2 3" xfId="43747"/>
    <cellStyle name="40% - Accent6 2 9 2 2 2 3 2" xfId="43748"/>
    <cellStyle name="40% - Accent6 2 9 2 2 2 4" xfId="43749"/>
    <cellStyle name="40% - Accent6 2 9 2 2 3" xfId="43750"/>
    <cellStyle name="40% - Accent6 2 9 2 2 3 2" xfId="43751"/>
    <cellStyle name="40% - Accent6 2 9 2 2 3 2 2" xfId="43752"/>
    <cellStyle name="40% - Accent6 2 9 2 2 3 3" xfId="43753"/>
    <cellStyle name="40% - Accent6 2 9 2 2 4" xfId="43754"/>
    <cellStyle name="40% - Accent6 2 9 2 2 4 2" xfId="43755"/>
    <cellStyle name="40% - Accent6 2 9 2 2 5" xfId="43756"/>
    <cellStyle name="40% - Accent6 2 9 2 3" xfId="43757"/>
    <cellStyle name="40% - Accent6 2 9 2 3 2" xfId="43758"/>
    <cellStyle name="40% - Accent6 2 9 2 3 2 2" xfId="43759"/>
    <cellStyle name="40% - Accent6 2 9 2 3 2 2 2" xfId="43760"/>
    <cellStyle name="40% - Accent6 2 9 2 3 2 2 2 2" xfId="43761"/>
    <cellStyle name="40% - Accent6 2 9 2 3 2 2 3" xfId="43762"/>
    <cellStyle name="40% - Accent6 2 9 2 3 2 3" xfId="43763"/>
    <cellStyle name="40% - Accent6 2 9 2 3 2 3 2" xfId="43764"/>
    <cellStyle name="40% - Accent6 2 9 2 3 2 4" xfId="43765"/>
    <cellStyle name="40% - Accent6 2 9 2 3 3" xfId="43766"/>
    <cellStyle name="40% - Accent6 2 9 2 3 3 2" xfId="43767"/>
    <cellStyle name="40% - Accent6 2 9 2 3 3 2 2" xfId="43768"/>
    <cellStyle name="40% - Accent6 2 9 2 3 3 3" xfId="43769"/>
    <cellStyle name="40% - Accent6 2 9 2 3 4" xfId="43770"/>
    <cellStyle name="40% - Accent6 2 9 2 3 4 2" xfId="43771"/>
    <cellStyle name="40% - Accent6 2 9 2 3 5" xfId="43772"/>
    <cellStyle name="40% - Accent6 2 9 2 4" xfId="43773"/>
    <cellStyle name="40% - Accent6 2 9 2 4 2" xfId="43774"/>
    <cellStyle name="40% - Accent6 2 9 2 4 2 2" xfId="43775"/>
    <cellStyle name="40% - Accent6 2 9 2 4 2 2 2" xfId="43776"/>
    <cellStyle name="40% - Accent6 2 9 2 4 2 2 2 2" xfId="43777"/>
    <cellStyle name="40% - Accent6 2 9 2 4 2 2 3" xfId="43778"/>
    <cellStyle name="40% - Accent6 2 9 2 4 2 3" xfId="43779"/>
    <cellStyle name="40% - Accent6 2 9 2 4 2 3 2" xfId="43780"/>
    <cellStyle name="40% - Accent6 2 9 2 4 2 4" xfId="43781"/>
    <cellStyle name="40% - Accent6 2 9 2 4 3" xfId="43782"/>
    <cellStyle name="40% - Accent6 2 9 2 4 3 2" xfId="43783"/>
    <cellStyle name="40% - Accent6 2 9 2 4 3 2 2" xfId="43784"/>
    <cellStyle name="40% - Accent6 2 9 2 4 3 3" xfId="43785"/>
    <cellStyle name="40% - Accent6 2 9 2 4 4" xfId="43786"/>
    <cellStyle name="40% - Accent6 2 9 2 4 4 2" xfId="43787"/>
    <cellStyle name="40% - Accent6 2 9 2 4 5" xfId="43788"/>
    <cellStyle name="40% - Accent6 2 9 2 5" xfId="43789"/>
    <cellStyle name="40% - Accent6 2 9 2 5 2" xfId="43790"/>
    <cellStyle name="40% - Accent6 2 9 2 5 2 2" xfId="43791"/>
    <cellStyle name="40% - Accent6 2 9 2 5 2 2 2" xfId="43792"/>
    <cellStyle name="40% - Accent6 2 9 2 5 2 2 2 2" xfId="43793"/>
    <cellStyle name="40% - Accent6 2 9 2 5 2 2 3" xfId="43794"/>
    <cellStyle name="40% - Accent6 2 9 2 5 2 3" xfId="43795"/>
    <cellStyle name="40% - Accent6 2 9 2 5 2 3 2" xfId="43796"/>
    <cellStyle name="40% - Accent6 2 9 2 5 2 4" xfId="43797"/>
    <cellStyle name="40% - Accent6 2 9 2 5 3" xfId="43798"/>
    <cellStyle name="40% - Accent6 2 9 2 5 3 2" xfId="43799"/>
    <cellStyle name="40% - Accent6 2 9 2 5 3 2 2" xfId="43800"/>
    <cellStyle name="40% - Accent6 2 9 2 5 3 3" xfId="43801"/>
    <cellStyle name="40% - Accent6 2 9 2 5 4" xfId="43802"/>
    <cellStyle name="40% - Accent6 2 9 2 5 4 2" xfId="43803"/>
    <cellStyle name="40% - Accent6 2 9 2 5 5" xfId="43804"/>
    <cellStyle name="40% - Accent6 2 9 2 6" xfId="43805"/>
    <cellStyle name="40% - Accent6 2 9 2 6 2" xfId="43806"/>
    <cellStyle name="40% - Accent6 2 9 2 6 2 2" xfId="43807"/>
    <cellStyle name="40% - Accent6 2 9 2 6 2 2 2" xfId="43808"/>
    <cellStyle name="40% - Accent6 2 9 2 6 2 2 2 2" xfId="43809"/>
    <cellStyle name="40% - Accent6 2 9 2 6 2 2 3" xfId="43810"/>
    <cellStyle name="40% - Accent6 2 9 2 6 2 3" xfId="43811"/>
    <cellStyle name="40% - Accent6 2 9 2 6 2 3 2" xfId="43812"/>
    <cellStyle name="40% - Accent6 2 9 2 6 2 4" xfId="43813"/>
    <cellStyle name="40% - Accent6 2 9 2 6 3" xfId="43814"/>
    <cellStyle name="40% - Accent6 2 9 2 6 3 2" xfId="43815"/>
    <cellStyle name="40% - Accent6 2 9 2 6 3 2 2" xfId="43816"/>
    <cellStyle name="40% - Accent6 2 9 2 6 3 3" xfId="43817"/>
    <cellStyle name="40% - Accent6 2 9 2 6 4" xfId="43818"/>
    <cellStyle name="40% - Accent6 2 9 2 6 4 2" xfId="43819"/>
    <cellStyle name="40% - Accent6 2 9 2 6 5" xfId="43820"/>
    <cellStyle name="40% - Accent6 2 9 2 7" xfId="43821"/>
    <cellStyle name="40% - Accent6 2 9 2 7 2" xfId="43822"/>
    <cellStyle name="40% - Accent6 2 9 2 7 2 2" xfId="43823"/>
    <cellStyle name="40% - Accent6 2 9 2 7 2 2 2" xfId="43824"/>
    <cellStyle name="40% - Accent6 2 9 2 7 2 3" xfId="43825"/>
    <cellStyle name="40% - Accent6 2 9 2 7 3" xfId="43826"/>
    <cellStyle name="40% - Accent6 2 9 2 7 3 2" xfId="43827"/>
    <cellStyle name="40% - Accent6 2 9 2 7 4" xfId="43828"/>
    <cellStyle name="40% - Accent6 2 9 2 8" xfId="43829"/>
    <cellStyle name="40% - Accent6 2 9 2 8 2" xfId="43830"/>
    <cellStyle name="40% - Accent6 2 9 2 8 2 2" xfId="43831"/>
    <cellStyle name="40% - Accent6 2 9 2 8 3" xfId="43832"/>
    <cellStyle name="40% - Accent6 2 9 2 9" xfId="43833"/>
    <cellStyle name="40% - Accent6 2 9 2 9 2" xfId="43834"/>
    <cellStyle name="40% - Accent6 2 9 3" xfId="43835"/>
    <cellStyle name="40% - Accent6 2 9 3 2" xfId="43836"/>
    <cellStyle name="40% - Accent6 2 9 3 2 2" xfId="43837"/>
    <cellStyle name="40% - Accent6 2 9 3 2 2 2" xfId="43838"/>
    <cellStyle name="40% - Accent6 2 9 3 2 2 2 2" xfId="43839"/>
    <cellStyle name="40% - Accent6 2 9 3 2 2 3" xfId="43840"/>
    <cellStyle name="40% - Accent6 2 9 3 2 3" xfId="43841"/>
    <cellStyle name="40% - Accent6 2 9 3 2 3 2" xfId="43842"/>
    <cellStyle name="40% - Accent6 2 9 3 2 4" xfId="43843"/>
    <cellStyle name="40% - Accent6 2 9 3 3" xfId="43844"/>
    <cellStyle name="40% - Accent6 2 9 3 3 2" xfId="43845"/>
    <cellStyle name="40% - Accent6 2 9 3 3 2 2" xfId="43846"/>
    <cellStyle name="40% - Accent6 2 9 3 3 3" xfId="43847"/>
    <cellStyle name="40% - Accent6 2 9 3 4" xfId="43848"/>
    <cellStyle name="40% - Accent6 2 9 3 4 2" xfId="43849"/>
    <cellStyle name="40% - Accent6 2 9 3 5" xfId="43850"/>
    <cellStyle name="40% - Accent6 2 9 4" xfId="43851"/>
    <cellStyle name="40% - Accent6 2 9 4 2" xfId="43852"/>
    <cellStyle name="40% - Accent6 2 9 4 2 2" xfId="43853"/>
    <cellStyle name="40% - Accent6 2 9 4 2 2 2" xfId="43854"/>
    <cellStyle name="40% - Accent6 2 9 4 2 2 2 2" xfId="43855"/>
    <cellStyle name="40% - Accent6 2 9 4 2 2 3" xfId="43856"/>
    <cellStyle name="40% - Accent6 2 9 4 2 3" xfId="43857"/>
    <cellStyle name="40% - Accent6 2 9 4 2 3 2" xfId="43858"/>
    <cellStyle name="40% - Accent6 2 9 4 2 4" xfId="43859"/>
    <cellStyle name="40% - Accent6 2 9 4 3" xfId="43860"/>
    <cellStyle name="40% - Accent6 2 9 4 3 2" xfId="43861"/>
    <cellStyle name="40% - Accent6 2 9 4 3 2 2" xfId="43862"/>
    <cellStyle name="40% - Accent6 2 9 4 3 3" xfId="43863"/>
    <cellStyle name="40% - Accent6 2 9 4 4" xfId="43864"/>
    <cellStyle name="40% - Accent6 2 9 4 4 2" xfId="43865"/>
    <cellStyle name="40% - Accent6 2 9 4 5" xfId="43866"/>
    <cellStyle name="40% - Accent6 2 9 5" xfId="43867"/>
    <cellStyle name="40% - Accent6 2 9 5 2" xfId="43868"/>
    <cellStyle name="40% - Accent6 2 9 5 2 2" xfId="43869"/>
    <cellStyle name="40% - Accent6 2 9 5 2 2 2" xfId="43870"/>
    <cellStyle name="40% - Accent6 2 9 5 2 2 2 2" xfId="43871"/>
    <cellStyle name="40% - Accent6 2 9 5 2 2 3" xfId="43872"/>
    <cellStyle name="40% - Accent6 2 9 5 2 3" xfId="43873"/>
    <cellStyle name="40% - Accent6 2 9 5 2 3 2" xfId="43874"/>
    <cellStyle name="40% - Accent6 2 9 5 2 4" xfId="43875"/>
    <cellStyle name="40% - Accent6 2 9 5 3" xfId="43876"/>
    <cellStyle name="40% - Accent6 2 9 5 3 2" xfId="43877"/>
    <cellStyle name="40% - Accent6 2 9 5 3 2 2" xfId="43878"/>
    <cellStyle name="40% - Accent6 2 9 5 3 3" xfId="43879"/>
    <cellStyle name="40% - Accent6 2 9 5 4" xfId="43880"/>
    <cellStyle name="40% - Accent6 2 9 5 4 2" xfId="43881"/>
    <cellStyle name="40% - Accent6 2 9 5 5" xfId="43882"/>
    <cellStyle name="40% - Accent6 2 9 6" xfId="43883"/>
    <cellStyle name="40% - Accent6 2 9 6 2" xfId="43884"/>
    <cellStyle name="40% - Accent6 2 9 6 2 2" xfId="43885"/>
    <cellStyle name="40% - Accent6 2 9 6 2 2 2" xfId="43886"/>
    <cellStyle name="40% - Accent6 2 9 6 2 2 2 2" xfId="43887"/>
    <cellStyle name="40% - Accent6 2 9 6 2 2 3" xfId="43888"/>
    <cellStyle name="40% - Accent6 2 9 6 2 3" xfId="43889"/>
    <cellStyle name="40% - Accent6 2 9 6 2 3 2" xfId="43890"/>
    <cellStyle name="40% - Accent6 2 9 6 2 4" xfId="43891"/>
    <cellStyle name="40% - Accent6 2 9 6 3" xfId="43892"/>
    <cellStyle name="40% - Accent6 2 9 6 3 2" xfId="43893"/>
    <cellStyle name="40% - Accent6 2 9 6 3 2 2" xfId="43894"/>
    <cellStyle name="40% - Accent6 2 9 6 3 3" xfId="43895"/>
    <cellStyle name="40% - Accent6 2 9 6 4" xfId="43896"/>
    <cellStyle name="40% - Accent6 2 9 6 4 2" xfId="43897"/>
    <cellStyle name="40% - Accent6 2 9 6 5" xfId="43898"/>
    <cellStyle name="40% - Accent6 2 9 7" xfId="43899"/>
    <cellStyle name="40% - Accent6 2 9 7 2" xfId="43900"/>
    <cellStyle name="40% - Accent6 2 9 7 2 2" xfId="43901"/>
    <cellStyle name="40% - Accent6 2 9 7 2 2 2" xfId="43902"/>
    <cellStyle name="40% - Accent6 2 9 7 2 2 2 2" xfId="43903"/>
    <cellStyle name="40% - Accent6 2 9 7 2 2 3" xfId="43904"/>
    <cellStyle name="40% - Accent6 2 9 7 2 3" xfId="43905"/>
    <cellStyle name="40% - Accent6 2 9 7 2 3 2" xfId="43906"/>
    <cellStyle name="40% - Accent6 2 9 7 2 4" xfId="43907"/>
    <cellStyle name="40% - Accent6 2 9 7 3" xfId="43908"/>
    <cellStyle name="40% - Accent6 2 9 7 3 2" xfId="43909"/>
    <cellStyle name="40% - Accent6 2 9 7 3 2 2" xfId="43910"/>
    <cellStyle name="40% - Accent6 2 9 7 3 3" xfId="43911"/>
    <cellStyle name="40% - Accent6 2 9 7 4" xfId="43912"/>
    <cellStyle name="40% - Accent6 2 9 7 4 2" xfId="43913"/>
    <cellStyle name="40% - Accent6 2 9 7 5" xfId="43914"/>
    <cellStyle name="40% - Accent6 2 9 8" xfId="43915"/>
    <cellStyle name="40% - Accent6 2 9 8 2" xfId="43916"/>
    <cellStyle name="40% - Accent6 2 9 8 2 2" xfId="43917"/>
    <cellStyle name="40% - Accent6 2 9 8 2 2 2" xfId="43918"/>
    <cellStyle name="40% - Accent6 2 9 8 2 3" xfId="43919"/>
    <cellStyle name="40% - Accent6 2 9 8 3" xfId="43920"/>
    <cellStyle name="40% - Accent6 2 9 8 3 2" xfId="43921"/>
    <cellStyle name="40% - Accent6 2 9 8 4" xfId="43922"/>
    <cellStyle name="40% - Accent6 2 9 9" xfId="43923"/>
    <cellStyle name="40% - Accent6 2 9 9 2" xfId="43924"/>
    <cellStyle name="40% - Accent6 2 9 9 2 2" xfId="43925"/>
    <cellStyle name="40% - Accent6 2 9 9 3" xfId="43926"/>
    <cellStyle name="40% - Accent6 20" xfId="43927"/>
    <cellStyle name="40% - Accent6 20 2" xfId="43928"/>
    <cellStyle name="40% - Accent6 20 2 2" xfId="43929"/>
    <cellStyle name="40% - Accent6 20 2 2 2" xfId="43930"/>
    <cellStyle name="40% - Accent6 20 2 2 2 2" xfId="43931"/>
    <cellStyle name="40% - Accent6 20 2 2 3" xfId="43932"/>
    <cellStyle name="40% - Accent6 20 2 3" xfId="43933"/>
    <cellStyle name="40% - Accent6 20 2 3 2" xfId="43934"/>
    <cellStyle name="40% - Accent6 20 2 4" xfId="43935"/>
    <cellStyle name="40% - Accent6 20 3" xfId="43936"/>
    <cellStyle name="40% - Accent6 20 3 2" xfId="43937"/>
    <cellStyle name="40% - Accent6 20 3 2 2" xfId="43938"/>
    <cellStyle name="40% - Accent6 20 3 3" xfId="43939"/>
    <cellStyle name="40% - Accent6 20 4" xfId="43940"/>
    <cellStyle name="40% - Accent6 20 4 2" xfId="43941"/>
    <cellStyle name="40% - Accent6 20 5" xfId="43942"/>
    <cellStyle name="40% - Accent6 21" xfId="43943"/>
    <cellStyle name="40% - Accent6 21 2" xfId="43944"/>
    <cellStyle name="40% - Accent6 21 2 2" xfId="43945"/>
    <cellStyle name="40% - Accent6 21 2 2 2" xfId="43946"/>
    <cellStyle name="40% - Accent6 21 2 3" xfId="43947"/>
    <cellStyle name="40% - Accent6 21 3" xfId="43948"/>
    <cellStyle name="40% - Accent6 21 3 2" xfId="43949"/>
    <cellStyle name="40% - Accent6 21 4" xfId="43950"/>
    <cellStyle name="40% - Accent6 22" xfId="43951"/>
    <cellStyle name="40% - Accent6 22 2" xfId="43952"/>
    <cellStyle name="40% - Accent6 22 2 2" xfId="43953"/>
    <cellStyle name="40% - Accent6 22 3" xfId="43954"/>
    <cellStyle name="40% - Accent6 23" xfId="43955"/>
    <cellStyle name="40% - Accent6 23 2" xfId="43956"/>
    <cellStyle name="40% - Accent6 24" xfId="43957"/>
    <cellStyle name="40% - Accent6 3" xfId="43958"/>
    <cellStyle name="40% - Accent6 3 10" xfId="43959"/>
    <cellStyle name="40% - Accent6 3 10 2" xfId="43960"/>
    <cellStyle name="40% - Accent6 3 11" xfId="43961"/>
    <cellStyle name="40% - Accent6 3 2" xfId="43962"/>
    <cellStyle name="40% - Accent6 3 2 10" xfId="43963"/>
    <cellStyle name="40% - Accent6 3 2 2" xfId="43964"/>
    <cellStyle name="40% - Accent6 3 2 2 2" xfId="43965"/>
    <cellStyle name="40% - Accent6 3 2 2 2 2" xfId="43966"/>
    <cellStyle name="40% - Accent6 3 2 2 2 2 2" xfId="43967"/>
    <cellStyle name="40% - Accent6 3 2 2 2 2 2 2" xfId="43968"/>
    <cellStyle name="40% - Accent6 3 2 2 2 2 3" xfId="43969"/>
    <cellStyle name="40% - Accent6 3 2 2 2 3" xfId="43970"/>
    <cellStyle name="40% - Accent6 3 2 2 2 3 2" xfId="43971"/>
    <cellStyle name="40% - Accent6 3 2 2 2 4" xfId="43972"/>
    <cellStyle name="40% - Accent6 3 2 2 3" xfId="43973"/>
    <cellStyle name="40% - Accent6 3 2 2 3 2" xfId="43974"/>
    <cellStyle name="40% - Accent6 3 2 2 3 2 2" xfId="43975"/>
    <cellStyle name="40% - Accent6 3 2 2 3 3" xfId="43976"/>
    <cellStyle name="40% - Accent6 3 2 2 4" xfId="43977"/>
    <cellStyle name="40% - Accent6 3 2 2 4 2" xfId="43978"/>
    <cellStyle name="40% - Accent6 3 2 2 5" xfId="43979"/>
    <cellStyle name="40% - Accent6 3 2 3" xfId="43980"/>
    <cellStyle name="40% - Accent6 3 2 3 2" xfId="43981"/>
    <cellStyle name="40% - Accent6 3 2 3 2 2" xfId="43982"/>
    <cellStyle name="40% - Accent6 3 2 3 2 2 2" xfId="43983"/>
    <cellStyle name="40% - Accent6 3 2 3 2 2 2 2" xfId="43984"/>
    <cellStyle name="40% - Accent6 3 2 3 2 2 3" xfId="43985"/>
    <cellStyle name="40% - Accent6 3 2 3 2 3" xfId="43986"/>
    <cellStyle name="40% - Accent6 3 2 3 2 3 2" xfId="43987"/>
    <cellStyle name="40% - Accent6 3 2 3 2 4" xfId="43988"/>
    <cellStyle name="40% - Accent6 3 2 3 3" xfId="43989"/>
    <cellStyle name="40% - Accent6 3 2 3 3 2" xfId="43990"/>
    <cellStyle name="40% - Accent6 3 2 3 3 2 2" xfId="43991"/>
    <cellStyle name="40% - Accent6 3 2 3 3 3" xfId="43992"/>
    <cellStyle name="40% - Accent6 3 2 3 4" xfId="43993"/>
    <cellStyle name="40% - Accent6 3 2 3 4 2" xfId="43994"/>
    <cellStyle name="40% - Accent6 3 2 3 5" xfId="43995"/>
    <cellStyle name="40% - Accent6 3 2 4" xfId="43996"/>
    <cellStyle name="40% - Accent6 3 2 4 2" xfId="43997"/>
    <cellStyle name="40% - Accent6 3 2 4 2 2" xfId="43998"/>
    <cellStyle name="40% - Accent6 3 2 4 2 2 2" xfId="43999"/>
    <cellStyle name="40% - Accent6 3 2 4 2 2 2 2" xfId="44000"/>
    <cellStyle name="40% - Accent6 3 2 4 2 2 3" xfId="44001"/>
    <cellStyle name="40% - Accent6 3 2 4 2 3" xfId="44002"/>
    <cellStyle name="40% - Accent6 3 2 4 2 3 2" xfId="44003"/>
    <cellStyle name="40% - Accent6 3 2 4 2 4" xfId="44004"/>
    <cellStyle name="40% - Accent6 3 2 4 3" xfId="44005"/>
    <cellStyle name="40% - Accent6 3 2 4 3 2" xfId="44006"/>
    <cellStyle name="40% - Accent6 3 2 4 3 2 2" xfId="44007"/>
    <cellStyle name="40% - Accent6 3 2 4 3 3" xfId="44008"/>
    <cellStyle name="40% - Accent6 3 2 4 4" xfId="44009"/>
    <cellStyle name="40% - Accent6 3 2 4 4 2" xfId="44010"/>
    <cellStyle name="40% - Accent6 3 2 4 5" xfId="44011"/>
    <cellStyle name="40% - Accent6 3 2 5" xfId="44012"/>
    <cellStyle name="40% - Accent6 3 2 5 2" xfId="44013"/>
    <cellStyle name="40% - Accent6 3 2 5 2 2" xfId="44014"/>
    <cellStyle name="40% - Accent6 3 2 5 2 2 2" xfId="44015"/>
    <cellStyle name="40% - Accent6 3 2 5 2 2 2 2" xfId="44016"/>
    <cellStyle name="40% - Accent6 3 2 5 2 2 3" xfId="44017"/>
    <cellStyle name="40% - Accent6 3 2 5 2 3" xfId="44018"/>
    <cellStyle name="40% - Accent6 3 2 5 2 3 2" xfId="44019"/>
    <cellStyle name="40% - Accent6 3 2 5 2 4" xfId="44020"/>
    <cellStyle name="40% - Accent6 3 2 5 3" xfId="44021"/>
    <cellStyle name="40% - Accent6 3 2 5 3 2" xfId="44022"/>
    <cellStyle name="40% - Accent6 3 2 5 3 2 2" xfId="44023"/>
    <cellStyle name="40% - Accent6 3 2 5 3 3" xfId="44024"/>
    <cellStyle name="40% - Accent6 3 2 5 4" xfId="44025"/>
    <cellStyle name="40% - Accent6 3 2 5 4 2" xfId="44026"/>
    <cellStyle name="40% - Accent6 3 2 5 5" xfId="44027"/>
    <cellStyle name="40% - Accent6 3 2 6" xfId="44028"/>
    <cellStyle name="40% - Accent6 3 2 6 2" xfId="44029"/>
    <cellStyle name="40% - Accent6 3 2 6 2 2" xfId="44030"/>
    <cellStyle name="40% - Accent6 3 2 6 2 2 2" xfId="44031"/>
    <cellStyle name="40% - Accent6 3 2 6 2 2 2 2" xfId="44032"/>
    <cellStyle name="40% - Accent6 3 2 6 2 2 3" xfId="44033"/>
    <cellStyle name="40% - Accent6 3 2 6 2 3" xfId="44034"/>
    <cellStyle name="40% - Accent6 3 2 6 2 3 2" xfId="44035"/>
    <cellStyle name="40% - Accent6 3 2 6 2 4" xfId="44036"/>
    <cellStyle name="40% - Accent6 3 2 6 3" xfId="44037"/>
    <cellStyle name="40% - Accent6 3 2 6 3 2" xfId="44038"/>
    <cellStyle name="40% - Accent6 3 2 6 3 2 2" xfId="44039"/>
    <cellStyle name="40% - Accent6 3 2 6 3 3" xfId="44040"/>
    <cellStyle name="40% - Accent6 3 2 6 4" xfId="44041"/>
    <cellStyle name="40% - Accent6 3 2 6 4 2" xfId="44042"/>
    <cellStyle name="40% - Accent6 3 2 6 5" xfId="44043"/>
    <cellStyle name="40% - Accent6 3 2 7" xfId="44044"/>
    <cellStyle name="40% - Accent6 3 2 7 2" xfId="44045"/>
    <cellStyle name="40% - Accent6 3 2 7 2 2" xfId="44046"/>
    <cellStyle name="40% - Accent6 3 2 7 2 2 2" xfId="44047"/>
    <cellStyle name="40% - Accent6 3 2 7 2 3" xfId="44048"/>
    <cellStyle name="40% - Accent6 3 2 7 3" xfId="44049"/>
    <cellStyle name="40% - Accent6 3 2 7 3 2" xfId="44050"/>
    <cellStyle name="40% - Accent6 3 2 7 4" xfId="44051"/>
    <cellStyle name="40% - Accent6 3 2 8" xfId="44052"/>
    <cellStyle name="40% - Accent6 3 2 8 2" xfId="44053"/>
    <cellStyle name="40% - Accent6 3 2 8 2 2" xfId="44054"/>
    <cellStyle name="40% - Accent6 3 2 8 3" xfId="44055"/>
    <cellStyle name="40% - Accent6 3 2 9" xfId="44056"/>
    <cellStyle name="40% - Accent6 3 2 9 2" xfId="44057"/>
    <cellStyle name="40% - Accent6 3 3" xfId="44058"/>
    <cellStyle name="40% - Accent6 3 3 2" xfId="44059"/>
    <cellStyle name="40% - Accent6 3 3 2 2" xfId="44060"/>
    <cellStyle name="40% - Accent6 3 3 2 2 2" xfId="44061"/>
    <cellStyle name="40% - Accent6 3 3 2 2 2 2" xfId="44062"/>
    <cellStyle name="40% - Accent6 3 3 2 2 3" xfId="44063"/>
    <cellStyle name="40% - Accent6 3 3 2 3" xfId="44064"/>
    <cellStyle name="40% - Accent6 3 3 2 3 2" xfId="44065"/>
    <cellStyle name="40% - Accent6 3 3 2 4" xfId="44066"/>
    <cellStyle name="40% - Accent6 3 3 3" xfId="44067"/>
    <cellStyle name="40% - Accent6 3 3 3 2" xfId="44068"/>
    <cellStyle name="40% - Accent6 3 3 3 2 2" xfId="44069"/>
    <cellStyle name="40% - Accent6 3 3 3 3" xfId="44070"/>
    <cellStyle name="40% - Accent6 3 3 4" xfId="44071"/>
    <cellStyle name="40% - Accent6 3 3 4 2" xfId="44072"/>
    <cellStyle name="40% - Accent6 3 3 5" xfId="44073"/>
    <cellStyle name="40% - Accent6 3 4" xfId="44074"/>
    <cellStyle name="40% - Accent6 3 4 2" xfId="44075"/>
    <cellStyle name="40% - Accent6 3 4 2 2" xfId="44076"/>
    <cellStyle name="40% - Accent6 3 4 2 2 2" xfId="44077"/>
    <cellStyle name="40% - Accent6 3 4 2 2 2 2" xfId="44078"/>
    <cellStyle name="40% - Accent6 3 4 2 2 3" xfId="44079"/>
    <cellStyle name="40% - Accent6 3 4 2 3" xfId="44080"/>
    <cellStyle name="40% - Accent6 3 4 2 3 2" xfId="44081"/>
    <cellStyle name="40% - Accent6 3 4 2 4" xfId="44082"/>
    <cellStyle name="40% - Accent6 3 4 3" xfId="44083"/>
    <cellStyle name="40% - Accent6 3 4 3 2" xfId="44084"/>
    <cellStyle name="40% - Accent6 3 4 3 2 2" xfId="44085"/>
    <cellStyle name="40% - Accent6 3 4 3 3" xfId="44086"/>
    <cellStyle name="40% - Accent6 3 4 4" xfId="44087"/>
    <cellStyle name="40% - Accent6 3 4 4 2" xfId="44088"/>
    <cellStyle name="40% - Accent6 3 4 5" xfId="44089"/>
    <cellStyle name="40% - Accent6 3 5" xfId="44090"/>
    <cellStyle name="40% - Accent6 3 5 2" xfId="44091"/>
    <cellStyle name="40% - Accent6 3 5 2 2" xfId="44092"/>
    <cellStyle name="40% - Accent6 3 5 2 2 2" xfId="44093"/>
    <cellStyle name="40% - Accent6 3 5 2 2 2 2" xfId="44094"/>
    <cellStyle name="40% - Accent6 3 5 2 2 3" xfId="44095"/>
    <cellStyle name="40% - Accent6 3 5 2 3" xfId="44096"/>
    <cellStyle name="40% - Accent6 3 5 2 3 2" xfId="44097"/>
    <cellStyle name="40% - Accent6 3 5 2 4" xfId="44098"/>
    <cellStyle name="40% - Accent6 3 5 3" xfId="44099"/>
    <cellStyle name="40% - Accent6 3 5 3 2" xfId="44100"/>
    <cellStyle name="40% - Accent6 3 5 3 2 2" xfId="44101"/>
    <cellStyle name="40% - Accent6 3 5 3 3" xfId="44102"/>
    <cellStyle name="40% - Accent6 3 5 4" xfId="44103"/>
    <cellStyle name="40% - Accent6 3 5 4 2" xfId="44104"/>
    <cellStyle name="40% - Accent6 3 5 5" xfId="44105"/>
    <cellStyle name="40% - Accent6 3 6" xfId="44106"/>
    <cellStyle name="40% - Accent6 3 6 2" xfId="44107"/>
    <cellStyle name="40% - Accent6 3 6 2 2" xfId="44108"/>
    <cellStyle name="40% - Accent6 3 6 2 2 2" xfId="44109"/>
    <cellStyle name="40% - Accent6 3 6 2 2 2 2" xfId="44110"/>
    <cellStyle name="40% - Accent6 3 6 2 2 3" xfId="44111"/>
    <cellStyle name="40% - Accent6 3 6 2 3" xfId="44112"/>
    <cellStyle name="40% - Accent6 3 6 2 3 2" xfId="44113"/>
    <cellStyle name="40% - Accent6 3 6 2 4" xfId="44114"/>
    <cellStyle name="40% - Accent6 3 6 3" xfId="44115"/>
    <cellStyle name="40% - Accent6 3 6 3 2" xfId="44116"/>
    <cellStyle name="40% - Accent6 3 6 3 2 2" xfId="44117"/>
    <cellStyle name="40% - Accent6 3 6 3 3" xfId="44118"/>
    <cellStyle name="40% - Accent6 3 6 4" xfId="44119"/>
    <cellStyle name="40% - Accent6 3 6 4 2" xfId="44120"/>
    <cellStyle name="40% - Accent6 3 6 5" xfId="44121"/>
    <cellStyle name="40% - Accent6 3 7" xfId="44122"/>
    <cellStyle name="40% - Accent6 3 7 2" xfId="44123"/>
    <cellStyle name="40% - Accent6 3 7 2 2" xfId="44124"/>
    <cellStyle name="40% - Accent6 3 7 2 2 2" xfId="44125"/>
    <cellStyle name="40% - Accent6 3 7 2 2 2 2" xfId="44126"/>
    <cellStyle name="40% - Accent6 3 7 2 2 3" xfId="44127"/>
    <cellStyle name="40% - Accent6 3 7 2 3" xfId="44128"/>
    <cellStyle name="40% - Accent6 3 7 2 3 2" xfId="44129"/>
    <cellStyle name="40% - Accent6 3 7 2 4" xfId="44130"/>
    <cellStyle name="40% - Accent6 3 7 3" xfId="44131"/>
    <cellStyle name="40% - Accent6 3 7 3 2" xfId="44132"/>
    <cellStyle name="40% - Accent6 3 7 3 2 2" xfId="44133"/>
    <cellStyle name="40% - Accent6 3 7 3 3" xfId="44134"/>
    <cellStyle name="40% - Accent6 3 7 4" xfId="44135"/>
    <cellStyle name="40% - Accent6 3 7 4 2" xfId="44136"/>
    <cellStyle name="40% - Accent6 3 7 5" xfId="44137"/>
    <cellStyle name="40% - Accent6 3 8" xfId="44138"/>
    <cellStyle name="40% - Accent6 3 8 2" xfId="44139"/>
    <cellStyle name="40% - Accent6 3 8 2 2" xfId="44140"/>
    <cellStyle name="40% - Accent6 3 8 2 2 2" xfId="44141"/>
    <cellStyle name="40% - Accent6 3 8 2 3" xfId="44142"/>
    <cellStyle name="40% - Accent6 3 8 3" xfId="44143"/>
    <cellStyle name="40% - Accent6 3 8 3 2" xfId="44144"/>
    <cellStyle name="40% - Accent6 3 8 4" xfId="44145"/>
    <cellStyle name="40% - Accent6 3 9" xfId="44146"/>
    <cellStyle name="40% - Accent6 3 9 2" xfId="44147"/>
    <cellStyle name="40% - Accent6 3 9 2 2" xfId="44148"/>
    <cellStyle name="40% - Accent6 3 9 3" xfId="44149"/>
    <cellStyle name="40% - Accent6 4" xfId="44150"/>
    <cellStyle name="40% - Accent6 4 10" xfId="44151"/>
    <cellStyle name="40% - Accent6 4 10 2" xfId="44152"/>
    <cellStyle name="40% - Accent6 4 11" xfId="44153"/>
    <cellStyle name="40% - Accent6 4 2" xfId="44154"/>
    <cellStyle name="40% - Accent6 4 2 10" xfId="44155"/>
    <cellStyle name="40% - Accent6 4 2 2" xfId="44156"/>
    <cellStyle name="40% - Accent6 4 2 2 2" xfId="44157"/>
    <cellStyle name="40% - Accent6 4 2 2 2 2" xfId="44158"/>
    <cellStyle name="40% - Accent6 4 2 2 2 2 2" xfId="44159"/>
    <cellStyle name="40% - Accent6 4 2 2 2 2 2 2" xfId="44160"/>
    <cellStyle name="40% - Accent6 4 2 2 2 2 3" xfId="44161"/>
    <cellStyle name="40% - Accent6 4 2 2 2 3" xfId="44162"/>
    <cellStyle name="40% - Accent6 4 2 2 2 3 2" xfId="44163"/>
    <cellStyle name="40% - Accent6 4 2 2 2 4" xfId="44164"/>
    <cellStyle name="40% - Accent6 4 2 2 3" xfId="44165"/>
    <cellStyle name="40% - Accent6 4 2 2 3 2" xfId="44166"/>
    <cellStyle name="40% - Accent6 4 2 2 3 2 2" xfId="44167"/>
    <cellStyle name="40% - Accent6 4 2 2 3 3" xfId="44168"/>
    <cellStyle name="40% - Accent6 4 2 2 4" xfId="44169"/>
    <cellStyle name="40% - Accent6 4 2 2 4 2" xfId="44170"/>
    <cellStyle name="40% - Accent6 4 2 2 5" xfId="44171"/>
    <cellStyle name="40% - Accent6 4 2 3" xfId="44172"/>
    <cellStyle name="40% - Accent6 4 2 3 2" xfId="44173"/>
    <cellStyle name="40% - Accent6 4 2 3 2 2" xfId="44174"/>
    <cellStyle name="40% - Accent6 4 2 3 2 2 2" xfId="44175"/>
    <cellStyle name="40% - Accent6 4 2 3 2 2 2 2" xfId="44176"/>
    <cellStyle name="40% - Accent6 4 2 3 2 2 3" xfId="44177"/>
    <cellStyle name="40% - Accent6 4 2 3 2 3" xfId="44178"/>
    <cellStyle name="40% - Accent6 4 2 3 2 3 2" xfId="44179"/>
    <cellStyle name="40% - Accent6 4 2 3 2 4" xfId="44180"/>
    <cellStyle name="40% - Accent6 4 2 3 3" xfId="44181"/>
    <cellStyle name="40% - Accent6 4 2 3 3 2" xfId="44182"/>
    <cellStyle name="40% - Accent6 4 2 3 3 2 2" xfId="44183"/>
    <cellStyle name="40% - Accent6 4 2 3 3 3" xfId="44184"/>
    <cellStyle name="40% - Accent6 4 2 3 4" xfId="44185"/>
    <cellStyle name="40% - Accent6 4 2 3 4 2" xfId="44186"/>
    <cellStyle name="40% - Accent6 4 2 3 5" xfId="44187"/>
    <cellStyle name="40% - Accent6 4 2 4" xfId="44188"/>
    <cellStyle name="40% - Accent6 4 2 4 2" xfId="44189"/>
    <cellStyle name="40% - Accent6 4 2 4 2 2" xfId="44190"/>
    <cellStyle name="40% - Accent6 4 2 4 2 2 2" xfId="44191"/>
    <cellStyle name="40% - Accent6 4 2 4 2 2 2 2" xfId="44192"/>
    <cellStyle name="40% - Accent6 4 2 4 2 2 3" xfId="44193"/>
    <cellStyle name="40% - Accent6 4 2 4 2 3" xfId="44194"/>
    <cellStyle name="40% - Accent6 4 2 4 2 3 2" xfId="44195"/>
    <cellStyle name="40% - Accent6 4 2 4 2 4" xfId="44196"/>
    <cellStyle name="40% - Accent6 4 2 4 3" xfId="44197"/>
    <cellStyle name="40% - Accent6 4 2 4 3 2" xfId="44198"/>
    <cellStyle name="40% - Accent6 4 2 4 3 2 2" xfId="44199"/>
    <cellStyle name="40% - Accent6 4 2 4 3 3" xfId="44200"/>
    <cellStyle name="40% - Accent6 4 2 4 4" xfId="44201"/>
    <cellStyle name="40% - Accent6 4 2 4 4 2" xfId="44202"/>
    <cellStyle name="40% - Accent6 4 2 4 5" xfId="44203"/>
    <cellStyle name="40% - Accent6 4 2 5" xfId="44204"/>
    <cellStyle name="40% - Accent6 4 2 5 2" xfId="44205"/>
    <cellStyle name="40% - Accent6 4 2 5 2 2" xfId="44206"/>
    <cellStyle name="40% - Accent6 4 2 5 2 2 2" xfId="44207"/>
    <cellStyle name="40% - Accent6 4 2 5 2 2 2 2" xfId="44208"/>
    <cellStyle name="40% - Accent6 4 2 5 2 2 3" xfId="44209"/>
    <cellStyle name="40% - Accent6 4 2 5 2 3" xfId="44210"/>
    <cellStyle name="40% - Accent6 4 2 5 2 3 2" xfId="44211"/>
    <cellStyle name="40% - Accent6 4 2 5 2 4" xfId="44212"/>
    <cellStyle name="40% - Accent6 4 2 5 3" xfId="44213"/>
    <cellStyle name="40% - Accent6 4 2 5 3 2" xfId="44214"/>
    <cellStyle name="40% - Accent6 4 2 5 3 2 2" xfId="44215"/>
    <cellStyle name="40% - Accent6 4 2 5 3 3" xfId="44216"/>
    <cellStyle name="40% - Accent6 4 2 5 4" xfId="44217"/>
    <cellStyle name="40% - Accent6 4 2 5 4 2" xfId="44218"/>
    <cellStyle name="40% - Accent6 4 2 5 5" xfId="44219"/>
    <cellStyle name="40% - Accent6 4 2 6" xfId="44220"/>
    <cellStyle name="40% - Accent6 4 2 6 2" xfId="44221"/>
    <cellStyle name="40% - Accent6 4 2 6 2 2" xfId="44222"/>
    <cellStyle name="40% - Accent6 4 2 6 2 2 2" xfId="44223"/>
    <cellStyle name="40% - Accent6 4 2 6 2 2 2 2" xfId="44224"/>
    <cellStyle name="40% - Accent6 4 2 6 2 2 3" xfId="44225"/>
    <cellStyle name="40% - Accent6 4 2 6 2 3" xfId="44226"/>
    <cellStyle name="40% - Accent6 4 2 6 2 3 2" xfId="44227"/>
    <cellStyle name="40% - Accent6 4 2 6 2 4" xfId="44228"/>
    <cellStyle name="40% - Accent6 4 2 6 3" xfId="44229"/>
    <cellStyle name="40% - Accent6 4 2 6 3 2" xfId="44230"/>
    <cellStyle name="40% - Accent6 4 2 6 3 2 2" xfId="44231"/>
    <cellStyle name="40% - Accent6 4 2 6 3 3" xfId="44232"/>
    <cellStyle name="40% - Accent6 4 2 6 4" xfId="44233"/>
    <cellStyle name="40% - Accent6 4 2 6 4 2" xfId="44234"/>
    <cellStyle name="40% - Accent6 4 2 6 5" xfId="44235"/>
    <cellStyle name="40% - Accent6 4 2 7" xfId="44236"/>
    <cellStyle name="40% - Accent6 4 2 7 2" xfId="44237"/>
    <cellStyle name="40% - Accent6 4 2 7 2 2" xfId="44238"/>
    <cellStyle name="40% - Accent6 4 2 7 2 2 2" xfId="44239"/>
    <cellStyle name="40% - Accent6 4 2 7 2 3" xfId="44240"/>
    <cellStyle name="40% - Accent6 4 2 7 3" xfId="44241"/>
    <cellStyle name="40% - Accent6 4 2 7 3 2" xfId="44242"/>
    <cellStyle name="40% - Accent6 4 2 7 4" xfId="44243"/>
    <cellStyle name="40% - Accent6 4 2 8" xfId="44244"/>
    <cellStyle name="40% - Accent6 4 2 8 2" xfId="44245"/>
    <cellStyle name="40% - Accent6 4 2 8 2 2" xfId="44246"/>
    <cellStyle name="40% - Accent6 4 2 8 3" xfId="44247"/>
    <cellStyle name="40% - Accent6 4 2 9" xfId="44248"/>
    <cellStyle name="40% - Accent6 4 2 9 2" xfId="44249"/>
    <cellStyle name="40% - Accent6 4 3" xfId="44250"/>
    <cellStyle name="40% - Accent6 4 3 2" xfId="44251"/>
    <cellStyle name="40% - Accent6 4 3 2 2" xfId="44252"/>
    <cellStyle name="40% - Accent6 4 3 2 2 2" xfId="44253"/>
    <cellStyle name="40% - Accent6 4 3 2 2 2 2" xfId="44254"/>
    <cellStyle name="40% - Accent6 4 3 2 2 3" xfId="44255"/>
    <cellStyle name="40% - Accent6 4 3 2 3" xfId="44256"/>
    <cellStyle name="40% - Accent6 4 3 2 3 2" xfId="44257"/>
    <cellStyle name="40% - Accent6 4 3 2 4" xfId="44258"/>
    <cellStyle name="40% - Accent6 4 3 3" xfId="44259"/>
    <cellStyle name="40% - Accent6 4 3 3 2" xfId="44260"/>
    <cellStyle name="40% - Accent6 4 3 3 2 2" xfId="44261"/>
    <cellStyle name="40% - Accent6 4 3 3 3" xfId="44262"/>
    <cellStyle name="40% - Accent6 4 3 4" xfId="44263"/>
    <cellStyle name="40% - Accent6 4 3 4 2" xfId="44264"/>
    <cellStyle name="40% - Accent6 4 3 5" xfId="44265"/>
    <cellStyle name="40% - Accent6 4 4" xfId="44266"/>
    <cellStyle name="40% - Accent6 4 4 2" xfId="44267"/>
    <cellStyle name="40% - Accent6 4 4 2 2" xfId="44268"/>
    <cellStyle name="40% - Accent6 4 4 2 2 2" xfId="44269"/>
    <cellStyle name="40% - Accent6 4 4 2 2 2 2" xfId="44270"/>
    <cellStyle name="40% - Accent6 4 4 2 2 3" xfId="44271"/>
    <cellStyle name="40% - Accent6 4 4 2 3" xfId="44272"/>
    <cellStyle name="40% - Accent6 4 4 2 3 2" xfId="44273"/>
    <cellStyle name="40% - Accent6 4 4 2 4" xfId="44274"/>
    <cellStyle name="40% - Accent6 4 4 3" xfId="44275"/>
    <cellStyle name="40% - Accent6 4 4 3 2" xfId="44276"/>
    <cellStyle name="40% - Accent6 4 4 3 2 2" xfId="44277"/>
    <cellStyle name="40% - Accent6 4 4 3 3" xfId="44278"/>
    <cellStyle name="40% - Accent6 4 4 4" xfId="44279"/>
    <cellStyle name="40% - Accent6 4 4 4 2" xfId="44280"/>
    <cellStyle name="40% - Accent6 4 4 5" xfId="44281"/>
    <cellStyle name="40% - Accent6 4 5" xfId="44282"/>
    <cellStyle name="40% - Accent6 4 5 2" xfId="44283"/>
    <cellStyle name="40% - Accent6 4 5 2 2" xfId="44284"/>
    <cellStyle name="40% - Accent6 4 5 2 2 2" xfId="44285"/>
    <cellStyle name="40% - Accent6 4 5 2 2 2 2" xfId="44286"/>
    <cellStyle name="40% - Accent6 4 5 2 2 3" xfId="44287"/>
    <cellStyle name="40% - Accent6 4 5 2 3" xfId="44288"/>
    <cellStyle name="40% - Accent6 4 5 2 3 2" xfId="44289"/>
    <cellStyle name="40% - Accent6 4 5 2 4" xfId="44290"/>
    <cellStyle name="40% - Accent6 4 5 3" xfId="44291"/>
    <cellStyle name="40% - Accent6 4 5 3 2" xfId="44292"/>
    <cellStyle name="40% - Accent6 4 5 3 2 2" xfId="44293"/>
    <cellStyle name="40% - Accent6 4 5 3 3" xfId="44294"/>
    <cellStyle name="40% - Accent6 4 5 4" xfId="44295"/>
    <cellStyle name="40% - Accent6 4 5 4 2" xfId="44296"/>
    <cellStyle name="40% - Accent6 4 5 5" xfId="44297"/>
    <cellStyle name="40% - Accent6 4 6" xfId="44298"/>
    <cellStyle name="40% - Accent6 4 6 2" xfId="44299"/>
    <cellStyle name="40% - Accent6 4 6 2 2" xfId="44300"/>
    <cellStyle name="40% - Accent6 4 6 2 2 2" xfId="44301"/>
    <cellStyle name="40% - Accent6 4 6 2 2 2 2" xfId="44302"/>
    <cellStyle name="40% - Accent6 4 6 2 2 3" xfId="44303"/>
    <cellStyle name="40% - Accent6 4 6 2 3" xfId="44304"/>
    <cellStyle name="40% - Accent6 4 6 2 3 2" xfId="44305"/>
    <cellStyle name="40% - Accent6 4 6 2 4" xfId="44306"/>
    <cellStyle name="40% - Accent6 4 6 3" xfId="44307"/>
    <cellStyle name="40% - Accent6 4 6 3 2" xfId="44308"/>
    <cellStyle name="40% - Accent6 4 6 3 2 2" xfId="44309"/>
    <cellStyle name="40% - Accent6 4 6 3 3" xfId="44310"/>
    <cellStyle name="40% - Accent6 4 6 4" xfId="44311"/>
    <cellStyle name="40% - Accent6 4 6 4 2" xfId="44312"/>
    <cellStyle name="40% - Accent6 4 6 5" xfId="44313"/>
    <cellStyle name="40% - Accent6 4 7" xfId="44314"/>
    <cellStyle name="40% - Accent6 4 7 2" xfId="44315"/>
    <cellStyle name="40% - Accent6 4 7 2 2" xfId="44316"/>
    <cellStyle name="40% - Accent6 4 7 2 2 2" xfId="44317"/>
    <cellStyle name="40% - Accent6 4 7 2 2 2 2" xfId="44318"/>
    <cellStyle name="40% - Accent6 4 7 2 2 3" xfId="44319"/>
    <cellStyle name="40% - Accent6 4 7 2 3" xfId="44320"/>
    <cellStyle name="40% - Accent6 4 7 2 3 2" xfId="44321"/>
    <cellStyle name="40% - Accent6 4 7 2 4" xfId="44322"/>
    <cellStyle name="40% - Accent6 4 7 3" xfId="44323"/>
    <cellStyle name="40% - Accent6 4 7 3 2" xfId="44324"/>
    <cellStyle name="40% - Accent6 4 7 3 2 2" xfId="44325"/>
    <cellStyle name="40% - Accent6 4 7 3 3" xfId="44326"/>
    <cellStyle name="40% - Accent6 4 7 4" xfId="44327"/>
    <cellStyle name="40% - Accent6 4 7 4 2" xfId="44328"/>
    <cellStyle name="40% - Accent6 4 7 5" xfId="44329"/>
    <cellStyle name="40% - Accent6 4 8" xfId="44330"/>
    <cellStyle name="40% - Accent6 4 8 2" xfId="44331"/>
    <cellStyle name="40% - Accent6 4 8 2 2" xfId="44332"/>
    <cellStyle name="40% - Accent6 4 8 2 2 2" xfId="44333"/>
    <cellStyle name="40% - Accent6 4 8 2 3" xfId="44334"/>
    <cellStyle name="40% - Accent6 4 8 3" xfId="44335"/>
    <cellStyle name="40% - Accent6 4 8 3 2" xfId="44336"/>
    <cellStyle name="40% - Accent6 4 8 4" xfId="44337"/>
    <cellStyle name="40% - Accent6 4 9" xfId="44338"/>
    <cellStyle name="40% - Accent6 4 9 2" xfId="44339"/>
    <cellStyle name="40% - Accent6 4 9 2 2" xfId="44340"/>
    <cellStyle name="40% - Accent6 4 9 3" xfId="44341"/>
    <cellStyle name="40% - Accent6 5" xfId="44342"/>
    <cellStyle name="40% - Accent6 5 10" xfId="44343"/>
    <cellStyle name="40% - Accent6 5 10 2" xfId="44344"/>
    <cellStyle name="40% - Accent6 5 11" xfId="44345"/>
    <cellStyle name="40% - Accent6 5 2" xfId="44346"/>
    <cellStyle name="40% - Accent6 5 2 10" xfId="44347"/>
    <cellStyle name="40% - Accent6 5 2 2" xfId="44348"/>
    <cellStyle name="40% - Accent6 5 2 2 2" xfId="44349"/>
    <cellStyle name="40% - Accent6 5 2 2 2 2" xfId="44350"/>
    <cellStyle name="40% - Accent6 5 2 2 2 2 2" xfId="44351"/>
    <cellStyle name="40% - Accent6 5 2 2 2 2 2 2" xfId="44352"/>
    <cellStyle name="40% - Accent6 5 2 2 2 2 3" xfId="44353"/>
    <cellStyle name="40% - Accent6 5 2 2 2 3" xfId="44354"/>
    <cellStyle name="40% - Accent6 5 2 2 2 3 2" xfId="44355"/>
    <cellStyle name="40% - Accent6 5 2 2 2 4" xfId="44356"/>
    <cellStyle name="40% - Accent6 5 2 2 3" xfId="44357"/>
    <cellStyle name="40% - Accent6 5 2 2 3 2" xfId="44358"/>
    <cellStyle name="40% - Accent6 5 2 2 3 2 2" xfId="44359"/>
    <cellStyle name="40% - Accent6 5 2 2 3 3" xfId="44360"/>
    <cellStyle name="40% - Accent6 5 2 2 4" xfId="44361"/>
    <cellStyle name="40% - Accent6 5 2 2 4 2" xfId="44362"/>
    <cellStyle name="40% - Accent6 5 2 2 5" xfId="44363"/>
    <cellStyle name="40% - Accent6 5 2 3" xfId="44364"/>
    <cellStyle name="40% - Accent6 5 2 3 2" xfId="44365"/>
    <cellStyle name="40% - Accent6 5 2 3 2 2" xfId="44366"/>
    <cellStyle name="40% - Accent6 5 2 3 2 2 2" xfId="44367"/>
    <cellStyle name="40% - Accent6 5 2 3 2 2 2 2" xfId="44368"/>
    <cellStyle name="40% - Accent6 5 2 3 2 2 3" xfId="44369"/>
    <cellStyle name="40% - Accent6 5 2 3 2 3" xfId="44370"/>
    <cellStyle name="40% - Accent6 5 2 3 2 3 2" xfId="44371"/>
    <cellStyle name="40% - Accent6 5 2 3 2 4" xfId="44372"/>
    <cellStyle name="40% - Accent6 5 2 3 3" xfId="44373"/>
    <cellStyle name="40% - Accent6 5 2 3 3 2" xfId="44374"/>
    <cellStyle name="40% - Accent6 5 2 3 3 2 2" xfId="44375"/>
    <cellStyle name="40% - Accent6 5 2 3 3 3" xfId="44376"/>
    <cellStyle name="40% - Accent6 5 2 3 4" xfId="44377"/>
    <cellStyle name="40% - Accent6 5 2 3 4 2" xfId="44378"/>
    <cellStyle name="40% - Accent6 5 2 3 5" xfId="44379"/>
    <cellStyle name="40% - Accent6 5 2 4" xfId="44380"/>
    <cellStyle name="40% - Accent6 5 2 4 2" xfId="44381"/>
    <cellStyle name="40% - Accent6 5 2 4 2 2" xfId="44382"/>
    <cellStyle name="40% - Accent6 5 2 4 2 2 2" xfId="44383"/>
    <cellStyle name="40% - Accent6 5 2 4 2 2 2 2" xfId="44384"/>
    <cellStyle name="40% - Accent6 5 2 4 2 2 3" xfId="44385"/>
    <cellStyle name="40% - Accent6 5 2 4 2 3" xfId="44386"/>
    <cellStyle name="40% - Accent6 5 2 4 2 3 2" xfId="44387"/>
    <cellStyle name="40% - Accent6 5 2 4 2 4" xfId="44388"/>
    <cellStyle name="40% - Accent6 5 2 4 3" xfId="44389"/>
    <cellStyle name="40% - Accent6 5 2 4 3 2" xfId="44390"/>
    <cellStyle name="40% - Accent6 5 2 4 3 2 2" xfId="44391"/>
    <cellStyle name="40% - Accent6 5 2 4 3 3" xfId="44392"/>
    <cellStyle name="40% - Accent6 5 2 4 4" xfId="44393"/>
    <cellStyle name="40% - Accent6 5 2 4 4 2" xfId="44394"/>
    <cellStyle name="40% - Accent6 5 2 4 5" xfId="44395"/>
    <cellStyle name="40% - Accent6 5 2 5" xfId="44396"/>
    <cellStyle name="40% - Accent6 5 2 5 2" xfId="44397"/>
    <cellStyle name="40% - Accent6 5 2 5 2 2" xfId="44398"/>
    <cellStyle name="40% - Accent6 5 2 5 2 2 2" xfId="44399"/>
    <cellStyle name="40% - Accent6 5 2 5 2 2 2 2" xfId="44400"/>
    <cellStyle name="40% - Accent6 5 2 5 2 2 3" xfId="44401"/>
    <cellStyle name="40% - Accent6 5 2 5 2 3" xfId="44402"/>
    <cellStyle name="40% - Accent6 5 2 5 2 3 2" xfId="44403"/>
    <cellStyle name="40% - Accent6 5 2 5 2 4" xfId="44404"/>
    <cellStyle name="40% - Accent6 5 2 5 3" xfId="44405"/>
    <cellStyle name="40% - Accent6 5 2 5 3 2" xfId="44406"/>
    <cellStyle name="40% - Accent6 5 2 5 3 2 2" xfId="44407"/>
    <cellStyle name="40% - Accent6 5 2 5 3 3" xfId="44408"/>
    <cellStyle name="40% - Accent6 5 2 5 4" xfId="44409"/>
    <cellStyle name="40% - Accent6 5 2 5 4 2" xfId="44410"/>
    <cellStyle name="40% - Accent6 5 2 5 5" xfId="44411"/>
    <cellStyle name="40% - Accent6 5 2 6" xfId="44412"/>
    <cellStyle name="40% - Accent6 5 2 6 2" xfId="44413"/>
    <cellStyle name="40% - Accent6 5 2 6 2 2" xfId="44414"/>
    <cellStyle name="40% - Accent6 5 2 6 2 2 2" xfId="44415"/>
    <cellStyle name="40% - Accent6 5 2 6 2 2 2 2" xfId="44416"/>
    <cellStyle name="40% - Accent6 5 2 6 2 2 3" xfId="44417"/>
    <cellStyle name="40% - Accent6 5 2 6 2 3" xfId="44418"/>
    <cellStyle name="40% - Accent6 5 2 6 2 3 2" xfId="44419"/>
    <cellStyle name="40% - Accent6 5 2 6 2 4" xfId="44420"/>
    <cellStyle name="40% - Accent6 5 2 6 3" xfId="44421"/>
    <cellStyle name="40% - Accent6 5 2 6 3 2" xfId="44422"/>
    <cellStyle name="40% - Accent6 5 2 6 3 2 2" xfId="44423"/>
    <cellStyle name="40% - Accent6 5 2 6 3 3" xfId="44424"/>
    <cellStyle name="40% - Accent6 5 2 6 4" xfId="44425"/>
    <cellStyle name="40% - Accent6 5 2 6 4 2" xfId="44426"/>
    <cellStyle name="40% - Accent6 5 2 6 5" xfId="44427"/>
    <cellStyle name="40% - Accent6 5 2 7" xfId="44428"/>
    <cellStyle name="40% - Accent6 5 2 7 2" xfId="44429"/>
    <cellStyle name="40% - Accent6 5 2 7 2 2" xfId="44430"/>
    <cellStyle name="40% - Accent6 5 2 7 2 2 2" xfId="44431"/>
    <cellStyle name="40% - Accent6 5 2 7 2 3" xfId="44432"/>
    <cellStyle name="40% - Accent6 5 2 7 3" xfId="44433"/>
    <cellStyle name="40% - Accent6 5 2 7 3 2" xfId="44434"/>
    <cellStyle name="40% - Accent6 5 2 7 4" xfId="44435"/>
    <cellStyle name="40% - Accent6 5 2 8" xfId="44436"/>
    <cellStyle name="40% - Accent6 5 2 8 2" xfId="44437"/>
    <cellStyle name="40% - Accent6 5 2 8 2 2" xfId="44438"/>
    <cellStyle name="40% - Accent6 5 2 8 3" xfId="44439"/>
    <cellStyle name="40% - Accent6 5 2 9" xfId="44440"/>
    <cellStyle name="40% - Accent6 5 2 9 2" xfId="44441"/>
    <cellStyle name="40% - Accent6 5 3" xfId="44442"/>
    <cellStyle name="40% - Accent6 5 3 2" xfId="44443"/>
    <cellStyle name="40% - Accent6 5 3 2 2" xfId="44444"/>
    <cellStyle name="40% - Accent6 5 3 2 2 2" xfId="44445"/>
    <cellStyle name="40% - Accent6 5 3 2 2 2 2" xfId="44446"/>
    <cellStyle name="40% - Accent6 5 3 2 2 3" xfId="44447"/>
    <cellStyle name="40% - Accent6 5 3 2 3" xfId="44448"/>
    <cellStyle name="40% - Accent6 5 3 2 3 2" xfId="44449"/>
    <cellStyle name="40% - Accent6 5 3 2 4" xfId="44450"/>
    <cellStyle name="40% - Accent6 5 3 3" xfId="44451"/>
    <cellStyle name="40% - Accent6 5 3 3 2" xfId="44452"/>
    <cellStyle name="40% - Accent6 5 3 3 2 2" xfId="44453"/>
    <cellStyle name="40% - Accent6 5 3 3 3" xfId="44454"/>
    <cellStyle name="40% - Accent6 5 3 4" xfId="44455"/>
    <cellStyle name="40% - Accent6 5 3 4 2" xfId="44456"/>
    <cellStyle name="40% - Accent6 5 3 5" xfId="44457"/>
    <cellStyle name="40% - Accent6 5 4" xfId="44458"/>
    <cellStyle name="40% - Accent6 5 4 2" xfId="44459"/>
    <cellStyle name="40% - Accent6 5 4 2 2" xfId="44460"/>
    <cellStyle name="40% - Accent6 5 4 2 2 2" xfId="44461"/>
    <cellStyle name="40% - Accent6 5 4 2 2 2 2" xfId="44462"/>
    <cellStyle name="40% - Accent6 5 4 2 2 3" xfId="44463"/>
    <cellStyle name="40% - Accent6 5 4 2 3" xfId="44464"/>
    <cellStyle name="40% - Accent6 5 4 2 3 2" xfId="44465"/>
    <cellStyle name="40% - Accent6 5 4 2 4" xfId="44466"/>
    <cellStyle name="40% - Accent6 5 4 3" xfId="44467"/>
    <cellStyle name="40% - Accent6 5 4 3 2" xfId="44468"/>
    <cellStyle name="40% - Accent6 5 4 3 2 2" xfId="44469"/>
    <cellStyle name="40% - Accent6 5 4 3 3" xfId="44470"/>
    <cellStyle name="40% - Accent6 5 4 4" xfId="44471"/>
    <cellStyle name="40% - Accent6 5 4 4 2" xfId="44472"/>
    <cellStyle name="40% - Accent6 5 4 5" xfId="44473"/>
    <cellStyle name="40% - Accent6 5 5" xfId="44474"/>
    <cellStyle name="40% - Accent6 5 5 2" xfId="44475"/>
    <cellStyle name="40% - Accent6 5 5 2 2" xfId="44476"/>
    <cellStyle name="40% - Accent6 5 5 2 2 2" xfId="44477"/>
    <cellStyle name="40% - Accent6 5 5 2 2 2 2" xfId="44478"/>
    <cellStyle name="40% - Accent6 5 5 2 2 3" xfId="44479"/>
    <cellStyle name="40% - Accent6 5 5 2 3" xfId="44480"/>
    <cellStyle name="40% - Accent6 5 5 2 3 2" xfId="44481"/>
    <cellStyle name="40% - Accent6 5 5 2 4" xfId="44482"/>
    <cellStyle name="40% - Accent6 5 5 3" xfId="44483"/>
    <cellStyle name="40% - Accent6 5 5 3 2" xfId="44484"/>
    <cellStyle name="40% - Accent6 5 5 3 2 2" xfId="44485"/>
    <cellStyle name="40% - Accent6 5 5 3 3" xfId="44486"/>
    <cellStyle name="40% - Accent6 5 5 4" xfId="44487"/>
    <cellStyle name="40% - Accent6 5 5 4 2" xfId="44488"/>
    <cellStyle name="40% - Accent6 5 5 5" xfId="44489"/>
    <cellStyle name="40% - Accent6 5 6" xfId="44490"/>
    <cellStyle name="40% - Accent6 5 6 2" xfId="44491"/>
    <cellStyle name="40% - Accent6 5 6 2 2" xfId="44492"/>
    <cellStyle name="40% - Accent6 5 6 2 2 2" xfId="44493"/>
    <cellStyle name="40% - Accent6 5 6 2 2 2 2" xfId="44494"/>
    <cellStyle name="40% - Accent6 5 6 2 2 3" xfId="44495"/>
    <cellStyle name="40% - Accent6 5 6 2 3" xfId="44496"/>
    <cellStyle name="40% - Accent6 5 6 2 3 2" xfId="44497"/>
    <cellStyle name="40% - Accent6 5 6 2 4" xfId="44498"/>
    <cellStyle name="40% - Accent6 5 6 3" xfId="44499"/>
    <cellStyle name="40% - Accent6 5 6 3 2" xfId="44500"/>
    <cellStyle name="40% - Accent6 5 6 3 2 2" xfId="44501"/>
    <cellStyle name="40% - Accent6 5 6 3 3" xfId="44502"/>
    <cellStyle name="40% - Accent6 5 6 4" xfId="44503"/>
    <cellStyle name="40% - Accent6 5 6 4 2" xfId="44504"/>
    <cellStyle name="40% - Accent6 5 6 5" xfId="44505"/>
    <cellStyle name="40% - Accent6 5 7" xfId="44506"/>
    <cellStyle name="40% - Accent6 5 7 2" xfId="44507"/>
    <cellStyle name="40% - Accent6 5 7 2 2" xfId="44508"/>
    <cellStyle name="40% - Accent6 5 7 2 2 2" xfId="44509"/>
    <cellStyle name="40% - Accent6 5 7 2 2 2 2" xfId="44510"/>
    <cellStyle name="40% - Accent6 5 7 2 2 3" xfId="44511"/>
    <cellStyle name="40% - Accent6 5 7 2 3" xfId="44512"/>
    <cellStyle name="40% - Accent6 5 7 2 3 2" xfId="44513"/>
    <cellStyle name="40% - Accent6 5 7 2 4" xfId="44514"/>
    <cellStyle name="40% - Accent6 5 7 3" xfId="44515"/>
    <cellStyle name="40% - Accent6 5 7 3 2" xfId="44516"/>
    <cellStyle name="40% - Accent6 5 7 3 2 2" xfId="44517"/>
    <cellStyle name="40% - Accent6 5 7 3 3" xfId="44518"/>
    <cellStyle name="40% - Accent6 5 7 4" xfId="44519"/>
    <cellStyle name="40% - Accent6 5 7 4 2" xfId="44520"/>
    <cellStyle name="40% - Accent6 5 7 5" xfId="44521"/>
    <cellStyle name="40% - Accent6 5 8" xfId="44522"/>
    <cellStyle name="40% - Accent6 5 8 2" xfId="44523"/>
    <cellStyle name="40% - Accent6 5 8 2 2" xfId="44524"/>
    <cellStyle name="40% - Accent6 5 8 2 2 2" xfId="44525"/>
    <cellStyle name="40% - Accent6 5 8 2 3" xfId="44526"/>
    <cellStyle name="40% - Accent6 5 8 3" xfId="44527"/>
    <cellStyle name="40% - Accent6 5 8 3 2" xfId="44528"/>
    <cellStyle name="40% - Accent6 5 8 4" xfId="44529"/>
    <cellStyle name="40% - Accent6 5 9" xfId="44530"/>
    <cellStyle name="40% - Accent6 5 9 2" xfId="44531"/>
    <cellStyle name="40% - Accent6 5 9 2 2" xfId="44532"/>
    <cellStyle name="40% - Accent6 5 9 3" xfId="44533"/>
    <cellStyle name="40% - Accent6 6" xfId="44534"/>
    <cellStyle name="40% - Accent6 6 10" xfId="44535"/>
    <cellStyle name="40% - Accent6 6 10 2" xfId="44536"/>
    <cellStyle name="40% - Accent6 6 11" xfId="44537"/>
    <cellStyle name="40% - Accent6 6 2" xfId="44538"/>
    <cellStyle name="40% - Accent6 6 2 10" xfId="44539"/>
    <cellStyle name="40% - Accent6 6 2 2" xfId="44540"/>
    <cellStyle name="40% - Accent6 6 2 2 2" xfId="44541"/>
    <cellStyle name="40% - Accent6 6 2 2 2 2" xfId="44542"/>
    <cellStyle name="40% - Accent6 6 2 2 2 2 2" xfId="44543"/>
    <cellStyle name="40% - Accent6 6 2 2 2 2 2 2" xfId="44544"/>
    <cellStyle name="40% - Accent6 6 2 2 2 2 3" xfId="44545"/>
    <cellStyle name="40% - Accent6 6 2 2 2 3" xfId="44546"/>
    <cellStyle name="40% - Accent6 6 2 2 2 3 2" xfId="44547"/>
    <cellStyle name="40% - Accent6 6 2 2 2 4" xfId="44548"/>
    <cellStyle name="40% - Accent6 6 2 2 3" xfId="44549"/>
    <cellStyle name="40% - Accent6 6 2 2 3 2" xfId="44550"/>
    <cellStyle name="40% - Accent6 6 2 2 3 2 2" xfId="44551"/>
    <cellStyle name="40% - Accent6 6 2 2 3 3" xfId="44552"/>
    <cellStyle name="40% - Accent6 6 2 2 4" xfId="44553"/>
    <cellStyle name="40% - Accent6 6 2 2 4 2" xfId="44554"/>
    <cellStyle name="40% - Accent6 6 2 2 5" xfId="44555"/>
    <cellStyle name="40% - Accent6 6 2 3" xfId="44556"/>
    <cellStyle name="40% - Accent6 6 2 3 2" xfId="44557"/>
    <cellStyle name="40% - Accent6 6 2 3 2 2" xfId="44558"/>
    <cellStyle name="40% - Accent6 6 2 3 2 2 2" xfId="44559"/>
    <cellStyle name="40% - Accent6 6 2 3 2 2 2 2" xfId="44560"/>
    <cellStyle name="40% - Accent6 6 2 3 2 2 3" xfId="44561"/>
    <cellStyle name="40% - Accent6 6 2 3 2 3" xfId="44562"/>
    <cellStyle name="40% - Accent6 6 2 3 2 3 2" xfId="44563"/>
    <cellStyle name="40% - Accent6 6 2 3 2 4" xfId="44564"/>
    <cellStyle name="40% - Accent6 6 2 3 3" xfId="44565"/>
    <cellStyle name="40% - Accent6 6 2 3 3 2" xfId="44566"/>
    <cellStyle name="40% - Accent6 6 2 3 3 2 2" xfId="44567"/>
    <cellStyle name="40% - Accent6 6 2 3 3 3" xfId="44568"/>
    <cellStyle name="40% - Accent6 6 2 3 4" xfId="44569"/>
    <cellStyle name="40% - Accent6 6 2 3 4 2" xfId="44570"/>
    <cellStyle name="40% - Accent6 6 2 3 5" xfId="44571"/>
    <cellStyle name="40% - Accent6 6 2 4" xfId="44572"/>
    <cellStyle name="40% - Accent6 6 2 4 2" xfId="44573"/>
    <cellStyle name="40% - Accent6 6 2 4 2 2" xfId="44574"/>
    <cellStyle name="40% - Accent6 6 2 4 2 2 2" xfId="44575"/>
    <cellStyle name="40% - Accent6 6 2 4 2 2 2 2" xfId="44576"/>
    <cellStyle name="40% - Accent6 6 2 4 2 2 3" xfId="44577"/>
    <cellStyle name="40% - Accent6 6 2 4 2 3" xfId="44578"/>
    <cellStyle name="40% - Accent6 6 2 4 2 3 2" xfId="44579"/>
    <cellStyle name="40% - Accent6 6 2 4 2 4" xfId="44580"/>
    <cellStyle name="40% - Accent6 6 2 4 3" xfId="44581"/>
    <cellStyle name="40% - Accent6 6 2 4 3 2" xfId="44582"/>
    <cellStyle name="40% - Accent6 6 2 4 3 2 2" xfId="44583"/>
    <cellStyle name="40% - Accent6 6 2 4 3 3" xfId="44584"/>
    <cellStyle name="40% - Accent6 6 2 4 4" xfId="44585"/>
    <cellStyle name="40% - Accent6 6 2 4 4 2" xfId="44586"/>
    <cellStyle name="40% - Accent6 6 2 4 5" xfId="44587"/>
    <cellStyle name="40% - Accent6 6 2 5" xfId="44588"/>
    <cellStyle name="40% - Accent6 6 2 5 2" xfId="44589"/>
    <cellStyle name="40% - Accent6 6 2 5 2 2" xfId="44590"/>
    <cellStyle name="40% - Accent6 6 2 5 2 2 2" xfId="44591"/>
    <cellStyle name="40% - Accent6 6 2 5 2 2 2 2" xfId="44592"/>
    <cellStyle name="40% - Accent6 6 2 5 2 2 3" xfId="44593"/>
    <cellStyle name="40% - Accent6 6 2 5 2 3" xfId="44594"/>
    <cellStyle name="40% - Accent6 6 2 5 2 3 2" xfId="44595"/>
    <cellStyle name="40% - Accent6 6 2 5 2 4" xfId="44596"/>
    <cellStyle name="40% - Accent6 6 2 5 3" xfId="44597"/>
    <cellStyle name="40% - Accent6 6 2 5 3 2" xfId="44598"/>
    <cellStyle name="40% - Accent6 6 2 5 3 2 2" xfId="44599"/>
    <cellStyle name="40% - Accent6 6 2 5 3 3" xfId="44600"/>
    <cellStyle name="40% - Accent6 6 2 5 4" xfId="44601"/>
    <cellStyle name="40% - Accent6 6 2 5 4 2" xfId="44602"/>
    <cellStyle name="40% - Accent6 6 2 5 5" xfId="44603"/>
    <cellStyle name="40% - Accent6 6 2 6" xfId="44604"/>
    <cellStyle name="40% - Accent6 6 2 6 2" xfId="44605"/>
    <cellStyle name="40% - Accent6 6 2 6 2 2" xfId="44606"/>
    <cellStyle name="40% - Accent6 6 2 6 2 2 2" xfId="44607"/>
    <cellStyle name="40% - Accent6 6 2 6 2 2 2 2" xfId="44608"/>
    <cellStyle name="40% - Accent6 6 2 6 2 2 3" xfId="44609"/>
    <cellStyle name="40% - Accent6 6 2 6 2 3" xfId="44610"/>
    <cellStyle name="40% - Accent6 6 2 6 2 3 2" xfId="44611"/>
    <cellStyle name="40% - Accent6 6 2 6 2 4" xfId="44612"/>
    <cellStyle name="40% - Accent6 6 2 6 3" xfId="44613"/>
    <cellStyle name="40% - Accent6 6 2 6 3 2" xfId="44614"/>
    <cellStyle name="40% - Accent6 6 2 6 3 2 2" xfId="44615"/>
    <cellStyle name="40% - Accent6 6 2 6 3 3" xfId="44616"/>
    <cellStyle name="40% - Accent6 6 2 6 4" xfId="44617"/>
    <cellStyle name="40% - Accent6 6 2 6 4 2" xfId="44618"/>
    <cellStyle name="40% - Accent6 6 2 6 5" xfId="44619"/>
    <cellStyle name="40% - Accent6 6 2 7" xfId="44620"/>
    <cellStyle name="40% - Accent6 6 2 7 2" xfId="44621"/>
    <cellStyle name="40% - Accent6 6 2 7 2 2" xfId="44622"/>
    <cellStyle name="40% - Accent6 6 2 7 2 2 2" xfId="44623"/>
    <cellStyle name="40% - Accent6 6 2 7 2 3" xfId="44624"/>
    <cellStyle name="40% - Accent6 6 2 7 3" xfId="44625"/>
    <cellStyle name="40% - Accent6 6 2 7 3 2" xfId="44626"/>
    <cellStyle name="40% - Accent6 6 2 7 4" xfId="44627"/>
    <cellStyle name="40% - Accent6 6 2 8" xfId="44628"/>
    <cellStyle name="40% - Accent6 6 2 8 2" xfId="44629"/>
    <cellStyle name="40% - Accent6 6 2 8 2 2" xfId="44630"/>
    <cellStyle name="40% - Accent6 6 2 8 3" xfId="44631"/>
    <cellStyle name="40% - Accent6 6 2 9" xfId="44632"/>
    <cellStyle name="40% - Accent6 6 2 9 2" xfId="44633"/>
    <cellStyle name="40% - Accent6 6 3" xfId="44634"/>
    <cellStyle name="40% - Accent6 6 3 2" xfId="44635"/>
    <cellStyle name="40% - Accent6 6 3 2 2" xfId="44636"/>
    <cellStyle name="40% - Accent6 6 3 2 2 2" xfId="44637"/>
    <cellStyle name="40% - Accent6 6 3 2 2 2 2" xfId="44638"/>
    <cellStyle name="40% - Accent6 6 3 2 2 3" xfId="44639"/>
    <cellStyle name="40% - Accent6 6 3 2 3" xfId="44640"/>
    <cellStyle name="40% - Accent6 6 3 2 3 2" xfId="44641"/>
    <cellStyle name="40% - Accent6 6 3 2 4" xfId="44642"/>
    <cellStyle name="40% - Accent6 6 3 3" xfId="44643"/>
    <cellStyle name="40% - Accent6 6 3 3 2" xfId="44644"/>
    <cellStyle name="40% - Accent6 6 3 3 2 2" xfId="44645"/>
    <cellStyle name="40% - Accent6 6 3 3 3" xfId="44646"/>
    <cellStyle name="40% - Accent6 6 3 4" xfId="44647"/>
    <cellStyle name="40% - Accent6 6 3 4 2" xfId="44648"/>
    <cellStyle name="40% - Accent6 6 3 5" xfId="44649"/>
    <cellStyle name="40% - Accent6 6 4" xfId="44650"/>
    <cellStyle name="40% - Accent6 6 4 2" xfId="44651"/>
    <cellStyle name="40% - Accent6 6 4 2 2" xfId="44652"/>
    <cellStyle name="40% - Accent6 6 4 2 2 2" xfId="44653"/>
    <cellStyle name="40% - Accent6 6 4 2 2 2 2" xfId="44654"/>
    <cellStyle name="40% - Accent6 6 4 2 2 3" xfId="44655"/>
    <cellStyle name="40% - Accent6 6 4 2 3" xfId="44656"/>
    <cellStyle name="40% - Accent6 6 4 2 3 2" xfId="44657"/>
    <cellStyle name="40% - Accent6 6 4 2 4" xfId="44658"/>
    <cellStyle name="40% - Accent6 6 4 3" xfId="44659"/>
    <cellStyle name="40% - Accent6 6 4 3 2" xfId="44660"/>
    <cellStyle name="40% - Accent6 6 4 3 2 2" xfId="44661"/>
    <cellStyle name="40% - Accent6 6 4 3 3" xfId="44662"/>
    <cellStyle name="40% - Accent6 6 4 4" xfId="44663"/>
    <cellStyle name="40% - Accent6 6 4 4 2" xfId="44664"/>
    <cellStyle name="40% - Accent6 6 4 5" xfId="44665"/>
    <cellStyle name="40% - Accent6 6 5" xfId="44666"/>
    <cellStyle name="40% - Accent6 6 5 2" xfId="44667"/>
    <cellStyle name="40% - Accent6 6 5 2 2" xfId="44668"/>
    <cellStyle name="40% - Accent6 6 5 2 2 2" xfId="44669"/>
    <cellStyle name="40% - Accent6 6 5 2 2 2 2" xfId="44670"/>
    <cellStyle name="40% - Accent6 6 5 2 2 3" xfId="44671"/>
    <cellStyle name="40% - Accent6 6 5 2 3" xfId="44672"/>
    <cellStyle name="40% - Accent6 6 5 2 3 2" xfId="44673"/>
    <cellStyle name="40% - Accent6 6 5 2 4" xfId="44674"/>
    <cellStyle name="40% - Accent6 6 5 3" xfId="44675"/>
    <cellStyle name="40% - Accent6 6 5 3 2" xfId="44676"/>
    <cellStyle name="40% - Accent6 6 5 3 2 2" xfId="44677"/>
    <cellStyle name="40% - Accent6 6 5 3 3" xfId="44678"/>
    <cellStyle name="40% - Accent6 6 5 4" xfId="44679"/>
    <cellStyle name="40% - Accent6 6 5 4 2" xfId="44680"/>
    <cellStyle name="40% - Accent6 6 5 5" xfId="44681"/>
    <cellStyle name="40% - Accent6 6 6" xfId="44682"/>
    <cellStyle name="40% - Accent6 6 6 2" xfId="44683"/>
    <cellStyle name="40% - Accent6 6 6 2 2" xfId="44684"/>
    <cellStyle name="40% - Accent6 6 6 2 2 2" xfId="44685"/>
    <cellStyle name="40% - Accent6 6 6 2 2 2 2" xfId="44686"/>
    <cellStyle name="40% - Accent6 6 6 2 2 3" xfId="44687"/>
    <cellStyle name="40% - Accent6 6 6 2 3" xfId="44688"/>
    <cellStyle name="40% - Accent6 6 6 2 3 2" xfId="44689"/>
    <cellStyle name="40% - Accent6 6 6 2 4" xfId="44690"/>
    <cellStyle name="40% - Accent6 6 6 3" xfId="44691"/>
    <cellStyle name="40% - Accent6 6 6 3 2" xfId="44692"/>
    <cellStyle name="40% - Accent6 6 6 3 2 2" xfId="44693"/>
    <cellStyle name="40% - Accent6 6 6 3 3" xfId="44694"/>
    <cellStyle name="40% - Accent6 6 6 4" xfId="44695"/>
    <cellStyle name="40% - Accent6 6 6 4 2" xfId="44696"/>
    <cellStyle name="40% - Accent6 6 6 5" xfId="44697"/>
    <cellStyle name="40% - Accent6 6 7" xfId="44698"/>
    <cellStyle name="40% - Accent6 6 7 2" xfId="44699"/>
    <cellStyle name="40% - Accent6 6 7 2 2" xfId="44700"/>
    <cellStyle name="40% - Accent6 6 7 2 2 2" xfId="44701"/>
    <cellStyle name="40% - Accent6 6 7 2 2 2 2" xfId="44702"/>
    <cellStyle name="40% - Accent6 6 7 2 2 3" xfId="44703"/>
    <cellStyle name="40% - Accent6 6 7 2 3" xfId="44704"/>
    <cellStyle name="40% - Accent6 6 7 2 3 2" xfId="44705"/>
    <cellStyle name="40% - Accent6 6 7 2 4" xfId="44706"/>
    <cellStyle name="40% - Accent6 6 7 3" xfId="44707"/>
    <cellStyle name="40% - Accent6 6 7 3 2" xfId="44708"/>
    <cellStyle name="40% - Accent6 6 7 3 2 2" xfId="44709"/>
    <cellStyle name="40% - Accent6 6 7 3 3" xfId="44710"/>
    <cellStyle name="40% - Accent6 6 7 4" xfId="44711"/>
    <cellStyle name="40% - Accent6 6 7 4 2" xfId="44712"/>
    <cellStyle name="40% - Accent6 6 7 5" xfId="44713"/>
    <cellStyle name="40% - Accent6 6 8" xfId="44714"/>
    <cellStyle name="40% - Accent6 6 8 2" xfId="44715"/>
    <cellStyle name="40% - Accent6 6 8 2 2" xfId="44716"/>
    <cellStyle name="40% - Accent6 6 8 2 2 2" xfId="44717"/>
    <cellStyle name="40% - Accent6 6 8 2 3" xfId="44718"/>
    <cellStyle name="40% - Accent6 6 8 3" xfId="44719"/>
    <cellStyle name="40% - Accent6 6 8 3 2" xfId="44720"/>
    <cellStyle name="40% - Accent6 6 8 4" xfId="44721"/>
    <cellStyle name="40% - Accent6 6 9" xfId="44722"/>
    <cellStyle name="40% - Accent6 6 9 2" xfId="44723"/>
    <cellStyle name="40% - Accent6 6 9 2 2" xfId="44724"/>
    <cellStyle name="40% - Accent6 6 9 3" xfId="44725"/>
    <cellStyle name="40% - Accent6 7" xfId="44726"/>
    <cellStyle name="40% - Accent6 7 10" xfId="44727"/>
    <cellStyle name="40% - Accent6 7 10 2" xfId="44728"/>
    <cellStyle name="40% - Accent6 7 11" xfId="44729"/>
    <cellStyle name="40% - Accent6 7 2" xfId="44730"/>
    <cellStyle name="40% - Accent6 7 2 10" xfId="44731"/>
    <cellStyle name="40% - Accent6 7 2 2" xfId="44732"/>
    <cellStyle name="40% - Accent6 7 2 2 2" xfId="44733"/>
    <cellStyle name="40% - Accent6 7 2 2 2 2" xfId="44734"/>
    <cellStyle name="40% - Accent6 7 2 2 2 2 2" xfId="44735"/>
    <cellStyle name="40% - Accent6 7 2 2 2 2 2 2" xfId="44736"/>
    <cellStyle name="40% - Accent6 7 2 2 2 2 3" xfId="44737"/>
    <cellStyle name="40% - Accent6 7 2 2 2 3" xfId="44738"/>
    <cellStyle name="40% - Accent6 7 2 2 2 3 2" xfId="44739"/>
    <cellStyle name="40% - Accent6 7 2 2 2 4" xfId="44740"/>
    <cellStyle name="40% - Accent6 7 2 2 3" xfId="44741"/>
    <cellStyle name="40% - Accent6 7 2 2 3 2" xfId="44742"/>
    <cellStyle name="40% - Accent6 7 2 2 3 2 2" xfId="44743"/>
    <cellStyle name="40% - Accent6 7 2 2 3 3" xfId="44744"/>
    <cellStyle name="40% - Accent6 7 2 2 4" xfId="44745"/>
    <cellStyle name="40% - Accent6 7 2 2 4 2" xfId="44746"/>
    <cellStyle name="40% - Accent6 7 2 2 5" xfId="44747"/>
    <cellStyle name="40% - Accent6 7 2 3" xfId="44748"/>
    <cellStyle name="40% - Accent6 7 2 3 2" xfId="44749"/>
    <cellStyle name="40% - Accent6 7 2 3 2 2" xfId="44750"/>
    <cellStyle name="40% - Accent6 7 2 3 2 2 2" xfId="44751"/>
    <cellStyle name="40% - Accent6 7 2 3 2 2 2 2" xfId="44752"/>
    <cellStyle name="40% - Accent6 7 2 3 2 2 3" xfId="44753"/>
    <cellStyle name="40% - Accent6 7 2 3 2 3" xfId="44754"/>
    <cellStyle name="40% - Accent6 7 2 3 2 3 2" xfId="44755"/>
    <cellStyle name="40% - Accent6 7 2 3 2 4" xfId="44756"/>
    <cellStyle name="40% - Accent6 7 2 3 3" xfId="44757"/>
    <cellStyle name="40% - Accent6 7 2 3 3 2" xfId="44758"/>
    <cellStyle name="40% - Accent6 7 2 3 3 2 2" xfId="44759"/>
    <cellStyle name="40% - Accent6 7 2 3 3 3" xfId="44760"/>
    <cellStyle name="40% - Accent6 7 2 3 4" xfId="44761"/>
    <cellStyle name="40% - Accent6 7 2 3 4 2" xfId="44762"/>
    <cellStyle name="40% - Accent6 7 2 3 5" xfId="44763"/>
    <cellStyle name="40% - Accent6 7 2 4" xfId="44764"/>
    <cellStyle name="40% - Accent6 7 2 4 2" xfId="44765"/>
    <cellStyle name="40% - Accent6 7 2 4 2 2" xfId="44766"/>
    <cellStyle name="40% - Accent6 7 2 4 2 2 2" xfId="44767"/>
    <cellStyle name="40% - Accent6 7 2 4 2 2 2 2" xfId="44768"/>
    <cellStyle name="40% - Accent6 7 2 4 2 2 3" xfId="44769"/>
    <cellStyle name="40% - Accent6 7 2 4 2 3" xfId="44770"/>
    <cellStyle name="40% - Accent6 7 2 4 2 3 2" xfId="44771"/>
    <cellStyle name="40% - Accent6 7 2 4 2 4" xfId="44772"/>
    <cellStyle name="40% - Accent6 7 2 4 3" xfId="44773"/>
    <cellStyle name="40% - Accent6 7 2 4 3 2" xfId="44774"/>
    <cellStyle name="40% - Accent6 7 2 4 3 2 2" xfId="44775"/>
    <cellStyle name="40% - Accent6 7 2 4 3 3" xfId="44776"/>
    <cellStyle name="40% - Accent6 7 2 4 4" xfId="44777"/>
    <cellStyle name="40% - Accent6 7 2 4 4 2" xfId="44778"/>
    <cellStyle name="40% - Accent6 7 2 4 5" xfId="44779"/>
    <cellStyle name="40% - Accent6 7 2 5" xfId="44780"/>
    <cellStyle name="40% - Accent6 7 2 5 2" xfId="44781"/>
    <cellStyle name="40% - Accent6 7 2 5 2 2" xfId="44782"/>
    <cellStyle name="40% - Accent6 7 2 5 2 2 2" xfId="44783"/>
    <cellStyle name="40% - Accent6 7 2 5 2 2 2 2" xfId="44784"/>
    <cellStyle name="40% - Accent6 7 2 5 2 2 3" xfId="44785"/>
    <cellStyle name="40% - Accent6 7 2 5 2 3" xfId="44786"/>
    <cellStyle name="40% - Accent6 7 2 5 2 3 2" xfId="44787"/>
    <cellStyle name="40% - Accent6 7 2 5 2 4" xfId="44788"/>
    <cellStyle name="40% - Accent6 7 2 5 3" xfId="44789"/>
    <cellStyle name="40% - Accent6 7 2 5 3 2" xfId="44790"/>
    <cellStyle name="40% - Accent6 7 2 5 3 2 2" xfId="44791"/>
    <cellStyle name="40% - Accent6 7 2 5 3 3" xfId="44792"/>
    <cellStyle name="40% - Accent6 7 2 5 4" xfId="44793"/>
    <cellStyle name="40% - Accent6 7 2 5 4 2" xfId="44794"/>
    <cellStyle name="40% - Accent6 7 2 5 5" xfId="44795"/>
    <cellStyle name="40% - Accent6 7 2 6" xfId="44796"/>
    <cellStyle name="40% - Accent6 7 2 6 2" xfId="44797"/>
    <cellStyle name="40% - Accent6 7 2 6 2 2" xfId="44798"/>
    <cellStyle name="40% - Accent6 7 2 6 2 2 2" xfId="44799"/>
    <cellStyle name="40% - Accent6 7 2 6 2 2 2 2" xfId="44800"/>
    <cellStyle name="40% - Accent6 7 2 6 2 2 3" xfId="44801"/>
    <cellStyle name="40% - Accent6 7 2 6 2 3" xfId="44802"/>
    <cellStyle name="40% - Accent6 7 2 6 2 3 2" xfId="44803"/>
    <cellStyle name="40% - Accent6 7 2 6 2 4" xfId="44804"/>
    <cellStyle name="40% - Accent6 7 2 6 3" xfId="44805"/>
    <cellStyle name="40% - Accent6 7 2 6 3 2" xfId="44806"/>
    <cellStyle name="40% - Accent6 7 2 6 3 2 2" xfId="44807"/>
    <cellStyle name="40% - Accent6 7 2 6 3 3" xfId="44808"/>
    <cellStyle name="40% - Accent6 7 2 6 4" xfId="44809"/>
    <cellStyle name="40% - Accent6 7 2 6 4 2" xfId="44810"/>
    <cellStyle name="40% - Accent6 7 2 6 5" xfId="44811"/>
    <cellStyle name="40% - Accent6 7 2 7" xfId="44812"/>
    <cellStyle name="40% - Accent6 7 2 7 2" xfId="44813"/>
    <cellStyle name="40% - Accent6 7 2 7 2 2" xfId="44814"/>
    <cellStyle name="40% - Accent6 7 2 7 2 2 2" xfId="44815"/>
    <cellStyle name="40% - Accent6 7 2 7 2 3" xfId="44816"/>
    <cellStyle name="40% - Accent6 7 2 7 3" xfId="44817"/>
    <cellStyle name="40% - Accent6 7 2 7 3 2" xfId="44818"/>
    <cellStyle name="40% - Accent6 7 2 7 4" xfId="44819"/>
    <cellStyle name="40% - Accent6 7 2 8" xfId="44820"/>
    <cellStyle name="40% - Accent6 7 2 8 2" xfId="44821"/>
    <cellStyle name="40% - Accent6 7 2 8 2 2" xfId="44822"/>
    <cellStyle name="40% - Accent6 7 2 8 3" xfId="44823"/>
    <cellStyle name="40% - Accent6 7 2 9" xfId="44824"/>
    <cellStyle name="40% - Accent6 7 2 9 2" xfId="44825"/>
    <cellStyle name="40% - Accent6 7 3" xfId="44826"/>
    <cellStyle name="40% - Accent6 7 3 2" xfId="44827"/>
    <cellStyle name="40% - Accent6 7 3 2 2" xfId="44828"/>
    <cellStyle name="40% - Accent6 7 3 2 2 2" xfId="44829"/>
    <cellStyle name="40% - Accent6 7 3 2 2 2 2" xfId="44830"/>
    <cellStyle name="40% - Accent6 7 3 2 2 3" xfId="44831"/>
    <cellStyle name="40% - Accent6 7 3 2 3" xfId="44832"/>
    <cellStyle name="40% - Accent6 7 3 2 3 2" xfId="44833"/>
    <cellStyle name="40% - Accent6 7 3 2 4" xfId="44834"/>
    <cellStyle name="40% - Accent6 7 3 3" xfId="44835"/>
    <cellStyle name="40% - Accent6 7 3 3 2" xfId="44836"/>
    <cellStyle name="40% - Accent6 7 3 3 2 2" xfId="44837"/>
    <cellStyle name="40% - Accent6 7 3 3 3" xfId="44838"/>
    <cellStyle name="40% - Accent6 7 3 4" xfId="44839"/>
    <cellStyle name="40% - Accent6 7 3 4 2" xfId="44840"/>
    <cellStyle name="40% - Accent6 7 3 5" xfId="44841"/>
    <cellStyle name="40% - Accent6 7 4" xfId="44842"/>
    <cellStyle name="40% - Accent6 7 4 2" xfId="44843"/>
    <cellStyle name="40% - Accent6 7 4 2 2" xfId="44844"/>
    <cellStyle name="40% - Accent6 7 4 2 2 2" xfId="44845"/>
    <cellStyle name="40% - Accent6 7 4 2 2 2 2" xfId="44846"/>
    <cellStyle name="40% - Accent6 7 4 2 2 3" xfId="44847"/>
    <cellStyle name="40% - Accent6 7 4 2 3" xfId="44848"/>
    <cellStyle name="40% - Accent6 7 4 2 3 2" xfId="44849"/>
    <cellStyle name="40% - Accent6 7 4 2 4" xfId="44850"/>
    <cellStyle name="40% - Accent6 7 4 3" xfId="44851"/>
    <cellStyle name="40% - Accent6 7 4 3 2" xfId="44852"/>
    <cellStyle name="40% - Accent6 7 4 3 2 2" xfId="44853"/>
    <cellStyle name="40% - Accent6 7 4 3 3" xfId="44854"/>
    <cellStyle name="40% - Accent6 7 4 4" xfId="44855"/>
    <cellStyle name="40% - Accent6 7 4 4 2" xfId="44856"/>
    <cellStyle name="40% - Accent6 7 4 5" xfId="44857"/>
    <cellStyle name="40% - Accent6 7 5" xfId="44858"/>
    <cellStyle name="40% - Accent6 7 5 2" xfId="44859"/>
    <cellStyle name="40% - Accent6 7 5 2 2" xfId="44860"/>
    <cellStyle name="40% - Accent6 7 5 2 2 2" xfId="44861"/>
    <cellStyle name="40% - Accent6 7 5 2 2 2 2" xfId="44862"/>
    <cellStyle name="40% - Accent6 7 5 2 2 3" xfId="44863"/>
    <cellStyle name="40% - Accent6 7 5 2 3" xfId="44864"/>
    <cellStyle name="40% - Accent6 7 5 2 3 2" xfId="44865"/>
    <cellStyle name="40% - Accent6 7 5 2 4" xfId="44866"/>
    <cellStyle name="40% - Accent6 7 5 3" xfId="44867"/>
    <cellStyle name="40% - Accent6 7 5 3 2" xfId="44868"/>
    <cellStyle name="40% - Accent6 7 5 3 2 2" xfId="44869"/>
    <cellStyle name="40% - Accent6 7 5 3 3" xfId="44870"/>
    <cellStyle name="40% - Accent6 7 5 4" xfId="44871"/>
    <cellStyle name="40% - Accent6 7 5 4 2" xfId="44872"/>
    <cellStyle name="40% - Accent6 7 5 5" xfId="44873"/>
    <cellStyle name="40% - Accent6 7 6" xfId="44874"/>
    <cellStyle name="40% - Accent6 7 6 2" xfId="44875"/>
    <cellStyle name="40% - Accent6 7 6 2 2" xfId="44876"/>
    <cellStyle name="40% - Accent6 7 6 2 2 2" xfId="44877"/>
    <cellStyle name="40% - Accent6 7 6 2 2 2 2" xfId="44878"/>
    <cellStyle name="40% - Accent6 7 6 2 2 3" xfId="44879"/>
    <cellStyle name="40% - Accent6 7 6 2 3" xfId="44880"/>
    <cellStyle name="40% - Accent6 7 6 2 3 2" xfId="44881"/>
    <cellStyle name="40% - Accent6 7 6 2 4" xfId="44882"/>
    <cellStyle name="40% - Accent6 7 6 3" xfId="44883"/>
    <cellStyle name="40% - Accent6 7 6 3 2" xfId="44884"/>
    <cellStyle name="40% - Accent6 7 6 3 2 2" xfId="44885"/>
    <cellStyle name="40% - Accent6 7 6 3 3" xfId="44886"/>
    <cellStyle name="40% - Accent6 7 6 4" xfId="44887"/>
    <cellStyle name="40% - Accent6 7 6 4 2" xfId="44888"/>
    <cellStyle name="40% - Accent6 7 6 5" xfId="44889"/>
    <cellStyle name="40% - Accent6 7 7" xfId="44890"/>
    <cellStyle name="40% - Accent6 7 7 2" xfId="44891"/>
    <cellStyle name="40% - Accent6 7 7 2 2" xfId="44892"/>
    <cellStyle name="40% - Accent6 7 7 2 2 2" xfId="44893"/>
    <cellStyle name="40% - Accent6 7 7 2 2 2 2" xfId="44894"/>
    <cellStyle name="40% - Accent6 7 7 2 2 3" xfId="44895"/>
    <cellStyle name="40% - Accent6 7 7 2 3" xfId="44896"/>
    <cellStyle name="40% - Accent6 7 7 2 3 2" xfId="44897"/>
    <cellStyle name="40% - Accent6 7 7 2 4" xfId="44898"/>
    <cellStyle name="40% - Accent6 7 7 3" xfId="44899"/>
    <cellStyle name="40% - Accent6 7 7 3 2" xfId="44900"/>
    <cellStyle name="40% - Accent6 7 7 3 2 2" xfId="44901"/>
    <cellStyle name="40% - Accent6 7 7 3 3" xfId="44902"/>
    <cellStyle name="40% - Accent6 7 7 4" xfId="44903"/>
    <cellStyle name="40% - Accent6 7 7 4 2" xfId="44904"/>
    <cellStyle name="40% - Accent6 7 7 5" xfId="44905"/>
    <cellStyle name="40% - Accent6 7 8" xfId="44906"/>
    <cellStyle name="40% - Accent6 7 8 2" xfId="44907"/>
    <cellStyle name="40% - Accent6 7 8 2 2" xfId="44908"/>
    <cellStyle name="40% - Accent6 7 8 2 2 2" xfId="44909"/>
    <cellStyle name="40% - Accent6 7 8 2 3" xfId="44910"/>
    <cellStyle name="40% - Accent6 7 8 3" xfId="44911"/>
    <cellStyle name="40% - Accent6 7 8 3 2" xfId="44912"/>
    <cellStyle name="40% - Accent6 7 8 4" xfId="44913"/>
    <cellStyle name="40% - Accent6 7 9" xfId="44914"/>
    <cellStyle name="40% - Accent6 7 9 2" xfId="44915"/>
    <cellStyle name="40% - Accent6 7 9 2 2" xfId="44916"/>
    <cellStyle name="40% - Accent6 7 9 3" xfId="44917"/>
    <cellStyle name="40% - Accent6 8" xfId="44918"/>
    <cellStyle name="40% - Accent6 8 10" xfId="44919"/>
    <cellStyle name="40% - Accent6 8 10 2" xfId="44920"/>
    <cellStyle name="40% - Accent6 8 11" xfId="44921"/>
    <cellStyle name="40% - Accent6 8 2" xfId="44922"/>
    <cellStyle name="40% - Accent6 8 2 10" xfId="44923"/>
    <cellStyle name="40% - Accent6 8 2 2" xfId="44924"/>
    <cellStyle name="40% - Accent6 8 2 2 2" xfId="44925"/>
    <cellStyle name="40% - Accent6 8 2 2 2 2" xfId="44926"/>
    <cellStyle name="40% - Accent6 8 2 2 2 2 2" xfId="44927"/>
    <cellStyle name="40% - Accent6 8 2 2 2 2 2 2" xfId="44928"/>
    <cellStyle name="40% - Accent6 8 2 2 2 2 3" xfId="44929"/>
    <cellStyle name="40% - Accent6 8 2 2 2 3" xfId="44930"/>
    <cellStyle name="40% - Accent6 8 2 2 2 3 2" xfId="44931"/>
    <cellStyle name="40% - Accent6 8 2 2 2 4" xfId="44932"/>
    <cellStyle name="40% - Accent6 8 2 2 3" xfId="44933"/>
    <cellStyle name="40% - Accent6 8 2 2 3 2" xfId="44934"/>
    <cellStyle name="40% - Accent6 8 2 2 3 2 2" xfId="44935"/>
    <cellStyle name="40% - Accent6 8 2 2 3 3" xfId="44936"/>
    <cellStyle name="40% - Accent6 8 2 2 4" xfId="44937"/>
    <cellStyle name="40% - Accent6 8 2 2 4 2" xfId="44938"/>
    <cellStyle name="40% - Accent6 8 2 2 5" xfId="44939"/>
    <cellStyle name="40% - Accent6 8 2 3" xfId="44940"/>
    <cellStyle name="40% - Accent6 8 2 3 2" xfId="44941"/>
    <cellStyle name="40% - Accent6 8 2 3 2 2" xfId="44942"/>
    <cellStyle name="40% - Accent6 8 2 3 2 2 2" xfId="44943"/>
    <cellStyle name="40% - Accent6 8 2 3 2 2 2 2" xfId="44944"/>
    <cellStyle name="40% - Accent6 8 2 3 2 2 3" xfId="44945"/>
    <cellStyle name="40% - Accent6 8 2 3 2 3" xfId="44946"/>
    <cellStyle name="40% - Accent6 8 2 3 2 3 2" xfId="44947"/>
    <cellStyle name="40% - Accent6 8 2 3 2 4" xfId="44948"/>
    <cellStyle name="40% - Accent6 8 2 3 3" xfId="44949"/>
    <cellStyle name="40% - Accent6 8 2 3 3 2" xfId="44950"/>
    <cellStyle name="40% - Accent6 8 2 3 3 2 2" xfId="44951"/>
    <cellStyle name="40% - Accent6 8 2 3 3 3" xfId="44952"/>
    <cellStyle name="40% - Accent6 8 2 3 4" xfId="44953"/>
    <cellStyle name="40% - Accent6 8 2 3 4 2" xfId="44954"/>
    <cellStyle name="40% - Accent6 8 2 3 5" xfId="44955"/>
    <cellStyle name="40% - Accent6 8 2 4" xfId="44956"/>
    <cellStyle name="40% - Accent6 8 2 4 2" xfId="44957"/>
    <cellStyle name="40% - Accent6 8 2 4 2 2" xfId="44958"/>
    <cellStyle name="40% - Accent6 8 2 4 2 2 2" xfId="44959"/>
    <cellStyle name="40% - Accent6 8 2 4 2 2 2 2" xfId="44960"/>
    <cellStyle name="40% - Accent6 8 2 4 2 2 3" xfId="44961"/>
    <cellStyle name="40% - Accent6 8 2 4 2 3" xfId="44962"/>
    <cellStyle name="40% - Accent6 8 2 4 2 3 2" xfId="44963"/>
    <cellStyle name="40% - Accent6 8 2 4 2 4" xfId="44964"/>
    <cellStyle name="40% - Accent6 8 2 4 3" xfId="44965"/>
    <cellStyle name="40% - Accent6 8 2 4 3 2" xfId="44966"/>
    <cellStyle name="40% - Accent6 8 2 4 3 2 2" xfId="44967"/>
    <cellStyle name="40% - Accent6 8 2 4 3 3" xfId="44968"/>
    <cellStyle name="40% - Accent6 8 2 4 4" xfId="44969"/>
    <cellStyle name="40% - Accent6 8 2 4 4 2" xfId="44970"/>
    <cellStyle name="40% - Accent6 8 2 4 5" xfId="44971"/>
    <cellStyle name="40% - Accent6 8 2 5" xfId="44972"/>
    <cellStyle name="40% - Accent6 8 2 5 2" xfId="44973"/>
    <cellStyle name="40% - Accent6 8 2 5 2 2" xfId="44974"/>
    <cellStyle name="40% - Accent6 8 2 5 2 2 2" xfId="44975"/>
    <cellStyle name="40% - Accent6 8 2 5 2 2 2 2" xfId="44976"/>
    <cellStyle name="40% - Accent6 8 2 5 2 2 3" xfId="44977"/>
    <cellStyle name="40% - Accent6 8 2 5 2 3" xfId="44978"/>
    <cellStyle name="40% - Accent6 8 2 5 2 3 2" xfId="44979"/>
    <cellStyle name="40% - Accent6 8 2 5 2 4" xfId="44980"/>
    <cellStyle name="40% - Accent6 8 2 5 3" xfId="44981"/>
    <cellStyle name="40% - Accent6 8 2 5 3 2" xfId="44982"/>
    <cellStyle name="40% - Accent6 8 2 5 3 2 2" xfId="44983"/>
    <cellStyle name="40% - Accent6 8 2 5 3 3" xfId="44984"/>
    <cellStyle name="40% - Accent6 8 2 5 4" xfId="44985"/>
    <cellStyle name="40% - Accent6 8 2 5 4 2" xfId="44986"/>
    <cellStyle name="40% - Accent6 8 2 5 5" xfId="44987"/>
    <cellStyle name="40% - Accent6 8 2 6" xfId="44988"/>
    <cellStyle name="40% - Accent6 8 2 6 2" xfId="44989"/>
    <cellStyle name="40% - Accent6 8 2 6 2 2" xfId="44990"/>
    <cellStyle name="40% - Accent6 8 2 6 2 2 2" xfId="44991"/>
    <cellStyle name="40% - Accent6 8 2 6 2 2 2 2" xfId="44992"/>
    <cellStyle name="40% - Accent6 8 2 6 2 2 3" xfId="44993"/>
    <cellStyle name="40% - Accent6 8 2 6 2 3" xfId="44994"/>
    <cellStyle name="40% - Accent6 8 2 6 2 3 2" xfId="44995"/>
    <cellStyle name="40% - Accent6 8 2 6 2 4" xfId="44996"/>
    <cellStyle name="40% - Accent6 8 2 6 3" xfId="44997"/>
    <cellStyle name="40% - Accent6 8 2 6 3 2" xfId="44998"/>
    <cellStyle name="40% - Accent6 8 2 6 3 2 2" xfId="44999"/>
    <cellStyle name="40% - Accent6 8 2 6 3 3" xfId="45000"/>
    <cellStyle name="40% - Accent6 8 2 6 4" xfId="45001"/>
    <cellStyle name="40% - Accent6 8 2 6 4 2" xfId="45002"/>
    <cellStyle name="40% - Accent6 8 2 6 5" xfId="45003"/>
    <cellStyle name="40% - Accent6 8 2 7" xfId="45004"/>
    <cellStyle name="40% - Accent6 8 2 7 2" xfId="45005"/>
    <cellStyle name="40% - Accent6 8 2 7 2 2" xfId="45006"/>
    <cellStyle name="40% - Accent6 8 2 7 2 2 2" xfId="45007"/>
    <cellStyle name="40% - Accent6 8 2 7 2 3" xfId="45008"/>
    <cellStyle name="40% - Accent6 8 2 7 3" xfId="45009"/>
    <cellStyle name="40% - Accent6 8 2 7 3 2" xfId="45010"/>
    <cellStyle name="40% - Accent6 8 2 7 4" xfId="45011"/>
    <cellStyle name="40% - Accent6 8 2 8" xfId="45012"/>
    <cellStyle name="40% - Accent6 8 2 8 2" xfId="45013"/>
    <cellStyle name="40% - Accent6 8 2 8 2 2" xfId="45014"/>
    <cellStyle name="40% - Accent6 8 2 8 3" xfId="45015"/>
    <cellStyle name="40% - Accent6 8 2 9" xfId="45016"/>
    <cellStyle name="40% - Accent6 8 2 9 2" xfId="45017"/>
    <cellStyle name="40% - Accent6 8 3" xfId="45018"/>
    <cellStyle name="40% - Accent6 8 3 2" xfId="45019"/>
    <cellStyle name="40% - Accent6 8 3 2 2" xfId="45020"/>
    <cellStyle name="40% - Accent6 8 3 2 2 2" xfId="45021"/>
    <cellStyle name="40% - Accent6 8 3 2 2 2 2" xfId="45022"/>
    <cellStyle name="40% - Accent6 8 3 2 2 3" xfId="45023"/>
    <cellStyle name="40% - Accent6 8 3 2 3" xfId="45024"/>
    <cellStyle name="40% - Accent6 8 3 2 3 2" xfId="45025"/>
    <cellStyle name="40% - Accent6 8 3 2 4" xfId="45026"/>
    <cellStyle name="40% - Accent6 8 3 3" xfId="45027"/>
    <cellStyle name="40% - Accent6 8 3 3 2" xfId="45028"/>
    <cellStyle name="40% - Accent6 8 3 3 2 2" xfId="45029"/>
    <cellStyle name="40% - Accent6 8 3 3 3" xfId="45030"/>
    <cellStyle name="40% - Accent6 8 3 4" xfId="45031"/>
    <cellStyle name="40% - Accent6 8 3 4 2" xfId="45032"/>
    <cellStyle name="40% - Accent6 8 3 5" xfId="45033"/>
    <cellStyle name="40% - Accent6 8 4" xfId="45034"/>
    <cellStyle name="40% - Accent6 8 4 2" xfId="45035"/>
    <cellStyle name="40% - Accent6 8 4 2 2" xfId="45036"/>
    <cellStyle name="40% - Accent6 8 4 2 2 2" xfId="45037"/>
    <cellStyle name="40% - Accent6 8 4 2 2 2 2" xfId="45038"/>
    <cellStyle name="40% - Accent6 8 4 2 2 3" xfId="45039"/>
    <cellStyle name="40% - Accent6 8 4 2 3" xfId="45040"/>
    <cellStyle name="40% - Accent6 8 4 2 3 2" xfId="45041"/>
    <cellStyle name="40% - Accent6 8 4 2 4" xfId="45042"/>
    <cellStyle name="40% - Accent6 8 4 3" xfId="45043"/>
    <cellStyle name="40% - Accent6 8 4 3 2" xfId="45044"/>
    <cellStyle name="40% - Accent6 8 4 3 2 2" xfId="45045"/>
    <cellStyle name="40% - Accent6 8 4 3 3" xfId="45046"/>
    <cellStyle name="40% - Accent6 8 4 4" xfId="45047"/>
    <cellStyle name="40% - Accent6 8 4 4 2" xfId="45048"/>
    <cellStyle name="40% - Accent6 8 4 5" xfId="45049"/>
    <cellStyle name="40% - Accent6 8 5" xfId="45050"/>
    <cellStyle name="40% - Accent6 8 5 2" xfId="45051"/>
    <cellStyle name="40% - Accent6 8 5 2 2" xfId="45052"/>
    <cellStyle name="40% - Accent6 8 5 2 2 2" xfId="45053"/>
    <cellStyle name="40% - Accent6 8 5 2 2 2 2" xfId="45054"/>
    <cellStyle name="40% - Accent6 8 5 2 2 3" xfId="45055"/>
    <cellStyle name="40% - Accent6 8 5 2 3" xfId="45056"/>
    <cellStyle name="40% - Accent6 8 5 2 3 2" xfId="45057"/>
    <cellStyle name="40% - Accent6 8 5 2 4" xfId="45058"/>
    <cellStyle name="40% - Accent6 8 5 3" xfId="45059"/>
    <cellStyle name="40% - Accent6 8 5 3 2" xfId="45060"/>
    <cellStyle name="40% - Accent6 8 5 3 2 2" xfId="45061"/>
    <cellStyle name="40% - Accent6 8 5 3 3" xfId="45062"/>
    <cellStyle name="40% - Accent6 8 5 4" xfId="45063"/>
    <cellStyle name="40% - Accent6 8 5 4 2" xfId="45064"/>
    <cellStyle name="40% - Accent6 8 5 5" xfId="45065"/>
    <cellStyle name="40% - Accent6 8 6" xfId="45066"/>
    <cellStyle name="40% - Accent6 8 6 2" xfId="45067"/>
    <cellStyle name="40% - Accent6 8 6 2 2" xfId="45068"/>
    <cellStyle name="40% - Accent6 8 6 2 2 2" xfId="45069"/>
    <cellStyle name="40% - Accent6 8 6 2 2 2 2" xfId="45070"/>
    <cellStyle name="40% - Accent6 8 6 2 2 3" xfId="45071"/>
    <cellStyle name="40% - Accent6 8 6 2 3" xfId="45072"/>
    <cellStyle name="40% - Accent6 8 6 2 3 2" xfId="45073"/>
    <cellStyle name="40% - Accent6 8 6 2 4" xfId="45074"/>
    <cellStyle name="40% - Accent6 8 6 3" xfId="45075"/>
    <cellStyle name="40% - Accent6 8 6 3 2" xfId="45076"/>
    <cellStyle name="40% - Accent6 8 6 3 2 2" xfId="45077"/>
    <cellStyle name="40% - Accent6 8 6 3 3" xfId="45078"/>
    <cellStyle name="40% - Accent6 8 6 4" xfId="45079"/>
    <cellStyle name="40% - Accent6 8 6 4 2" xfId="45080"/>
    <cellStyle name="40% - Accent6 8 6 5" xfId="45081"/>
    <cellStyle name="40% - Accent6 8 7" xfId="45082"/>
    <cellStyle name="40% - Accent6 8 7 2" xfId="45083"/>
    <cellStyle name="40% - Accent6 8 7 2 2" xfId="45084"/>
    <cellStyle name="40% - Accent6 8 7 2 2 2" xfId="45085"/>
    <cellStyle name="40% - Accent6 8 7 2 2 2 2" xfId="45086"/>
    <cellStyle name="40% - Accent6 8 7 2 2 3" xfId="45087"/>
    <cellStyle name="40% - Accent6 8 7 2 3" xfId="45088"/>
    <cellStyle name="40% - Accent6 8 7 2 3 2" xfId="45089"/>
    <cellStyle name="40% - Accent6 8 7 2 4" xfId="45090"/>
    <cellStyle name="40% - Accent6 8 7 3" xfId="45091"/>
    <cellStyle name="40% - Accent6 8 7 3 2" xfId="45092"/>
    <cellStyle name="40% - Accent6 8 7 3 2 2" xfId="45093"/>
    <cellStyle name="40% - Accent6 8 7 3 3" xfId="45094"/>
    <cellStyle name="40% - Accent6 8 7 4" xfId="45095"/>
    <cellStyle name="40% - Accent6 8 7 4 2" xfId="45096"/>
    <cellStyle name="40% - Accent6 8 7 5" xfId="45097"/>
    <cellStyle name="40% - Accent6 8 8" xfId="45098"/>
    <cellStyle name="40% - Accent6 8 8 2" xfId="45099"/>
    <cellStyle name="40% - Accent6 8 8 2 2" xfId="45100"/>
    <cellStyle name="40% - Accent6 8 8 2 2 2" xfId="45101"/>
    <cellStyle name="40% - Accent6 8 8 2 3" xfId="45102"/>
    <cellStyle name="40% - Accent6 8 8 3" xfId="45103"/>
    <cellStyle name="40% - Accent6 8 8 3 2" xfId="45104"/>
    <cellStyle name="40% - Accent6 8 8 4" xfId="45105"/>
    <cellStyle name="40% - Accent6 8 9" xfId="45106"/>
    <cellStyle name="40% - Accent6 8 9 2" xfId="45107"/>
    <cellStyle name="40% - Accent6 8 9 2 2" xfId="45108"/>
    <cellStyle name="40% - Accent6 8 9 3" xfId="45109"/>
    <cellStyle name="40% - Accent6 9" xfId="45110"/>
    <cellStyle name="40% - Accent6 9 10" xfId="45111"/>
    <cellStyle name="40% - Accent6 9 10 2" xfId="45112"/>
    <cellStyle name="40% - Accent6 9 11" xfId="45113"/>
    <cellStyle name="40% - Accent6 9 2" xfId="45114"/>
    <cellStyle name="40% - Accent6 9 2 10" xfId="45115"/>
    <cellStyle name="40% - Accent6 9 2 2" xfId="45116"/>
    <cellStyle name="40% - Accent6 9 2 2 2" xfId="45117"/>
    <cellStyle name="40% - Accent6 9 2 2 2 2" xfId="45118"/>
    <cellStyle name="40% - Accent6 9 2 2 2 2 2" xfId="45119"/>
    <cellStyle name="40% - Accent6 9 2 2 2 2 2 2" xfId="45120"/>
    <cellStyle name="40% - Accent6 9 2 2 2 2 3" xfId="45121"/>
    <cellStyle name="40% - Accent6 9 2 2 2 3" xfId="45122"/>
    <cellStyle name="40% - Accent6 9 2 2 2 3 2" xfId="45123"/>
    <cellStyle name="40% - Accent6 9 2 2 2 4" xfId="45124"/>
    <cellStyle name="40% - Accent6 9 2 2 3" xfId="45125"/>
    <cellStyle name="40% - Accent6 9 2 2 3 2" xfId="45126"/>
    <cellStyle name="40% - Accent6 9 2 2 3 2 2" xfId="45127"/>
    <cellStyle name="40% - Accent6 9 2 2 3 3" xfId="45128"/>
    <cellStyle name="40% - Accent6 9 2 2 4" xfId="45129"/>
    <cellStyle name="40% - Accent6 9 2 2 4 2" xfId="45130"/>
    <cellStyle name="40% - Accent6 9 2 2 5" xfId="45131"/>
    <cellStyle name="40% - Accent6 9 2 3" xfId="45132"/>
    <cellStyle name="40% - Accent6 9 2 3 2" xfId="45133"/>
    <cellStyle name="40% - Accent6 9 2 3 2 2" xfId="45134"/>
    <cellStyle name="40% - Accent6 9 2 3 2 2 2" xfId="45135"/>
    <cellStyle name="40% - Accent6 9 2 3 2 2 2 2" xfId="45136"/>
    <cellStyle name="40% - Accent6 9 2 3 2 2 3" xfId="45137"/>
    <cellStyle name="40% - Accent6 9 2 3 2 3" xfId="45138"/>
    <cellStyle name="40% - Accent6 9 2 3 2 3 2" xfId="45139"/>
    <cellStyle name="40% - Accent6 9 2 3 2 4" xfId="45140"/>
    <cellStyle name="40% - Accent6 9 2 3 3" xfId="45141"/>
    <cellStyle name="40% - Accent6 9 2 3 3 2" xfId="45142"/>
    <cellStyle name="40% - Accent6 9 2 3 3 2 2" xfId="45143"/>
    <cellStyle name="40% - Accent6 9 2 3 3 3" xfId="45144"/>
    <cellStyle name="40% - Accent6 9 2 3 4" xfId="45145"/>
    <cellStyle name="40% - Accent6 9 2 3 4 2" xfId="45146"/>
    <cellStyle name="40% - Accent6 9 2 3 5" xfId="45147"/>
    <cellStyle name="40% - Accent6 9 2 4" xfId="45148"/>
    <cellStyle name="40% - Accent6 9 2 4 2" xfId="45149"/>
    <cellStyle name="40% - Accent6 9 2 4 2 2" xfId="45150"/>
    <cellStyle name="40% - Accent6 9 2 4 2 2 2" xfId="45151"/>
    <cellStyle name="40% - Accent6 9 2 4 2 2 2 2" xfId="45152"/>
    <cellStyle name="40% - Accent6 9 2 4 2 2 3" xfId="45153"/>
    <cellStyle name="40% - Accent6 9 2 4 2 3" xfId="45154"/>
    <cellStyle name="40% - Accent6 9 2 4 2 3 2" xfId="45155"/>
    <cellStyle name="40% - Accent6 9 2 4 2 4" xfId="45156"/>
    <cellStyle name="40% - Accent6 9 2 4 3" xfId="45157"/>
    <cellStyle name="40% - Accent6 9 2 4 3 2" xfId="45158"/>
    <cellStyle name="40% - Accent6 9 2 4 3 2 2" xfId="45159"/>
    <cellStyle name="40% - Accent6 9 2 4 3 3" xfId="45160"/>
    <cellStyle name="40% - Accent6 9 2 4 4" xfId="45161"/>
    <cellStyle name="40% - Accent6 9 2 4 4 2" xfId="45162"/>
    <cellStyle name="40% - Accent6 9 2 4 5" xfId="45163"/>
    <cellStyle name="40% - Accent6 9 2 5" xfId="45164"/>
    <cellStyle name="40% - Accent6 9 2 5 2" xfId="45165"/>
    <cellStyle name="40% - Accent6 9 2 5 2 2" xfId="45166"/>
    <cellStyle name="40% - Accent6 9 2 5 2 2 2" xfId="45167"/>
    <cellStyle name="40% - Accent6 9 2 5 2 2 2 2" xfId="45168"/>
    <cellStyle name="40% - Accent6 9 2 5 2 2 3" xfId="45169"/>
    <cellStyle name="40% - Accent6 9 2 5 2 3" xfId="45170"/>
    <cellStyle name="40% - Accent6 9 2 5 2 3 2" xfId="45171"/>
    <cellStyle name="40% - Accent6 9 2 5 2 4" xfId="45172"/>
    <cellStyle name="40% - Accent6 9 2 5 3" xfId="45173"/>
    <cellStyle name="40% - Accent6 9 2 5 3 2" xfId="45174"/>
    <cellStyle name="40% - Accent6 9 2 5 3 2 2" xfId="45175"/>
    <cellStyle name="40% - Accent6 9 2 5 3 3" xfId="45176"/>
    <cellStyle name="40% - Accent6 9 2 5 4" xfId="45177"/>
    <cellStyle name="40% - Accent6 9 2 5 4 2" xfId="45178"/>
    <cellStyle name="40% - Accent6 9 2 5 5" xfId="45179"/>
    <cellStyle name="40% - Accent6 9 2 6" xfId="45180"/>
    <cellStyle name="40% - Accent6 9 2 6 2" xfId="45181"/>
    <cellStyle name="40% - Accent6 9 2 6 2 2" xfId="45182"/>
    <cellStyle name="40% - Accent6 9 2 6 2 2 2" xfId="45183"/>
    <cellStyle name="40% - Accent6 9 2 6 2 2 2 2" xfId="45184"/>
    <cellStyle name="40% - Accent6 9 2 6 2 2 3" xfId="45185"/>
    <cellStyle name="40% - Accent6 9 2 6 2 3" xfId="45186"/>
    <cellStyle name="40% - Accent6 9 2 6 2 3 2" xfId="45187"/>
    <cellStyle name="40% - Accent6 9 2 6 2 4" xfId="45188"/>
    <cellStyle name="40% - Accent6 9 2 6 3" xfId="45189"/>
    <cellStyle name="40% - Accent6 9 2 6 3 2" xfId="45190"/>
    <cellStyle name="40% - Accent6 9 2 6 3 2 2" xfId="45191"/>
    <cellStyle name="40% - Accent6 9 2 6 3 3" xfId="45192"/>
    <cellStyle name="40% - Accent6 9 2 6 4" xfId="45193"/>
    <cellStyle name="40% - Accent6 9 2 6 4 2" xfId="45194"/>
    <cellStyle name="40% - Accent6 9 2 6 5" xfId="45195"/>
    <cellStyle name="40% - Accent6 9 2 7" xfId="45196"/>
    <cellStyle name="40% - Accent6 9 2 7 2" xfId="45197"/>
    <cellStyle name="40% - Accent6 9 2 7 2 2" xfId="45198"/>
    <cellStyle name="40% - Accent6 9 2 7 2 2 2" xfId="45199"/>
    <cellStyle name="40% - Accent6 9 2 7 2 3" xfId="45200"/>
    <cellStyle name="40% - Accent6 9 2 7 3" xfId="45201"/>
    <cellStyle name="40% - Accent6 9 2 7 3 2" xfId="45202"/>
    <cellStyle name="40% - Accent6 9 2 7 4" xfId="45203"/>
    <cellStyle name="40% - Accent6 9 2 8" xfId="45204"/>
    <cellStyle name="40% - Accent6 9 2 8 2" xfId="45205"/>
    <cellStyle name="40% - Accent6 9 2 8 2 2" xfId="45206"/>
    <cellStyle name="40% - Accent6 9 2 8 3" xfId="45207"/>
    <cellStyle name="40% - Accent6 9 2 9" xfId="45208"/>
    <cellStyle name="40% - Accent6 9 2 9 2" xfId="45209"/>
    <cellStyle name="40% - Accent6 9 3" xfId="45210"/>
    <cellStyle name="40% - Accent6 9 3 2" xfId="45211"/>
    <cellStyle name="40% - Accent6 9 3 2 2" xfId="45212"/>
    <cellStyle name="40% - Accent6 9 3 2 2 2" xfId="45213"/>
    <cellStyle name="40% - Accent6 9 3 2 2 2 2" xfId="45214"/>
    <cellStyle name="40% - Accent6 9 3 2 2 3" xfId="45215"/>
    <cellStyle name="40% - Accent6 9 3 2 3" xfId="45216"/>
    <cellStyle name="40% - Accent6 9 3 2 3 2" xfId="45217"/>
    <cellStyle name="40% - Accent6 9 3 2 4" xfId="45218"/>
    <cellStyle name="40% - Accent6 9 3 3" xfId="45219"/>
    <cellStyle name="40% - Accent6 9 3 3 2" xfId="45220"/>
    <cellStyle name="40% - Accent6 9 3 3 2 2" xfId="45221"/>
    <cellStyle name="40% - Accent6 9 3 3 3" xfId="45222"/>
    <cellStyle name="40% - Accent6 9 3 4" xfId="45223"/>
    <cellStyle name="40% - Accent6 9 3 4 2" xfId="45224"/>
    <cellStyle name="40% - Accent6 9 3 5" xfId="45225"/>
    <cellStyle name="40% - Accent6 9 4" xfId="45226"/>
    <cellStyle name="40% - Accent6 9 4 2" xfId="45227"/>
    <cellStyle name="40% - Accent6 9 4 2 2" xfId="45228"/>
    <cellStyle name="40% - Accent6 9 4 2 2 2" xfId="45229"/>
    <cellStyle name="40% - Accent6 9 4 2 2 2 2" xfId="45230"/>
    <cellStyle name="40% - Accent6 9 4 2 2 3" xfId="45231"/>
    <cellStyle name="40% - Accent6 9 4 2 3" xfId="45232"/>
    <cellStyle name="40% - Accent6 9 4 2 3 2" xfId="45233"/>
    <cellStyle name="40% - Accent6 9 4 2 4" xfId="45234"/>
    <cellStyle name="40% - Accent6 9 4 3" xfId="45235"/>
    <cellStyle name="40% - Accent6 9 4 3 2" xfId="45236"/>
    <cellStyle name="40% - Accent6 9 4 3 2 2" xfId="45237"/>
    <cellStyle name="40% - Accent6 9 4 3 3" xfId="45238"/>
    <cellStyle name="40% - Accent6 9 4 4" xfId="45239"/>
    <cellStyle name="40% - Accent6 9 4 4 2" xfId="45240"/>
    <cellStyle name="40% - Accent6 9 4 5" xfId="45241"/>
    <cellStyle name="40% - Accent6 9 5" xfId="45242"/>
    <cellStyle name="40% - Accent6 9 5 2" xfId="45243"/>
    <cellStyle name="40% - Accent6 9 5 2 2" xfId="45244"/>
    <cellStyle name="40% - Accent6 9 5 2 2 2" xfId="45245"/>
    <cellStyle name="40% - Accent6 9 5 2 2 2 2" xfId="45246"/>
    <cellStyle name="40% - Accent6 9 5 2 2 3" xfId="45247"/>
    <cellStyle name="40% - Accent6 9 5 2 3" xfId="45248"/>
    <cellStyle name="40% - Accent6 9 5 2 3 2" xfId="45249"/>
    <cellStyle name="40% - Accent6 9 5 2 4" xfId="45250"/>
    <cellStyle name="40% - Accent6 9 5 3" xfId="45251"/>
    <cellStyle name="40% - Accent6 9 5 3 2" xfId="45252"/>
    <cellStyle name="40% - Accent6 9 5 3 2 2" xfId="45253"/>
    <cellStyle name="40% - Accent6 9 5 3 3" xfId="45254"/>
    <cellStyle name="40% - Accent6 9 5 4" xfId="45255"/>
    <cellStyle name="40% - Accent6 9 5 4 2" xfId="45256"/>
    <cellStyle name="40% - Accent6 9 5 5" xfId="45257"/>
    <cellStyle name="40% - Accent6 9 6" xfId="45258"/>
    <cellStyle name="40% - Accent6 9 6 2" xfId="45259"/>
    <cellStyle name="40% - Accent6 9 6 2 2" xfId="45260"/>
    <cellStyle name="40% - Accent6 9 6 2 2 2" xfId="45261"/>
    <cellStyle name="40% - Accent6 9 6 2 2 2 2" xfId="45262"/>
    <cellStyle name="40% - Accent6 9 6 2 2 3" xfId="45263"/>
    <cellStyle name="40% - Accent6 9 6 2 3" xfId="45264"/>
    <cellStyle name="40% - Accent6 9 6 2 3 2" xfId="45265"/>
    <cellStyle name="40% - Accent6 9 6 2 4" xfId="45266"/>
    <cellStyle name="40% - Accent6 9 6 3" xfId="45267"/>
    <cellStyle name="40% - Accent6 9 6 3 2" xfId="45268"/>
    <cellStyle name="40% - Accent6 9 6 3 2 2" xfId="45269"/>
    <cellStyle name="40% - Accent6 9 6 3 3" xfId="45270"/>
    <cellStyle name="40% - Accent6 9 6 4" xfId="45271"/>
    <cellStyle name="40% - Accent6 9 6 4 2" xfId="45272"/>
    <cellStyle name="40% - Accent6 9 6 5" xfId="45273"/>
    <cellStyle name="40% - Accent6 9 7" xfId="45274"/>
    <cellStyle name="40% - Accent6 9 7 2" xfId="45275"/>
    <cellStyle name="40% - Accent6 9 7 2 2" xfId="45276"/>
    <cellStyle name="40% - Accent6 9 7 2 2 2" xfId="45277"/>
    <cellStyle name="40% - Accent6 9 7 2 2 2 2" xfId="45278"/>
    <cellStyle name="40% - Accent6 9 7 2 2 3" xfId="45279"/>
    <cellStyle name="40% - Accent6 9 7 2 3" xfId="45280"/>
    <cellStyle name="40% - Accent6 9 7 2 3 2" xfId="45281"/>
    <cellStyle name="40% - Accent6 9 7 2 4" xfId="45282"/>
    <cellStyle name="40% - Accent6 9 7 3" xfId="45283"/>
    <cellStyle name="40% - Accent6 9 7 3 2" xfId="45284"/>
    <cellStyle name="40% - Accent6 9 7 3 2 2" xfId="45285"/>
    <cellStyle name="40% - Accent6 9 7 3 3" xfId="45286"/>
    <cellStyle name="40% - Accent6 9 7 4" xfId="45287"/>
    <cellStyle name="40% - Accent6 9 7 4 2" xfId="45288"/>
    <cellStyle name="40% - Accent6 9 7 5" xfId="45289"/>
    <cellStyle name="40% - Accent6 9 8" xfId="45290"/>
    <cellStyle name="40% - Accent6 9 8 2" xfId="45291"/>
    <cellStyle name="40% - Accent6 9 8 2 2" xfId="45292"/>
    <cellStyle name="40% - Accent6 9 8 2 2 2" xfId="45293"/>
    <cellStyle name="40% - Accent6 9 8 2 3" xfId="45294"/>
    <cellStyle name="40% - Accent6 9 8 3" xfId="45295"/>
    <cellStyle name="40% - Accent6 9 8 3 2" xfId="45296"/>
    <cellStyle name="40% - Accent6 9 8 4" xfId="45297"/>
    <cellStyle name="40% - Accent6 9 9" xfId="45298"/>
    <cellStyle name="40% - Accent6 9 9 2" xfId="45299"/>
    <cellStyle name="40% - Accent6 9 9 2 2" xfId="45300"/>
    <cellStyle name="40% - Accent6 9 9 3" xfId="45301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/>
    <cellStyle name="Comma 2 2" xfId="45303"/>
    <cellStyle name="Comma 2 2 2" xfId="45304"/>
    <cellStyle name="Comma 2 3" xfId="45305"/>
    <cellStyle name="Comma 2 3 2" xfId="45306"/>
    <cellStyle name="Comma 2 4" xfId="45307"/>
    <cellStyle name="Comma 2 4 2" xfId="45308"/>
    <cellStyle name="Comma 3" xfId="45309"/>
    <cellStyle name="Comma 3 2" xfId="45310"/>
    <cellStyle name="Comma 4" xfId="45311"/>
    <cellStyle name="Comma 5" xfId="45312"/>
    <cellStyle name="Comma 6" xfId="45313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/>
    <cellStyle name="Normal 10 2" xfId="45315"/>
    <cellStyle name="Normal 11" xfId="45316"/>
    <cellStyle name="Normal 11 10" xfId="45317"/>
    <cellStyle name="Normal 11 2" xfId="45318"/>
    <cellStyle name="Normal 11 2 2" xfId="45319"/>
    <cellStyle name="Normal 11 2 2 2" xfId="45320"/>
    <cellStyle name="Normal 11 2 2 2 2" xfId="45321"/>
    <cellStyle name="Normal 11 2 2 2 2 2" xfId="45322"/>
    <cellStyle name="Normal 11 2 2 2 3" xfId="45323"/>
    <cellStyle name="Normal 11 2 2 3" xfId="45324"/>
    <cellStyle name="Normal 11 2 2 3 2" xfId="45325"/>
    <cellStyle name="Normal 11 2 2 4" xfId="45326"/>
    <cellStyle name="Normal 11 2 3" xfId="45327"/>
    <cellStyle name="Normal 11 2 3 2" xfId="45328"/>
    <cellStyle name="Normal 11 2 3 2 2" xfId="45329"/>
    <cellStyle name="Normal 11 2 3 3" xfId="45330"/>
    <cellStyle name="Normal 11 2 4" xfId="45331"/>
    <cellStyle name="Normal 11 2 4 2" xfId="45332"/>
    <cellStyle name="Normal 11 2 5" xfId="45333"/>
    <cellStyle name="Normal 11 3" xfId="45334"/>
    <cellStyle name="Normal 11 3 2" xfId="45335"/>
    <cellStyle name="Normal 11 3 2 2" xfId="45336"/>
    <cellStyle name="Normal 11 3 2 2 2" xfId="45337"/>
    <cellStyle name="Normal 11 3 2 2 2 2" xfId="45338"/>
    <cellStyle name="Normal 11 3 2 2 3" xfId="45339"/>
    <cellStyle name="Normal 11 3 2 3" xfId="45340"/>
    <cellStyle name="Normal 11 3 2 3 2" xfId="45341"/>
    <cellStyle name="Normal 11 3 2 4" xfId="45342"/>
    <cellStyle name="Normal 11 3 3" xfId="45343"/>
    <cellStyle name="Normal 11 3 3 2" xfId="45344"/>
    <cellStyle name="Normal 11 3 3 2 2" xfId="45345"/>
    <cellStyle name="Normal 11 3 3 3" xfId="45346"/>
    <cellStyle name="Normal 11 3 4" xfId="45347"/>
    <cellStyle name="Normal 11 3 4 2" xfId="45348"/>
    <cellStyle name="Normal 11 3 5" xfId="45349"/>
    <cellStyle name="Normal 11 4" xfId="45350"/>
    <cellStyle name="Normal 11 4 2" xfId="45351"/>
    <cellStyle name="Normal 11 4 2 2" xfId="45352"/>
    <cellStyle name="Normal 11 4 2 2 2" xfId="45353"/>
    <cellStyle name="Normal 11 4 2 2 2 2" xfId="45354"/>
    <cellStyle name="Normal 11 4 2 2 3" xfId="45355"/>
    <cellStyle name="Normal 11 4 2 3" xfId="45356"/>
    <cellStyle name="Normal 11 4 2 3 2" xfId="45357"/>
    <cellStyle name="Normal 11 4 2 4" xfId="45358"/>
    <cellStyle name="Normal 11 4 3" xfId="45359"/>
    <cellStyle name="Normal 11 4 3 2" xfId="45360"/>
    <cellStyle name="Normal 11 4 3 2 2" xfId="45361"/>
    <cellStyle name="Normal 11 4 3 3" xfId="45362"/>
    <cellStyle name="Normal 11 4 4" xfId="45363"/>
    <cellStyle name="Normal 11 4 4 2" xfId="45364"/>
    <cellStyle name="Normal 11 4 5" xfId="45365"/>
    <cellStyle name="Normal 11 5" xfId="45366"/>
    <cellStyle name="Normal 11 5 2" xfId="45367"/>
    <cellStyle name="Normal 11 5 2 2" xfId="45368"/>
    <cellStyle name="Normal 11 5 2 2 2" xfId="45369"/>
    <cellStyle name="Normal 11 5 2 2 2 2" xfId="45370"/>
    <cellStyle name="Normal 11 5 2 2 3" xfId="45371"/>
    <cellStyle name="Normal 11 5 2 3" xfId="45372"/>
    <cellStyle name="Normal 11 5 2 3 2" xfId="45373"/>
    <cellStyle name="Normal 11 5 2 4" xfId="45374"/>
    <cellStyle name="Normal 11 5 3" xfId="45375"/>
    <cellStyle name="Normal 11 5 3 2" xfId="45376"/>
    <cellStyle name="Normal 11 5 3 2 2" xfId="45377"/>
    <cellStyle name="Normal 11 5 3 3" xfId="45378"/>
    <cellStyle name="Normal 11 5 4" xfId="45379"/>
    <cellStyle name="Normal 11 5 4 2" xfId="45380"/>
    <cellStyle name="Normal 11 5 5" xfId="45381"/>
    <cellStyle name="Normal 11 6" xfId="45382"/>
    <cellStyle name="Normal 11 6 2" xfId="45383"/>
    <cellStyle name="Normal 11 6 2 2" xfId="45384"/>
    <cellStyle name="Normal 11 6 2 2 2" xfId="45385"/>
    <cellStyle name="Normal 11 6 2 2 2 2" xfId="45386"/>
    <cellStyle name="Normal 11 6 2 2 3" xfId="45387"/>
    <cellStyle name="Normal 11 6 2 3" xfId="45388"/>
    <cellStyle name="Normal 11 6 2 3 2" xfId="45389"/>
    <cellStyle name="Normal 11 6 2 4" xfId="45390"/>
    <cellStyle name="Normal 11 6 3" xfId="45391"/>
    <cellStyle name="Normal 11 6 3 2" xfId="45392"/>
    <cellStyle name="Normal 11 6 3 2 2" xfId="45393"/>
    <cellStyle name="Normal 11 6 3 3" xfId="45394"/>
    <cellStyle name="Normal 11 6 4" xfId="45395"/>
    <cellStyle name="Normal 11 6 4 2" xfId="45396"/>
    <cellStyle name="Normal 11 6 5" xfId="45397"/>
    <cellStyle name="Normal 11 7" xfId="45398"/>
    <cellStyle name="Normal 11 7 2" xfId="45399"/>
    <cellStyle name="Normal 11 7 2 2" xfId="45400"/>
    <cellStyle name="Normal 11 7 2 2 2" xfId="45401"/>
    <cellStyle name="Normal 11 7 2 3" xfId="45402"/>
    <cellStyle name="Normal 11 7 3" xfId="45403"/>
    <cellStyle name="Normal 11 7 3 2" xfId="45404"/>
    <cellStyle name="Normal 11 7 4" xfId="45405"/>
    <cellStyle name="Normal 11 8" xfId="45406"/>
    <cellStyle name="Normal 11 8 2" xfId="45407"/>
    <cellStyle name="Normal 11 8 2 2" xfId="45408"/>
    <cellStyle name="Normal 11 8 3" xfId="45409"/>
    <cellStyle name="Normal 11 9" xfId="45410"/>
    <cellStyle name="Normal 11 9 2" xfId="45411"/>
    <cellStyle name="Normal 12" xfId="45412"/>
    <cellStyle name="Normal 12 2" xfId="45413"/>
    <cellStyle name="Normal 13" xfId="45414"/>
    <cellStyle name="Normal 14" xfId="45415"/>
    <cellStyle name="Normal 14 10" xfId="45416"/>
    <cellStyle name="Normal 14 2" xfId="45417"/>
    <cellStyle name="Normal 14 2 2" xfId="45418"/>
    <cellStyle name="Normal 14 3" xfId="45419"/>
    <cellStyle name="Normal 14 3 2" xfId="45420"/>
    <cellStyle name="Normal 14 4" xfId="45421"/>
    <cellStyle name="Normal 14 5" xfId="45422"/>
    <cellStyle name="Normal 14 6" xfId="45423"/>
    <cellStyle name="Normal 14 7" xfId="45424"/>
    <cellStyle name="Normal 14 7 2" xfId="45425"/>
    <cellStyle name="Normal 14 7 2 2" xfId="45426"/>
    <cellStyle name="Normal 14 7 2 2 2" xfId="45427"/>
    <cellStyle name="Normal 14 7 2 3" xfId="45428"/>
    <cellStyle name="Normal 14 7 3" xfId="45429"/>
    <cellStyle name="Normal 14 7 3 2" xfId="45430"/>
    <cellStyle name="Normal 14 7 4" xfId="45431"/>
    <cellStyle name="Normal 14 8" xfId="45432"/>
    <cellStyle name="Normal 14 8 2" xfId="45433"/>
    <cellStyle name="Normal 14 8 2 2" xfId="45434"/>
    <cellStyle name="Normal 14 8 3" xfId="45435"/>
    <cellStyle name="Normal 14 9" xfId="45436"/>
    <cellStyle name="Normal 14 9 2" xfId="45437"/>
    <cellStyle name="Normal 15" xfId="45438"/>
    <cellStyle name="Normal 16" xfId="45439"/>
    <cellStyle name="Normal 16 2" xfId="45440"/>
    <cellStyle name="Normal 16 2 2" xfId="45441"/>
    <cellStyle name="Normal 16 2 2 2" xfId="45442"/>
    <cellStyle name="Normal 16 2 2 2 2" xfId="45443"/>
    <cellStyle name="Normal 16 2 2 3" xfId="45444"/>
    <cellStyle name="Normal 16 2 3" xfId="45445"/>
    <cellStyle name="Normal 16 2 3 2" xfId="45446"/>
    <cellStyle name="Normal 16 2 4" xfId="45447"/>
    <cellStyle name="Normal 16 3" xfId="45448"/>
    <cellStyle name="Normal 16 3 2" xfId="45449"/>
    <cellStyle name="Normal 16 3 2 2" xfId="45450"/>
    <cellStyle name="Normal 16 3 3" xfId="45451"/>
    <cellStyle name="Normal 16 4" xfId="45452"/>
    <cellStyle name="Normal 16 4 2" xfId="45453"/>
    <cellStyle name="Normal 16 5" xfId="45454"/>
    <cellStyle name="Normal 17" xfId="45455"/>
    <cellStyle name="Normal 17 2" xfId="45456"/>
    <cellStyle name="Normal 17 2 2" xfId="45457"/>
    <cellStyle name="Normal 17 2 2 2" xfId="45458"/>
    <cellStyle name="Normal 17 2 3" xfId="45459"/>
    <cellStyle name="Normal 17 3" xfId="45460"/>
    <cellStyle name="Normal 17 3 2" xfId="45461"/>
    <cellStyle name="Normal 17 4" xfId="45462"/>
    <cellStyle name="Normal 18" xfId="45463"/>
    <cellStyle name="Normal 18 2" xfId="45464"/>
    <cellStyle name="Normal 19" xfId="45465"/>
    <cellStyle name="Normal 19 2" xfId="45466"/>
    <cellStyle name="Normal 19 2 2" xfId="45467"/>
    <cellStyle name="Normal 19 2 2 2" xfId="45468"/>
    <cellStyle name="Normal 19 2 3" xfId="45469"/>
    <cellStyle name="Normal 19 3" xfId="45470"/>
    <cellStyle name="Normal 19 3 2" xfId="45471"/>
    <cellStyle name="Normal 19 4" xfId="45472"/>
    <cellStyle name="Normal 2" xfId="45473"/>
    <cellStyle name="Normal 2 10" xfId="45474"/>
    <cellStyle name="Normal 2 10 10" xfId="45475"/>
    <cellStyle name="Normal 2 10 2" xfId="45476"/>
    <cellStyle name="Normal 2 10 2 2" xfId="45477"/>
    <cellStyle name="Normal 2 10 2 2 2" xfId="45478"/>
    <cellStyle name="Normal 2 10 2 2 2 2" xfId="45479"/>
    <cellStyle name="Normal 2 10 2 2 2 2 2" xfId="45480"/>
    <cellStyle name="Normal 2 10 2 2 2 3" xfId="45481"/>
    <cellStyle name="Normal 2 10 2 2 3" xfId="45482"/>
    <cellStyle name="Normal 2 10 2 2 3 2" xfId="45483"/>
    <cellStyle name="Normal 2 10 2 2 4" xfId="45484"/>
    <cellStyle name="Normal 2 10 2 3" xfId="45485"/>
    <cellStyle name="Normal 2 10 2 3 2" xfId="45486"/>
    <cellStyle name="Normal 2 10 2 3 2 2" xfId="45487"/>
    <cellStyle name="Normal 2 10 2 3 3" xfId="45488"/>
    <cellStyle name="Normal 2 10 2 4" xfId="45489"/>
    <cellStyle name="Normal 2 10 2 4 2" xfId="45490"/>
    <cellStyle name="Normal 2 10 2 5" xfId="45491"/>
    <cellStyle name="Normal 2 10 3" xfId="45492"/>
    <cellStyle name="Normal 2 10 3 2" xfId="45493"/>
    <cellStyle name="Normal 2 10 3 2 2" xfId="45494"/>
    <cellStyle name="Normal 2 10 3 2 2 2" xfId="45495"/>
    <cellStyle name="Normal 2 10 3 2 2 2 2" xfId="45496"/>
    <cellStyle name="Normal 2 10 3 2 2 3" xfId="45497"/>
    <cellStyle name="Normal 2 10 3 2 3" xfId="45498"/>
    <cellStyle name="Normal 2 10 3 2 3 2" xfId="45499"/>
    <cellStyle name="Normal 2 10 3 2 4" xfId="45500"/>
    <cellStyle name="Normal 2 10 3 3" xfId="45501"/>
    <cellStyle name="Normal 2 10 3 3 2" xfId="45502"/>
    <cellStyle name="Normal 2 10 3 3 2 2" xfId="45503"/>
    <cellStyle name="Normal 2 10 3 3 3" xfId="45504"/>
    <cellStyle name="Normal 2 10 3 4" xfId="45505"/>
    <cellStyle name="Normal 2 10 3 4 2" xfId="45506"/>
    <cellStyle name="Normal 2 10 3 5" xfId="45507"/>
    <cellStyle name="Normal 2 10 4" xfId="45508"/>
    <cellStyle name="Normal 2 10 4 2" xfId="45509"/>
    <cellStyle name="Normal 2 10 4 2 2" xfId="45510"/>
    <cellStyle name="Normal 2 10 4 2 2 2" xfId="45511"/>
    <cellStyle name="Normal 2 10 4 2 2 2 2" xfId="45512"/>
    <cellStyle name="Normal 2 10 4 2 2 3" xfId="45513"/>
    <cellStyle name="Normal 2 10 4 2 3" xfId="45514"/>
    <cellStyle name="Normal 2 10 4 2 3 2" xfId="45515"/>
    <cellStyle name="Normal 2 10 4 2 4" xfId="45516"/>
    <cellStyle name="Normal 2 10 4 3" xfId="45517"/>
    <cellStyle name="Normal 2 10 4 3 2" xfId="45518"/>
    <cellStyle name="Normal 2 10 4 3 2 2" xfId="45519"/>
    <cellStyle name="Normal 2 10 4 3 3" xfId="45520"/>
    <cellStyle name="Normal 2 10 4 4" xfId="45521"/>
    <cellStyle name="Normal 2 10 4 4 2" xfId="45522"/>
    <cellStyle name="Normal 2 10 4 5" xfId="45523"/>
    <cellStyle name="Normal 2 10 5" xfId="45524"/>
    <cellStyle name="Normal 2 10 5 2" xfId="45525"/>
    <cellStyle name="Normal 2 10 5 2 2" xfId="45526"/>
    <cellStyle name="Normal 2 10 5 2 2 2" xfId="45527"/>
    <cellStyle name="Normal 2 10 5 2 2 2 2" xfId="45528"/>
    <cellStyle name="Normal 2 10 5 2 2 3" xfId="45529"/>
    <cellStyle name="Normal 2 10 5 2 3" xfId="45530"/>
    <cellStyle name="Normal 2 10 5 2 3 2" xfId="45531"/>
    <cellStyle name="Normal 2 10 5 2 4" xfId="45532"/>
    <cellStyle name="Normal 2 10 5 3" xfId="45533"/>
    <cellStyle name="Normal 2 10 5 3 2" xfId="45534"/>
    <cellStyle name="Normal 2 10 5 3 2 2" xfId="45535"/>
    <cellStyle name="Normal 2 10 5 3 3" xfId="45536"/>
    <cellStyle name="Normal 2 10 5 4" xfId="45537"/>
    <cellStyle name="Normal 2 10 5 4 2" xfId="45538"/>
    <cellStyle name="Normal 2 10 5 5" xfId="45539"/>
    <cellStyle name="Normal 2 10 6" xfId="45540"/>
    <cellStyle name="Normal 2 10 6 2" xfId="45541"/>
    <cellStyle name="Normal 2 10 6 2 2" xfId="45542"/>
    <cellStyle name="Normal 2 10 6 2 2 2" xfId="45543"/>
    <cellStyle name="Normal 2 10 6 2 2 2 2" xfId="45544"/>
    <cellStyle name="Normal 2 10 6 2 2 3" xfId="45545"/>
    <cellStyle name="Normal 2 10 6 2 3" xfId="45546"/>
    <cellStyle name="Normal 2 10 6 2 3 2" xfId="45547"/>
    <cellStyle name="Normal 2 10 6 2 4" xfId="45548"/>
    <cellStyle name="Normal 2 10 6 3" xfId="45549"/>
    <cellStyle name="Normal 2 10 6 3 2" xfId="45550"/>
    <cellStyle name="Normal 2 10 6 3 2 2" xfId="45551"/>
    <cellStyle name="Normal 2 10 6 3 3" xfId="45552"/>
    <cellStyle name="Normal 2 10 6 4" xfId="45553"/>
    <cellStyle name="Normal 2 10 6 4 2" xfId="45554"/>
    <cellStyle name="Normal 2 10 6 5" xfId="45555"/>
    <cellStyle name="Normal 2 10 7" xfId="45556"/>
    <cellStyle name="Normal 2 10 7 2" xfId="45557"/>
    <cellStyle name="Normal 2 10 7 2 2" xfId="45558"/>
    <cellStyle name="Normal 2 10 7 2 2 2" xfId="45559"/>
    <cellStyle name="Normal 2 10 7 2 3" xfId="45560"/>
    <cellStyle name="Normal 2 10 7 3" xfId="45561"/>
    <cellStyle name="Normal 2 10 7 3 2" xfId="45562"/>
    <cellStyle name="Normal 2 10 7 4" xfId="45563"/>
    <cellStyle name="Normal 2 10 8" xfId="45564"/>
    <cellStyle name="Normal 2 10 8 2" xfId="45565"/>
    <cellStyle name="Normal 2 10 8 2 2" xfId="45566"/>
    <cellStyle name="Normal 2 10 8 3" xfId="45567"/>
    <cellStyle name="Normal 2 10 9" xfId="45568"/>
    <cellStyle name="Normal 2 10 9 2" xfId="45569"/>
    <cellStyle name="Normal 2 11" xfId="45570"/>
    <cellStyle name="Normal 2 11 2" xfId="45571"/>
    <cellStyle name="Normal 2 11 2 2" xfId="45572"/>
    <cellStyle name="Normal 2 11 2 2 2" xfId="45573"/>
    <cellStyle name="Normal 2 11 2 2 2 2" xfId="45574"/>
    <cellStyle name="Normal 2 11 2 2 3" xfId="45575"/>
    <cellStyle name="Normal 2 11 2 3" xfId="45576"/>
    <cellStyle name="Normal 2 11 2 3 2" xfId="45577"/>
    <cellStyle name="Normal 2 11 2 4" xfId="45578"/>
    <cellStyle name="Normal 2 11 3" xfId="45579"/>
    <cellStyle name="Normal 2 11 3 2" xfId="45580"/>
    <cellStyle name="Normal 2 11 3 2 2" xfId="45581"/>
    <cellStyle name="Normal 2 11 3 3" xfId="45582"/>
    <cellStyle name="Normal 2 11 4" xfId="45583"/>
    <cellStyle name="Normal 2 11 4 2" xfId="45584"/>
    <cellStyle name="Normal 2 11 5" xfId="45585"/>
    <cellStyle name="Normal 2 12" xfId="45586"/>
    <cellStyle name="Normal 2 12 2" xfId="45587"/>
    <cellStyle name="Normal 2 12 2 2" xfId="45588"/>
    <cellStyle name="Normal 2 12 2 2 2" xfId="45589"/>
    <cellStyle name="Normal 2 12 2 2 2 2" xfId="45590"/>
    <cellStyle name="Normal 2 12 2 2 3" xfId="45591"/>
    <cellStyle name="Normal 2 12 2 3" xfId="45592"/>
    <cellStyle name="Normal 2 12 2 3 2" xfId="45593"/>
    <cellStyle name="Normal 2 12 2 4" xfId="45594"/>
    <cellStyle name="Normal 2 12 3" xfId="45595"/>
    <cellStyle name="Normal 2 12 3 2" xfId="45596"/>
    <cellStyle name="Normal 2 12 3 2 2" xfId="45597"/>
    <cellStyle name="Normal 2 12 3 3" xfId="45598"/>
    <cellStyle name="Normal 2 12 4" xfId="45599"/>
    <cellStyle name="Normal 2 12 4 2" xfId="45600"/>
    <cellStyle name="Normal 2 12 5" xfId="45601"/>
    <cellStyle name="Normal 2 13" xfId="45602"/>
    <cellStyle name="Normal 2 13 2" xfId="45603"/>
    <cellStyle name="Normal 2 13 2 2" xfId="45604"/>
    <cellStyle name="Normal 2 13 2 2 2" xfId="45605"/>
    <cellStyle name="Normal 2 13 2 2 2 2" xfId="45606"/>
    <cellStyle name="Normal 2 13 2 2 3" xfId="45607"/>
    <cellStyle name="Normal 2 13 2 3" xfId="45608"/>
    <cellStyle name="Normal 2 13 2 3 2" xfId="45609"/>
    <cellStyle name="Normal 2 13 2 4" xfId="45610"/>
    <cellStyle name="Normal 2 13 3" xfId="45611"/>
    <cellStyle name="Normal 2 13 3 2" xfId="45612"/>
    <cellStyle name="Normal 2 13 3 2 2" xfId="45613"/>
    <cellStyle name="Normal 2 13 3 3" xfId="45614"/>
    <cellStyle name="Normal 2 13 4" xfId="45615"/>
    <cellStyle name="Normal 2 13 4 2" xfId="45616"/>
    <cellStyle name="Normal 2 13 5" xfId="45617"/>
    <cellStyle name="Normal 2 14" xfId="45618"/>
    <cellStyle name="Normal 2 14 2" xfId="45619"/>
    <cellStyle name="Normal 2 14 2 2" xfId="45620"/>
    <cellStyle name="Normal 2 14 2 2 2" xfId="45621"/>
    <cellStyle name="Normal 2 14 2 2 2 2" xfId="45622"/>
    <cellStyle name="Normal 2 14 2 2 3" xfId="45623"/>
    <cellStyle name="Normal 2 14 2 3" xfId="45624"/>
    <cellStyle name="Normal 2 14 2 3 2" xfId="45625"/>
    <cellStyle name="Normal 2 14 2 4" xfId="45626"/>
    <cellStyle name="Normal 2 14 3" xfId="45627"/>
    <cellStyle name="Normal 2 14 3 2" xfId="45628"/>
    <cellStyle name="Normal 2 14 3 2 2" xfId="45629"/>
    <cellStyle name="Normal 2 14 3 3" xfId="45630"/>
    <cellStyle name="Normal 2 14 4" xfId="45631"/>
    <cellStyle name="Normal 2 14 4 2" xfId="45632"/>
    <cellStyle name="Normal 2 14 5" xfId="45633"/>
    <cellStyle name="Normal 2 15" xfId="45634"/>
    <cellStyle name="Normal 2 15 2" xfId="45635"/>
    <cellStyle name="Normal 2 15 2 2" xfId="45636"/>
    <cellStyle name="Normal 2 15 2 2 2" xfId="45637"/>
    <cellStyle name="Normal 2 15 2 2 2 2" xfId="45638"/>
    <cellStyle name="Normal 2 15 2 2 3" xfId="45639"/>
    <cellStyle name="Normal 2 15 2 3" xfId="45640"/>
    <cellStyle name="Normal 2 15 2 3 2" xfId="45641"/>
    <cellStyle name="Normal 2 15 2 4" xfId="45642"/>
    <cellStyle name="Normal 2 15 3" xfId="45643"/>
    <cellStyle name="Normal 2 15 3 2" xfId="45644"/>
    <cellStyle name="Normal 2 15 3 2 2" xfId="45645"/>
    <cellStyle name="Normal 2 15 3 3" xfId="45646"/>
    <cellStyle name="Normal 2 15 4" xfId="45647"/>
    <cellStyle name="Normal 2 15 4 2" xfId="45648"/>
    <cellStyle name="Normal 2 15 5" xfId="45649"/>
    <cellStyle name="Normal 2 16" xfId="45650"/>
    <cellStyle name="Normal 2 16 2" xfId="45651"/>
    <cellStyle name="Normal 2 16 2 2" xfId="45652"/>
    <cellStyle name="Normal 2 16 2 2 2" xfId="45653"/>
    <cellStyle name="Normal 2 16 2 3" xfId="45654"/>
    <cellStyle name="Normal 2 16 3" xfId="45655"/>
    <cellStyle name="Normal 2 16 3 2" xfId="45656"/>
    <cellStyle name="Normal 2 16 4" xfId="45657"/>
    <cellStyle name="Normal 2 17" xfId="45658"/>
    <cellStyle name="Normal 2 17 2" xfId="45659"/>
    <cellStyle name="Normal 2 17 2 2" xfId="45660"/>
    <cellStyle name="Normal 2 17 3" xfId="45661"/>
    <cellStyle name="Normal 2 18" xfId="45662"/>
    <cellStyle name="Normal 2 18 2" xfId="45663"/>
    <cellStyle name="Normal 2 19" xfId="45664"/>
    <cellStyle name="Normal 2 2" xfId="45665"/>
    <cellStyle name="Normal 2 2 10" xfId="45666"/>
    <cellStyle name="Normal 2 2 10 2" xfId="45667"/>
    <cellStyle name="Normal 2 2 11" xfId="45668"/>
    <cellStyle name="Normal 2 2 2" xfId="45669"/>
    <cellStyle name="Normal 2 2 2 10" xfId="45670"/>
    <cellStyle name="Normal 2 2 2 2" xfId="45671"/>
    <cellStyle name="Normal 2 2 2 2 2" xfId="45672"/>
    <cellStyle name="Normal 2 2 2 2 2 2" xfId="45673"/>
    <cellStyle name="Normal 2 2 2 2 2 2 2" xfId="45674"/>
    <cellStyle name="Normal 2 2 2 2 2 2 2 2" xfId="45675"/>
    <cellStyle name="Normal 2 2 2 2 2 2 3" xfId="45676"/>
    <cellStyle name="Normal 2 2 2 2 2 3" xfId="45677"/>
    <cellStyle name="Normal 2 2 2 2 2 3 2" xfId="45678"/>
    <cellStyle name="Normal 2 2 2 2 2 4" xfId="45679"/>
    <cellStyle name="Normal 2 2 2 2 3" xfId="45680"/>
    <cellStyle name="Normal 2 2 2 2 3 2" xfId="45681"/>
    <cellStyle name="Normal 2 2 2 2 3 2 2" xfId="45682"/>
    <cellStyle name="Normal 2 2 2 2 3 3" xfId="45683"/>
    <cellStyle name="Normal 2 2 2 2 4" xfId="45684"/>
    <cellStyle name="Normal 2 2 2 2 4 2" xfId="45685"/>
    <cellStyle name="Normal 2 2 2 2 5" xfId="45686"/>
    <cellStyle name="Normal 2 2 2 3" xfId="45687"/>
    <cellStyle name="Normal 2 2 2 3 2" xfId="45688"/>
    <cellStyle name="Normal 2 2 2 3 2 2" xfId="45689"/>
    <cellStyle name="Normal 2 2 2 3 2 2 2" xfId="45690"/>
    <cellStyle name="Normal 2 2 2 3 2 2 2 2" xfId="45691"/>
    <cellStyle name="Normal 2 2 2 3 2 2 3" xfId="45692"/>
    <cellStyle name="Normal 2 2 2 3 2 3" xfId="45693"/>
    <cellStyle name="Normal 2 2 2 3 2 3 2" xfId="45694"/>
    <cellStyle name="Normal 2 2 2 3 2 4" xfId="45695"/>
    <cellStyle name="Normal 2 2 2 3 3" xfId="45696"/>
    <cellStyle name="Normal 2 2 2 3 3 2" xfId="45697"/>
    <cellStyle name="Normal 2 2 2 3 3 2 2" xfId="45698"/>
    <cellStyle name="Normal 2 2 2 3 3 3" xfId="45699"/>
    <cellStyle name="Normal 2 2 2 3 4" xfId="45700"/>
    <cellStyle name="Normal 2 2 2 3 4 2" xfId="45701"/>
    <cellStyle name="Normal 2 2 2 3 5" xfId="45702"/>
    <cellStyle name="Normal 2 2 2 4" xfId="45703"/>
    <cellStyle name="Normal 2 2 2 4 2" xfId="45704"/>
    <cellStyle name="Normal 2 2 2 4 2 2" xfId="45705"/>
    <cellStyle name="Normal 2 2 2 4 2 2 2" xfId="45706"/>
    <cellStyle name="Normal 2 2 2 4 2 2 2 2" xfId="45707"/>
    <cellStyle name="Normal 2 2 2 4 2 2 3" xfId="45708"/>
    <cellStyle name="Normal 2 2 2 4 2 3" xfId="45709"/>
    <cellStyle name="Normal 2 2 2 4 2 3 2" xfId="45710"/>
    <cellStyle name="Normal 2 2 2 4 2 4" xfId="45711"/>
    <cellStyle name="Normal 2 2 2 4 3" xfId="45712"/>
    <cellStyle name="Normal 2 2 2 4 3 2" xfId="45713"/>
    <cellStyle name="Normal 2 2 2 4 3 2 2" xfId="45714"/>
    <cellStyle name="Normal 2 2 2 4 3 3" xfId="45715"/>
    <cellStyle name="Normal 2 2 2 4 4" xfId="45716"/>
    <cellStyle name="Normal 2 2 2 4 4 2" xfId="45717"/>
    <cellStyle name="Normal 2 2 2 4 5" xfId="45718"/>
    <cellStyle name="Normal 2 2 2 5" xfId="45719"/>
    <cellStyle name="Normal 2 2 2 5 2" xfId="45720"/>
    <cellStyle name="Normal 2 2 2 5 2 2" xfId="45721"/>
    <cellStyle name="Normal 2 2 2 5 2 2 2" xfId="45722"/>
    <cellStyle name="Normal 2 2 2 5 2 2 2 2" xfId="45723"/>
    <cellStyle name="Normal 2 2 2 5 2 2 3" xfId="45724"/>
    <cellStyle name="Normal 2 2 2 5 2 3" xfId="45725"/>
    <cellStyle name="Normal 2 2 2 5 2 3 2" xfId="45726"/>
    <cellStyle name="Normal 2 2 2 5 2 4" xfId="45727"/>
    <cellStyle name="Normal 2 2 2 5 3" xfId="45728"/>
    <cellStyle name="Normal 2 2 2 5 3 2" xfId="45729"/>
    <cellStyle name="Normal 2 2 2 5 3 2 2" xfId="45730"/>
    <cellStyle name="Normal 2 2 2 5 3 3" xfId="45731"/>
    <cellStyle name="Normal 2 2 2 5 4" xfId="45732"/>
    <cellStyle name="Normal 2 2 2 5 4 2" xfId="45733"/>
    <cellStyle name="Normal 2 2 2 5 5" xfId="45734"/>
    <cellStyle name="Normal 2 2 2 6" xfId="45735"/>
    <cellStyle name="Normal 2 2 2 6 2" xfId="45736"/>
    <cellStyle name="Normal 2 2 2 6 2 2" xfId="45737"/>
    <cellStyle name="Normal 2 2 2 6 2 2 2" xfId="45738"/>
    <cellStyle name="Normal 2 2 2 6 2 2 2 2" xfId="45739"/>
    <cellStyle name="Normal 2 2 2 6 2 2 3" xfId="45740"/>
    <cellStyle name="Normal 2 2 2 6 2 3" xfId="45741"/>
    <cellStyle name="Normal 2 2 2 6 2 3 2" xfId="45742"/>
    <cellStyle name="Normal 2 2 2 6 2 4" xfId="45743"/>
    <cellStyle name="Normal 2 2 2 6 3" xfId="45744"/>
    <cellStyle name="Normal 2 2 2 6 3 2" xfId="45745"/>
    <cellStyle name="Normal 2 2 2 6 3 2 2" xfId="45746"/>
    <cellStyle name="Normal 2 2 2 6 3 3" xfId="45747"/>
    <cellStyle name="Normal 2 2 2 6 4" xfId="45748"/>
    <cellStyle name="Normal 2 2 2 6 4 2" xfId="45749"/>
    <cellStyle name="Normal 2 2 2 6 5" xfId="45750"/>
    <cellStyle name="Normal 2 2 2 7" xfId="45751"/>
    <cellStyle name="Normal 2 2 2 7 2" xfId="45752"/>
    <cellStyle name="Normal 2 2 2 7 2 2" xfId="45753"/>
    <cellStyle name="Normal 2 2 2 7 2 2 2" xfId="45754"/>
    <cellStyle name="Normal 2 2 2 7 2 3" xfId="45755"/>
    <cellStyle name="Normal 2 2 2 7 3" xfId="45756"/>
    <cellStyle name="Normal 2 2 2 7 3 2" xfId="45757"/>
    <cellStyle name="Normal 2 2 2 7 4" xfId="45758"/>
    <cellStyle name="Normal 2 2 2 8" xfId="45759"/>
    <cellStyle name="Normal 2 2 2 8 2" xfId="45760"/>
    <cellStyle name="Normal 2 2 2 8 2 2" xfId="45761"/>
    <cellStyle name="Normal 2 2 2 8 3" xfId="45762"/>
    <cellStyle name="Normal 2 2 2 9" xfId="45763"/>
    <cellStyle name="Normal 2 2 2 9 2" xfId="45764"/>
    <cellStyle name="Normal 2 2 3" xfId="45765"/>
    <cellStyle name="Normal 2 2 3 2" xfId="45766"/>
    <cellStyle name="Normal 2 2 3 2 2" xfId="45767"/>
    <cellStyle name="Normal 2 2 3 2 2 2" xfId="45768"/>
    <cellStyle name="Normal 2 2 3 2 2 2 2" xfId="45769"/>
    <cellStyle name="Normal 2 2 3 2 2 3" xfId="45770"/>
    <cellStyle name="Normal 2 2 3 2 3" xfId="45771"/>
    <cellStyle name="Normal 2 2 3 2 3 2" xfId="45772"/>
    <cellStyle name="Normal 2 2 3 2 4" xfId="45773"/>
    <cellStyle name="Normal 2 2 3 3" xfId="45774"/>
    <cellStyle name="Normal 2 2 3 3 2" xfId="45775"/>
    <cellStyle name="Normal 2 2 3 3 2 2" xfId="45776"/>
    <cellStyle name="Normal 2 2 3 3 3" xfId="45777"/>
    <cellStyle name="Normal 2 2 3 4" xfId="45778"/>
    <cellStyle name="Normal 2 2 3 4 2" xfId="45779"/>
    <cellStyle name="Normal 2 2 3 5" xfId="45780"/>
    <cellStyle name="Normal 2 2 4" xfId="45781"/>
    <cellStyle name="Normal 2 2 4 2" xfId="45782"/>
    <cellStyle name="Normal 2 2 4 2 2" xfId="45783"/>
    <cellStyle name="Normal 2 2 4 2 2 2" xfId="45784"/>
    <cellStyle name="Normal 2 2 4 2 2 2 2" xfId="45785"/>
    <cellStyle name="Normal 2 2 4 2 2 3" xfId="45786"/>
    <cellStyle name="Normal 2 2 4 2 3" xfId="45787"/>
    <cellStyle name="Normal 2 2 4 2 3 2" xfId="45788"/>
    <cellStyle name="Normal 2 2 4 2 4" xfId="45789"/>
    <cellStyle name="Normal 2 2 4 3" xfId="45790"/>
    <cellStyle name="Normal 2 2 4 3 2" xfId="45791"/>
    <cellStyle name="Normal 2 2 4 3 2 2" xfId="45792"/>
    <cellStyle name="Normal 2 2 4 3 3" xfId="45793"/>
    <cellStyle name="Normal 2 2 4 4" xfId="45794"/>
    <cellStyle name="Normal 2 2 4 4 2" xfId="45795"/>
    <cellStyle name="Normal 2 2 4 5" xfId="45796"/>
    <cellStyle name="Normal 2 2 5" xfId="45797"/>
    <cellStyle name="Normal 2 2 5 2" xfId="45798"/>
    <cellStyle name="Normal 2 2 5 2 2" xfId="45799"/>
    <cellStyle name="Normal 2 2 5 2 2 2" xfId="45800"/>
    <cellStyle name="Normal 2 2 5 2 2 2 2" xfId="45801"/>
    <cellStyle name="Normal 2 2 5 2 2 3" xfId="45802"/>
    <cellStyle name="Normal 2 2 5 2 3" xfId="45803"/>
    <cellStyle name="Normal 2 2 5 2 3 2" xfId="45804"/>
    <cellStyle name="Normal 2 2 5 2 4" xfId="45805"/>
    <cellStyle name="Normal 2 2 5 3" xfId="45806"/>
    <cellStyle name="Normal 2 2 5 3 2" xfId="45807"/>
    <cellStyle name="Normal 2 2 5 3 2 2" xfId="45808"/>
    <cellStyle name="Normal 2 2 5 3 3" xfId="45809"/>
    <cellStyle name="Normal 2 2 5 4" xfId="45810"/>
    <cellStyle name="Normal 2 2 5 4 2" xfId="45811"/>
    <cellStyle name="Normal 2 2 5 5" xfId="45812"/>
    <cellStyle name="Normal 2 2 6" xfId="45813"/>
    <cellStyle name="Normal 2 2 6 2" xfId="45814"/>
    <cellStyle name="Normal 2 2 6 2 2" xfId="45815"/>
    <cellStyle name="Normal 2 2 6 2 2 2" xfId="45816"/>
    <cellStyle name="Normal 2 2 6 2 2 2 2" xfId="45817"/>
    <cellStyle name="Normal 2 2 6 2 2 3" xfId="45818"/>
    <cellStyle name="Normal 2 2 6 2 3" xfId="45819"/>
    <cellStyle name="Normal 2 2 6 2 3 2" xfId="45820"/>
    <cellStyle name="Normal 2 2 6 2 4" xfId="45821"/>
    <cellStyle name="Normal 2 2 6 3" xfId="45822"/>
    <cellStyle name="Normal 2 2 6 3 2" xfId="45823"/>
    <cellStyle name="Normal 2 2 6 3 2 2" xfId="45824"/>
    <cellStyle name="Normal 2 2 6 3 3" xfId="45825"/>
    <cellStyle name="Normal 2 2 6 4" xfId="45826"/>
    <cellStyle name="Normal 2 2 6 4 2" xfId="45827"/>
    <cellStyle name="Normal 2 2 6 5" xfId="45828"/>
    <cellStyle name="Normal 2 2 7" xfId="45829"/>
    <cellStyle name="Normal 2 2 7 2" xfId="45830"/>
    <cellStyle name="Normal 2 2 7 2 2" xfId="45831"/>
    <cellStyle name="Normal 2 2 7 2 2 2" xfId="45832"/>
    <cellStyle name="Normal 2 2 7 2 2 2 2" xfId="45833"/>
    <cellStyle name="Normal 2 2 7 2 2 3" xfId="45834"/>
    <cellStyle name="Normal 2 2 7 2 3" xfId="45835"/>
    <cellStyle name="Normal 2 2 7 2 3 2" xfId="45836"/>
    <cellStyle name="Normal 2 2 7 2 4" xfId="45837"/>
    <cellStyle name="Normal 2 2 7 3" xfId="45838"/>
    <cellStyle name="Normal 2 2 7 3 2" xfId="45839"/>
    <cellStyle name="Normal 2 2 7 3 2 2" xfId="45840"/>
    <cellStyle name="Normal 2 2 7 3 3" xfId="45841"/>
    <cellStyle name="Normal 2 2 7 4" xfId="45842"/>
    <cellStyle name="Normal 2 2 7 4 2" xfId="45843"/>
    <cellStyle name="Normal 2 2 7 5" xfId="45844"/>
    <cellStyle name="Normal 2 2 8" xfId="45845"/>
    <cellStyle name="Normal 2 2 8 2" xfId="45846"/>
    <cellStyle name="Normal 2 2 8 2 2" xfId="45847"/>
    <cellStyle name="Normal 2 2 8 2 2 2" xfId="45848"/>
    <cellStyle name="Normal 2 2 8 2 3" xfId="45849"/>
    <cellStyle name="Normal 2 2 8 3" xfId="45850"/>
    <cellStyle name="Normal 2 2 8 3 2" xfId="45851"/>
    <cellStyle name="Normal 2 2 8 4" xfId="45852"/>
    <cellStyle name="Normal 2 2 9" xfId="45853"/>
    <cellStyle name="Normal 2 2 9 2" xfId="45854"/>
    <cellStyle name="Normal 2 2 9 2 2" xfId="45855"/>
    <cellStyle name="Normal 2 2 9 3" xfId="45856"/>
    <cellStyle name="Normal 2 3" xfId="45857"/>
    <cellStyle name="Normal 2 3 10" xfId="45858"/>
    <cellStyle name="Normal 2 3 10 2" xfId="45859"/>
    <cellStyle name="Normal 2 3 11" xfId="45860"/>
    <cellStyle name="Normal 2 3 2" xfId="45861"/>
    <cellStyle name="Normal 2 3 2 10" xfId="45862"/>
    <cellStyle name="Normal 2 3 2 2" xfId="45863"/>
    <cellStyle name="Normal 2 3 2 2 2" xfId="45864"/>
    <cellStyle name="Normal 2 3 2 2 2 2" xfId="45865"/>
    <cellStyle name="Normal 2 3 2 2 2 2 2" xfId="45866"/>
    <cellStyle name="Normal 2 3 2 2 2 2 2 2" xfId="45867"/>
    <cellStyle name="Normal 2 3 2 2 2 2 3" xfId="45868"/>
    <cellStyle name="Normal 2 3 2 2 2 3" xfId="45869"/>
    <cellStyle name="Normal 2 3 2 2 2 3 2" xfId="45870"/>
    <cellStyle name="Normal 2 3 2 2 2 4" xfId="45871"/>
    <cellStyle name="Normal 2 3 2 2 3" xfId="45872"/>
    <cellStyle name="Normal 2 3 2 2 3 2" xfId="45873"/>
    <cellStyle name="Normal 2 3 2 2 3 2 2" xfId="45874"/>
    <cellStyle name="Normal 2 3 2 2 3 3" xfId="45875"/>
    <cellStyle name="Normal 2 3 2 2 4" xfId="45876"/>
    <cellStyle name="Normal 2 3 2 2 4 2" xfId="45877"/>
    <cellStyle name="Normal 2 3 2 2 5" xfId="45878"/>
    <cellStyle name="Normal 2 3 2 3" xfId="45879"/>
    <cellStyle name="Normal 2 3 2 3 2" xfId="45880"/>
    <cellStyle name="Normal 2 3 2 3 2 2" xfId="45881"/>
    <cellStyle name="Normal 2 3 2 3 2 2 2" xfId="45882"/>
    <cellStyle name="Normal 2 3 2 3 2 2 2 2" xfId="45883"/>
    <cellStyle name="Normal 2 3 2 3 2 2 3" xfId="45884"/>
    <cellStyle name="Normal 2 3 2 3 2 3" xfId="45885"/>
    <cellStyle name="Normal 2 3 2 3 2 3 2" xfId="45886"/>
    <cellStyle name="Normal 2 3 2 3 2 4" xfId="45887"/>
    <cellStyle name="Normal 2 3 2 3 3" xfId="45888"/>
    <cellStyle name="Normal 2 3 2 3 3 2" xfId="45889"/>
    <cellStyle name="Normal 2 3 2 3 3 2 2" xfId="45890"/>
    <cellStyle name="Normal 2 3 2 3 3 3" xfId="45891"/>
    <cellStyle name="Normal 2 3 2 3 4" xfId="45892"/>
    <cellStyle name="Normal 2 3 2 3 4 2" xfId="45893"/>
    <cellStyle name="Normal 2 3 2 3 5" xfId="45894"/>
    <cellStyle name="Normal 2 3 2 4" xfId="45895"/>
    <cellStyle name="Normal 2 3 2 4 2" xfId="45896"/>
    <cellStyle name="Normal 2 3 2 4 2 2" xfId="45897"/>
    <cellStyle name="Normal 2 3 2 4 2 2 2" xfId="45898"/>
    <cellStyle name="Normal 2 3 2 4 2 2 2 2" xfId="45899"/>
    <cellStyle name="Normal 2 3 2 4 2 2 3" xfId="45900"/>
    <cellStyle name="Normal 2 3 2 4 2 3" xfId="45901"/>
    <cellStyle name="Normal 2 3 2 4 2 3 2" xfId="45902"/>
    <cellStyle name="Normal 2 3 2 4 2 4" xfId="45903"/>
    <cellStyle name="Normal 2 3 2 4 3" xfId="45904"/>
    <cellStyle name="Normal 2 3 2 4 3 2" xfId="45905"/>
    <cellStyle name="Normal 2 3 2 4 3 2 2" xfId="45906"/>
    <cellStyle name="Normal 2 3 2 4 3 3" xfId="45907"/>
    <cellStyle name="Normal 2 3 2 4 4" xfId="45908"/>
    <cellStyle name="Normal 2 3 2 4 4 2" xfId="45909"/>
    <cellStyle name="Normal 2 3 2 4 5" xfId="45910"/>
    <cellStyle name="Normal 2 3 2 5" xfId="45911"/>
    <cellStyle name="Normal 2 3 2 5 2" xfId="45912"/>
    <cellStyle name="Normal 2 3 2 5 2 2" xfId="45913"/>
    <cellStyle name="Normal 2 3 2 5 2 2 2" xfId="45914"/>
    <cellStyle name="Normal 2 3 2 5 2 2 2 2" xfId="45915"/>
    <cellStyle name="Normal 2 3 2 5 2 2 3" xfId="45916"/>
    <cellStyle name="Normal 2 3 2 5 2 3" xfId="45917"/>
    <cellStyle name="Normal 2 3 2 5 2 3 2" xfId="45918"/>
    <cellStyle name="Normal 2 3 2 5 2 4" xfId="45919"/>
    <cellStyle name="Normal 2 3 2 5 3" xfId="45920"/>
    <cellStyle name="Normal 2 3 2 5 3 2" xfId="45921"/>
    <cellStyle name="Normal 2 3 2 5 3 2 2" xfId="45922"/>
    <cellStyle name="Normal 2 3 2 5 3 3" xfId="45923"/>
    <cellStyle name="Normal 2 3 2 5 4" xfId="45924"/>
    <cellStyle name="Normal 2 3 2 5 4 2" xfId="45925"/>
    <cellStyle name="Normal 2 3 2 5 5" xfId="45926"/>
    <cellStyle name="Normal 2 3 2 6" xfId="45927"/>
    <cellStyle name="Normal 2 3 2 6 2" xfId="45928"/>
    <cellStyle name="Normal 2 3 2 6 2 2" xfId="45929"/>
    <cellStyle name="Normal 2 3 2 6 2 2 2" xfId="45930"/>
    <cellStyle name="Normal 2 3 2 6 2 2 2 2" xfId="45931"/>
    <cellStyle name="Normal 2 3 2 6 2 2 3" xfId="45932"/>
    <cellStyle name="Normal 2 3 2 6 2 3" xfId="45933"/>
    <cellStyle name="Normal 2 3 2 6 2 3 2" xfId="45934"/>
    <cellStyle name="Normal 2 3 2 6 2 4" xfId="45935"/>
    <cellStyle name="Normal 2 3 2 6 3" xfId="45936"/>
    <cellStyle name="Normal 2 3 2 6 3 2" xfId="45937"/>
    <cellStyle name="Normal 2 3 2 6 3 2 2" xfId="45938"/>
    <cellStyle name="Normal 2 3 2 6 3 3" xfId="45939"/>
    <cellStyle name="Normal 2 3 2 6 4" xfId="45940"/>
    <cellStyle name="Normal 2 3 2 6 4 2" xfId="45941"/>
    <cellStyle name="Normal 2 3 2 6 5" xfId="45942"/>
    <cellStyle name="Normal 2 3 2 7" xfId="45943"/>
    <cellStyle name="Normal 2 3 2 7 2" xfId="45944"/>
    <cellStyle name="Normal 2 3 2 7 2 2" xfId="45945"/>
    <cellStyle name="Normal 2 3 2 7 2 2 2" xfId="45946"/>
    <cellStyle name="Normal 2 3 2 7 2 3" xfId="45947"/>
    <cellStyle name="Normal 2 3 2 7 3" xfId="45948"/>
    <cellStyle name="Normal 2 3 2 7 3 2" xfId="45949"/>
    <cellStyle name="Normal 2 3 2 7 4" xfId="45950"/>
    <cellStyle name="Normal 2 3 2 8" xfId="45951"/>
    <cellStyle name="Normal 2 3 2 8 2" xfId="45952"/>
    <cellStyle name="Normal 2 3 2 8 2 2" xfId="45953"/>
    <cellStyle name="Normal 2 3 2 8 3" xfId="45954"/>
    <cellStyle name="Normal 2 3 2 9" xfId="45955"/>
    <cellStyle name="Normal 2 3 2 9 2" xfId="45956"/>
    <cellStyle name="Normal 2 3 3" xfId="45957"/>
    <cellStyle name="Normal 2 3 3 2" xfId="45958"/>
    <cellStyle name="Normal 2 3 3 2 2" xfId="45959"/>
    <cellStyle name="Normal 2 3 3 2 2 2" xfId="45960"/>
    <cellStyle name="Normal 2 3 3 2 2 2 2" xfId="45961"/>
    <cellStyle name="Normal 2 3 3 2 2 3" xfId="45962"/>
    <cellStyle name="Normal 2 3 3 2 3" xfId="45963"/>
    <cellStyle name="Normal 2 3 3 2 3 2" xfId="45964"/>
    <cellStyle name="Normal 2 3 3 2 4" xfId="45965"/>
    <cellStyle name="Normal 2 3 3 3" xfId="45966"/>
    <cellStyle name="Normal 2 3 3 3 2" xfId="45967"/>
    <cellStyle name="Normal 2 3 3 3 2 2" xfId="45968"/>
    <cellStyle name="Normal 2 3 3 3 3" xfId="45969"/>
    <cellStyle name="Normal 2 3 3 4" xfId="45970"/>
    <cellStyle name="Normal 2 3 3 4 2" xfId="45971"/>
    <cellStyle name="Normal 2 3 3 5" xfId="45972"/>
    <cellStyle name="Normal 2 3 4" xfId="45973"/>
    <cellStyle name="Normal 2 3 4 2" xfId="45974"/>
    <cellStyle name="Normal 2 3 4 2 2" xfId="45975"/>
    <cellStyle name="Normal 2 3 4 2 2 2" xfId="45976"/>
    <cellStyle name="Normal 2 3 4 2 2 2 2" xfId="45977"/>
    <cellStyle name="Normal 2 3 4 2 2 3" xfId="45978"/>
    <cellStyle name="Normal 2 3 4 2 3" xfId="45979"/>
    <cellStyle name="Normal 2 3 4 2 3 2" xfId="45980"/>
    <cellStyle name="Normal 2 3 4 2 4" xfId="45981"/>
    <cellStyle name="Normal 2 3 4 3" xfId="45982"/>
    <cellStyle name="Normal 2 3 4 3 2" xfId="45983"/>
    <cellStyle name="Normal 2 3 4 3 2 2" xfId="45984"/>
    <cellStyle name="Normal 2 3 4 3 3" xfId="45985"/>
    <cellStyle name="Normal 2 3 4 4" xfId="45986"/>
    <cellStyle name="Normal 2 3 4 4 2" xfId="45987"/>
    <cellStyle name="Normal 2 3 4 5" xfId="45988"/>
    <cellStyle name="Normal 2 3 5" xfId="45989"/>
    <cellStyle name="Normal 2 3 5 2" xfId="45990"/>
    <cellStyle name="Normal 2 3 5 2 2" xfId="45991"/>
    <cellStyle name="Normal 2 3 5 2 2 2" xfId="45992"/>
    <cellStyle name="Normal 2 3 5 2 2 2 2" xfId="45993"/>
    <cellStyle name="Normal 2 3 5 2 2 3" xfId="45994"/>
    <cellStyle name="Normal 2 3 5 2 3" xfId="45995"/>
    <cellStyle name="Normal 2 3 5 2 3 2" xfId="45996"/>
    <cellStyle name="Normal 2 3 5 2 4" xfId="45997"/>
    <cellStyle name="Normal 2 3 5 3" xfId="45998"/>
    <cellStyle name="Normal 2 3 5 3 2" xfId="45999"/>
    <cellStyle name="Normal 2 3 5 3 2 2" xfId="46000"/>
    <cellStyle name="Normal 2 3 5 3 3" xfId="46001"/>
    <cellStyle name="Normal 2 3 5 4" xfId="46002"/>
    <cellStyle name="Normal 2 3 5 4 2" xfId="46003"/>
    <cellStyle name="Normal 2 3 5 5" xfId="46004"/>
    <cellStyle name="Normal 2 3 6" xfId="46005"/>
    <cellStyle name="Normal 2 3 6 2" xfId="46006"/>
    <cellStyle name="Normal 2 3 6 2 2" xfId="46007"/>
    <cellStyle name="Normal 2 3 6 2 2 2" xfId="46008"/>
    <cellStyle name="Normal 2 3 6 2 2 2 2" xfId="46009"/>
    <cellStyle name="Normal 2 3 6 2 2 3" xfId="46010"/>
    <cellStyle name="Normal 2 3 6 2 3" xfId="46011"/>
    <cellStyle name="Normal 2 3 6 2 3 2" xfId="46012"/>
    <cellStyle name="Normal 2 3 6 2 4" xfId="46013"/>
    <cellStyle name="Normal 2 3 6 3" xfId="46014"/>
    <cellStyle name="Normal 2 3 6 3 2" xfId="46015"/>
    <cellStyle name="Normal 2 3 6 3 2 2" xfId="46016"/>
    <cellStyle name="Normal 2 3 6 3 3" xfId="46017"/>
    <cellStyle name="Normal 2 3 6 4" xfId="46018"/>
    <cellStyle name="Normal 2 3 6 4 2" xfId="46019"/>
    <cellStyle name="Normal 2 3 6 5" xfId="46020"/>
    <cellStyle name="Normal 2 3 7" xfId="46021"/>
    <cellStyle name="Normal 2 3 7 2" xfId="46022"/>
    <cellStyle name="Normal 2 3 7 2 2" xfId="46023"/>
    <cellStyle name="Normal 2 3 7 2 2 2" xfId="46024"/>
    <cellStyle name="Normal 2 3 7 2 2 2 2" xfId="46025"/>
    <cellStyle name="Normal 2 3 7 2 2 3" xfId="46026"/>
    <cellStyle name="Normal 2 3 7 2 3" xfId="46027"/>
    <cellStyle name="Normal 2 3 7 2 3 2" xfId="46028"/>
    <cellStyle name="Normal 2 3 7 2 4" xfId="46029"/>
    <cellStyle name="Normal 2 3 7 3" xfId="46030"/>
    <cellStyle name="Normal 2 3 7 3 2" xfId="46031"/>
    <cellStyle name="Normal 2 3 7 3 2 2" xfId="46032"/>
    <cellStyle name="Normal 2 3 7 3 3" xfId="46033"/>
    <cellStyle name="Normal 2 3 7 4" xfId="46034"/>
    <cellStyle name="Normal 2 3 7 4 2" xfId="46035"/>
    <cellStyle name="Normal 2 3 7 5" xfId="46036"/>
    <cellStyle name="Normal 2 3 8" xfId="46037"/>
    <cellStyle name="Normal 2 3 8 2" xfId="46038"/>
    <cellStyle name="Normal 2 3 8 2 2" xfId="46039"/>
    <cellStyle name="Normal 2 3 8 2 2 2" xfId="46040"/>
    <cellStyle name="Normal 2 3 8 2 3" xfId="46041"/>
    <cellStyle name="Normal 2 3 8 3" xfId="46042"/>
    <cellStyle name="Normal 2 3 8 3 2" xfId="46043"/>
    <cellStyle name="Normal 2 3 8 4" xfId="46044"/>
    <cellStyle name="Normal 2 3 9" xfId="46045"/>
    <cellStyle name="Normal 2 3 9 2" xfId="46046"/>
    <cellStyle name="Normal 2 3 9 2 2" xfId="46047"/>
    <cellStyle name="Normal 2 3 9 3" xfId="46048"/>
    <cellStyle name="Normal 2 4" xfId="46049"/>
    <cellStyle name="Normal 2 4 10" xfId="46050"/>
    <cellStyle name="Normal 2 4 10 2" xfId="46051"/>
    <cellStyle name="Normal 2 4 11" xfId="46052"/>
    <cellStyle name="Normal 2 4 2" xfId="46053"/>
    <cellStyle name="Normal 2 4 2 10" xfId="46054"/>
    <cellStyle name="Normal 2 4 2 2" xfId="46055"/>
    <cellStyle name="Normal 2 4 2 2 2" xfId="46056"/>
    <cellStyle name="Normal 2 4 2 2 2 2" xfId="46057"/>
    <cellStyle name="Normal 2 4 2 2 2 2 2" xfId="46058"/>
    <cellStyle name="Normal 2 4 2 2 2 2 2 2" xfId="46059"/>
    <cellStyle name="Normal 2 4 2 2 2 2 3" xfId="46060"/>
    <cellStyle name="Normal 2 4 2 2 2 3" xfId="46061"/>
    <cellStyle name="Normal 2 4 2 2 2 3 2" xfId="46062"/>
    <cellStyle name="Normal 2 4 2 2 2 4" xfId="46063"/>
    <cellStyle name="Normal 2 4 2 2 3" xfId="46064"/>
    <cellStyle name="Normal 2 4 2 2 3 2" xfId="46065"/>
    <cellStyle name="Normal 2 4 2 2 3 2 2" xfId="46066"/>
    <cellStyle name="Normal 2 4 2 2 3 3" xfId="46067"/>
    <cellStyle name="Normal 2 4 2 2 4" xfId="46068"/>
    <cellStyle name="Normal 2 4 2 2 4 2" xfId="46069"/>
    <cellStyle name="Normal 2 4 2 2 5" xfId="46070"/>
    <cellStyle name="Normal 2 4 2 3" xfId="46071"/>
    <cellStyle name="Normal 2 4 2 3 2" xfId="46072"/>
    <cellStyle name="Normal 2 4 2 3 2 2" xfId="46073"/>
    <cellStyle name="Normal 2 4 2 3 2 2 2" xfId="46074"/>
    <cellStyle name="Normal 2 4 2 3 2 2 2 2" xfId="46075"/>
    <cellStyle name="Normal 2 4 2 3 2 2 3" xfId="46076"/>
    <cellStyle name="Normal 2 4 2 3 2 3" xfId="46077"/>
    <cellStyle name="Normal 2 4 2 3 2 3 2" xfId="46078"/>
    <cellStyle name="Normal 2 4 2 3 2 4" xfId="46079"/>
    <cellStyle name="Normal 2 4 2 3 3" xfId="46080"/>
    <cellStyle name="Normal 2 4 2 3 3 2" xfId="46081"/>
    <cellStyle name="Normal 2 4 2 3 3 2 2" xfId="46082"/>
    <cellStyle name="Normal 2 4 2 3 3 3" xfId="46083"/>
    <cellStyle name="Normal 2 4 2 3 4" xfId="46084"/>
    <cellStyle name="Normal 2 4 2 3 4 2" xfId="46085"/>
    <cellStyle name="Normal 2 4 2 3 5" xfId="46086"/>
    <cellStyle name="Normal 2 4 2 4" xfId="46087"/>
    <cellStyle name="Normal 2 4 2 4 2" xfId="46088"/>
    <cellStyle name="Normal 2 4 2 4 2 2" xfId="46089"/>
    <cellStyle name="Normal 2 4 2 4 2 2 2" xfId="46090"/>
    <cellStyle name="Normal 2 4 2 4 2 2 2 2" xfId="46091"/>
    <cellStyle name="Normal 2 4 2 4 2 2 3" xfId="46092"/>
    <cellStyle name="Normal 2 4 2 4 2 3" xfId="46093"/>
    <cellStyle name="Normal 2 4 2 4 2 3 2" xfId="46094"/>
    <cellStyle name="Normal 2 4 2 4 2 4" xfId="46095"/>
    <cellStyle name="Normal 2 4 2 4 3" xfId="46096"/>
    <cellStyle name="Normal 2 4 2 4 3 2" xfId="46097"/>
    <cellStyle name="Normal 2 4 2 4 3 2 2" xfId="46098"/>
    <cellStyle name="Normal 2 4 2 4 3 3" xfId="46099"/>
    <cellStyle name="Normal 2 4 2 4 4" xfId="46100"/>
    <cellStyle name="Normal 2 4 2 4 4 2" xfId="46101"/>
    <cellStyle name="Normal 2 4 2 4 5" xfId="46102"/>
    <cellStyle name="Normal 2 4 2 5" xfId="46103"/>
    <cellStyle name="Normal 2 4 2 5 2" xfId="46104"/>
    <cellStyle name="Normal 2 4 2 5 2 2" xfId="46105"/>
    <cellStyle name="Normal 2 4 2 5 2 2 2" xfId="46106"/>
    <cellStyle name="Normal 2 4 2 5 2 2 2 2" xfId="46107"/>
    <cellStyle name="Normal 2 4 2 5 2 2 3" xfId="46108"/>
    <cellStyle name="Normal 2 4 2 5 2 3" xfId="46109"/>
    <cellStyle name="Normal 2 4 2 5 2 3 2" xfId="46110"/>
    <cellStyle name="Normal 2 4 2 5 2 4" xfId="46111"/>
    <cellStyle name="Normal 2 4 2 5 3" xfId="46112"/>
    <cellStyle name="Normal 2 4 2 5 3 2" xfId="46113"/>
    <cellStyle name="Normal 2 4 2 5 3 2 2" xfId="46114"/>
    <cellStyle name="Normal 2 4 2 5 3 3" xfId="46115"/>
    <cellStyle name="Normal 2 4 2 5 4" xfId="46116"/>
    <cellStyle name="Normal 2 4 2 5 4 2" xfId="46117"/>
    <cellStyle name="Normal 2 4 2 5 5" xfId="46118"/>
    <cellStyle name="Normal 2 4 2 6" xfId="46119"/>
    <cellStyle name="Normal 2 4 2 6 2" xfId="46120"/>
    <cellStyle name="Normal 2 4 2 6 2 2" xfId="46121"/>
    <cellStyle name="Normal 2 4 2 6 2 2 2" xfId="46122"/>
    <cellStyle name="Normal 2 4 2 6 2 2 2 2" xfId="46123"/>
    <cellStyle name="Normal 2 4 2 6 2 2 3" xfId="46124"/>
    <cellStyle name="Normal 2 4 2 6 2 3" xfId="46125"/>
    <cellStyle name="Normal 2 4 2 6 2 3 2" xfId="46126"/>
    <cellStyle name="Normal 2 4 2 6 2 4" xfId="46127"/>
    <cellStyle name="Normal 2 4 2 6 3" xfId="46128"/>
    <cellStyle name="Normal 2 4 2 6 3 2" xfId="46129"/>
    <cellStyle name="Normal 2 4 2 6 3 2 2" xfId="46130"/>
    <cellStyle name="Normal 2 4 2 6 3 3" xfId="46131"/>
    <cellStyle name="Normal 2 4 2 6 4" xfId="46132"/>
    <cellStyle name="Normal 2 4 2 6 4 2" xfId="46133"/>
    <cellStyle name="Normal 2 4 2 6 5" xfId="46134"/>
    <cellStyle name="Normal 2 4 2 7" xfId="46135"/>
    <cellStyle name="Normal 2 4 2 7 2" xfId="46136"/>
    <cellStyle name="Normal 2 4 2 7 2 2" xfId="46137"/>
    <cellStyle name="Normal 2 4 2 7 2 2 2" xfId="46138"/>
    <cellStyle name="Normal 2 4 2 7 2 3" xfId="46139"/>
    <cellStyle name="Normal 2 4 2 7 3" xfId="46140"/>
    <cellStyle name="Normal 2 4 2 7 3 2" xfId="46141"/>
    <cellStyle name="Normal 2 4 2 7 4" xfId="46142"/>
    <cellStyle name="Normal 2 4 2 8" xfId="46143"/>
    <cellStyle name="Normal 2 4 2 8 2" xfId="46144"/>
    <cellStyle name="Normal 2 4 2 8 2 2" xfId="46145"/>
    <cellStyle name="Normal 2 4 2 8 3" xfId="46146"/>
    <cellStyle name="Normal 2 4 2 9" xfId="46147"/>
    <cellStyle name="Normal 2 4 2 9 2" xfId="46148"/>
    <cellStyle name="Normal 2 4 3" xfId="46149"/>
    <cellStyle name="Normal 2 4 3 2" xfId="46150"/>
    <cellStyle name="Normal 2 4 3 2 2" xfId="46151"/>
    <cellStyle name="Normal 2 4 3 2 2 2" xfId="46152"/>
    <cellStyle name="Normal 2 4 3 2 2 2 2" xfId="46153"/>
    <cellStyle name="Normal 2 4 3 2 2 3" xfId="46154"/>
    <cellStyle name="Normal 2 4 3 2 3" xfId="46155"/>
    <cellStyle name="Normal 2 4 3 2 3 2" xfId="46156"/>
    <cellStyle name="Normal 2 4 3 2 4" xfId="46157"/>
    <cellStyle name="Normal 2 4 3 3" xfId="46158"/>
    <cellStyle name="Normal 2 4 3 3 2" xfId="46159"/>
    <cellStyle name="Normal 2 4 3 3 2 2" xfId="46160"/>
    <cellStyle name="Normal 2 4 3 3 3" xfId="46161"/>
    <cellStyle name="Normal 2 4 3 4" xfId="46162"/>
    <cellStyle name="Normal 2 4 3 4 2" xfId="46163"/>
    <cellStyle name="Normal 2 4 3 5" xfId="46164"/>
    <cellStyle name="Normal 2 4 4" xfId="46165"/>
    <cellStyle name="Normal 2 4 4 2" xfId="46166"/>
    <cellStyle name="Normal 2 4 4 2 2" xfId="46167"/>
    <cellStyle name="Normal 2 4 4 2 2 2" xfId="46168"/>
    <cellStyle name="Normal 2 4 4 2 2 2 2" xfId="46169"/>
    <cellStyle name="Normal 2 4 4 2 2 3" xfId="46170"/>
    <cellStyle name="Normal 2 4 4 2 3" xfId="46171"/>
    <cellStyle name="Normal 2 4 4 2 3 2" xfId="46172"/>
    <cellStyle name="Normal 2 4 4 2 4" xfId="46173"/>
    <cellStyle name="Normal 2 4 4 3" xfId="46174"/>
    <cellStyle name="Normal 2 4 4 3 2" xfId="46175"/>
    <cellStyle name="Normal 2 4 4 3 2 2" xfId="46176"/>
    <cellStyle name="Normal 2 4 4 3 3" xfId="46177"/>
    <cellStyle name="Normal 2 4 4 4" xfId="46178"/>
    <cellStyle name="Normal 2 4 4 4 2" xfId="46179"/>
    <cellStyle name="Normal 2 4 4 5" xfId="46180"/>
    <cellStyle name="Normal 2 4 5" xfId="46181"/>
    <cellStyle name="Normal 2 4 5 2" xfId="46182"/>
    <cellStyle name="Normal 2 4 5 2 2" xfId="46183"/>
    <cellStyle name="Normal 2 4 5 2 2 2" xfId="46184"/>
    <cellStyle name="Normal 2 4 5 2 2 2 2" xfId="46185"/>
    <cellStyle name="Normal 2 4 5 2 2 3" xfId="46186"/>
    <cellStyle name="Normal 2 4 5 2 3" xfId="46187"/>
    <cellStyle name="Normal 2 4 5 2 3 2" xfId="46188"/>
    <cellStyle name="Normal 2 4 5 2 4" xfId="46189"/>
    <cellStyle name="Normal 2 4 5 3" xfId="46190"/>
    <cellStyle name="Normal 2 4 5 3 2" xfId="46191"/>
    <cellStyle name="Normal 2 4 5 3 2 2" xfId="46192"/>
    <cellStyle name="Normal 2 4 5 3 3" xfId="46193"/>
    <cellStyle name="Normal 2 4 5 4" xfId="46194"/>
    <cellStyle name="Normal 2 4 5 4 2" xfId="46195"/>
    <cellStyle name="Normal 2 4 5 5" xfId="46196"/>
    <cellStyle name="Normal 2 4 6" xfId="46197"/>
    <cellStyle name="Normal 2 4 6 2" xfId="46198"/>
    <cellStyle name="Normal 2 4 6 2 2" xfId="46199"/>
    <cellStyle name="Normal 2 4 6 2 2 2" xfId="46200"/>
    <cellStyle name="Normal 2 4 6 2 2 2 2" xfId="46201"/>
    <cellStyle name="Normal 2 4 6 2 2 3" xfId="46202"/>
    <cellStyle name="Normal 2 4 6 2 3" xfId="46203"/>
    <cellStyle name="Normal 2 4 6 2 3 2" xfId="46204"/>
    <cellStyle name="Normal 2 4 6 2 4" xfId="46205"/>
    <cellStyle name="Normal 2 4 6 3" xfId="46206"/>
    <cellStyle name="Normal 2 4 6 3 2" xfId="46207"/>
    <cellStyle name="Normal 2 4 6 3 2 2" xfId="46208"/>
    <cellStyle name="Normal 2 4 6 3 3" xfId="46209"/>
    <cellStyle name="Normal 2 4 6 4" xfId="46210"/>
    <cellStyle name="Normal 2 4 6 4 2" xfId="46211"/>
    <cellStyle name="Normal 2 4 6 5" xfId="46212"/>
    <cellStyle name="Normal 2 4 7" xfId="46213"/>
    <cellStyle name="Normal 2 4 7 2" xfId="46214"/>
    <cellStyle name="Normal 2 4 7 2 2" xfId="46215"/>
    <cellStyle name="Normal 2 4 7 2 2 2" xfId="46216"/>
    <cellStyle name="Normal 2 4 7 2 2 2 2" xfId="46217"/>
    <cellStyle name="Normal 2 4 7 2 2 3" xfId="46218"/>
    <cellStyle name="Normal 2 4 7 2 3" xfId="46219"/>
    <cellStyle name="Normal 2 4 7 2 3 2" xfId="46220"/>
    <cellStyle name="Normal 2 4 7 2 4" xfId="46221"/>
    <cellStyle name="Normal 2 4 7 3" xfId="46222"/>
    <cellStyle name="Normal 2 4 7 3 2" xfId="46223"/>
    <cellStyle name="Normal 2 4 7 3 2 2" xfId="46224"/>
    <cellStyle name="Normal 2 4 7 3 3" xfId="46225"/>
    <cellStyle name="Normal 2 4 7 4" xfId="46226"/>
    <cellStyle name="Normal 2 4 7 4 2" xfId="46227"/>
    <cellStyle name="Normal 2 4 7 5" xfId="46228"/>
    <cellStyle name="Normal 2 4 8" xfId="46229"/>
    <cellStyle name="Normal 2 4 8 2" xfId="46230"/>
    <cellStyle name="Normal 2 4 8 2 2" xfId="46231"/>
    <cellStyle name="Normal 2 4 8 2 2 2" xfId="46232"/>
    <cellStyle name="Normal 2 4 8 2 3" xfId="46233"/>
    <cellStyle name="Normal 2 4 8 3" xfId="46234"/>
    <cellStyle name="Normal 2 4 8 3 2" xfId="46235"/>
    <cellStyle name="Normal 2 4 8 4" xfId="46236"/>
    <cellStyle name="Normal 2 4 9" xfId="46237"/>
    <cellStyle name="Normal 2 4 9 2" xfId="46238"/>
    <cellStyle name="Normal 2 4 9 2 2" xfId="46239"/>
    <cellStyle name="Normal 2 4 9 3" xfId="46240"/>
    <cellStyle name="Normal 2 5" xfId="46241"/>
    <cellStyle name="Normal 2 5 10" xfId="46242"/>
    <cellStyle name="Normal 2 5 10 2" xfId="46243"/>
    <cellStyle name="Normal 2 5 11" xfId="46244"/>
    <cellStyle name="Normal 2 5 2" xfId="46245"/>
    <cellStyle name="Normal 2 5 2 10" xfId="46246"/>
    <cellStyle name="Normal 2 5 2 2" xfId="46247"/>
    <cellStyle name="Normal 2 5 2 2 2" xfId="46248"/>
    <cellStyle name="Normal 2 5 2 2 2 2" xfId="46249"/>
    <cellStyle name="Normal 2 5 2 2 2 2 2" xfId="46250"/>
    <cellStyle name="Normal 2 5 2 2 2 2 2 2" xfId="46251"/>
    <cellStyle name="Normal 2 5 2 2 2 2 3" xfId="46252"/>
    <cellStyle name="Normal 2 5 2 2 2 3" xfId="46253"/>
    <cellStyle name="Normal 2 5 2 2 2 3 2" xfId="46254"/>
    <cellStyle name="Normal 2 5 2 2 2 4" xfId="46255"/>
    <cellStyle name="Normal 2 5 2 2 3" xfId="46256"/>
    <cellStyle name="Normal 2 5 2 2 3 2" xfId="46257"/>
    <cellStyle name="Normal 2 5 2 2 3 2 2" xfId="46258"/>
    <cellStyle name="Normal 2 5 2 2 3 3" xfId="46259"/>
    <cellStyle name="Normal 2 5 2 2 4" xfId="46260"/>
    <cellStyle name="Normal 2 5 2 2 4 2" xfId="46261"/>
    <cellStyle name="Normal 2 5 2 2 5" xfId="46262"/>
    <cellStyle name="Normal 2 5 2 3" xfId="46263"/>
    <cellStyle name="Normal 2 5 2 3 2" xfId="46264"/>
    <cellStyle name="Normal 2 5 2 3 2 2" xfId="46265"/>
    <cellStyle name="Normal 2 5 2 3 2 2 2" xfId="46266"/>
    <cellStyle name="Normal 2 5 2 3 2 2 2 2" xfId="46267"/>
    <cellStyle name="Normal 2 5 2 3 2 2 3" xfId="46268"/>
    <cellStyle name="Normal 2 5 2 3 2 3" xfId="46269"/>
    <cellStyle name="Normal 2 5 2 3 2 3 2" xfId="46270"/>
    <cellStyle name="Normal 2 5 2 3 2 4" xfId="46271"/>
    <cellStyle name="Normal 2 5 2 3 3" xfId="46272"/>
    <cellStyle name="Normal 2 5 2 3 3 2" xfId="46273"/>
    <cellStyle name="Normal 2 5 2 3 3 2 2" xfId="46274"/>
    <cellStyle name="Normal 2 5 2 3 3 3" xfId="46275"/>
    <cellStyle name="Normal 2 5 2 3 4" xfId="46276"/>
    <cellStyle name="Normal 2 5 2 3 4 2" xfId="46277"/>
    <cellStyle name="Normal 2 5 2 3 5" xfId="46278"/>
    <cellStyle name="Normal 2 5 2 4" xfId="46279"/>
    <cellStyle name="Normal 2 5 2 4 2" xfId="46280"/>
    <cellStyle name="Normal 2 5 2 4 2 2" xfId="46281"/>
    <cellStyle name="Normal 2 5 2 4 2 2 2" xfId="46282"/>
    <cellStyle name="Normal 2 5 2 4 2 2 2 2" xfId="46283"/>
    <cellStyle name="Normal 2 5 2 4 2 2 3" xfId="46284"/>
    <cellStyle name="Normal 2 5 2 4 2 3" xfId="46285"/>
    <cellStyle name="Normal 2 5 2 4 2 3 2" xfId="46286"/>
    <cellStyle name="Normal 2 5 2 4 2 4" xfId="46287"/>
    <cellStyle name="Normal 2 5 2 4 3" xfId="46288"/>
    <cellStyle name="Normal 2 5 2 4 3 2" xfId="46289"/>
    <cellStyle name="Normal 2 5 2 4 3 2 2" xfId="46290"/>
    <cellStyle name="Normal 2 5 2 4 3 3" xfId="46291"/>
    <cellStyle name="Normal 2 5 2 4 4" xfId="46292"/>
    <cellStyle name="Normal 2 5 2 4 4 2" xfId="46293"/>
    <cellStyle name="Normal 2 5 2 4 5" xfId="46294"/>
    <cellStyle name="Normal 2 5 2 5" xfId="46295"/>
    <cellStyle name="Normal 2 5 2 5 2" xfId="46296"/>
    <cellStyle name="Normal 2 5 2 5 2 2" xfId="46297"/>
    <cellStyle name="Normal 2 5 2 5 2 2 2" xfId="46298"/>
    <cellStyle name="Normal 2 5 2 5 2 2 2 2" xfId="46299"/>
    <cellStyle name="Normal 2 5 2 5 2 2 3" xfId="46300"/>
    <cellStyle name="Normal 2 5 2 5 2 3" xfId="46301"/>
    <cellStyle name="Normal 2 5 2 5 2 3 2" xfId="46302"/>
    <cellStyle name="Normal 2 5 2 5 2 4" xfId="46303"/>
    <cellStyle name="Normal 2 5 2 5 3" xfId="46304"/>
    <cellStyle name="Normal 2 5 2 5 3 2" xfId="46305"/>
    <cellStyle name="Normal 2 5 2 5 3 2 2" xfId="46306"/>
    <cellStyle name="Normal 2 5 2 5 3 3" xfId="46307"/>
    <cellStyle name="Normal 2 5 2 5 4" xfId="46308"/>
    <cellStyle name="Normal 2 5 2 5 4 2" xfId="46309"/>
    <cellStyle name="Normal 2 5 2 5 5" xfId="46310"/>
    <cellStyle name="Normal 2 5 2 6" xfId="46311"/>
    <cellStyle name="Normal 2 5 2 6 2" xfId="46312"/>
    <cellStyle name="Normal 2 5 2 6 2 2" xfId="46313"/>
    <cellStyle name="Normal 2 5 2 6 2 2 2" xfId="46314"/>
    <cellStyle name="Normal 2 5 2 6 2 2 2 2" xfId="46315"/>
    <cellStyle name="Normal 2 5 2 6 2 2 3" xfId="46316"/>
    <cellStyle name="Normal 2 5 2 6 2 3" xfId="46317"/>
    <cellStyle name="Normal 2 5 2 6 2 3 2" xfId="46318"/>
    <cellStyle name="Normal 2 5 2 6 2 4" xfId="46319"/>
    <cellStyle name="Normal 2 5 2 6 3" xfId="46320"/>
    <cellStyle name="Normal 2 5 2 6 3 2" xfId="46321"/>
    <cellStyle name="Normal 2 5 2 6 3 2 2" xfId="46322"/>
    <cellStyle name="Normal 2 5 2 6 3 3" xfId="46323"/>
    <cellStyle name="Normal 2 5 2 6 4" xfId="46324"/>
    <cellStyle name="Normal 2 5 2 6 4 2" xfId="46325"/>
    <cellStyle name="Normal 2 5 2 6 5" xfId="46326"/>
    <cellStyle name="Normal 2 5 2 7" xfId="46327"/>
    <cellStyle name="Normal 2 5 2 7 2" xfId="46328"/>
    <cellStyle name="Normal 2 5 2 7 2 2" xfId="46329"/>
    <cellStyle name="Normal 2 5 2 7 2 2 2" xfId="46330"/>
    <cellStyle name="Normal 2 5 2 7 2 3" xfId="46331"/>
    <cellStyle name="Normal 2 5 2 7 3" xfId="46332"/>
    <cellStyle name="Normal 2 5 2 7 3 2" xfId="46333"/>
    <cellStyle name="Normal 2 5 2 7 4" xfId="46334"/>
    <cellStyle name="Normal 2 5 2 8" xfId="46335"/>
    <cellStyle name="Normal 2 5 2 8 2" xfId="46336"/>
    <cellStyle name="Normal 2 5 2 8 2 2" xfId="46337"/>
    <cellStyle name="Normal 2 5 2 8 3" xfId="46338"/>
    <cellStyle name="Normal 2 5 2 9" xfId="46339"/>
    <cellStyle name="Normal 2 5 2 9 2" xfId="46340"/>
    <cellStyle name="Normal 2 5 3" xfId="46341"/>
    <cellStyle name="Normal 2 5 3 2" xfId="46342"/>
    <cellStyle name="Normal 2 5 3 2 2" xfId="46343"/>
    <cellStyle name="Normal 2 5 3 2 2 2" xfId="46344"/>
    <cellStyle name="Normal 2 5 3 2 2 2 2" xfId="46345"/>
    <cellStyle name="Normal 2 5 3 2 2 3" xfId="46346"/>
    <cellStyle name="Normal 2 5 3 2 3" xfId="46347"/>
    <cellStyle name="Normal 2 5 3 2 3 2" xfId="46348"/>
    <cellStyle name="Normal 2 5 3 2 4" xfId="46349"/>
    <cellStyle name="Normal 2 5 3 3" xfId="46350"/>
    <cellStyle name="Normal 2 5 3 3 2" xfId="46351"/>
    <cellStyle name="Normal 2 5 3 3 2 2" xfId="46352"/>
    <cellStyle name="Normal 2 5 3 3 3" xfId="46353"/>
    <cellStyle name="Normal 2 5 3 4" xfId="46354"/>
    <cellStyle name="Normal 2 5 3 4 2" xfId="46355"/>
    <cellStyle name="Normal 2 5 3 5" xfId="46356"/>
    <cellStyle name="Normal 2 5 4" xfId="46357"/>
    <cellStyle name="Normal 2 5 4 2" xfId="46358"/>
    <cellStyle name="Normal 2 5 4 2 2" xfId="46359"/>
    <cellStyle name="Normal 2 5 4 2 2 2" xfId="46360"/>
    <cellStyle name="Normal 2 5 4 2 2 2 2" xfId="46361"/>
    <cellStyle name="Normal 2 5 4 2 2 3" xfId="46362"/>
    <cellStyle name="Normal 2 5 4 2 3" xfId="46363"/>
    <cellStyle name="Normal 2 5 4 2 3 2" xfId="46364"/>
    <cellStyle name="Normal 2 5 4 2 4" xfId="46365"/>
    <cellStyle name="Normal 2 5 4 3" xfId="46366"/>
    <cellStyle name="Normal 2 5 4 3 2" xfId="46367"/>
    <cellStyle name="Normal 2 5 4 3 2 2" xfId="46368"/>
    <cellStyle name="Normal 2 5 4 3 3" xfId="46369"/>
    <cellStyle name="Normal 2 5 4 4" xfId="46370"/>
    <cellStyle name="Normal 2 5 4 4 2" xfId="46371"/>
    <cellStyle name="Normal 2 5 4 5" xfId="46372"/>
    <cellStyle name="Normal 2 5 5" xfId="46373"/>
    <cellStyle name="Normal 2 5 5 2" xfId="46374"/>
    <cellStyle name="Normal 2 5 5 2 2" xfId="46375"/>
    <cellStyle name="Normal 2 5 5 2 2 2" xfId="46376"/>
    <cellStyle name="Normal 2 5 5 2 2 2 2" xfId="46377"/>
    <cellStyle name="Normal 2 5 5 2 2 3" xfId="46378"/>
    <cellStyle name="Normal 2 5 5 2 3" xfId="46379"/>
    <cellStyle name="Normal 2 5 5 2 3 2" xfId="46380"/>
    <cellStyle name="Normal 2 5 5 2 4" xfId="46381"/>
    <cellStyle name="Normal 2 5 5 3" xfId="46382"/>
    <cellStyle name="Normal 2 5 5 3 2" xfId="46383"/>
    <cellStyle name="Normal 2 5 5 3 2 2" xfId="46384"/>
    <cellStyle name="Normal 2 5 5 3 3" xfId="46385"/>
    <cellStyle name="Normal 2 5 5 4" xfId="46386"/>
    <cellStyle name="Normal 2 5 5 4 2" xfId="46387"/>
    <cellStyle name="Normal 2 5 5 5" xfId="46388"/>
    <cellStyle name="Normal 2 5 6" xfId="46389"/>
    <cellStyle name="Normal 2 5 6 2" xfId="46390"/>
    <cellStyle name="Normal 2 5 6 2 2" xfId="46391"/>
    <cellStyle name="Normal 2 5 6 2 2 2" xfId="46392"/>
    <cellStyle name="Normal 2 5 6 2 2 2 2" xfId="46393"/>
    <cellStyle name="Normal 2 5 6 2 2 3" xfId="46394"/>
    <cellStyle name="Normal 2 5 6 2 3" xfId="46395"/>
    <cellStyle name="Normal 2 5 6 2 3 2" xfId="46396"/>
    <cellStyle name="Normal 2 5 6 2 4" xfId="46397"/>
    <cellStyle name="Normal 2 5 6 3" xfId="46398"/>
    <cellStyle name="Normal 2 5 6 3 2" xfId="46399"/>
    <cellStyle name="Normal 2 5 6 3 2 2" xfId="46400"/>
    <cellStyle name="Normal 2 5 6 3 3" xfId="46401"/>
    <cellStyle name="Normal 2 5 6 4" xfId="46402"/>
    <cellStyle name="Normal 2 5 6 4 2" xfId="46403"/>
    <cellStyle name="Normal 2 5 6 5" xfId="46404"/>
    <cellStyle name="Normal 2 5 7" xfId="46405"/>
    <cellStyle name="Normal 2 5 7 2" xfId="46406"/>
    <cellStyle name="Normal 2 5 7 2 2" xfId="46407"/>
    <cellStyle name="Normal 2 5 7 2 2 2" xfId="46408"/>
    <cellStyle name="Normal 2 5 7 2 2 2 2" xfId="46409"/>
    <cellStyle name="Normal 2 5 7 2 2 3" xfId="46410"/>
    <cellStyle name="Normal 2 5 7 2 3" xfId="46411"/>
    <cellStyle name="Normal 2 5 7 2 3 2" xfId="46412"/>
    <cellStyle name="Normal 2 5 7 2 4" xfId="46413"/>
    <cellStyle name="Normal 2 5 7 3" xfId="46414"/>
    <cellStyle name="Normal 2 5 7 3 2" xfId="46415"/>
    <cellStyle name="Normal 2 5 7 3 2 2" xfId="46416"/>
    <cellStyle name="Normal 2 5 7 3 3" xfId="46417"/>
    <cellStyle name="Normal 2 5 7 4" xfId="46418"/>
    <cellStyle name="Normal 2 5 7 4 2" xfId="46419"/>
    <cellStyle name="Normal 2 5 7 5" xfId="46420"/>
    <cellStyle name="Normal 2 5 8" xfId="46421"/>
    <cellStyle name="Normal 2 5 8 2" xfId="46422"/>
    <cellStyle name="Normal 2 5 8 2 2" xfId="46423"/>
    <cellStyle name="Normal 2 5 8 2 2 2" xfId="46424"/>
    <cellStyle name="Normal 2 5 8 2 3" xfId="46425"/>
    <cellStyle name="Normal 2 5 8 3" xfId="46426"/>
    <cellStyle name="Normal 2 5 8 3 2" xfId="46427"/>
    <cellStyle name="Normal 2 5 8 4" xfId="46428"/>
    <cellStyle name="Normal 2 5 9" xfId="46429"/>
    <cellStyle name="Normal 2 5 9 2" xfId="46430"/>
    <cellStyle name="Normal 2 5 9 2 2" xfId="46431"/>
    <cellStyle name="Normal 2 5 9 3" xfId="46432"/>
    <cellStyle name="Normal 2 6" xfId="46433"/>
    <cellStyle name="Normal 2 6 10" xfId="46434"/>
    <cellStyle name="Normal 2 6 10 2" xfId="46435"/>
    <cellStyle name="Normal 2 6 11" xfId="46436"/>
    <cellStyle name="Normal 2 6 2" xfId="46437"/>
    <cellStyle name="Normal 2 6 2 10" xfId="46438"/>
    <cellStyle name="Normal 2 6 2 2" xfId="46439"/>
    <cellStyle name="Normal 2 6 2 2 2" xfId="46440"/>
    <cellStyle name="Normal 2 6 2 2 2 2" xfId="46441"/>
    <cellStyle name="Normal 2 6 2 2 2 2 2" xfId="46442"/>
    <cellStyle name="Normal 2 6 2 2 2 2 2 2" xfId="46443"/>
    <cellStyle name="Normal 2 6 2 2 2 2 3" xfId="46444"/>
    <cellStyle name="Normal 2 6 2 2 2 3" xfId="46445"/>
    <cellStyle name="Normal 2 6 2 2 2 3 2" xfId="46446"/>
    <cellStyle name="Normal 2 6 2 2 2 4" xfId="46447"/>
    <cellStyle name="Normal 2 6 2 2 3" xfId="46448"/>
    <cellStyle name="Normal 2 6 2 2 3 2" xfId="46449"/>
    <cellStyle name="Normal 2 6 2 2 3 2 2" xfId="46450"/>
    <cellStyle name="Normal 2 6 2 2 3 3" xfId="46451"/>
    <cellStyle name="Normal 2 6 2 2 4" xfId="46452"/>
    <cellStyle name="Normal 2 6 2 2 4 2" xfId="46453"/>
    <cellStyle name="Normal 2 6 2 2 5" xfId="46454"/>
    <cellStyle name="Normal 2 6 2 3" xfId="46455"/>
    <cellStyle name="Normal 2 6 2 3 2" xfId="46456"/>
    <cellStyle name="Normal 2 6 2 3 2 2" xfId="46457"/>
    <cellStyle name="Normal 2 6 2 3 2 2 2" xfId="46458"/>
    <cellStyle name="Normal 2 6 2 3 2 2 2 2" xfId="46459"/>
    <cellStyle name="Normal 2 6 2 3 2 2 3" xfId="46460"/>
    <cellStyle name="Normal 2 6 2 3 2 3" xfId="46461"/>
    <cellStyle name="Normal 2 6 2 3 2 3 2" xfId="46462"/>
    <cellStyle name="Normal 2 6 2 3 2 4" xfId="46463"/>
    <cellStyle name="Normal 2 6 2 3 3" xfId="46464"/>
    <cellStyle name="Normal 2 6 2 3 3 2" xfId="46465"/>
    <cellStyle name="Normal 2 6 2 3 3 2 2" xfId="46466"/>
    <cellStyle name="Normal 2 6 2 3 3 3" xfId="46467"/>
    <cellStyle name="Normal 2 6 2 3 4" xfId="46468"/>
    <cellStyle name="Normal 2 6 2 3 4 2" xfId="46469"/>
    <cellStyle name="Normal 2 6 2 3 5" xfId="46470"/>
    <cellStyle name="Normal 2 6 2 4" xfId="46471"/>
    <cellStyle name="Normal 2 6 2 4 2" xfId="46472"/>
    <cellStyle name="Normal 2 6 2 4 2 2" xfId="46473"/>
    <cellStyle name="Normal 2 6 2 4 2 2 2" xfId="46474"/>
    <cellStyle name="Normal 2 6 2 4 2 2 2 2" xfId="46475"/>
    <cellStyle name="Normal 2 6 2 4 2 2 3" xfId="46476"/>
    <cellStyle name="Normal 2 6 2 4 2 3" xfId="46477"/>
    <cellStyle name="Normal 2 6 2 4 2 3 2" xfId="46478"/>
    <cellStyle name="Normal 2 6 2 4 2 4" xfId="46479"/>
    <cellStyle name="Normal 2 6 2 4 3" xfId="46480"/>
    <cellStyle name="Normal 2 6 2 4 3 2" xfId="46481"/>
    <cellStyle name="Normal 2 6 2 4 3 2 2" xfId="46482"/>
    <cellStyle name="Normal 2 6 2 4 3 3" xfId="46483"/>
    <cellStyle name="Normal 2 6 2 4 4" xfId="46484"/>
    <cellStyle name="Normal 2 6 2 4 4 2" xfId="46485"/>
    <cellStyle name="Normal 2 6 2 4 5" xfId="46486"/>
    <cellStyle name="Normal 2 6 2 5" xfId="46487"/>
    <cellStyle name="Normal 2 6 2 5 2" xfId="46488"/>
    <cellStyle name="Normal 2 6 2 5 2 2" xfId="46489"/>
    <cellStyle name="Normal 2 6 2 5 2 2 2" xfId="46490"/>
    <cellStyle name="Normal 2 6 2 5 2 2 2 2" xfId="46491"/>
    <cellStyle name="Normal 2 6 2 5 2 2 3" xfId="46492"/>
    <cellStyle name="Normal 2 6 2 5 2 3" xfId="46493"/>
    <cellStyle name="Normal 2 6 2 5 2 3 2" xfId="46494"/>
    <cellStyle name="Normal 2 6 2 5 2 4" xfId="46495"/>
    <cellStyle name="Normal 2 6 2 5 3" xfId="46496"/>
    <cellStyle name="Normal 2 6 2 5 3 2" xfId="46497"/>
    <cellStyle name="Normal 2 6 2 5 3 2 2" xfId="46498"/>
    <cellStyle name="Normal 2 6 2 5 3 3" xfId="46499"/>
    <cellStyle name="Normal 2 6 2 5 4" xfId="46500"/>
    <cellStyle name="Normal 2 6 2 5 4 2" xfId="46501"/>
    <cellStyle name="Normal 2 6 2 5 5" xfId="46502"/>
    <cellStyle name="Normal 2 6 2 6" xfId="46503"/>
    <cellStyle name="Normal 2 6 2 6 2" xfId="46504"/>
    <cellStyle name="Normal 2 6 2 6 2 2" xfId="46505"/>
    <cellStyle name="Normal 2 6 2 6 2 2 2" xfId="46506"/>
    <cellStyle name="Normal 2 6 2 6 2 2 2 2" xfId="46507"/>
    <cellStyle name="Normal 2 6 2 6 2 2 3" xfId="46508"/>
    <cellStyle name="Normal 2 6 2 6 2 3" xfId="46509"/>
    <cellStyle name="Normal 2 6 2 6 2 3 2" xfId="46510"/>
    <cellStyle name="Normal 2 6 2 6 2 4" xfId="46511"/>
    <cellStyle name="Normal 2 6 2 6 3" xfId="46512"/>
    <cellStyle name="Normal 2 6 2 6 3 2" xfId="46513"/>
    <cellStyle name="Normal 2 6 2 6 3 2 2" xfId="46514"/>
    <cellStyle name="Normal 2 6 2 6 3 3" xfId="46515"/>
    <cellStyle name="Normal 2 6 2 6 4" xfId="46516"/>
    <cellStyle name="Normal 2 6 2 6 4 2" xfId="46517"/>
    <cellStyle name="Normal 2 6 2 6 5" xfId="46518"/>
    <cellStyle name="Normal 2 6 2 7" xfId="46519"/>
    <cellStyle name="Normal 2 6 2 7 2" xfId="46520"/>
    <cellStyle name="Normal 2 6 2 7 2 2" xfId="46521"/>
    <cellStyle name="Normal 2 6 2 7 2 2 2" xfId="46522"/>
    <cellStyle name="Normal 2 6 2 7 2 3" xfId="46523"/>
    <cellStyle name="Normal 2 6 2 7 3" xfId="46524"/>
    <cellStyle name="Normal 2 6 2 7 3 2" xfId="46525"/>
    <cellStyle name="Normal 2 6 2 7 4" xfId="46526"/>
    <cellStyle name="Normal 2 6 2 8" xfId="46527"/>
    <cellStyle name="Normal 2 6 2 8 2" xfId="46528"/>
    <cellStyle name="Normal 2 6 2 8 2 2" xfId="46529"/>
    <cellStyle name="Normal 2 6 2 8 3" xfId="46530"/>
    <cellStyle name="Normal 2 6 2 9" xfId="46531"/>
    <cellStyle name="Normal 2 6 2 9 2" xfId="46532"/>
    <cellStyle name="Normal 2 6 3" xfId="46533"/>
    <cellStyle name="Normal 2 6 3 2" xfId="46534"/>
    <cellStyle name="Normal 2 6 3 2 2" xfId="46535"/>
    <cellStyle name="Normal 2 6 3 2 2 2" xfId="46536"/>
    <cellStyle name="Normal 2 6 3 2 2 2 2" xfId="46537"/>
    <cellStyle name="Normal 2 6 3 2 2 3" xfId="46538"/>
    <cellStyle name="Normal 2 6 3 2 3" xfId="46539"/>
    <cellStyle name="Normal 2 6 3 2 3 2" xfId="46540"/>
    <cellStyle name="Normal 2 6 3 2 4" xfId="46541"/>
    <cellStyle name="Normal 2 6 3 3" xfId="46542"/>
    <cellStyle name="Normal 2 6 3 3 2" xfId="46543"/>
    <cellStyle name="Normal 2 6 3 3 2 2" xfId="46544"/>
    <cellStyle name="Normal 2 6 3 3 3" xfId="46545"/>
    <cellStyle name="Normal 2 6 3 4" xfId="46546"/>
    <cellStyle name="Normal 2 6 3 4 2" xfId="46547"/>
    <cellStyle name="Normal 2 6 3 5" xfId="46548"/>
    <cellStyle name="Normal 2 6 4" xfId="46549"/>
    <cellStyle name="Normal 2 6 4 2" xfId="46550"/>
    <cellStyle name="Normal 2 6 4 2 2" xfId="46551"/>
    <cellStyle name="Normal 2 6 4 2 2 2" xfId="46552"/>
    <cellStyle name="Normal 2 6 4 2 2 2 2" xfId="46553"/>
    <cellStyle name="Normal 2 6 4 2 2 3" xfId="46554"/>
    <cellStyle name="Normal 2 6 4 2 3" xfId="46555"/>
    <cellStyle name="Normal 2 6 4 2 3 2" xfId="46556"/>
    <cellStyle name="Normal 2 6 4 2 4" xfId="46557"/>
    <cellStyle name="Normal 2 6 4 3" xfId="46558"/>
    <cellStyle name="Normal 2 6 4 3 2" xfId="46559"/>
    <cellStyle name="Normal 2 6 4 3 2 2" xfId="46560"/>
    <cellStyle name="Normal 2 6 4 3 3" xfId="46561"/>
    <cellStyle name="Normal 2 6 4 4" xfId="46562"/>
    <cellStyle name="Normal 2 6 4 4 2" xfId="46563"/>
    <cellStyle name="Normal 2 6 4 5" xfId="46564"/>
    <cellStyle name="Normal 2 6 5" xfId="46565"/>
    <cellStyle name="Normal 2 6 5 2" xfId="46566"/>
    <cellStyle name="Normal 2 6 5 2 2" xfId="46567"/>
    <cellStyle name="Normal 2 6 5 2 2 2" xfId="46568"/>
    <cellStyle name="Normal 2 6 5 2 2 2 2" xfId="46569"/>
    <cellStyle name="Normal 2 6 5 2 2 3" xfId="46570"/>
    <cellStyle name="Normal 2 6 5 2 3" xfId="46571"/>
    <cellStyle name="Normal 2 6 5 2 3 2" xfId="46572"/>
    <cellStyle name="Normal 2 6 5 2 4" xfId="46573"/>
    <cellStyle name="Normal 2 6 5 3" xfId="46574"/>
    <cellStyle name="Normal 2 6 5 3 2" xfId="46575"/>
    <cellStyle name="Normal 2 6 5 3 2 2" xfId="46576"/>
    <cellStyle name="Normal 2 6 5 3 3" xfId="46577"/>
    <cellStyle name="Normal 2 6 5 4" xfId="46578"/>
    <cellStyle name="Normal 2 6 5 4 2" xfId="46579"/>
    <cellStyle name="Normal 2 6 5 5" xfId="46580"/>
    <cellStyle name="Normal 2 6 6" xfId="46581"/>
    <cellStyle name="Normal 2 6 6 2" xfId="46582"/>
    <cellStyle name="Normal 2 6 6 2 2" xfId="46583"/>
    <cellStyle name="Normal 2 6 6 2 2 2" xfId="46584"/>
    <cellStyle name="Normal 2 6 6 2 2 2 2" xfId="46585"/>
    <cellStyle name="Normal 2 6 6 2 2 3" xfId="46586"/>
    <cellStyle name="Normal 2 6 6 2 3" xfId="46587"/>
    <cellStyle name="Normal 2 6 6 2 3 2" xfId="46588"/>
    <cellStyle name="Normal 2 6 6 2 4" xfId="46589"/>
    <cellStyle name="Normal 2 6 6 3" xfId="46590"/>
    <cellStyle name="Normal 2 6 6 3 2" xfId="46591"/>
    <cellStyle name="Normal 2 6 6 3 2 2" xfId="46592"/>
    <cellStyle name="Normal 2 6 6 3 3" xfId="46593"/>
    <cellStyle name="Normal 2 6 6 4" xfId="46594"/>
    <cellStyle name="Normal 2 6 6 4 2" xfId="46595"/>
    <cellStyle name="Normal 2 6 6 5" xfId="46596"/>
    <cellStyle name="Normal 2 6 7" xfId="46597"/>
    <cellStyle name="Normal 2 6 7 2" xfId="46598"/>
    <cellStyle name="Normal 2 6 7 2 2" xfId="46599"/>
    <cellStyle name="Normal 2 6 7 2 2 2" xfId="46600"/>
    <cellStyle name="Normal 2 6 7 2 2 2 2" xfId="46601"/>
    <cellStyle name="Normal 2 6 7 2 2 3" xfId="46602"/>
    <cellStyle name="Normal 2 6 7 2 3" xfId="46603"/>
    <cellStyle name="Normal 2 6 7 2 3 2" xfId="46604"/>
    <cellStyle name="Normal 2 6 7 2 4" xfId="46605"/>
    <cellStyle name="Normal 2 6 7 3" xfId="46606"/>
    <cellStyle name="Normal 2 6 7 3 2" xfId="46607"/>
    <cellStyle name="Normal 2 6 7 3 2 2" xfId="46608"/>
    <cellStyle name="Normal 2 6 7 3 3" xfId="46609"/>
    <cellStyle name="Normal 2 6 7 4" xfId="46610"/>
    <cellStyle name="Normal 2 6 7 4 2" xfId="46611"/>
    <cellStyle name="Normal 2 6 7 5" xfId="46612"/>
    <cellStyle name="Normal 2 6 8" xfId="46613"/>
    <cellStyle name="Normal 2 6 8 2" xfId="46614"/>
    <cellStyle name="Normal 2 6 8 2 2" xfId="46615"/>
    <cellStyle name="Normal 2 6 8 2 2 2" xfId="46616"/>
    <cellStyle name="Normal 2 6 8 2 3" xfId="46617"/>
    <cellStyle name="Normal 2 6 8 3" xfId="46618"/>
    <cellStyle name="Normal 2 6 8 3 2" xfId="46619"/>
    <cellStyle name="Normal 2 6 8 4" xfId="46620"/>
    <cellStyle name="Normal 2 6 9" xfId="46621"/>
    <cellStyle name="Normal 2 6 9 2" xfId="46622"/>
    <cellStyle name="Normal 2 6 9 2 2" xfId="46623"/>
    <cellStyle name="Normal 2 6 9 3" xfId="46624"/>
    <cellStyle name="Normal 2 7" xfId="46625"/>
    <cellStyle name="Normal 2 7 10" xfId="46626"/>
    <cellStyle name="Normal 2 7 10 2" xfId="46627"/>
    <cellStyle name="Normal 2 7 11" xfId="46628"/>
    <cellStyle name="Normal 2 7 2" xfId="46629"/>
    <cellStyle name="Normal 2 7 2 10" xfId="46630"/>
    <cellStyle name="Normal 2 7 2 2" xfId="46631"/>
    <cellStyle name="Normal 2 7 2 2 2" xfId="46632"/>
    <cellStyle name="Normal 2 7 2 2 2 2" xfId="46633"/>
    <cellStyle name="Normal 2 7 2 2 2 2 2" xfId="46634"/>
    <cellStyle name="Normal 2 7 2 2 2 2 2 2" xfId="46635"/>
    <cellStyle name="Normal 2 7 2 2 2 2 3" xfId="46636"/>
    <cellStyle name="Normal 2 7 2 2 2 3" xfId="46637"/>
    <cellStyle name="Normal 2 7 2 2 2 3 2" xfId="46638"/>
    <cellStyle name="Normal 2 7 2 2 2 4" xfId="46639"/>
    <cellStyle name="Normal 2 7 2 2 3" xfId="46640"/>
    <cellStyle name="Normal 2 7 2 2 3 2" xfId="46641"/>
    <cellStyle name="Normal 2 7 2 2 3 2 2" xfId="46642"/>
    <cellStyle name="Normal 2 7 2 2 3 3" xfId="46643"/>
    <cellStyle name="Normal 2 7 2 2 4" xfId="46644"/>
    <cellStyle name="Normal 2 7 2 2 4 2" xfId="46645"/>
    <cellStyle name="Normal 2 7 2 2 5" xfId="46646"/>
    <cellStyle name="Normal 2 7 2 3" xfId="46647"/>
    <cellStyle name="Normal 2 7 2 3 2" xfId="46648"/>
    <cellStyle name="Normal 2 7 2 3 2 2" xfId="46649"/>
    <cellStyle name="Normal 2 7 2 3 2 2 2" xfId="46650"/>
    <cellStyle name="Normal 2 7 2 3 2 2 2 2" xfId="46651"/>
    <cellStyle name="Normal 2 7 2 3 2 2 3" xfId="46652"/>
    <cellStyle name="Normal 2 7 2 3 2 3" xfId="46653"/>
    <cellStyle name="Normal 2 7 2 3 2 3 2" xfId="46654"/>
    <cellStyle name="Normal 2 7 2 3 2 4" xfId="46655"/>
    <cellStyle name="Normal 2 7 2 3 3" xfId="46656"/>
    <cellStyle name="Normal 2 7 2 3 3 2" xfId="46657"/>
    <cellStyle name="Normal 2 7 2 3 3 2 2" xfId="46658"/>
    <cellStyle name="Normal 2 7 2 3 3 3" xfId="46659"/>
    <cellStyle name="Normal 2 7 2 3 4" xfId="46660"/>
    <cellStyle name="Normal 2 7 2 3 4 2" xfId="46661"/>
    <cellStyle name="Normal 2 7 2 3 5" xfId="46662"/>
    <cellStyle name="Normal 2 7 2 4" xfId="46663"/>
    <cellStyle name="Normal 2 7 2 4 2" xfId="46664"/>
    <cellStyle name="Normal 2 7 2 4 2 2" xfId="46665"/>
    <cellStyle name="Normal 2 7 2 4 2 2 2" xfId="46666"/>
    <cellStyle name="Normal 2 7 2 4 2 2 2 2" xfId="46667"/>
    <cellStyle name="Normal 2 7 2 4 2 2 3" xfId="46668"/>
    <cellStyle name="Normal 2 7 2 4 2 3" xfId="46669"/>
    <cellStyle name="Normal 2 7 2 4 2 3 2" xfId="46670"/>
    <cellStyle name="Normal 2 7 2 4 2 4" xfId="46671"/>
    <cellStyle name="Normal 2 7 2 4 3" xfId="46672"/>
    <cellStyle name="Normal 2 7 2 4 3 2" xfId="46673"/>
    <cellStyle name="Normal 2 7 2 4 3 2 2" xfId="46674"/>
    <cellStyle name="Normal 2 7 2 4 3 3" xfId="46675"/>
    <cellStyle name="Normal 2 7 2 4 4" xfId="46676"/>
    <cellStyle name="Normal 2 7 2 4 4 2" xfId="46677"/>
    <cellStyle name="Normal 2 7 2 4 5" xfId="46678"/>
    <cellStyle name="Normal 2 7 2 5" xfId="46679"/>
    <cellStyle name="Normal 2 7 2 5 2" xfId="46680"/>
    <cellStyle name="Normal 2 7 2 5 2 2" xfId="46681"/>
    <cellStyle name="Normal 2 7 2 5 2 2 2" xfId="46682"/>
    <cellStyle name="Normal 2 7 2 5 2 2 2 2" xfId="46683"/>
    <cellStyle name="Normal 2 7 2 5 2 2 3" xfId="46684"/>
    <cellStyle name="Normal 2 7 2 5 2 3" xfId="46685"/>
    <cellStyle name="Normal 2 7 2 5 2 3 2" xfId="46686"/>
    <cellStyle name="Normal 2 7 2 5 2 4" xfId="46687"/>
    <cellStyle name="Normal 2 7 2 5 3" xfId="46688"/>
    <cellStyle name="Normal 2 7 2 5 3 2" xfId="46689"/>
    <cellStyle name="Normal 2 7 2 5 3 2 2" xfId="46690"/>
    <cellStyle name="Normal 2 7 2 5 3 3" xfId="46691"/>
    <cellStyle name="Normal 2 7 2 5 4" xfId="46692"/>
    <cellStyle name="Normal 2 7 2 5 4 2" xfId="46693"/>
    <cellStyle name="Normal 2 7 2 5 5" xfId="46694"/>
    <cellStyle name="Normal 2 7 2 6" xfId="46695"/>
    <cellStyle name="Normal 2 7 2 6 2" xfId="46696"/>
    <cellStyle name="Normal 2 7 2 6 2 2" xfId="46697"/>
    <cellStyle name="Normal 2 7 2 6 2 2 2" xfId="46698"/>
    <cellStyle name="Normal 2 7 2 6 2 2 2 2" xfId="46699"/>
    <cellStyle name="Normal 2 7 2 6 2 2 3" xfId="46700"/>
    <cellStyle name="Normal 2 7 2 6 2 3" xfId="46701"/>
    <cellStyle name="Normal 2 7 2 6 2 3 2" xfId="46702"/>
    <cellStyle name="Normal 2 7 2 6 2 4" xfId="46703"/>
    <cellStyle name="Normal 2 7 2 6 3" xfId="46704"/>
    <cellStyle name="Normal 2 7 2 6 3 2" xfId="46705"/>
    <cellStyle name="Normal 2 7 2 6 3 2 2" xfId="46706"/>
    <cellStyle name="Normal 2 7 2 6 3 3" xfId="46707"/>
    <cellStyle name="Normal 2 7 2 6 4" xfId="46708"/>
    <cellStyle name="Normal 2 7 2 6 4 2" xfId="46709"/>
    <cellStyle name="Normal 2 7 2 6 5" xfId="46710"/>
    <cellStyle name="Normal 2 7 2 7" xfId="46711"/>
    <cellStyle name="Normal 2 7 2 7 2" xfId="46712"/>
    <cellStyle name="Normal 2 7 2 7 2 2" xfId="46713"/>
    <cellStyle name="Normal 2 7 2 7 2 2 2" xfId="46714"/>
    <cellStyle name="Normal 2 7 2 7 2 3" xfId="46715"/>
    <cellStyle name="Normal 2 7 2 7 3" xfId="46716"/>
    <cellStyle name="Normal 2 7 2 7 3 2" xfId="46717"/>
    <cellStyle name="Normal 2 7 2 7 4" xfId="46718"/>
    <cellStyle name="Normal 2 7 2 8" xfId="46719"/>
    <cellStyle name="Normal 2 7 2 8 2" xfId="46720"/>
    <cellStyle name="Normal 2 7 2 8 2 2" xfId="46721"/>
    <cellStyle name="Normal 2 7 2 8 3" xfId="46722"/>
    <cellStyle name="Normal 2 7 2 9" xfId="46723"/>
    <cellStyle name="Normal 2 7 2 9 2" xfId="46724"/>
    <cellStyle name="Normal 2 7 3" xfId="46725"/>
    <cellStyle name="Normal 2 7 3 2" xfId="46726"/>
    <cellStyle name="Normal 2 7 3 2 2" xfId="46727"/>
    <cellStyle name="Normal 2 7 3 2 2 2" xfId="46728"/>
    <cellStyle name="Normal 2 7 3 2 2 2 2" xfId="46729"/>
    <cellStyle name="Normal 2 7 3 2 2 3" xfId="46730"/>
    <cellStyle name="Normal 2 7 3 2 3" xfId="46731"/>
    <cellStyle name="Normal 2 7 3 2 3 2" xfId="46732"/>
    <cellStyle name="Normal 2 7 3 2 4" xfId="46733"/>
    <cellStyle name="Normal 2 7 3 3" xfId="46734"/>
    <cellStyle name="Normal 2 7 3 3 2" xfId="46735"/>
    <cellStyle name="Normal 2 7 3 3 2 2" xfId="46736"/>
    <cellStyle name="Normal 2 7 3 3 3" xfId="46737"/>
    <cellStyle name="Normal 2 7 3 4" xfId="46738"/>
    <cellStyle name="Normal 2 7 3 4 2" xfId="46739"/>
    <cellStyle name="Normal 2 7 3 5" xfId="46740"/>
    <cellStyle name="Normal 2 7 4" xfId="46741"/>
    <cellStyle name="Normal 2 7 4 2" xfId="46742"/>
    <cellStyle name="Normal 2 7 4 2 2" xfId="46743"/>
    <cellStyle name="Normal 2 7 4 2 2 2" xfId="46744"/>
    <cellStyle name="Normal 2 7 4 2 2 2 2" xfId="46745"/>
    <cellStyle name="Normal 2 7 4 2 2 3" xfId="46746"/>
    <cellStyle name="Normal 2 7 4 2 3" xfId="46747"/>
    <cellStyle name="Normal 2 7 4 2 3 2" xfId="46748"/>
    <cellStyle name="Normal 2 7 4 2 4" xfId="46749"/>
    <cellStyle name="Normal 2 7 4 3" xfId="46750"/>
    <cellStyle name="Normal 2 7 4 3 2" xfId="46751"/>
    <cellStyle name="Normal 2 7 4 3 2 2" xfId="46752"/>
    <cellStyle name="Normal 2 7 4 3 3" xfId="46753"/>
    <cellStyle name="Normal 2 7 4 4" xfId="46754"/>
    <cellStyle name="Normal 2 7 4 4 2" xfId="46755"/>
    <cellStyle name="Normal 2 7 4 5" xfId="46756"/>
    <cellStyle name="Normal 2 7 5" xfId="46757"/>
    <cellStyle name="Normal 2 7 5 2" xfId="46758"/>
    <cellStyle name="Normal 2 7 5 2 2" xfId="46759"/>
    <cellStyle name="Normal 2 7 5 2 2 2" xfId="46760"/>
    <cellStyle name="Normal 2 7 5 2 2 2 2" xfId="46761"/>
    <cellStyle name="Normal 2 7 5 2 2 3" xfId="46762"/>
    <cellStyle name="Normal 2 7 5 2 3" xfId="46763"/>
    <cellStyle name="Normal 2 7 5 2 3 2" xfId="46764"/>
    <cellStyle name="Normal 2 7 5 2 4" xfId="46765"/>
    <cellStyle name="Normal 2 7 5 3" xfId="46766"/>
    <cellStyle name="Normal 2 7 5 3 2" xfId="46767"/>
    <cellStyle name="Normal 2 7 5 3 2 2" xfId="46768"/>
    <cellStyle name="Normal 2 7 5 3 3" xfId="46769"/>
    <cellStyle name="Normal 2 7 5 4" xfId="46770"/>
    <cellStyle name="Normal 2 7 5 4 2" xfId="46771"/>
    <cellStyle name="Normal 2 7 5 5" xfId="46772"/>
    <cellStyle name="Normal 2 7 6" xfId="46773"/>
    <cellStyle name="Normal 2 7 6 2" xfId="46774"/>
    <cellStyle name="Normal 2 7 6 2 2" xfId="46775"/>
    <cellStyle name="Normal 2 7 6 2 2 2" xfId="46776"/>
    <cellStyle name="Normal 2 7 6 2 2 2 2" xfId="46777"/>
    <cellStyle name="Normal 2 7 6 2 2 3" xfId="46778"/>
    <cellStyle name="Normal 2 7 6 2 3" xfId="46779"/>
    <cellStyle name="Normal 2 7 6 2 3 2" xfId="46780"/>
    <cellStyle name="Normal 2 7 6 2 4" xfId="46781"/>
    <cellStyle name="Normal 2 7 6 3" xfId="46782"/>
    <cellStyle name="Normal 2 7 6 3 2" xfId="46783"/>
    <cellStyle name="Normal 2 7 6 3 2 2" xfId="46784"/>
    <cellStyle name="Normal 2 7 6 3 3" xfId="46785"/>
    <cellStyle name="Normal 2 7 6 4" xfId="46786"/>
    <cellStyle name="Normal 2 7 6 4 2" xfId="46787"/>
    <cellStyle name="Normal 2 7 6 5" xfId="46788"/>
    <cellStyle name="Normal 2 7 7" xfId="46789"/>
    <cellStyle name="Normal 2 7 7 2" xfId="46790"/>
    <cellStyle name="Normal 2 7 7 2 2" xfId="46791"/>
    <cellStyle name="Normal 2 7 7 2 2 2" xfId="46792"/>
    <cellStyle name="Normal 2 7 7 2 2 2 2" xfId="46793"/>
    <cellStyle name="Normal 2 7 7 2 2 3" xfId="46794"/>
    <cellStyle name="Normal 2 7 7 2 3" xfId="46795"/>
    <cellStyle name="Normal 2 7 7 2 3 2" xfId="46796"/>
    <cellStyle name="Normal 2 7 7 2 4" xfId="46797"/>
    <cellStyle name="Normal 2 7 7 3" xfId="46798"/>
    <cellStyle name="Normal 2 7 7 3 2" xfId="46799"/>
    <cellStyle name="Normal 2 7 7 3 2 2" xfId="46800"/>
    <cellStyle name="Normal 2 7 7 3 3" xfId="46801"/>
    <cellStyle name="Normal 2 7 7 4" xfId="46802"/>
    <cellStyle name="Normal 2 7 7 4 2" xfId="46803"/>
    <cellStyle name="Normal 2 7 7 5" xfId="46804"/>
    <cellStyle name="Normal 2 7 8" xfId="46805"/>
    <cellStyle name="Normal 2 7 8 2" xfId="46806"/>
    <cellStyle name="Normal 2 7 8 2 2" xfId="46807"/>
    <cellStyle name="Normal 2 7 8 2 2 2" xfId="46808"/>
    <cellStyle name="Normal 2 7 8 2 3" xfId="46809"/>
    <cellStyle name="Normal 2 7 8 3" xfId="46810"/>
    <cellStyle name="Normal 2 7 8 3 2" xfId="46811"/>
    <cellStyle name="Normal 2 7 8 4" xfId="46812"/>
    <cellStyle name="Normal 2 7 9" xfId="46813"/>
    <cellStyle name="Normal 2 7 9 2" xfId="46814"/>
    <cellStyle name="Normal 2 7 9 2 2" xfId="46815"/>
    <cellStyle name="Normal 2 7 9 3" xfId="46816"/>
    <cellStyle name="Normal 2 8" xfId="46817"/>
    <cellStyle name="Normal 2 8 10" xfId="46818"/>
    <cellStyle name="Normal 2 8 10 2" xfId="46819"/>
    <cellStyle name="Normal 2 8 11" xfId="46820"/>
    <cellStyle name="Normal 2 8 2" xfId="46821"/>
    <cellStyle name="Normal 2 8 2 10" xfId="46822"/>
    <cellStyle name="Normal 2 8 2 2" xfId="46823"/>
    <cellStyle name="Normal 2 8 2 2 2" xfId="46824"/>
    <cellStyle name="Normal 2 8 2 2 2 2" xfId="46825"/>
    <cellStyle name="Normal 2 8 2 2 2 2 2" xfId="46826"/>
    <cellStyle name="Normal 2 8 2 2 2 2 2 2" xfId="46827"/>
    <cellStyle name="Normal 2 8 2 2 2 2 3" xfId="46828"/>
    <cellStyle name="Normal 2 8 2 2 2 3" xfId="46829"/>
    <cellStyle name="Normal 2 8 2 2 2 3 2" xfId="46830"/>
    <cellStyle name="Normal 2 8 2 2 2 4" xfId="46831"/>
    <cellStyle name="Normal 2 8 2 2 3" xfId="46832"/>
    <cellStyle name="Normal 2 8 2 2 3 2" xfId="46833"/>
    <cellStyle name="Normal 2 8 2 2 3 2 2" xfId="46834"/>
    <cellStyle name="Normal 2 8 2 2 3 3" xfId="46835"/>
    <cellStyle name="Normal 2 8 2 2 4" xfId="46836"/>
    <cellStyle name="Normal 2 8 2 2 4 2" xfId="46837"/>
    <cellStyle name="Normal 2 8 2 2 5" xfId="46838"/>
    <cellStyle name="Normal 2 8 2 3" xfId="46839"/>
    <cellStyle name="Normal 2 8 2 3 2" xfId="46840"/>
    <cellStyle name="Normal 2 8 2 3 2 2" xfId="46841"/>
    <cellStyle name="Normal 2 8 2 3 2 2 2" xfId="46842"/>
    <cellStyle name="Normal 2 8 2 3 2 2 2 2" xfId="46843"/>
    <cellStyle name="Normal 2 8 2 3 2 2 3" xfId="46844"/>
    <cellStyle name="Normal 2 8 2 3 2 3" xfId="46845"/>
    <cellStyle name="Normal 2 8 2 3 2 3 2" xfId="46846"/>
    <cellStyle name="Normal 2 8 2 3 2 4" xfId="46847"/>
    <cellStyle name="Normal 2 8 2 3 3" xfId="46848"/>
    <cellStyle name="Normal 2 8 2 3 3 2" xfId="46849"/>
    <cellStyle name="Normal 2 8 2 3 3 2 2" xfId="46850"/>
    <cellStyle name="Normal 2 8 2 3 3 3" xfId="46851"/>
    <cellStyle name="Normal 2 8 2 3 4" xfId="46852"/>
    <cellStyle name="Normal 2 8 2 3 4 2" xfId="46853"/>
    <cellStyle name="Normal 2 8 2 3 5" xfId="46854"/>
    <cellStyle name="Normal 2 8 2 4" xfId="46855"/>
    <cellStyle name="Normal 2 8 2 4 2" xfId="46856"/>
    <cellStyle name="Normal 2 8 2 4 2 2" xfId="46857"/>
    <cellStyle name="Normal 2 8 2 4 2 2 2" xfId="46858"/>
    <cellStyle name="Normal 2 8 2 4 2 2 2 2" xfId="46859"/>
    <cellStyle name="Normal 2 8 2 4 2 2 3" xfId="46860"/>
    <cellStyle name="Normal 2 8 2 4 2 3" xfId="46861"/>
    <cellStyle name="Normal 2 8 2 4 2 3 2" xfId="46862"/>
    <cellStyle name="Normal 2 8 2 4 2 4" xfId="46863"/>
    <cellStyle name="Normal 2 8 2 4 3" xfId="46864"/>
    <cellStyle name="Normal 2 8 2 4 3 2" xfId="46865"/>
    <cellStyle name="Normal 2 8 2 4 3 2 2" xfId="46866"/>
    <cellStyle name="Normal 2 8 2 4 3 3" xfId="46867"/>
    <cellStyle name="Normal 2 8 2 4 4" xfId="46868"/>
    <cellStyle name="Normal 2 8 2 4 4 2" xfId="46869"/>
    <cellStyle name="Normal 2 8 2 4 5" xfId="46870"/>
    <cellStyle name="Normal 2 8 2 5" xfId="46871"/>
    <cellStyle name="Normal 2 8 2 5 2" xfId="46872"/>
    <cellStyle name="Normal 2 8 2 5 2 2" xfId="46873"/>
    <cellStyle name="Normal 2 8 2 5 2 2 2" xfId="46874"/>
    <cellStyle name="Normal 2 8 2 5 2 2 2 2" xfId="46875"/>
    <cellStyle name="Normal 2 8 2 5 2 2 3" xfId="46876"/>
    <cellStyle name="Normal 2 8 2 5 2 3" xfId="46877"/>
    <cellStyle name="Normal 2 8 2 5 2 3 2" xfId="46878"/>
    <cellStyle name="Normal 2 8 2 5 2 4" xfId="46879"/>
    <cellStyle name="Normal 2 8 2 5 3" xfId="46880"/>
    <cellStyle name="Normal 2 8 2 5 3 2" xfId="46881"/>
    <cellStyle name="Normal 2 8 2 5 3 2 2" xfId="46882"/>
    <cellStyle name="Normal 2 8 2 5 3 3" xfId="46883"/>
    <cellStyle name="Normal 2 8 2 5 4" xfId="46884"/>
    <cellStyle name="Normal 2 8 2 5 4 2" xfId="46885"/>
    <cellStyle name="Normal 2 8 2 5 5" xfId="46886"/>
    <cellStyle name="Normal 2 8 2 6" xfId="46887"/>
    <cellStyle name="Normal 2 8 2 6 2" xfId="46888"/>
    <cellStyle name="Normal 2 8 2 6 2 2" xfId="46889"/>
    <cellStyle name="Normal 2 8 2 6 2 2 2" xfId="46890"/>
    <cellStyle name="Normal 2 8 2 6 2 2 2 2" xfId="46891"/>
    <cellStyle name="Normal 2 8 2 6 2 2 3" xfId="46892"/>
    <cellStyle name="Normal 2 8 2 6 2 3" xfId="46893"/>
    <cellStyle name="Normal 2 8 2 6 2 3 2" xfId="46894"/>
    <cellStyle name="Normal 2 8 2 6 2 4" xfId="46895"/>
    <cellStyle name="Normal 2 8 2 6 3" xfId="46896"/>
    <cellStyle name="Normal 2 8 2 6 3 2" xfId="46897"/>
    <cellStyle name="Normal 2 8 2 6 3 2 2" xfId="46898"/>
    <cellStyle name="Normal 2 8 2 6 3 3" xfId="46899"/>
    <cellStyle name="Normal 2 8 2 6 4" xfId="46900"/>
    <cellStyle name="Normal 2 8 2 6 4 2" xfId="46901"/>
    <cellStyle name="Normal 2 8 2 6 5" xfId="46902"/>
    <cellStyle name="Normal 2 8 2 7" xfId="46903"/>
    <cellStyle name="Normal 2 8 2 7 2" xfId="46904"/>
    <cellStyle name="Normal 2 8 2 7 2 2" xfId="46905"/>
    <cellStyle name="Normal 2 8 2 7 2 2 2" xfId="46906"/>
    <cellStyle name="Normal 2 8 2 7 2 3" xfId="46907"/>
    <cellStyle name="Normal 2 8 2 7 3" xfId="46908"/>
    <cellStyle name="Normal 2 8 2 7 3 2" xfId="46909"/>
    <cellStyle name="Normal 2 8 2 7 4" xfId="46910"/>
    <cellStyle name="Normal 2 8 2 8" xfId="46911"/>
    <cellStyle name="Normal 2 8 2 8 2" xfId="46912"/>
    <cellStyle name="Normal 2 8 2 8 2 2" xfId="46913"/>
    <cellStyle name="Normal 2 8 2 8 3" xfId="46914"/>
    <cellStyle name="Normal 2 8 2 9" xfId="46915"/>
    <cellStyle name="Normal 2 8 2 9 2" xfId="46916"/>
    <cellStyle name="Normal 2 8 3" xfId="46917"/>
    <cellStyle name="Normal 2 8 3 2" xfId="46918"/>
    <cellStyle name="Normal 2 8 3 2 2" xfId="46919"/>
    <cellStyle name="Normal 2 8 3 2 2 2" xfId="46920"/>
    <cellStyle name="Normal 2 8 3 2 2 2 2" xfId="46921"/>
    <cellStyle name="Normal 2 8 3 2 2 3" xfId="46922"/>
    <cellStyle name="Normal 2 8 3 2 3" xfId="46923"/>
    <cellStyle name="Normal 2 8 3 2 3 2" xfId="46924"/>
    <cellStyle name="Normal 2 8 3 2 4" xfId="46925"/>
    <cellStyle name="Normal 2 8 3 3" xfId="46926"/>
    <cellStyle name="Normal 2 8 3 3 2" xfId="46927"/>
    <cellStyle name="Normal 2 8 3 3 2 2" xfId="46928"/>
    <cellStyle name="Normal 2 8 3 3 3" xfId="46929"/>
    <cellStyle name="Normal 2 8 3 4" xfId="46930"/>
    <cellStyle name="Normal 2 8 3 4 2" xfId="46931"/>
    <cellStyle name="Normal 2 8 3 5" xfId="46932"/>
    <cellStyle name="Normal 2 8 4" xfId="46933"/>
    <cellStyle name="Normal 2 8 4 2" xfId="46934"/>
    <cellStyle name="Normal 2 8 4 2 2" xfId="46935"/>
    <cellStyle name="Normal 2 8 4 2 2 2" xfId="46936"/>
    <cellStyle name="Normal 2 8 4 2 2 2 2" xfId="46937"/>
    <cellStyle name="Normal 2 8 4 2 2 3" xfId="46938"/>
    <cellStyle name="Normal 2 8 4 2 3" xfId="46939"/>
    <cellStyle name="Normal 2 8 4 2 3 2" xfId="46940"/>
    <cellStyle name="Normal 2 8 4 2 4" xfId="46941"/>
    <cellStyle name="Normal 2 8 4 3" xfId="46942"/>
    <cellStyle name="Normal 2 8 4 3 2" xfId="46943"/>
    <cellStyle name="Normal 2 8 4 3 2 2" xfId="46944"/>
    <cellStyle name="Normal 2 8 4 3 3" xfId="46945"/>
    <cellStyle name="Normal 2 8 4 4" xfId="46946"/>
    <cellStyle name="Normal 2 8 4 4 2" xfId="46947"/>
    <cellStyle name="Normal 2 8 4 5" xfId="46948"/>
    <cellStyle name="Normal 2 8 5" xfId="46949"/>
    <cellStyle name="Normal 2 8 5 2" xfId="46950"/>
    <cellStyle name="Normal 2 8 5 2 2" xfId="46951"/>
    <cellStyle name="Normal 2 8 5 2 2 2" xfId="46952"/>
    <cellStyle name="Normal 2 8 5 2 2 2 2" xfId="46953"/>
    <cellStyle name="Normal 2 8 5 2 2 3" xfId="46954"/>
    <cellStyle name="Normal 2 8 5 2 3" xfId="46955"/>
    <cellStyle name="Normal 2 8 5 2 3 2" xfId="46956"/>
    <cellStyle name="Normal 2 8 5 2 4" xfId="46957"/>
    <cellStyle name="Normal 2 8 5 3" xfId="46958"/>
    <cellStyle name="Normal 2 8 5 3 2" xfId="46959"/>
    <cellStyle name="Normal 2 8 5 3 2 2" xfId="46960"/>
    <cellStyle name="Normal 2 8 5 3 3" xfId="46961"/>
    <cellStyle name="Normal 2 8 5 4" xfId="46962"/>
    <cellStyle name="Normal 2 8 5 4 2" xfId="46963"/>
    <cellStyle name="Normal 2 8 5 5" xfId="46964"/>
    <cellStyle name="Normal 2 8 6" xfId="46965"/>
    <cellStyle name="Normal 2 8 6 2" xfId="46966"/>
    <cellStyle name="Normal 2 8 6 2 2" xfId="46967"/>
    <cellStyle name="Normal 2 8 6 2 2 2" xfId="46968"/>
    <cellStyle name="Normal 2 8 6 2 2 2 2" xfId="46969"/>
    <cellStyle name="Normal 2 8 6 2 2 3" xfId="46970"/>
    <cellStyle name="Normal 2 8 6 2 3" xfId="46971"/>
    <cellStyle name="Normal 2 8 6 2 3 2" xfId="46972"/>
    <cellStyle name="Normal 2 8 6 2 4" xfId="46973"/>
    <cellStyle name="Normal 2 8 6 3" xfId="46974"/>
    <cellStyle name="Normal 2 8 6 3 2" xfId="46975"/>
    <cellStyle name="Normal 2 8 6 3 2 2" xfId="46976"/>
    <cellStyle name="Normal 2 8 6 3 3" xfId="46977"/>
    <cellStyle name="Normal 2 8 6 4" xfId="46978"/>
    <cellStyle name="Normal 2 8 6 4 2" xfId="46979"/>
    <cellStyle name="Normal 2 8 6 5" xfId="46980"/>
    <cellStyle name="Normal 2 8 7" xfId="46981"/>
    <cellStyle name="Normal 2 8 7 2" xfId="46982"/>
    <cellStyle name="Normal 2 8 7 2 2" xfId="46983"/>
    <cellStyle name="Normal 2 8 7 2 2 2" xfId="46984"/>
    <cellStyle name="Normal 2 8 7 2 2 2 2" xfId="46985"/>
    <cellStyle name="Normal 2 8 7 2 2 3" xfId="46986"/>
    <cellStyle name="Normal 2 8 7 2 3" xfId="46987"/>
    <cellStyle name="Normal 2 8 7 2 3 2" xfId="46988"/>
    <cellStyle name="Normal 2 8 7 2 4" xfId="46989"/>
    <cellStyle name="Normal 2 8 7 3" xfId="46990"/>
    <cellStyle name="Normal 2 8 7 3 2" xfId="46991"/>
    <cellStyle name="Normal 2 8 7 3 2 2" xfId="46992"/>
    <cellStyle name="Normal 2 8 7 3 3" xfId="46993"/>
    <cellStyle name="Normal 2 8 7 4" xfId="46994"/>
    <cellStyle name="Normal 2 8 7 4 2" xfId="46995"/>
    <cellStyle name="Normal 2 8 7 5" xfId="46996"/>
    <cellStyle name="Normal 2 8 8" xfId="46997"/>
    <cellStyle name="Normal 2 8 8 2" xfId="46998"/>
    <cellStyle name="Normal 2 8 8 2 2" xfId="46999"/>
    <cellStyle name="Normal 2 8 8 2 2 2" xfId="47000"/>
    <cellStyle name="Normal 2 8 8 2 3" xfId="47001"/>
    <cellStyle name="Normal 2 8 8 3" xfId="47002"/>
    <cellStyle name="Normal 2 8 8 3 2" xfId="47003"/>
    <cellStyle name="Normal 2 8 8 4" xfId="47004"/>
    <cellStyle name="Normal 2 8 9" xfId="47005"/>
    <cellStyle name="Normal 2 8 9 2" xfId="47006"/>
    <cellStyle name="Normal 2 8 9 2 2" xfId="47007"/>
    <cellStyle name="Normal 2 8 9 3" xfId="47008"/>
    <cellStyle name="Normal 2 9" xfId="47009"/>
    <cellStyle name="Normal 2 9 10" xfId="47010"/>
    <cellStyle name="Normal 2 9 10 2" xfId="47011"/>
    <cellStyle name="Normal 2 9 11" xfId="47012"/>
    <cellStyle name="Normal 2 9 2" xfId="47013"/>
    <cellStyle name="Normal 2 9 2 10" xfId="47014"/>
    <cellStyle name="Normal 2 9 2 2" xfId="47015"/>
    <cellStyle name="Normal 2 9 2 2 2" xfId="47016"/>
    <cellStyle name="Normal 2 9 2 2 2 2" xfId="47017"/>
    <cellStyle name="Normal 2 9 2 2 2 2 2" xfId="47018"/>
    <cellStyle name="Normal 2 9 2 2 2 2 2 2" xfId="47019"/>
    <cellStyle name="Normal 2 9 2 2 2 2 3" xfId="47020"/>
    <cellStyle name="Normal 2 9 2 2 2 3" xfId="47021"/>
    <cellStyle name="Normal 2 9 2 2 2 3 2" xfId="47022"/>
    <cellStyle name="Normal 2 9 2 2 2 4" xfId="47023"/>
    <cellStyle name="Normal 2 9 2 2 3" xfId="47024"/>
    <cellStyle name="Normal 2 9 2 2 3 2" xfId="47025"/>
    <cellStyle name="Normal 2 9 2 2 3 2 2" xfId="47026"/>
    <cellStyle name="Normal 2 9 2 2 3 3" xfId="47027"/>
    <cellStyle name="Normal 2 9 2 2 4" xfId="47028"/>
    <cellStyle name="Normal 2 9 2 2 4 2" xfId="47029"/>
    <cellStyle name="Normal 2 9 2 2 5" xfId="47030"/>
    <cellStyle name="Normal 2 9 2 3" xfId="47031"/>
    <cellStyle name="Normal 2 9 2 3 2" xfId="47032"/>
    <cellStyle name="Normal 2 9 2 3 2 2" xfId="47033"/>
    <cellStyle name="Normal 2 9 2 3 2 2 2" xfId="47034"/>
    <cellStyle name="Normal 2 9 2 3 2 2 2 2" xfId="47035"/>
    <cellStyle name="Normal 2 9 2 3 2 2 3" xfId="47036"/>
    <cellStyle name="Normal 2 9 2 3 2 3" xfId="47037"/>
    <cellStyle name="Normal 2 9 2 3 2 3 2" xfId="47038"/>
    <cellStyle name="Normal 2 9 2 3 2 4" xfId="47039"/>
    <cellStyle name="Normal 2 9 2 3 3" xfId="47040"/>
    <cellStyle name="Normal 2 9 2 3 3 2" xfId="47041"/>
    <cellStyle name="Normal 2 9 2 3 3 2 2" xfId="47042"/>
    <cellStyle name="Normal 2 9 2 3 3 3" xfId="47043"/>
    <cellStyle name="Normal 2 9 2 3 4" xfId="47044"/>
    <cellStyle name="Normal 2 9 2 3 4 2" xfId="47045"/>
    <cellStyle name="Normal 2 9 2 3 5" xfId="47046"/>
    <cellStyle name="Normal 2 9 2 4" xfId="47047"/>
    <cellStyle name="Normal 2 9 2 4 2" xfId="47048"/>
    <cellStyle name="Normal 2 9 2 4 2 2" xfId="47049"/>
    <cellStyle name="Normal 2 9 2 4 2 2 2" xfId="47050"/>
    <cellStyle name="Normal 2 9 2 4 2 2 2 2" xfId="47051"/>
    <cellStyle name="Normal 2 9 2 4 2 2 3" xfId="47052"/>
    <cellStyle name="Normal 2 9 2 4 2 3" xfId="47053"/>
    <cellStyle name="Normal 2 9 2 4 2 3 2" xfId="47054"/>
    <cellStyle name="Normal 2 9 2 4 2 4" xfId="47055"/>
    <cellStyle name="Normal 2 9 2 4 3" xfId="47056"/>
    <cellStyle name="Normal 2 9 2 4 3 2" xfId="47057"/>
    <cellStyle name="Normal 2 9 2 4 3 2 2" xfId="47058"/>
    <cellStyle name="Normal 2 9 2 4 3 3" xfId="47059"/>
    <cellStyle name="Normal 2 9 2 4 4" xfId="47060"/>
    <cellStyle name="Normal 2 9 2 4 4 2" xfId="47061"/>
    <cellStyle name="Normal 2 9 2 4 5" xfId="47062"/>
    <cellStyle name="Normal 2 9 2 5" xfId="47063"/>
    <cellStyle name="Normal 2 9 2 5 2" xfId="47064"/>
    <cellStyle name="Normal 2 9 2 5 2 2" xfId="47065"/>
    <cellStyle name="Normal 2 9 2 5 2 2 2" xfId="47066"/>
    <cellStyle name="Normal 2 9 2 5 2 2 2 2" xfId="47067"/>
    <cellStyle name="Normal 2 9 2 5 2 2 3" xfId="47068"/>
    <cellStyle name="Normal 2 9 2 5 2 3" xfId="47069"/>
    <cellStyle name="Normal 2 9 2 5 2 3 2" xfId="47070"/>
    <cellStyle name="Normal 2 9 2 5 2 4" xfId="47071"/>
    <cellStyle name="Normal 2 9 2 5 3" xfId="47072"/>
    <cellStyle name="Normal 2 9 2 5 3 2" xfId="47073"/>
    <cellStyle name="Normal 2 9 2 5 3 2 2" xfId="47074"/>
    <cellStyle name="Normal 2 9 2 5 3 3" xfId="47075"/>
    <cellStyle name="Normal 2 9 2 5 4" xfId="47076"/>
    <cellStyle name="Normal 2 9 2 5 4 2" xfId="47077"/>
    <cellStyle name="Normal 2 9 2 5 5" xfId="47078"/>
    <cellStyle name="Normal 2 9 2 6" xfId="47079"/>
    <cellStyle name="Normal 2 9 2 6 2" xfId="47080"/>
    <cellStyle name="Normal 2 9 2 6 2 2" xfId="47081"/>
    <cellStyle name="Normal 2 9 2 6 2 2 2" xfId="47082"/>
    <cellStyle name="Normal 2 9 2 6 2 2 2 2" xfId="47083"/>
    <cellStyle name="Normal 2 9 2 6 2 2 3" xfId="47084"/>
    <cellStyle name="Normal 2 9 2 6 2 3" xfId="47085"/>
    <cellStyle name="Normal 2 9 2 6 2 3 2" xfId="47086"/>
    <cellStyle name="Normal 2 9 2 6 2 4" xfId="47087"/>
    <cellStyle name="Normal 2 9 2 6 3" xfId="47088"/>
    <cellStyle name="Normal 2 9 2 6 3 2" xfId="47089"/>
    <cellStyle name="Normal 2 9 2 6 3 2 2" xfId="47090"/>
    <cellStyle name="Normal 2 9 2 6 3 3" xfId="47091"/>
    <cellStyle name="Normal 2 9 2 6 4" xfId="47092"/>
    <cellStyle name="Normal 2 9 2 6 4 2" xfId="47093"/>
    <cellStyle name="Normal 2 9 2 6 5" xfId="47094"/>
    <cellStyle name="Normal 2 9 2 7" xfId="47095"/>
    <cellStyle name="Normal 2 9 2 7 2" xfId="47096"/>
    <cellStyle name="Normal 2 9 2 7 2 2" xfId="47097"/>
    <cellStyle name="Normal 2 9 2 7 2 2 2" xfId="47098"/>
    <cellStyle name="Normal 2 9 2 7 2 3" xfId="47099"/>
    <cellStyle name="Normal 2 9 2 7 3" xfId="47100"/>
    <cellStyle name="Normal 2 9 2 7 3 2" xfId="47101"/>
    <cellStyle name="Normal 2 9 2 7 4" xfId="47102"/>
    <cellStyle name="Normal 2 9 2 8" xfId="47103"/>
    <cellStyle name="Normal 2 9 2 8 2" xfId="47104"/>
    <cellStyle name="Normal 2 9 2 8 2 2" xfId="47105"/>
    <cellStyle name="Normal 2 9 2 8 3" xfId="47106"/>
    <cellStyle name="Normal 2 9 2 9" xfId="47107"/>
    <cellStyle name="Normal 2 9 2 9 2" xfId="47108"/>
    <cellStyle name="Normal 2 9 3" xfId="47109"/>
    <cellStyle name="Normal 2 9 3 2" xfId="47110"/>
    <cellStyle name="Normal 2 9 3 2 2" xfId="47111"/>
    <cellStyle name="Normal 2 9 3 2 2 2" xfId="47112"/>
    <cellStyle name="Normal 2 9 3 2 2 2 2" xfId="47113"/>
    <cellStyle name="Normal 2 9 3 2 2 3" xfId="47114"/>
    <cellStyle name="Normal 2 9 3 2 3" xfId="47115"/>
    <cellStyle name="Normal 2 9 3 2 3 2" xfId="47116"/>
    <cellStyle name="Normal 2 9 3 2 4" xfId="47117"/>
    <cellStyle name="Normal 2 9 3 3" xfId="47118"/>
    <cellStyle name="Normal 2 9 3 3 2" xfId="47119"/>
    <cellStyle name="Normal 2 9 3 3 2 2" xfId="47120"/>
    <cellStyle name="Normal 2 9 3 3 3" xfId="47121"/>
    <cellStyle name="Normal 2 9 3 4" xfId="47122"/>
    <cellStyle name="Normal 2 9 3 4 2" xfId="47123"/>
    <cellStyle name="Normal 2 9 3 5" xfId="47124"/>
    <cellStyle name="Normal 2 9 4" xfId="47125"/>
    <cellStyle name="Normal 2 9 4 2" xfId="47126"/>
    <cellStyle name="Normal 2 9 4 2 2" xfId="47127"/>
    <cellStyle name="Normal 2 9 4 2 2 2" xfId="47128"/>
    <cellStyle name="Normal 2 9 4 2 2 2 2" xfId="47129"/>
    <cellStyle name="Normal 2 9 4 2 2 3" xfId="47130"/>
    <cellStyle name="Normal 2 9 4 2 3" xfId="47131"/>
    <cellStyle name="Normal 2 9 4 2 3 2" xfId="47132"/>
    <cellStyle name="Normal 2 9 4 2 4" xfId="47133"/>
    <cellStyle name="Normal 2 9 4 3" xfId="47134"/>
    <cellStyle name="Normal 2 9 4 3 2" xfId="47135"/>
    <cellStyle name="Normal 2 9 4 3 2 2" xfId="47136"/>
    <cellStyle name="Normal 2 9 4 3 3" xfId="47137"/>
    <cellStyle name="Normal 2 9 4 4" xfId="47138"/>
    <cellStyle name="Normal 2 9 4 4 2" xfId="47139"/>
    <cellStyle name="Normal 2 9 4 5" xfId="47140"/>
    <cellStyle name="Normal 2 9 5" xfId="47141"/>
    <cellStyle name="Normal 2 9 5 2" xfId="47142"/>
    <cellStyle name="Normal 2 9 5 2 2" xfId="47143"/>
    <cellStyle name="Normal 2 9 5 2 2 2" xfId="47144"/>
    <cellStyle name="Normal 2 9 5 2 2 2 2" xfId="47145"/>
    <cellStyle name="Normal 2 9 5 2 2 3" xfId="47146"/>
    <cellStyle name="Normal 2 9 5 2 3" xfId="47147"/>
    <cellStyle name="Normal 2 9 5 2 3 2" xfId="47148"/>
    <cellStyle name="Normal 2 9 5 2 4" xfId="47149"/>
    <cellStyle name="Normal 2 9 5 3" xfId="47150"/>
    <cellStyle name="Normal 2 9 5 3 2" xfId="47151"/>
    <cellStyle name="Normal 2 9 5 3 2 2" xfId="47152"/>
    <cellStyle name="Normal 2 9 5 3 3" xfId="47153"/>
    <cellStyle name="Normal 2 9 5 4" xfId="47154"/>
    <cellStyle name="Normal 2 9 5 4 2" xfId="47155"/>
    <cellStyle name="Normal 2 9 5 5" xfId="47156"/>
    <cellStyle name="Normal 2 9 6" xfId="47157"/>
    <cellStyle name="Normal 2 9 6 2" xfId="47158"/>
    <cellStyle name="Normal 2 9 6 2 2" xfId="47159"/>
    <cellStyle name="Normal 2 9 6 2 2 2" xfId="47160"/>
    <cellStyle name="Normal 2 9 6 2 2 2 2" xfId="47161"/>
    <cellStyle name="Normal 2 9 6 2 2 3" xfId="47162"/>
    <cellStyle name="Normal 2 9 6 2 3" xfId="47163"/>
    <cellStyle name="Normal 2 9 6 2 3 2" xfId="47164"/>
    <cellStyle name="Normal 2 9 6 2 4" xfId="47165"/>
    <cellStyle name="Normal 2 9 6 3" xfId="47166"/>
    <cellStyle name="Normal 2 9 6 3 2" xfId="47167"/>
    <cellStyle name="Normal 2 9 6 3 2 2" xfId="47168"/>
    <cellStyle name="Normal 2 9 6 3 3" xfId="47169"/>
    <cellStyle name="Normal 2 9 6 4" xfId="47170"/>
    <cellStyle name="Normal 2 9 6 4 2" xfId="47171"/>
    <cellStyle name="Normal 2 9 6 5" xfId="47172"/>
    <cellStyle name="Normal 2 9 7" xfId="47173"/>
    <cellStyle name="Normal 2 9 7 2" xfId="47174"/>
    <cellStyle name="Normal 2 9 7 2 2" xfId="47175"/>
    <cellStyle name="Normal 2 9 7 2 2 2" xfId="47176"/>
    <cellStyle name="Normal 2 9 7 2 2 2 2" xfId="47177"/>
    <cellStyle name="Normal 2 9 7 2 2 3" xfId="47178"/>
    <cellStyle name="Normal 2 9 7 2 3" xfId="47179"/>
    <cellStyle name="Normal 2 9 7 2 3 2" xfId="47180"/>
    <cellStyle name="Normal 2 9 7 2 4" xfId="47181"/>
    <cellStyle name="Normal 2 9 7 3" xfId="47182"/>
    <cellStyle name="Normal 2 9 7 3 2" xfId="47183"/>
    <cellStyle name="Normal 2 9 7 3 2 2" xfId="47184"/>
    <cellStyle name="Normal 2 9 7 3 3" xfId="47185"/>
    <cellStyle name="Normal 2 9 7 4" xfId="47186"/>
    <cellStyle name="Normal 2 9 7 4 2" xfId="47187"/>
    <cellStyle name="Normal 2 9 7 5" xfId="47188"/>
    <cellStyle name="Normal 2 9 8" xfId="47189"/>
    <cellStyle name="Normal 2 9 8 2" xfId="47190"/>
    <cellStyle name="Normal 2 9 8 2 2" xfId="47191"/>
    <cellStyle name="Normal 2 9 8 2 2 2" xfId="47192"/>
    <cellStyle name="Normal 2 9 8 2 3" xfId="47193"/>
    <cellStyle name="Normal 2 9 8 3" xfId="47194"/>
    <cellStyle name="Normal 2 9 8 3 2" xfId="47195"/>
    <cellStyle name="Normal 2 9 8 4" xfId="47196"/>
    <cellStyle name="Normal 2 9 9" xfId="47197"/>
    <cellStyle name="Normal 2 9 9 2" xfId="47198"/>
    <cellStyle name="Normal 2 9 9 2 2" xfId="47199"/>
    <cellStyle name="Normal 2 9 9 3" xfId="47200"/>
    <cellStyle name="Normal 20" xfId="47201"/>
    <cellStyle name="Normal 21" xfId="47202"/>
    <cellStyle name="Normal 3" xfId="47203"/>
    <cellStyle name="Normal 3 10" xfId="47204"/>
    <cellStyle name="Normal 3 10 10" xfId="47205"/>
    <cellStyle name="Normal 3 10 2" xfId="47206"/>
    <cellStyle name="Normal 3 10 2 2" xfId="47207"/>
    <cellStyle name="Normal 3 10 2 2 2" xfId="47208"/>
    <cellStyle name="Normal 3 10 2 2 2 2" xfId="47209"/>
    <cellStyle name="Normal 3 10 2 2 2 2 2" xfId="47210"/>
    <cellStyle name="Normal 3 10 2 2 2 3" xfId="47211"/>
    <cellStyle name="Normal 3 10 2 2 3" xfId="47212"/>
    <cellStyle name="Normal 3 10 2 2 3 2" xfId="47213"/>
    <cellStyle name="Normal 3 10 2 2 4" xfId="47214"/>
    <cellStyle name="Normal 3 10 2 3" xfId="47215"/>
    <cellStyle name="Normal 3 10 2 3 2" xfId="47216"/>
    <cellStyle name="Normal 3 10 2 3 2 2" xfId="47217"/>
    <cellStyle name="Normal 3 10 2 3 3" xfId="47218"/>
    <cellStyle name="Normal 3 10 2 4" xfId="47219"/>
    <cellStyle name="Normal 3 10 2 4 2" xfId="47220"/>
    <cellStyle name="Normal 3 10 2 5" xfId="47221"/>
    <cellStyle name="Normal 3 10 3" xfId="47222"/>
    <cellStyle name="Normal 3 10 3 2" xfId="47223"/>
    <cellStyle name="Normal 3 10 3 2 2" xfId="47224"/>
    <cellStyle name="Normal 3 10 3 2 2 2" xfId="47225"/>
    <cellStyle name="Normal 3 10 3 2 2 2 2" xfId="47226"/>
    <cellStyle name="Normal 3 10 3 2 2 3" xfId="47227"/>
    <cellStyle name="Normal 3 10 3 2 3" xfId="47228"/>
    <cellStyle name="Normal 3 10 3 2 3 2" xfId="47229"/>
    <cellStyle name="Normal 3 10 3 2 4" xfId="47230"/>
    <cellStyle name="Normal 3 10 3 3" xfId="47231"/>
    <cellStyle name="Normal 3 10 3 3 2" xfId="47232"/>
    <cellStyle name="Normal 3 10 3 3 2 2" xfId="47233"/>
    <cellStyle name="Normal 3 10 3 3 3" xfId="47234"/>
    <cellStyle name="Normal 3 10 3 4" xfId="47235"/>
    <cellStyle name="Normal 3 10 3 4 2" xfId="47236"/>
    <cellStyle name="Normal 3 10 3 5" xfId="47237"/>
    <cellStyle name="Normal 3 10 4" xfId="47238"/>
    <cellStyle name="Normal 3 10 4 2" xfId="47239"/>
    <cellStyle name="Normal 3 10 4 2 2" xfId="47240"/>
    <cellStyle name="Normal 3 10 4 2 2 2" xfId="47241"/>
    <cellStyle name="Normal 3 10 4 2 2 2 2" xfId="47242"/>
    <cellStyle name="Normal 3 10 4 2 2 3" xfId="47243"/>
    <cellStyle name="Normal 3 10 4 2 3" xfId="47244"/>
    <cellStyle name="Normal 3 10 4 2 3 2" xfId="47245"/>
    <cellStyle name="Normal 3 10 4 2 4" xfId="47246"/>
    <cellStyle name="Normal 3 10 4 3" xfId="47247"/>
    <cellStyle name="Normal 3 10 4 3 2" xfId="47248"/>
    <cellStyle name="Normal 3 10 4 3 2 2" xfId="47249"/>
    <cellStyle name="Normal 3 10 4 3 3" xfId="47250"/>
    <cellStyle name="Normal 3 10 4 4" xfId="47251"/>
    <cellStyle name="Normal 3 10 4 4 2" xfId="47252"/>
    <cellStyle name="Normal 3 10 4 5" xfId="47253"/>
    <cellStyle name="Normal 3 10 5" xfId="47254"/>
    <cellStyle name="Normal 3 10 5 2" xfId="47255"/>
    <cellStyle name="Normal 3 10 5 2 2" xfId="47256"/>
    <cellStyle name="Normal 3 10 5 2 2 2" xfId="47257"/>
    <cellStyle name="Normal 3 10 5 2 2 2 2" xfId="47258"/>
    <cellStyle name="Normal 3 10 5 2 2 3" xfId="47259"/>
    <cellStyle name="Normal 3 10 5 2 3" xfId="47260"/>
    <cellStyle name="Normal 3 10 5 2 3 2" xfId="47261"/>
    <cellStyle name="Normal 3 10 5 2 4" xfId="47262"/>
    <cellStyle name="Normal 3 10 5 3" xfId="47263"/>
    <cellStyle name="Normal 3 10 5 3 2" xfId="47264"/>
    <cellStyle name="Normal 3 10 5 3 2 2" xfId="47265"/>
    <cellStyle name="Normal 3 10 5 3 3" xfId="47266"/>
    <cellStyle name="Normal 3 10 5 4" xfId="47267"/>
    <cellStyle name="Normal 3 10 5 4 2" xfId="47268"/>
    <cellStyle name="Normal 3 10 5 5" xfId="47269"/>
    <cellStyle name="Normal 3 10 6" xfId="47270"/>
    <cellStyle name="Normal 3 10 6 2" xfId="47271"/>
    <cellStyle name="Normal 3 10 6 2 2" xfId="47272"/>
    <cellStyle name="Normal 3 10 6 2 2 2" xfId="47273"/>
    <cellStyle name="Normal 3 10 6 2 2 2 2" xfId="47274"/>
    <cellStyle name="Normal 3 10 6 2 2 3" xfId="47275"/>
    <cellStyle name="Normal 3 10 6 2 3" xfId="47276"/>
    <cellStyle name="Normal 3 10 6 2 3 2" xfId="47277"/>
    <cellStyle name="Normal 3 10 6 2 4" xfId="47278"/>
    <cellStyle name="Normal 3 10 6 3" xfId="47279"/>
    <cellStyle name="Normal 3 10 6 3 2" xfId="47280"/>
    <cellStyle name="Normal 3 10 6 3 2 2" xfId="47281"/>
    <cellStyle name="Normal 3 10 6 3 3" xfId="47282"/>
    <cellStyle name="Normal 3 10 6 4" xfId="47283"/>
    <cellStyle name="Normal 3 10 6 4 2" xfId="47284"/>
    <cellStyle name="Normal 3 10 6 5" xfId="47285"/>
    <cellStyle name="Normal 3 10 7" xfId="47286"/>
    <cellStyle name="Normal 3 10 7 2" xfId="47287"/>
    <cellStyle name="Normal 3 10 7 2 2" xfId="47288"/>
    <cellStyle name="Normal 3 10 7 2 2 2" xfId="47289"/>
    <cellStyle name="Normal 3 10 7 2 3" xfId="47290"/>
    <cellStyle name="Normal 3 10 7 3" xfId="47291"/>
    <cellStyle name="Normal 3 10 7 3 2" xfId="47292"/>
    <cellStyle name="Normal 3 10 7 4" xfId="47293"/>
    <cellStyle name="Normal 3 10 8" xfId="47294"/>
    <cellStyle name="Normal 3 10 8 2" xfId="47295"/>
    <cellStyle name="Normal 3 10 8 2 2" xfId="47296"/>
    <cellStyle name="Normal 3 10 8 3" xfId="47297"/>
    <cellStyle name="Normal 3 10 9" xfId="47298"/>
    <cellStyle name="Normal 3 10 9 2" xfId="47299"/>
    <cellStyle name="Normal 3 11" xfId="47300"/>
    <cellStyle name="Normal 3 11 2" xfId="47301"/>
    <cellStyle name="Normal 3 11 2 2" xfId="47302"/>
    <cellStyle name="Normal 3 11 2 2 2" xfId="47303"/>
    <cellStyle name="Normal 3 11 2 2 2 2" xfId="47304"/>
    <cellStyle name="Normal 3 11 2 2 3" xfId="47305"/>
    <cellStyle name="Normal 3 11 2 3" xfId="47306"/>
    <cellStyle name="Normal 3 11 2 3 2" xfId="47307"/>
    <cellStyle name="Normal 3 11 2 4" xfId="47308"/>
    <cellStyle name="Normal 3 11 3" xfId="47309"/>
    <cellStyle name="Normal 3 11 3 2" xfId="47310"/>
    <cellStyle name="Normal 3 11 3 2 2" xfId="47311"/>
    <cellStyle name="Normal 3 11 3 3" xfId="47312"/>
    <cellStyle name="Normal 3 11 4" xfId="47313"/>
    <cellStyle name="Normal 3 11 4 2" xfId="47314"/>
    <cellStyle name="Normal 3 11 5" xfId="47315"/>
    <cellStyle name="Normal 3 12" xfId="47316"/>
    <cellStyle name="Normal 3 12 2" xfId="47317"/>
    <cellStyle name="Normal 3 12 2 2" xfId="47318"/>
    <cellStyle name="Normal 3 12 2 2 2" xfId="47319"/>
    <cellStyle name="Normal 3 12 2 2 2 2" xfId="47320"/>
    <cellStyle name="Normal 3 12 2 2 3" xfId="47321"/>
    <cellStyle name="Normal 3 12 2 3" xfId="47322"/>
    <cellStyle name="Normal 3 12 2 3 2" xfId="47323"/>
    <cellStyle name="Normal 3 12 2 4" xfId="47324"/>
    <cellStyle name="Normal 3 12 3" xfId="47325"/>
    <cellStyle name="Normal 3 12 3 2" xfId="47326"/>
    <cellStyle name="Normal 3 12 3 2 2" xfId="47327"/>
    <cellStyle name="Normal 3 12 3 3" xfId="47328"/>
    <cellStyle name="Normal 3 12 4" xfId="47329"/>
    <cellStyle name="Normal 3 12 4 2" xfId="47330"/>
    <cellStyle name="Normal 3 12 5" xfId="47331"/>
    <cellStyle name="Normal 3 13" xfId="47332"/>
    <cellStyle name="Normal 3 13 2" xfId="47333"/>
    <cellStyle name="Normal 3 13 2 2" xfId="47334"/>
    <cellStyle name="Normal 3 13 2 2 2" xfId="47335"/>
    <cellStyle name="Normal 3 13 2 2 2 2" xfId="47336"/>
    <cellStyle name="Normal 3 13 2 2 3" xfId="47337"/>
    <cellStyle name="Normal 3 13 2 3" xfId="47338"/>
    <cellStyle name="Normal 3 13 2 3 2" xfId="47339"/>
    <cellStyle name="Normal 3 13 2 4" xfId="47340"/>
    <cellStyle name="Normal 3 13 3" xfId="47341"/>
    <cellStyle name="Normal 3 13 3 2" xfId="47342"/>
    <cellStyle name="Normal 3 13 3 2 2" xfId="47343"/>
    <cellStyle name="Normal 3 13 3 3" xfId="47344"/>
    <cellStyle name="Normal 3 13 4" xfId="47345"/>
    <cellStyle name="Normal 3 13 4 2" xfId="47346"/>
    <cellStyle name="Normal 3 13 5" xfId="47347"/>
    <cellStyle name="Normal 3 14" xfId="47348"/>
    <cellStyle name="Normal 3 14 2" xfId="47349"/>
    <cellStyle name="Normal 3 14 2 2" xfId="47350"/>
    <cellStyle name="Normal 3 14 2 2 2" xfId="47351"/>
    <cellStyle name="Normal 3 14 2 2 2 2" xfId="47352"/>
    <cellStyle name="Normal 3 14 2 2 3" xfId="47353"/>
    <cellStyle name="Normal 3 14 2 3" xfId="47354"/>
    <cellStyle name="Normal 3 14 2 3 2" xfId="47355"/>
    <cellStyle name="Normal 3 14 2 4" xfId="47356"/>
    <cellStyle name="Normal 3 14 3" xfId="47357"/>
    <cellStyle name="Normal 3 14 3 2" xfId="47358"/>
    <cellStyle name="Normal 3 14 3 2 2" xfId="47359"/>
    <cellStyle name="Normal 3 14 3 3" xfId="47360"/>
    <cellStyle name="Normal 3 14 4" xfId="47361"/>
    <cellStyle name="Normal 3 14 4 2" xfId="47362"/>
    <cellStyle name="Normal 3 14 5" xfId="47363"/>
    <cellStyle name="Normal 3 15" xfId="47364"/>
    <cellStyle name="Normal 3 15 2" xfId="47365"/>
    <cellStyle name="Normal 3 15 2 2" xfId="47366"/>
    <cellStyle name="Normal 3 15 2 2 2" xfId="47367"/>
    <cellStyle name="Normal 3 15 2 2 2 2" xfId="47368"/>
    <cellStyle name="Normal 3 15 2 2 3" xfId="47369"/>
    <cellStyle name="Normal 3 15 2 3" xfId="47370"/>
    <cellStyle name="Normal 3 15 2 3 2" xfId="47371"/>
    <cellStyle name="Normal 3 15 2 4" xfId="47372"/>
    <cellStyle name="Normal 3 15 3" xfId="47373"/>
    <cellStyle name="Normal 3 15 3 2" xfId="47374"/>
    <cellStyle name="Normal 3 15 3 2 2" xfId="47375"/>
    <cellStyle name="Normal 3 15 3 3" xfId="47376"/>
    <cellStyle name="Normal 3 15 4" xfId="47377"/>
    <cellStyle name="Normal 3 15 4 2" xfId="47378"/>
    <cellStyle name="Normal 3 15 5" xfId="47379"/>
    <cellStyle name="Normal 3 16" xfId="47380"/>
    <cellStyle name="Normal 3 16 2" xfId="47381"/>
    <cellStyle name="Normal 3 16 2 2" xfId="47382"/>
    <cellStyle name="Normal 3 16 2 2 2" xfId="47383"/>
    <cellStyle name="Normal 3 16 2 3" xfId="47384"/>
    <cellStyle name="Normal 3 16 3" xfId="47385"/>
    <cellStyle name="Normal 3 16 3 2" xfId="47386"/>
    <cellStyle name="Normal 3 16 4" xfId="47387"/>
    <cellStyle name="Normal 3 17" xfId="47388"/>
    <cellStyle name="Normal 3 17 2" xfId="47389"/>
    <cellStyle name="Normal 3 17 2 2" xfId="47390"/>
    <cellStyle name="Normal 3 17 3" xfId="47391"/>
    <cellStyle name="Normal 3 18" xfId="47392"/>
    <cellStyle name="Normal 3 18 2" xfId="47393"/>
    <cellStyle name="Normal 3 19" xfId="47394"/>
    <cellStyle name="Normal 3 2" xfId="47395"/>
    <cellStyle name="Normal 3 2 10" xfId="47396"/>
    <cellStyle name="Normal 3 2 10 2" xfId="47397"/>
    <cellStyle name="Normal 3 2 11" xfId="47398"/>
    <cellStyle name="Normal 3 2 2" xfId="47399"/>
    <cellStyle name="Normal 3 2 2 10" xfId="47400"/>
    <cellStyle name="Normal 3 2 2 2" xfId="47401"/>
    <cellStyle name="Normal 3 2 2 2 2" xfId="47402"/>
    <cellStyle name="Normal 3 2 2 2 2 2" xfId="47403"/>
    <cellStyle name="Normal 3 2 2 2 2 2 2" xfId="47404"/>
    <cellStyle name="Normal 3 2 2 2 2 2 2 2" xfId="47405"/>
    <cellStyle name="Normal 3 2 2 2 2 2 3" xfId="47406"/>
    <cellStyle name="Normal 3 2 2 2 2 3" xfId="47407"/>
    <cellStyle name="Normal 3 2 2 2 2 3 2" xfId="47408"/>
    <cellStyle name="Normal 3 2 2 2 2 4" xfId="47409"/>
    <cellStyle name="Normal 3 2 2 2 3" xfId="47410"/>
    <cellStyle name="Normal 3 2 2 2 3 2" xfId="47411"/>
    <cellStyle name="Normal 3 2 2 2 3 2 2" xfId="47412"/>
    <cellStyle name="Normal 3 2 2 2 3 3" xfId="47413"/>
    <cellStyle name="Normal 3 2 2 2 4" xfId="47414"/>
    <cellStyle name="Normal 3 2 2 2 4 2" xfId="47415"/>
    <cellStyle name="Normal 3 2 2 2 5" xfId="47416"/>
    <cellStyle name="Normal 3 2 2 3" xfId="47417"/>
    <cellStyle name="Normal 3 2 2 3 2" xfId="47418"/>
    <cellStyle name="Normal 3 2 2 3 2 2" xfId="47419"/>
    <cellStyle name="Normal 3 2 2 3 2 2 2" xfId="47420"/>
    <cellStyle name="Normal 3 2 2 3 2 2 2 2" xfId="47421"/>
    <cellStyle name="Normal 3 2 2 3 2 2 3" xfId="47422"/>
    <cellStyle name="Normal 3 2 2 3 2 3" xfId="47423"/>
    <cellStyle name="Normal 3 2 2 3 2 3 2" xfId="47424"/>
    <cellStyle name="Normal 3 2 2 3 2 4" xfId="47425"/>
    <cellStyle name="Normal 3 2 2 3 3" xfId="47426"/>
    <cellStyle name="Normal 3 2 2 3 3 2" xfId="47427"/>
    <cellStyle name="Normal 3 2 2 3 3 2 2" xfId="47428"/>
    <cellStyle name="Normal 3 2 2 3 3 3" xfId="47429"/>
    <cellStyle name="Normal 3 2 2 3 4" xfId="47430"/>
    <cellStyle name="Normal 3 2 2 3 4 2" xfId="47431"/>
    <cellStyle name="Normal 3 2 2 3 5" xfId="47432"/>
    <cellStyle name="Normal 3 2 2 4" xfId="47433"/>
    <cellStyle name="Normal 3 2 2 4 2" xfId="47434"/>
    <cellStyle name="Normal 3 2 2 4 2 2" xfId="47435"/>
    <cellStyle name="Normal 3 2 2 4 2 2 2" xfId="47436"/>
    <cellStyle name="Normal 3 2 2 4 2 2 2 2" xfId="47437"/>
    <cellStyle name="Normal 3 2 2 4 2 2 3" xfId="47438"/>
    <cellStyle name="Normal 3 2 2 4 2 3" xfId="47439"/>
    <cellStyle name="Normal 3 2 2 4 2 3 2" xfId="47440"/>
    <cellStyle name="Normal 3 2 2 4 2 4" xfId="47441"/>
    <cellStyle name="Normal 3 2 2 4 3" xfId="47442"/>
    <cellStyle name="Normal 3 2 2 4 3 2" xfId="47443"/>
    <cellStyle name="Normal 3 2 2 4 3 2 2" xfId="47444"/>
    <cellStyle name="Normal 3 2 2 4 3 3" xfId="47445"/>
    <cellStyle name="Normal 3 2 2 4 4" xfId="47446"/>
    <cellStyle name="Normal 3 2 2 4 4 2" xfId="47447"/>
    <cellStyle name="Normal 3 2 2 4 5" xfId="47448"/>
    <cellStyle name="Normal 3 2 2 5" xfId="47449"/>
    <cellStyle name="Normal 3 2 2 5 2" xfId="47450"/>
    <cellStyle name="Normal 3 2 2 5 2 2" xfId="47451"/>
    <cellStyle name="Normal 3 2 2 5 2 2 2" xfId="47452"/>
    <cellStyle name="Normal 3 2 2 5 2 2 2 2" xfId="47453"/>
    <cellStyle name="Normal 3 2 2 5 2 2 3" xfId="47454"/>
    <cellStyle name="Normal 3 2 2 5 2 3" xfId="47455"/>
    <cellStyle name="Normal 3 2 2 5 2 3 2" xfId="47456"/>
    <cellStyle name="Normal 3 2 2 5 2 4" xfId="47457"/>
    <cellStyle name="Normal 3 2 2 5 3" xfId="47458"/>
    <cellStyle name="Normal 3 2 2 5 3 2" xfId="47459"/>
    <cellStyle name="Normal 3 2 2 5 3 2 2" xfId="47460"/>
    <cellStyle name="Normal 3 2 2 5 3 3" xfId="47461"/>
    <cellStyle name="Normal 3 2 2 5 4" xfId="47462"/>
    <cellStyle name="Normal 3 2 2 5 4 2" xfId="47463"/>
    <cellStyle name="Normal 3 2 2 5 5" xfId="47464"/>
    <cellStyle name="Normal 3 2 2 6" xfId="47465"/>
    <cellStyle name="Normal 3 2 2 6 2" xfId="47466"/>
    <cellStyle name="Normal 3 2 2 6 2 2" xfId="47467"/>
    <cellStyle name="Normal 3 2 2 6 2 2 2" xfId="47468"/>
    <cellStyle name="Normal 3 2 2 6 2 2 2 2" xfId="47469"/>
    <cellStyle name="Normal 3 2 2 6 2 2 3" xfId="47470"/>
    <cellStyle name="Normal 3 2 2 6 2 3" xfId="47471"/>
    <cellStyle name="Normal 3 2 2 6 2 3 2" xfId="47472"/>
    <cellStyle name="Normal 3 2 2 6 2 4" xfId="47473"/>
    <cellStyle name="Normal 3 2 2 6 3" xfId="47474"/>
    <cellStyle name="Normal 3 2 2 6 3 2" xfId="47475"/>
    <cellStyle name="Normal 3 2 2 6 3 2 2" xfId="47476"/>
    <cellStyle name="Normal 3 2 2 6 3 3" xfId="47477"/>
    <cellStyle name="Normal 3 2 2 6 4" xfId="47478"/>
    <cellStyle name="Normal 3 2 2 6 4 2" xfId="47479"/>
    <cellStyle name="Normal 3 2 2 6 5" xfId="47480"/>
    <cellStyle name="Normal 3 2 2 7" xfId="47481"/>
    <cellStyle name="Normal 3 2 2 7 2" xfId="47482"/>
    <cellStyle name="Normal 3 2 2 7 2 2" xfId="47483"/>
    <cellStyle name="Normal 3 2 2 7 2 2 2" xfId="47484"/>
    <cellStyle name="Normal 3 2 2 7 2 3" xfId="47485"/>
    <cellStyle name="Normal 3 2 2 7 3" xfId="47486"/>
    <cellStyle name="Normal 3 2 2 7 3 2" xfId="47487"/>
    <cellStyle name="Normal 3 2 2 7 4" xfId="47488"/>
    <cellStyle name="Normal 3 2 2 8" xfId="47489"/>
    <cellStyle name="Normal 3 2 2 8 2" xfId="47490"/>
    <cellStyle name="Normal 3 2 2 8 2 2" xfId="47491"/>
    <cellStyle name="Normal 3 2 2 8 3" xfId="47492"/>
    <cellStyle name="Normal 3 2 2 9" xfId="47493"/>
    <cellStyle name="Normal 3 2 2 9 2" xfId="47494"/>
    <cellStyle name="Normal 3 2 3" xfId="47495"/>
    <cellStyle name="Normal 3 2 3 2" xfId="47496"/>
    <cellStyle name="Normal 3 2 3 2 2" xfId="47497"/>
    <cellStyle name="Normal 3 2 3 2 2 2" xfId="47498"/>
    <cellStyle name="Normal 3 2 3 2 2 2 2" xfId="47499"/>
    <cellStyle name="Normal 3 2 3 2 2 3" xfId="47500"/>
    <cellStyle name="Normal 3 2 3 2 3" xfId="47501"/>
    <cellStyle name="Normal 3 2 3 2 3 2" xfId="47502"/>
    <cellStyle name="Normal 3 2 3 2 4" xfId="47503"/>
    <cellStyle name="Normal 3 2 3 3" xfId="47504"/>
    <cellStyle name="Normal 3 2 3 3 2" xfId="47505"/>
    <cellStyle name="Normal 3 2 3 3 2 2" xfId="47506"/>
    <cellStyle name="Normal 3 2 3 3 3" xfId="47507"/>
    <cellStyle name="Normal 3 2 3 4" xfId="47508"/>
    <cellStyle name="Normal 3 2 3 4 2" xfId="47509"/>
    <cellStyle name="Normal 3 2 3 5" xfId="47510"/>
    <cellStyle name="Normal 3 2 4" xfId="47511"/>
    <cellStyle name="Normal 3 2 4 2" xfId="47512"/>
    <cellStyle name="Normal 3 2 4 2 2" xfId="47513"/>
    <cellStyle name="Normal 3 2 4 2 2 2" xfId="47514"/>
    <cellStyle name="Normal 3 2 4 2 2 2 2" xfId="47515"/>
    <cellStyle name="Normal 3 2 4 2 2 3" xfId="47516"/>
    <cellStyle name="Normal 3 2 4 2 3" xfId="47517"/>
    <cellStyle name="Normal 3 2 4 2 3 2" xfId="47518"/>
    <cellStyle name="Normal 3 2 4 2 4" xfId="47519"/>
    <cellStyle name="Normal 3 2 4 3" xfId="47520"/>
    <cellStyle name="Normal 3 2 4 3 2" xfId="47521"/>
    <cellStyle name="Normal 3 2 4 3 2 2" xfId="47522"/>
    <cellStyle name="Normal 3 2 4 3 3" xfId="47523"/>
    <cellStyle name="Normal 3 2 4 4" xfId="47524"/>
    <cellStyle name="Normal 3 2 4 4 2" xfId="47525"/>
    <cellStyle name="Normal 3 2 4 5" xfId="47526"/>
    <cellStyle name="Normal 3 2 5" xfId="47527"/>
    <cellStyle name="Normal 3 2 5 2" xfId="47528"/>
    <cellStyle name="Normal 3 2 5 2 2" xfId="47529"/>
    <cellStyle name="Normal 3 2 5 2 2 2" xfId="47530"/>
    <cellStyle name="Normal 3 2 5 2 2 2 2" xfId="47531"/>
    <cellStyle name="Normal 3 2 5 2 2 3" xfId="47532"/>
    <cellStyle name="Normal 3 2 5 2 3" xfId="47533"/>
    <cellStyle name="Normal 3 2 5 2 3 2" xfId="47534"/>
    <cellStyle name="Normal 3 2 5 2 4" xfId="47535"/>
    <cellStyle name="Normal 3 2 5 3" xfId="47536"/>
    <cellStyle name="Normal 3 2 5 3 2" xfId="47537"/>
    <cellStyle name="Normal 3 2 5 3 2 2" xfId="47538"/>
    <cellStyle name="Normal 3 2 5 3 3" xfId="47539"/>
    <cellStyle name="Normal 3 2 5 4" xfId="47540"/>
    <cellStyle name="Normal 3 2 5 4 2" xfId="47541"/>
    <cellStyle name="Normal 3 2 5 5" xfId="47542"/>
    <cellStyle name="Normal 3 2 6" xfId="47543"/>
    <cellStyle name="Normal 3 2 6 2" xfId="47544"/>
    <cellStyle name="Normal 3 2 6 2 2" xfId="47545"/>
    <cellStyle name="Normal 3 2 6 2 2 2" xfId="47546"/>
    <cellStyle name="Normal 3 2 6 2 2 2 2" xfId="47547"/>
    <cellStyle name="Normal 3 2 6 2 2 3" xfId="47548"/>
    <cellStyle name="Normal 3 2 6 2 3" xfId="47549"/>
    <cellStyle name="Normal 3 2 6 2 3 2" xfId="47550"/>
    <cellStyle name="Normal 3 2 6 2 4" xfId="47551"/>
    <cellStyle name="Normal 3 2 6 3" xfId="47552"/>
    <cellStyle name="Normal 3 2 6 3 2" xfId="47553"/>
    <cellStyle name="Normal 3 2 6 3 2 2" xfId="47554"/>
    <cellStyle name="Normal 3 2 6 3 3" xfId="47555"/>
    <cellStyle name="Normal 3 2 6 4" xfId="47556"/>
    <cellStyle name="Normal 3 2 6 4 2" xfId="47557"/>
    <cellStyle name="Normal 3 2 6 5" xfId="47558"/>
    <cellStyle name="Normal 3 2 7" xfId="47559"/>
    <cellStyle name="Normal 3 2 7 2" xfId="47560"/>
    <cellStyle name="Normal 3 2 7 2 2" xfId="47561"/>
    <cellStyle name="Normal 3 2 7 2 2 2" xfId="47562"/>
    <cellStyle name="Normal 3 2 7 2 2 2 2" xfId="47563"/>
    <cellStyle name="Normal 3 2 7 2 2 3" xfId="47564"/>
    <cellStyle name="Normal 3 2 7 2 3" xfId="47565"/>
    <cellStyle name="Normal 3 2 7 2 3 2" xfId="47566"/>
    <cellStyle name="Normal 3 2 7 2 4" xfId="47567"/>
    <cellStyle name="Normal 3 2 7 3" xfId="47568"/>
    <cellStyle name="Normal 3 2 7 3 2" xfId="47569"/>
    <cellStyle name="Normal 3 2 7 3 2 2" xfId="47570"/>
    <cellStyle name="Normal 3 2 7 3 3" xfId="47571"/>
    <cellStyle name="Normal 3 2 7 4" xfId="47572"/>
    <cellStyle name="Normal 3 2 7 4 2" xfId="47573"/>
    <cellStyle name="Normal 3 2 7 5" xfId="47574"/>
    <cellStyle name="Normal 3 2 8" xfId="47575"/>
    <cellStyle name="Normal 3 2 8 2" xfId="47576"/>
    <cellStyle name="Normal 3 2 8 2 2" xfId="47577"/>
    <cellStyle name="Normal 3 2 8 2 2 2" xfId="47578"/>
    <cellStyle name="Normal 3 2 8 2 3" xfId="47579"/>
    <cellStyle name="Normal 3 2 8 3" xfId="47580"/>
    <cellStyle name="Normal 3 2 8 3 2" xfId="47581"/>
    <cellStyle name="Normal 3 2 8 4" xfId="47582"/>
    <cellStyle name="Normal 3 2 9" xfId="47583"/>
    <cellStyle name="Normal 3 2 9 2" xfId="47584"/>
    <cellStyle name="Normal 3 2 9 2 2" xfId="47585"/>
    <cellStyle name="Normal 3 2 9 3" xfId="47586"/>
    <cellStyle name="Normal 3 3" xfId="47587"/>
    <cellStyle name="Normal 3 3 10" xfId="47588"/>
    <cellStyle name="Normal 3 3 10 2" xfId="47589"/>
    <cellStyle name="Normal 3 3 11" xfId="47590"/>
    <cellStyle name="Normal 3 3 2" xfId="47591"/>
    <cellStyle name="Normal 3 3 2 10" xfId="47592"/>
    <cellStyle name="Normal 3 3 2 2" xfId="47593"/>
    <cellStyle name="Normal 3 3 2 2 2" xfId="47594"/>
    <cellStyle name="Normal 3 3 2 2 2 2" xfId="47595"/>
    <cellStyle name="Normal 3 3 2 2 2 2 2" xfId="47596"/>
    <cellStyle name="Normal 3 3 2 2 2 2 2 2" xfId="47597"/>
    <cellStyle name="Normal 3 3 2 2 2 2 3" xfId="47598"/>
    <cellStyle name="Normal 3 3 2 2 2 3" xfId="47599"/>
    <cellStyle name="Normal 3 3 2 2 2 3 2" xfId="47600"/>
    <cellStyle name="Normal 3 3 2 2 2 4" xfId="47601"/>
    <cellStyle name="Normal 3 3 2 2 3" xfId="47602"/>
    <cellStyle name="Normal 3 3 2 2 3 2" xfId="47603"/>
    <cellStyle name="Normal 3 3 2 2 3 2 2" xfId="47604"/>
    <cellStyle name="Normal 3 3 2 2 3 3" xfId="47605"/>
    <cellStyle name="Normal 3 3 2 2 4" xfId="47606"/>
    <cellStyle name="Normal 3 3 2 2 4 2" xfId="47607"/>
    <cellStyle name="Normal 3 3 2 2 5" xfId="47608"/>
    <cellStyle name="Normal 3 3 2 3" xfId="47609"/>
    <cellStyle name="Normal 3 3 2 3 2" xfId="47610"/>
    <cellStyle name="Normal 3 3 2 3 2 2" xfId="47611"/>
    <cellStyle name="Normal 3 3 2 3 2 2 2" xfId="47612"/>
    <cellStyle name="Normal 3 3 2 3 2 2 2 2" xfId="47613"/>
    <cellStyle name="Normal 3 3 2 3 2 2 3" xfId="47614"/>
    <cellStyle name="Normal 3 3 2 3 2 3" xfId="47615"/>
    <cellStyle name="Normal 3 3 2 3 2 3 2" xfId="47616"/>
    <cellStyle name="Normal 3 3 2 3 2 4" xfId="47617"/>
    <cellStyle name="Normal 3 3 2 3 3" xfId="47618"/>
    <cellStyle name="Normal 3 3 2 3 3 2" xfId="47619"/>
    <cellStyle name="Normal 3 3 2 3 3 2 2" xfId="47620"/>
    <cellStyle name="Normal 3 3 2 3 3 3" xfId="47621"/>
    <cellStyle name="Normal 3 3 2 3 4" xfId="47622"/>
    <cellStyle name="Normal 3 3 2 3 4 2" xfId="47623"/>
    <cellStyle name="Normal 3 3 2 3 5" xfId="47624"/>
    <cellStyle name="Normal 3 3 2 4" xfId="47625"/>
    <cellStyle name="Normal 3 3 2 4 2" xfId="47626"/>
    <cellStyle name="Normal 3 3 2 4 2 2" xfId="47627"/>
    <cellStyle name="Normal 3 3 2 4 2 2 2" xfId="47628"/>
    <cellStyle name="Normal 3 3 2 4 2 2 2 2" xfId="47629"/>
    <cellStyle name="Normal 3 3 2 4 2 2 3" xfId="47630"/>
    <cellStyle name="Normal 3 3 2 4 2 3" xfId="47631"/>
    <cellStyle name="Normal 3 3 2 4 2 3 2" xfId="47632"/>
    <cellStyle name="Normal 3 3 2 4 2 4" xfId="47633"/>
    <cellStyle name="Normal 3 3 2 4 3" xfId="47634"/>
    <cellStyle name="Normal 3 3 2 4 3 2" xfId="47635"/>
    <cellStyle name="Normal 3 3 2 4 3 2 2" xfId="47636"/>
    <cellStyle name="Normal 3 3 2 4 3 3" xfId="47637"/>
    <cellStyle name="Normal 3 3 2 4 4" xfId="47638"/>
    <cellStyle name="Normal 3 3 2 4 4 2" xfId="47639"/>
    <cellStyle name="Normal 3 3 2 4 5" xfId="47640"/>
    <cellStyle name="Normal 3 3 2 5" xfId="47641"/>
    <cellStyle name="Normal 3 3 2 5 2" xfId="47642"/>
    <cellStyle name="Normal 3 3 2 5 2 2" xfId="47643"/>
    <cellStyle name="Normal 3 3 2 5 2 2 2" xfId="47644"/>
    <cellStyle name="Normal 3 3 2 5 2 2 2 2" xfId="47645"/>
    <cellStyle name="Normal 3 3 2 5 2 2 3" xfId="47646"/>
    <cellStyle name="Normal 3 3 2 5 2 3" xfId="47647"/>
    <cellStyle name="Normal 3 3 2 5 2 3 2" xfId="47648"/>
    <cellStyle name="Normal 3 3 2 5 2 4" xfId="47649"/>
    <cellStyle name="Normal 3 3 2 5 3" xfId="47650"/>
    <cellStyle name="Normal 3 3 2 5 3 2" xfId="47651"/>
    <cellStyle name="Normal 3 3 2 5 3 2 2" xfId="47652"/>
    <cellStyle name="Normal 3 3 2 5 3 3" xfId="47653"/>
    <cellStyle name="Normal 3 3 2 5 4" xfId="47654"/>
    <cellStyle name="Normal 3 3 2 5 4 2" xfId="47655"/>
    <cellStyle name="Normal 3 3 2 5 5" xfId="47656"/>
    <cellStyle name="Normal 3 3 2 6" xfId="47657"/>
    <cellStyle name="Normal 3 3 2 6 2" xfId="47658"/>
    <cellStyle name="Normal 3 3 2 6 2 2" xfId="47659"/>
    <cellStyle name="Normal 3 3 2 6 2 2 2" xfId="47660"/>
    <cellStyle name="Normal 3 3 2 6 2 2 2 2" xfId="47661"/>
    <cellStyle name="Normal 3 3 2 6 2 2 3" xfId="47662"/>
    <cellStyle name="Normal 3 3 2 6 2 3" xfId="47663"/>
    <cellStyle name="Normal 3 3 2 6 2 3 2" xfId="47664"/>
    <cellStyle name="Normal 3 3 2 6 2 4" xfId="47665"/>
    <cellStyle name="Normal 3 3 2 6 3" xfId="47666"/>
    <cellStyle name="Normal 3 3 2 6 3 2" xfId="47667"/>
    <cellStyle name="Normal 3 3 2 6 3 2 2" xfId="47668"/>
    <cellStyle name="Normal 3 3 2 6 3 3" xfId="47669"/>
    <cellStyle name="Normal 3 3 2 6 4" xfId="47670"/>
    <cellStyle name="Normal 3 3 2 6 4 2" xfId="47671"/>
    <cellStyle name="Normal 3 3 2 6 5" xfId="47672"/>
    <cellStyle name="Normal 3 3 2 7" xfId="47673"/>
    <cellStyle name="Normal 3 3 2 7 2" xfId="47674"/>
    <cellStyle name="Normal 3 3 2 7 2 2" xfId="47675"/>
    <cellStyle name="Normal 3 3 2 7 2 2 2" xfId="47676"/>
    <cellStyle name="Normal 3 3 2 7 2 3" xfId="47677"/>
    <cellStyle name="Normal 3 3 2 7 3" xfId="47678"/>
    <cellStyle name="Normal 3 3 2 7 3 2" xfId="47679"/>
    <cellStyle name="Normal 3 3 2 7 4" xfId="47680"/>
    <cellStyle name="Normal 3 3 2 8" xfId="47681"/>
    <cellStyle name="Normal 3 3 2 8 2" xfId="47682"/>
    <cellStyle name="Normal 3 3 2 8 2 2" xfId="47683"/>
    <cellStyle name="Normal 3 3 2 8 3" xfId="47684"/>
    <cellStyle name="Normal 3 3 2 9" xfId="47685"/>
    <cellStyle name="Normal 3 3 2 9 2" xfId="47686"/>
    <cellStyle name="Normal 3 3 3" xfId="47687"/>
    <cellStyle name="Normal 3 3 3 2" xfId="47688"/>
    <cellStyle name="Normal 3 3 3 2 2" xfId="47689"/>
    <cellStyle name="Normal 3 3 3 2 2 2" xfId="47690"/>
    <cellStyle name="Normal 3 3 3 2 2 2 2" xfId="47691"/>
    <cellStyle name="Normal 3 3 3 2 2 3" xfId="47692"/>
    <cellStyle name="Normal 3 3 3 2 3" xfId="47693"/>
    <cellStyle name="Normal 3 3 3 2 3 2" xfId="47694"/>
    <cellStyle name="Normal 3 3 3 2 4" xfId="47695"/>
    <cellStyle name="Normal 3 3 3 3" xfId="47696"/>
    <cellStyle name="Normal 3 3 3 3 2" xfId="47697"/>
    <cellStyle name="Normal 3 3 3 3 2 2" xfId="47698"/>
    <cellStyle name="Normal 3 3 3 3 3" xfId="47699"/>
    <cellStyle name="Normal 3 3 3 4" xfId="47700"/>
    <cellStyle name="Normal 3 3 3 4 2" xfId="47701"/>
    <cellStyle name="Normal 3 3 3 5" xfId="47702"/>
    <cellStyle name="Normal 3 3 4" xfId="47703"/>
    <cellStyle name="Normal 3 3 4 2" xfId="47704"/>
    <cellStyle name="Normal 3 3 4 2 2" xfId="47705"/>
    <cellStyle name="Normal 3 3 4 2 2 2" xfId="47706"/>
    <cellStyle name="Normal 3 3 4 2 2 2 2" xfId="47707"/>
    <cellStyle name="Normal 3 3 4 2 2 3" xfId="47708"/>
    <cellStyle name="Normal 3 3 4 2 3" xfId="47709"/>
    <cellStyle name="Normal 3 3 4 2 3 2" xfId="47710"/>
    <cellStyle name="Normal 3 3 4 2 4" xfId="47711"/>
    <cellStyle name="Normal 3 3 4 3" xfId="47712"/>
    <cellStyle name="Normal 3 3 4 3 2" xfId="47713"/>
    <cellStyle name="Normal 3 3 4 3 2 2" xfId="47714"/>
    <cellStyle name="Normal 3 3 4 3 3" xfId="47715"/>
    <cellStyle name="Normal 3 3 4 4" xfId="47716"/>
    <cellStyle name="Normal 3 3 4 4 2" xfId="47717"/>
    <cellStyle name="Normal 3 3 4 5" xfId="47718"/>
    <cellStyle name="Normal 3 3 5" xfId="47719"/>
    <cellStyle name="Normal 3 3 5 2" xfId="47720"/>
    <cellStyle name="Normal 3 3 5 2 2" xfId="47721"/>
    <cellStyle name="Normal 3 3 5 2 2 2" xfId="47722"/>
    <cellStyle name="Normal 3 3 5 2 2 2 2" xfId="47723"/>
    <cellStyle name="Normal 3 3 5 2 2 3" xfId="47724"/>
    <cellStyle name="Normal 3 3 5 2 3" xfId="47725"/>
    <cellStyle name="Normal 3 3 5 2 3 2" xfId="47726"/>
    <cellStyle name="Normal 3 3 5 2 4" xfId="47727"/>
    <cellStyle name="Normal 3 3 5 3" xfId="47728"/>
    <cellStyle name="Normal 3 3 5 3 2" xfId="47729"/>
    <cellStyle name="Normal 3 3 5 3 2 2" xfId="47730"/>
    <cellStyle name="Normal 3 3 5 3 3" xfId="47731"/>
    <cellStyle name="Normal 3 3 5 4" xfId="47732"/>
    <cellStyle name="Normal 3 3 5 4 2" xfId="47733"/>
    <cellStyle name="Normal 3 3 5 5" xfId="47734"/>
    <cellStyle name="Normal 3 3 6" xfId="47735"/>
    <cellStyle name="Normal 3 3 6 2" xfId="47736"/>
    <cellStyle name="Normal 3 3 6 2 2" xfId="47737"/>
    <cellStyle name="Normal 3 3 6 2 2 2" xfId="47738"/>
    <cellStyle name="Normal 3 3 6 2 2 2 2" xfId="47739"/>
    <cellStyle name="Normal 3 3 6 2 2 3" xfId="47740"/>
    <cellStyle name="Normal 3 3 6 2 3" xfId="47741"/>
    <cellStyle name="Normal 3 3 6 2 3 2" xfId="47742"/>
    <cellStyle name="Normal 3 3 6 2 4" xfId="47743"/>
    <cellStyle name="Normal 3 3 6 3" xfId="47744"/>
    <cellStyle name="Normal 3 3 6 3 2" xfId="47745"/>
    <cellStyle name="Normal 3 3 6 3 2 2" xfId="47746"/>
    <cellStyle name="Normal 3 3 6 3 3" xfId="47747"/>
    <cellStyle name="Normal 3 3 6 4" xfId="47748"/>
    <cellStyle name="Normal 3 3 6 4 2" xfId="47749"/>
    <cellStyle name="Normal 3 3 6 5" xfId="47750"/>
    <cellStyle name="Normal 3 3 7" xfId="47751"/>
    <cellStyle name="Normal 3 3 7 2" xfId="47752"/>
    <cellStyle name="Normal 3 3 7 2 2" xfId="47753"/>
    <cellStyle name="Normal 3 3 7 2 2 2" xfId="47754"/>
    <cellStyle name="Normal 3 3 7 2 2 2 2" xfId="47755"/>
    <cellStyle name="Normal 3 3 7 2 2 3" xfId="47756"/>
    <cellStyle name="Normal 3 3 7 2 3" xfId="47757"/>
    <cellStyle name="Normal 3 3 7 2 3 2" xfId="47758"/>
    <cellStyle name="Normal 3 3 7 2 4" xfId="47759"/>
    <cellStyle name="Normal 3 3 7 3" xfId="47760"/>
    <cellStyle name="Normal 3 3 7 3 2" xfId="47761"/>
    <cellStyle name="Normal 3 3 7 3 2 2" xfId="47762"/>
    <cellStyle name="Normal 3 3 7 3 3" xfId="47763"/>
    <cellStyle name="Normal 3 3 7 4" xfId="47764"/>
    <cellStyle name="Normal 3 3 7 4 2" xfId="47765"/>
    <cellStyle name="Normal 3 3 7 5" xfId="47766"/>
    <cellStyle name="Normal 3 3 8" xfId="47767"/>
    <cellStyle name="Normal 3 3 8 2" xfId="47768"/>
    <cellStyle name="Normal 3 3 8 2 2" xfId="47769"/>
    <cellStyle name="Normal 3 3 8 2 2 2" xfId="47770"/>
    <cellStyle name="Normal 3 3 8 2 3" xfId="47771"/>
    <cellStyle name="Normal 3 3 8 3" xfId="47772"/>
    <cellStyle name="Normal 3 3 8 3 2" xfId="47773"/>
    <cellStyle name="Normal 3 3 8 4" xfId="47774"/>
    <cellStyle name="Normal 3 3 9" xfId="47775"/>
    <cellStyle name="Normal 3 3 9 2" xfId="47776"/>
    <cellStyle name="Normal 3 3 9 2 2" xfId="47777"/>
    <cellStyle name="Normal 3 3 9 3" xfId="47778"/>
    <cellStyle name="Normal 3 4" xfId="47779"/>
    <cellStyle name="Normal 3 4 10" xfId="47780"/>
    <cellStyle name="Normal 3 4 10 2" xfId="47781"/>
    <cellStyle name="Normal 3 4 11" xfId="47782"/>
    <cellStyle name="Normal 3 4 2" xfId="47783"/>
    <cellStyle name="Normal 3 4 2 10" xfId="47784"/>
    <cellStyle name="Normal 3 4 2 2" xfId="47785"/>
    <cellStyle name="Normal 3 4 2 2 2" xfId="47786"/>
    <cellStyle name="Normal 3 4 2 2 2 2" xfId="47787"/>
    <cellStyle name="Normal 3 4 2 2 2 2 2" xfId="47788"/>
    <cellStyle name="Normal 3 4 2 2 2 2 2 2" xfId="47789"/>
    <cellStyle name="Normal 3 4 2 2 2 2 3" xfId="47790"/>
    <cellStyle name="Normal 3 4 2 2 2 3" xfId="47791"/>
    <cellStyle name="Normal 3 4 2 2 2 3 2" xfId="47792"/>
    <cellStyle name="Normal 3 4 2 2 2 4" xfId="47793"/>
    <cellStyle name="Normal 3 4 2 2 3" xfId="47794"/>
    <cellStyle name="Normal 3 4 2 2 3 2" xfId="47795"/>
    <cellStyle name="Normal 3 4 2 2 3 2 2" xfId="47796"/>
    <cellStyle name="Normal 3 4 2 2 3 3" xfId="47797"/>
    <cellStyle name="Normal 3 4 2 2 4" xfId="47798"/>
    <cellStyle name="Normal 3 4 2 2 4 2" xfId="47799"/>
    <cellStyle name="Normal 3 4 2 2 5" xfId="47800"/>
    <cellStyle name="Normal 3 4 2 3" xfId="47801"/>
    <cellStyle name="Normal 3 4 2 3 2" xfId="47802"/>
    <cellStyle name="Normal 3 4 2 3 2 2" xfId="47803"/>
    <cellStyle name="Normal 3 4 2 3 2 2 2" xfId="47804"/>
    <cellStyle name="Normal 3 4 2 3 2 2 2 2" xfId="47805"/>
    <cellStyle name="Normal 3 4 2 3 2 2 3" xfId="47806"/>
    <cellStyle name="Normal 3 4 2 3 2 3" xfId="47807"/>
    <cellStyle name="Normal 3 4 2 3 2 3 2" xfId="47808"/>
    <cellStyle name="Normal 3 4 2 3 2 4" xfId="47809"/>
    <cellStyle name="Normal 3 4 2 3 3" xfId="47810"/>
    <cellStyle name="Normal 3 4 2 3 3 2" xfId="47811"/>
    <cellStyle name="Normal 3 4 2 3 3 2 2" xfId="47812"/>
    <cellStyle name="Normal 3 4 2 3 3 3" xfId="47813"/>
    <cellStyle name="Normal 3 4 2 3 4" xfId="47814"/>
    <cellStyle name="Normal 3 4 2 3 4 2" xfId="47815"/>
    <cellStyle name="Normal 3 4 2 3 5" xfId="47816"/>
    <cellStyle name="Normal 3 4 2 4" xfId="47817"/>
    <cellStyle name="Normal 3 4 2 4 2" xfId="47818"/>
    <cellStyle name="Normal 3 4 2 4 2 2" xfId="47819"/>
    <cellStyle name="Normal 3 4 2 4 2 2 2" xfId="47820"/>
    <cellStyle name="Normal 3 4 2 4 2 2 2 2" xfId="47821"/>
    <cellStyle name="Normal 3 4 2 4 2 2 3" xfId="47822"/>
    <cellStyle name="Normal 3 4 2 4 2 3" xfId="47823"/>
    <cellStyle name="Normal 3 4 2 4 2 3 2" xfId="47824"/>
    <cellStyle name="Normal 3 4 2 4 2 4" xfId="47825"/>
    <cellStyle name="Normal 3 4 2 4 3" xfId="47826"/>
    <cellStyle name="Normal 3 4 2 4 3 2" xfId="47827"/>
    <cellStyle name="Normal 3 4 2 4 3 2 2" xfId="47828"/>
    <cellStyle name="Normal 3 4 2 4 3 3" xfId="47829"/>
    <cellStyle name="Normal 3 4 2 4 4" xfId="47830"/>
    <cellStyle name="Normal 3 4 2 4 4 2" xfId="47831"/>
    <cellStyle name="Normal 3 4 2 4 5" xfId="47832"/>
    <cellStyle name="Normal 3 4 2 5" xfId="47833"/>
    <cellStyle name="Normal 3 4 2 5 2" xfId="47834"/>
    <cellStyle name="Normal 3 4 2 5 2 2" xfId="47835"/>
    <cellStyle name="Normal 3 4 2 5 2 2 2" xfId="47836"/>
    <cellStyle name="Normal 3 4 2 5 2 2 2 2" xfId="47837"/>
    <cellStyle name="Normal 3 4 2 5 2 2 3" xfId="47838"/>
    <cellStyle name="Normal 3 4 2 5 2 3" xfId="47839"/>
    <cellStyle name="Normal 3 4 2 5 2 3 2" xfId="47840"/>
    <cellStyle name="Normal 3 4 2 5 2 4" xfId="47841"/>
    <cellStyle name="Normal 3 4 2 5 3" xfId="47842"/>
    <cellStyle name="Normal 3 4 2 5 3 2" xfId="47843"/>
    <cellStyle name="Normal 3 4 2 5 3 2 2" xfId="47844"/>
    <cellStyle name="Normal 3 4 2 5 3 3" xfId="47845"/>
    <cellStyle name="Normal 3 4 2 5 4" xfId="47846"/>
    <cellStyle name="Normal 3 4 2 5 4 2" xfId="47847"/>
    <cellStyle name="Normal 3 4 2 5 5" xfId="47848"/>
    <cellStyle name="Normal 3 4 2 6" xfId="47849"/>
    <cellStyle name="Normal 3 4 2 6 2" xfId="47850"/>
    <cellStyle name="Normal 3 4 2 6 2 2" xfId="47851"/>
    <cellStyle name="Normal 3 4 2 6 2 2 2" xfId="47852"/>
    <cellStyle name="Normal 3 4 2 6 2 2 2 2" xfId="47853"/>
    <cellStyle name="Normal 3 4 2 6 2 2 3" xfId="47854"/>
    <cellStyle name="Normal 3 4 2 6 2 3" xfId="47855"/>
    <cellStyle name="Normal 3 4 2 6 2 3 2" xfId="47856"/>
    <cellStyle name="Normal 3 4 2 6 2 4" xfId="47857"/>
    <cellStyle name="Normal 3 4 2 6 3" xfId="47858"/>
    <cellStyle name="Normal 3 4 2 6 3 2" xfId="47859"/>
    <cellStyle name="Normal 3 4 2 6 3 2 2" xfId="47860"/>
    <cellStyle name="Normal 3 4 2 6 3 3" xfId="47861"/>
    <cellStyle name="Normal 3 4 2 6 4" xfId="47862"/>
    <cellStyle name="Normal 3 4 2 6 4 2" xfId="47863"/>
    <cellStyle name="Normal 3 4 2 6 5" xfId="47864"/>
    <cellStyle name="Normal 3 4 2 7" xfId="47865"/>
    <cellStyle name="Normal 3 4 2 7 2" xfId="47866"/>
    <cellStyle name="Normal 3 4 2 7 2 2" xfId="47867"/>
    <cellStyle name="Normal 3 4 2 7 2 2 2" xfId="47868"/>
    <cellStyle name="Normal 3 4 2 7 2 3" xfId="47869"/>
    <cellStyle name="Normal 3 4 2 7 3" xfId="47870"/>
    <cellStyle name="Normal 3 4 2 7 3 2" xfId="47871"/>
    <cellStyle name="Normal 3 4 2 7 4" xfId="47872"/>
    <cellStyle name="Normal 3 4 2 8" xfId="47873"/>
    <cellStyle name="Normal 3 4 2 8 2" xfId="47874"/>
    <cellStyle name="Normal 3 4 2 8 2 2" xfId="47875"/>
    <cellStyle name="Normal 3 4 2 8 3" xfId="47876"/>
    <cellStyle name="Normal 3 4 2 9" xfId="47877"/>
    <cellStyle name="Normal 3 4 2 9 2" xfId="47878"/>
    <cellStyle name="Normal 3 4 3" xfId="47879"/>
    <cellStyle name="Normal 3 4 3 2" xfId="47880"/>
    <cellStyle name="Normal 3 4 3 2 2" xfId="47881"/>
    <cellStyle name="Normal 3 4 3 2 2 2" xfId="47882"/>
    <cellStyle name="Normal 3 4 3 2 2 2 2" xfId="47883"/>
    <cellStyle name="Normal 3 4 3 2 2 3" xfId="47884"/>
    <cellStyle name="Normal 3 4 3 2 3" xfId="47885"/>
    <cellStyle name="Normal 3 4 3 2 3 2" xfId="47886"/>
    <cellStyle name="Normal 3 4 3 2 4" xfId="47887"/>
    <cellStyle name="Normal 3 4 3 3" xfId="47888"/>
    <cellStyle name="Normal 3 4 3 3 2" xfId="47889"/>
    <cellStyle name="Normal 3 4 3 3 2 2" xfId="47890"/>
    <cellStyle name="Normal 3 4 3 3 3" xfId="47891"/>
    <cellStyle name="Normal 3 4 3 4" xfId="47892"/>
    <cellStyle name="Normal 3 4 3 4 2" xfId="47893"/>
    <cellStyle name="Normal 3 4 3 5" xfId="47894"/>
    <cellStyle name="Normal 3 4 4" xfId="47895"/>
    <cellStyle name="Normal 3 4 4 2" xfId="47896"/>
    <cellStyle name="Normal 3 4 4 2 2" xfId="47897"/>
    <cellStyle name="Normal 3 4 4 2 2 2" xfId="47898"/>
    <cellStyle name="Normal 3 4 4 2 2 2 2" xfId="47899"/>
    <cellStyle name="Normal 3 4 4 2 2 3" xfId="47900"/>
    <cellStyle name="Normal 3 4 4 2 3" xfId="47901"/>
    <cellStyle name="Normal 3 4 4 2 3 2" xfId="47902"/>
    <cellStyle name="Normal 3 4 4 2 4" xfId="47903"/>
    <cellStyle name="Normal 3 4 4 3" xfId="47904"/>
    <cellStyle name="Normal 3 4 4 3 2" xfId="47905"/>
    <cellStyle name="Normal 3 4 4 3 2 2" xfId="47906"/>
    <cellStyle name="Normal 3 4 4 3 3" xfId="47907"/>
    <cellStyle name="Normal 3 4 4 4" xfId="47908"/>
    <cellStyle name="Normal 3 4 4 4 2" xfId="47909"/>
    <cellStyle name="Normal 3 4 4 5" xfId="47910"/>
    <cellStyle name="Normal 3 4 5" xfId="47911"/>
    <cellStyle name="Normal 3 4 5 2" xfId="47912"/>
    <cellStyle name="Normal 3 4 5 2 2" xfId="47913"/>
    <cellStyle name="Normal 3 4 5 2 2 2" xfId="47914"/>
    <cellStyle name="Normal 3 4 5 2 2 2 2" xfId="47915"/>
    <cellStyle name="Normal 3 4 5 2 2 3" xfId="47916"/>
    <cellStyle name="Normal 3 4 5 2 3" xfId="47917"/>
    <cellStyle name="Normal 3 4 5 2 3 2" xfId="47918"/>
    <cellStyle name="Normal 3 4 5 2 4" xfId="47919"/>
    <cellStyle name="Normal 3 4 5 3" xfId="47920"/>
    <cellStyle name="Normal 3 4 5 3 2" xfId="47921"/>
    <cellStyle name="Normal 3 4 5 3 2 2" xfId="47922"/>
    <cellStyle name="Normal 3 4 5 3 3" xfId="47923"/>
    <cellStyle name="Normal 3 4 5 4" xfId="47924"/>
    <cellStyle name="Normal 3 4 5 4 2" xfId="47925"/>
    <cellStyle name="Normal 3 4 5 5" xfId="47926"/>
    <cellStyle name="Normal 3 4 6" xfId="47927"/>
    <cellStyle name="Normal 3 4 6 2" xfId="47928"/>
    <cellStyle name="Normal 3 4 6 2 2" xfId="47929"/>
    <cellStyle name="Normal 3 4 6 2 2 2" xfId="47930"/>
    <cellStyle name="Normal 3 4 6 2 2 2 2" xfId="47931"/>
    <cellStyle name="Normal 3 4 6 2 2 3" xfId="47932"/>
    <cellStyle name="Normal 3 4 6 2 3" xfId="47933"/>
    <cellStyle name="Normal 3 4 6 2 3 2" xfId="47934"/>
    <cellStyle name="Normal 3 4 6 2 4" xfId="47935"/>
    <cellStyle name="Normal 3 4 6 3" xfId="47936"/>
    <cellStyle name="Normal 3 4 6 3 2" xfId="47937"/>
    <cellStyle name="Normal 3 4 6 3 2 2" xfId="47938"/>
    <cellStyle name="Normal 3 4 6 3 3" xfId="47939"/>
    <cellStyle name="Normal 3 4 6 4" xfId="47940"/>
    <cellStyle name="Normal 3 4 6 4 2" xfId="47941"/>
    <cellStyle name="Normal 3 4 6 5" xfId="47942"/>
    <cellStyle name="Normal 3 4 7" xfId="47943"/>
    <cellStyle name="Normal 3 4 7 2" xfId="47944"/>
    <cellStyle name="Normal 3 4 7 2 2" xfId="47945"/>
    <cellStyle name="Normal 3 4 7 2 2 2" xfId="47946"/>
    <cellStyle name="Normal 3 4 7 2 2 2 2" xfId="47947"/>
    <cellStyle name="Normal 3 4 7 2 2 3" xfId="47948"/>
    <cellStyle name="Normal 3 4 7 2 3" xfId="47949"/>
    <cellStyle name="Normal 3 4 7 2 3 2" xfId="47950"/>
    <cellStyle name="Normal 3 4 7 2 4" xfId="47951"/>
    <cellStyle name="Normal 3 4 7 3" xfId="47952"/>
    <cellStyle name="Normal 3 4 7 3 2" xfId="47953"/>
    <cellStyle name="Normal 3 4 7 3 2 2" xfId="47954"/>
    <cellStyle name="Normal 3 4 7 3 3" xfId="47955"/>
    <cellStyle name="Normal 3 4 7 4" xfId="47956"/>
    <cellStyle name="Normal 3 4 7 4 2" xfId="47957"/>
    <cellStyle name="Normal 3 4 7 5" xfId="47958"/>
    <cellStyle name="Normal 3 4 8" xfId="47959"/>
    <cellStyle name="Normal 3 4 8 2" xfId="47960"/>
    <cellStyle name="Normal 3 4 8 2 2" xfId="47961"/>
    <cellStyle name="Normal 3 4 8 2 2 2" xfId="47962"/>
    <cellStyle name="Normal 3 4 8 2 3" xfId="47963"/>
    <cellStyle name="Normal 3 4 8 3" xfId="47964"/>
    <cellStyle name="Normal 3 4 8 3 2" xfId="47965"/>
    <cellStyle name="Normal 3 4 8 4" xfId="47966"/>
    <cellStyle name="Normal 3 4 9" xfId="47967"/>
    <cellStyle name="Normal 3 4 9 2" xfId="47968"/>
    <cellStyle name="Normal 3 4 9 2 2" xfId="47969"/>
    <cellStyle name="Normal 3 4 9 3" xfId="47970"/>
    <cellStyle name="Normal 3 5" xfId="47971"/>
    <cellStyle name="Normal 3 5 10" xfId="47972"/>
    <cellStyle name="Normal 3 5 10 2" xfId="47973"/>
    <cellStyle name="Normal 3 5 11" xfId="47974"/>
    <cellStyle name="Normal 3 5 2" xfId="47975"/>
    <cellStyle name="Normal 3 5 2 10" xfId="47976"/>
    <cellStyle name="Normal 3 5 2 2" xfId="47977"/>
    <cellStyle name="Normal 3 5 2 2 2" xfId="47978"/>
    <cellStyle name="Normal 3 5 2 2 2 2" xfId="47979"/>
    <cellStyle name="Normal 3 5 2 2 2 2 2" xfId="47980"/>
    <cellStyle name="Normal 3 5 2 2 2 2 2 2" xfId="47981"/>
    <cellStyle name="Normal 3 5 2 2 2 2 3" xfId="47982"/>
    <cellStyle name="Normal 3 5 2 2 2 3" xfId="47983"/>
    <cellStyle name="Normal 3 5 2 2 2 3 2" xfId="47984"/>
    <cellStyle name="Normal 3 5 2 2 2 4" xfId="47985"/>
    <cellStyle name="Normal 3 5 2 2 3" xfId="47986"/>
    <cellStyle name="Normal 3 5 2 2 3 2" xfId="47987"/>
    <cellStyle name="Normal 3 5 2 2 3 2 2" xfId="47988"/>
    <cellStyle name="Normal 3 5 2 2 3 3" xfId="47989"/>
    <cellStyle name="Normal 3 5 2 2 4" xfId="47990"/>
    <cellStyle name="Normal 3 5 2 2 4 2" xfId="47991"/>
    <cellStyle name="Normal 3 5 2 2 5" xfId="47992"/>
    <cellStyle name="Normal 3 5 2 3" xfId="47993"/>
    <cellStyle name="Normal 3 5 2 3 2" xfId="47994"/>
    <cellStyle name="Normal 3 5 2 3 2 2" xfId="47995"/>
    <cellStyle name="Normal 3 5 2 3 2 2 2" xfId="47996"/>
    <cellStyle name="Normal 3 5 2 3 2 2 2 2" xfId="47997"/>
    <cellStyle name="Normal 3 5 2 3 2 2 3" xfId="47998"/>
    <cellStyle name="Normal 3 5 2 3 2 3" xfId="47999"/>
    <cellStyle name="Normal 3 5 2 3 2 3 2" xfId="48000"/>
    <cellStyle name="Normal 3 5 2 3 2 4" xfId="48001"/>
    <cellStyle name="Normal 3 5 2 3 3" xfId="48002"/>
    <cellStyle name="Normal 3 5 2 3 3 2" xfId="48003"/>
    <cellStyle name="Normal 3 5 2 3 3 2 2" xfId="48004"/>
    <cellStyle name="Normal 3 5 2 3 3 3" xfId="48005"/>
    <cellStyle name="Normal 3 5 2 3 4" xfId="48006"/>
    <cellStyle name="Normal 3 5 2 3 4 2" xfId="48007"/>
    <cellStyle name="Normal 3 5 2 3 5" xfId="48008"/>
    <cellStyle name="Normal 3 5 2 4" xfId="48009"/>
    <cellStyle name="Normal 3 5 2 4 2" xfId="48010"/>
    <cellStyle name="Normal 3 5 2 4 2 2" xfId="48011"/>
    <cellStyle name="Normal 3 5 2 4 2 2 2" xfId="48012"/>
    <cellStyle name="Normal 3 5 2 4 2 2 2 2" xfId="48013"/>
    <cellStyle name="Normal 3 5 2 4 2 2 3" xfId="48014"/>
    <cellStyle name="Normal 3 5 2 4 2 3" xfId="48015"/>
    <cellStyle name="Normal 3 5 2 4 2 3 2" xfId="48016"/>
    <cellStyle name="Normal 3 5 2 4 2 4" xfId="48017"/>
    <cellStyle name="Normal 3 5 2 4 3" xfId="48018"/>
    <cellStyle name="Normal 3 5 2 4 3 2" xfId="48019"/>
    <cellStyle name="Normal 3 5 2 4 3 2 2" xfId="48020"/>
    <cellStyle name="Normal 3 5 2 4 3 3" xfId="48021"/>
    <cellStyle name="Normal 3 5 2 4 4" xfId="48022"/>
    <cellStyle name="Normal 3 5 2 4 4 2" xfId="48023"/>
    <cellStyle name="Normal 3 5 2 4 5" xfId="48024"/>
    <cellStyle name="Normal 3 5 2 5" xfId="48025"/>
    <cellStyle name="Normal 3 5 2 5 2" xfId="48026"/>
    <cellStyle name="Normal 3 5 2 5 2 2" xfId="48027"/>
    <cellStyle name="Normal 3 5 2 5 2 2 2" xfId="48028"/>
    <cellStyle name="Normal 3 5 2 5 2 2 2 2" xfId="48029"/>
    <cellStyle name="Normal 3 5 2 5 2 2 3" xfId="48030"/>
    <cellStyle name="Normal 3 5 2 5 2 3" xfId="48031"/>
    <cellStyle name="Normal 3 5 2 5 2 3 2" xfId="48032"/>
    <cellStyle name="Normal 3 5 2 5 2 4" xfId="48033"/>
    <cellStyle name="Normal 3 5 2 5 3" xfId="48034"/>
    <cellStyle name="Normal 3 5 2 5 3 2" xfId="48035"/>
    <cellStyle name="Normal 3 5 2 5 3 2 2" xfId="48036"/>
    <cellStyle name="Normal 3 5 2 5 3 3" xfId="48037"/>
    <cellStyle name="Normal 3 5 2 5 4" xfId="48038"/>
    <cellStyle name="Normal 3 5 2 5 4 2" xfId="48039"/>
    <cellStyle name="Normal 3 5 2 5 5" xfId="48040"/>
    <cellStyle name="Normal 3 5 2 6" xfId="48041"/>
    <cellStyle name="Normal 3 5 2 6 2" xfId="48042"/>
    <cellStyle name="Normal 3 5 2 6 2 2" xfId="48043"/>
    <cellStyle name="Normal 3 5 2 6 2 2 2" xfId="48044"/>
    <cellStyle name="Normal 3 5 2 6 2 2 2 2" xfId="48045"/>
    <cellStyle name="Normal 3 5 2 6 2 2 3" xfId="48046"/>
    <cellStyle name="Normal 3 5 2 6 2 3" xfId="48047"/>
    <cellStyle name="Normal 3 5 2 6 2 3 2" xfId="48048"/>
    <cellStyle name="Normal 3 5 2 6 2 4" xfId="48049"/>
    <cellStyle name="Normal 3 5 2 6 3" xfId="48050"/>
    <cellStyle name="Normal 3 5 2 6 3 2" xfId="48051"/>
    <cellStyle name="Normal 3 5 2 6 3 2 2" xfId="48052"/>
    <cellStyle name="Normal 3 5 2 6 3 3" xfId="48053"/>
    <cellStyle name="Normal 3 5 2 6 4" xfId="48054"/>
    <cellStyle name="Normal 3 5 2 6 4 2" xfId="48055"/>
    <cellStyle name="Normal 3 5 2 6 5" xfId="48056"/>
    <cellStyle name="Normal 3 5 2 7" xfId="48057"/>
    <cellStyle name="Normal 3 5 2 7 2" xfId="48058"/>
    <cellStyle name="Normal 3 5 2 7 2 2" xfId="48059"/>
    <cellStyle name="Normal 3 5 2 7 2 2 2" xfId="48060"/>
    <cellStyle name="Normal 3 5 2 7 2 3" xfId="48061"/>
    <cellStyle name="Normal 3 5 2 7 3" xfId="48062"/>
    <cellStyle name="Normal 3 5 2 7 3 2" xfId="48063"/>
    <cellStyle name="Normal 3 5 2 7 4" xfId="48064"/>
    <cellStyle name="Normal 3 5 2 8" xfId="48065"/>
    <cellStyle name="Normal 3 5 2 8 2" xfId="48066"/>
    <cellStyle name="Normal 3 5 2 8 2 2" xfId="48067"/>
    <cellStyle name="Normal 3 5 2 8 3" xfId="48068"/>
    <cellStyle name="Normal 3 5 2 9" xfId="48069"/>
    <cellStyle name="Normal 3 5 2 9 2" xfId="48070"/>
    <cellStyle name="Normal 3 5 3" xfId="48071"/>
    <cellStyle name="Normal 3 5 3 2" xfId="48072"/>
    <cellStyle name="Normal 3 5 3 2 2" xfId="48073"/>
    <cellStyle name="Normal 3 5 3 2 2 2" xfId="48074"/>
    <cellStyle name="Normal 3 5 3 2 2 2 2" xfId="48075"/>
    <cellStyle name="Normal 3 5 3 2 2 3" xfId="48076"/>
    <cellStyle name="Normal 3 5 3 2 3" xfId="48077"/>
    <cellStyle name="Normal 3 5 3 2 3 2" xfId="48078"/>
    <cellStyle name="Normal 3 5 3 2 4" xfId="48079"/>
    <cellStyle name="Normal 3 5 3 3" xfId="48080"/>
    <cellStyle name="Normal 3 5 3 3 2" xfId="48081"/>
    <cellStyle name="Normal 3 5 3 3 2 2" xfId="48082"/>
    <cellStyle name="Normal 3 5 3 3 3" xfId="48083"/>
    <cellStyle name="Normal 3 5 3 4" xfId="48084"/>
    <cellStyle name="Normal 3 5 3 4 2" xfId="48085"/>
    <cellStyle name="Normal 3 5 3 5" xfId="48086"/>
    <cellStyle name="Normal 3 5 4" xfId="48087"/>
    <cellStyle name="Normal 3 5 4 2" xfId="48088"/>
    <cellStyle name="Normal 3 5 4 2 2" xfId="48089"/>
    <cellStyle name="Normal 3 5 4 2 2 2" xfId="48090"/>
    <cellStyle name="Normal 3 5 4 2 2 2 2" xfId="48091"/>
    <cellStyle name="Normal 3 5 4 2 2 3" xfId="48092"/>
    <cellStyle name="Normal 3 5 4 2 3" xfId="48093"/>
    <cellStyle name="Normal 3 5 4 2 3 2" xfId="48094"/>
    <cellStyle name="Normal 3 5 4 2 4" xfId="48095"/>
    <cellStyle name="Normal 3 5 4 3" xfId="48096"/>
    <cellStyle name="Normal 3 5 4 3 2" xfId="48097"/>
    <cellStyle name="Normal 3 5 4 3 2 2" xfId="48098"/>
    <cellStyle name="Normal 3 5 4 3 3" xfId="48099"/>
    <cellStyle name="Normal 3 5 4 4" xfId="48100"/>
    <cellStyle name="Normal 3 5 4 4 2" xfId="48101"/>
    <cellStyle name="Normal 3 5 4 5" xfId="48102"/>
    <cellStyle name="Normal 3 5 5" xfId="48103"/>
    <cellStyle name="Normal 3 5 5 2" xfId="48104"/>
    <cellStyle name="Normal 3 5 5 2 2" xfId="48105"/>
    <cellStyle name="Normal 3 5 5 2 2 2" xfId="48106"/>
    <cellStyle name="Normal 3 5 5 2 2 2 2" xfId="48107"/>
    <cellStyle name="Normal 3 5 5 2 2 3" xfId="48108"/>
    <cellStyle name="Normal 3 5 5 2 3" xfId="48109"/>
    <cellStyle name="Normal 3 5 5 2 3 2" xfId="48110"/>
    <cellStyle name="Normal 3 5 5 2 4" xfId="48111"/>
    <cellStyle name="Normal 3 5 5 3" xfId="48112"/>
    <cellStyle name="Normal 3 5 5 3 2" xfId="48113"/>
    <cellStyle name="Normal 3 5 5 3 2 2" xfId="48114"/>
    <cellStyle name="Normal 3 5 5 3 3" xfId="48115"/>
    <cellStyle name="Normal 3 5 5 4" xfId="48116"/>
    <cellStyle name="Normal 3 5 5 4 2" xfId="48117"/>
    <cellStyle name="Normal 3 5 5 5" xfId="48118"/>
    <cellStyle name="Normal 3 5 6" xfId="48119"/>
    <cellStyle name="Normal 3 5 6 2" xfId="48120"/>
    <cellStyle name="Normal 3 5 6 2 2" xfId="48121"/>
    <cellStyle name="Normal 3 5 6 2 2 2" xfId="48122"/>
    <cellStyle name="Normal 3 5 6 2 2 2 2" xfId="48123"/>
    <cellStyle name="Normal 3 5 6 2 2 3" xfId="48124"/>
    <cellStyle name="Normal 3 5 6 2 3" xfId="48125"/>
    <cellStyle name="Normal 3 5 6 2 3 2" xfId="48126"/>
    <cellStyle name="Normal 3 5 6 2 4" xfId="48127"/>
    <cellStyle name="Normal 3 5 6 3" xfId="48128"/>
    <cellStyle name="Normal 3 5 6 3 2" xfId="48129"/>
    <cellStyle name="Normal 3 5 6 3 2 2" xfId="48130"/>
    <cellStyle name="Normal 3 5 6 3 3" xfId="48131"/>
    <cellStyle name="Normal 3 5 6 4" xfId="48132"/>
    <cellStyle name="Normal 3 5 6 4 2" xfId="48133"/>
    <cellStyle name="Normal 3 5 6 5" xfId="48134"/>
    <cellStyle name="Normal 3 5 7" xfId="48135"/>
    <cellStyle name="Normal 3 5 7 2" xfId="48136"/>
    <cellStyle name="Normal 3 5 7 2 2" xfId="48137"/>
    <cellStyle name="Normal 3 5 7 2 2 2" xfId="48138"/>
    <cellStyle name="Normal 3 5 7 2 2 2 2" xfId="48139"/>
    <cellStyle name="Normal 3 5 7 2 2 3" xfId="48140"/>
    <cellStyle name="Normal 3 5 7 2 3" xfId="48141"/>
    <cellStyle name="Normal 3 5 7 2 3 2" xfId="48142"/>
    <cellStyle name="Normal 3 5 7 2 4" xfId="48143"/>
    <cellStyle name="Normal 3 5 7 3" xfId="48144"/>
    <cellStyle name="Normal 3 5 7 3 2" xfId="48145"/>
    <cellStyle name="Normal 3 5 7 3 2 2" xfId="48146"/>
    <cellStyle name="Normal 3 5 7 3 3" xfId="48147"/>
    <cellStyle name="Normal 3 5 7 4" xfId="48148"/>
    <cellStyle name="Normal 3 5 7 4 2" xfId="48149"/>
    <cellStyle name="Normal 3 5 7 5" xfId="48150"/>
    <cellStyle name="Normal 3 5 8" xfId="48151"/>
    <cellStyle name="Normal 3 5 8 2" xfId="48152"/>
    <cellStyle name="Normal 3 5 8 2 2" xfId="48153"/>
    <cellStyle name="Normal 3 5 8 2 2 2" xfId="48154"/>
    <cellStyle name="Normal 3 5 8 2 3" xfId="48155"/>
    <cellStyle name="Normal 3 5 8 3" xfId="48156"/>
    <cellStyle name="Normal 3 5 8 3 2" xfId="48157"/>
    <cellStyle name="Normal 3 5 8 4" xfId="48158"/>
    <cellStyle name="Normal 3 5 9" xfId="48159"/>
    <cellStyle name="Normal 3 5 9 2" xfId="48160"/>
    <cellStyle name="Normal 3 5 9 2 2" xfId="48161"/>
    <cellStyle name="Normal 3 5 9 3" xfId="48162"/>
    <cellStyle name="Normal 3 6" xfId="48163"/>
    <cellStyle name="Normal 3 6 10" xfId="48164"/>
    <cellStyle name="Normal 3 6 10 2" xfId="48165"/>
    <cellStyle name="Normal 3 6 11" xfId="48166"/>
    <cellStyle name="Normal 3 6 2" xfId="48167"/>
    <cellStyle name="Normal 3 6 2 10" xfId="48168"/>
    <cellStyle name="Normal 3 6 2 2" xfId="48169"/>
    <cellStyle name="Normal 3 6 2 2 2" xfId="48170"/>
    <cellStyle name="Normal 3 6 2 2 2 2" xfId="48171"/>
    <cellStyle name="Normal 3 6 2 2 2 2 2" xfId="48172"/>
    <cellStyle name="Normal 3 6 2 2 2 2 2 2" xfId="48173"/>
    <cellStyle name="Normal 3 6 2 2 2 2 3" xfId="48174"/>
    <cellStyle name="Normal 3 6 2 2 2 3" xfId="48175"/>
    <cellStyle name="Normal 3 6 2 2 2 3 2" xfId="48176"/>
    <cellStyle name="Normal 3 6 2 2 2 4" xfId="48177"/>
    <cellStyle name="Normal 3 6 2 2 3" xfId="48178"/>
    <cellStyle name="Normal 3 6 2 2 3 2" xfId="48179"/>
    <cellStyle name="Normal 3 6 2 2 3 2 2" xfId="48180"/>
    <cellStyle name="Normal 3 6 2 2 3 3" xfId="48181"/>
    <cellStyle name="Normal 3 6 2 2 4" xfId="48182"/>
    <cellStyle name="Normal 3 6 2 2 4 2" xfId="48183"/>
    <cellStyle name="Normal 3 6 2 2 5" xfId="48184"/>
    <cellStyle name="Normal 3 6 2 3" xfId="48185"/>
    <cellStyle name="Normal 3 6 2 3 2" xfId="48186"/>
    <cellStyle name="Normal 3 6 2 3 2 2" xfId="48187"/>
    <cellStyle name="Normal 3 6 2 3 2 2 2" xfId="48188"/>
    <cellStyle name="Normal 3 6 2 3 2 2 2 2" xfId="48189"/>
    <cellStyle name="Normal 3 6 2 3 2 2 3" xfId="48190"/>
    <cellStyle name="Normal 3 6 2 3 2 3" xfId="48191"/>
    <cellStyle name="Normal 3 6 2 3 2 3 2" xfId="48192"/>
    <cellStyle name="Normal 3 6 2 3 2 4" xfId="48193"/>
    <cellStyle name="Normal 3 6 2 3 3" xfId="48194"/>
    <cellStyle name="Normal 3 6 2 3 3 2" xfId="48195"/>
    <cellStyle name="Normal 3 6 2 3 3 2 2" xfId="48196"/>
    <cellStyle name="Normal 3 6 2 3 3 3" xfId="48197"/>
    <cellStyle name="Normal 3 6 2 3 4" xfId="48198"/>
    <cellStyle name="Normal 3 6 2 3 4 2" xfId="48199"/>
    <cellStyle name="Normal 3 6 2 3 5" xfId="48200"/>
    <cellStyle name="Normal 3 6 2 4" xfId="48201"/>
    <cellStyle name="Normal 3 6 2 4 2" xfId="48202"/>
    <cellStyle name="Normal 3 6 2 4 2 2" xfId="48203"/>
    <cellStyle name="Normal 3 6 2 4 2 2 2" xfId="48204"/>
    <cellStyle name="Normal 3 6 2 4 2 2 2 2" xfId="48205"/>
    <cellStyle name="Normal 3 6 2 4 2 2 3" xfId="48206"/>
    <cellStyle name="Normal 3 6 2 4 2 3" xfId="48207"/>
    <cellStyle name="Normal 3 6 2 4 2 3 2" xfId="48208"/>
    <cellStyle name="Normal 3 6 2 4 2 4" xfId="48209"/>
    <cellStyle name="Normal 3 6 2 4 3" xfId="48210"/>
    <cellStyle name="Normal 3 6 2 4 3 2" xfId="48211"/>
    <cellStyle name="Normal 3 6 2 4 3 2 2" xfId="48212"/>
    <cellStyle name="Normal 3 6 2 4 3 3" xfId="48213"/>
    <cellStyle name="Normal 3 6 2 4 4" xfId="48214"/>
    <cellStyle name="Normal 3 6 2 4 4 2" xfId="48215"/>
    <cellStyle name="Normal 3 6 2 4 5" xfId="48216"/>
    <cellStyle name="Normal 3 6 2 5" xfId="48217"/>
    <cellStyle name="Normal 3 6 2 5 2" xfId="48218"/>
    <cellStyle name="Normal 3 6 2 5 2 2" xfId="48219"/>
    <cellStyle name="Normal 3 6 2 5 2 2 2" xfId="48220"/>
    <cellStyle name="Normal 3 6 2 5 2 2 2 2" xfId="48221"/>
    <cellStyle name="Normal 3 6 2 5 2 2 3" xfId="48222"/>
    <cellStyle name="Normal 3 6 2 5 2 3" xfId="48223"/>
    <cellStyle name="Normal 3 6 2 5 2 3 2" xfId="48224"/>
    <cellStyle name="Normal 3 6 2 5 2 4" xfId="48225"/>
    <cellStyle name="Normal 3 6 2 5 3" xfId="48226"/>
    <cellStyle name="Normal 3 6 2 5 3 2" xfId="48227"/>
    <cellStyle name="Normal 3 6 2 5 3 2 2" xfId="48228"/>
    <cellStyle name="Normal 3 6 2 5 3 3" xfId="48229"/>
    <cellStyle name="Normal 3 6 2 5 4" xfId="48230"/>
    <cellStyle name="Normal 3 6 2 5 4 2" xfId="48231"/>
    <cellStyle name="Normal 3 6 2 5 5" xfId="48232"/>
    <cellStyle name="Normal 3 6 2 6" xfId="48233"/>
    <cellStyle name="Normal 3 6 2 6 2" xfId="48234"/>
    <cellStyle name="Normal 3 6 2 6 2 2" xfId="48235"/>
    <cellStyle name="Normal 3 6 2 6 2 2 2" xfId="48236"/>
    <cellStyle name="Normal 3 6 2 6 2 2 2 2" xfId="48237"/>
    <cellStyle name="Normal 3 6 2 6 2 2 3" xfId="48238"/>
    <cellStyle name="Normal 3 6 2 6 2 3" xfId="48239"/>
    <cellStyle name="Normal 3 6 2 6 2 3 2" xfId="48240"/>
    <cellStyle name="Normal 3 6 2 6 2 4" xfId="48241"/>
    <cellStyle name="Normal 3 6 2 6 3" xfId="48242"/>
    <cellStyle name="Normal 3 6 2 6 3 2" xfId="48243"/>
    <cellStyle name="Normal 3 6 2 6 3 2 2" xfId="48244"/>
    <cellStyle name="Normal 3 6 2 6 3 3" xfId="48245"/>
    <cellStyle name="Normal 3 6 2 6 4" xfId="48246"/>
    <cellStyle name="Normal 3 6 2 6 4 2" xfId="48247"/>
    <cellStyle name="Normal 3 6 2 6 5" xfId="48248"/>
    <cellStyle name="Normal 3 6 2 7" xfId="48249"/>
    <cellStyle name="Normal 3 6 2 7 2" xfId="48250"/>
    <cellStyle name="Normal 3 6 2 7 2 2" xfId="48251"/>
    <cellStyle name="Normal 3 6 2 7 2 2 2" xfId="48252"/>
    <cellStyle name="Normal 3 6 2 7 2 3" xfId="48253"/>
    <cellStyle name="Normal 3 6 2 7 3" xfId="48254"/>
    <cellStyle name="Normal 3 6 2 7 3 2" xfId="48255"/>
    <cellStyle name="Normal 3 6 2 7 4" xfId="48256"/>
    <cellStyle name="Normal 3 6 2 8" xfId="48257"/>
    <cellStyle name="Normal 3 6 2 8 2" xfId="48258"/>
    <cellStyle name="Normal 3 6 2 8 2 2" xfId="48259"/>
    <cellStyle name="Normal 3 6 2 8 3" xfId="48260"/>
    <cellStyle name="Normal 3 6 2 9" xfId="48261"/>
    <cellStyle name="Normal 3 6 2 9 2" xfId="48262"/>
    <cellStyle name="Normal 3 6 3" xfId="48263"/>
    <cellStyle name="Normal 3 6 3 2" xfId="48264"/>
    <cellStyle name="Normal 3 6 3 2 2" xfId="48265"/>
    <cellStyle name="Normal 3 6 3 2 2 2" xfId="48266"/>
    <cellStyle name="Normal 3 6 3 2 2 2 2" xfId="48267"/>
    <cellStyle name="Normal 3 6 3 2 2 3" xfId="48268"/>
    <cellStyle name="Normal 3 6 3 2 3" xfId="48269"/>
    <cellStyle name="Normal 3 6 3 2 3 2" xfId="48270"/>
    <cellStyle name="Normal 3 6 3 2 4" xfId="48271"/>
    <cellStyle name="Normal 3 6 3 3" xfId="48272"/>
    <cellStyle name="Normal 3 6 3 3 2" xfId="48273"/>
    <cellStyle name="Normal 3 6 3 3 2 2" xfId="48274"/>
    <cellStyle name="Normal 3 6 3 3 3" xfId="48275"/>
    <cellStyle name="Normal 3 6 3 4" xfId="48276"/>
    <cellStyle name="Normal 3 6 3 4 2" xfId="48277"/>
    <cellStyle name="Normal 3 6 3 5" xfId="48278"/>
    <cellStyle name="Normal 3 6 4" xfId="48279"/>
    <cellStyle name="Normal 3 6 4 2" xfId="48280"/>
    <cellStyle name="Normal 3 6 4 2 2" xfId="48281"/>
    <cellStyle name="Normal 3 6 4 2 2 2" xfId="48282"/>
    <cellStyle name="Normal 3 6 4 2 2 2 2" xfId="48283"/>
    <cellStyle name="Normal 3 6 4 2 2 3" xfId="48284"/>
    <cellStyle name="Normal 3 6 4 2 3" xfId="48285"/>
    <cellStyle name="Normal 3 6 4 2 3 2" xfId="48286"/>
    <cellStyle name="Normal 3 6 4 2 4" xfId="48287"/>
    <cellStyle name="Normal 3 6 4 3" xfId="48288"/>
    <cellStyle name="Normal 3 6 4 3 2" xfId="48289"/>
    <cellStyle name="Normal 3 6 4 3 2 2" xfId="48290"/>
    <cellStyle name="Normal 3 6 4 3 3" xfId="48291"/>
    <cellStyle name="Normal 3 6 4 4" xfId="48292"/>
    <cellStyle name="Normal 3 6 4 4 2" xfId="48293"/>
    <cellStyle name="Normal 3 6 4 5" xfId="48294"/>
    <cellStyle name="Normal 3 6 5" xfId="48295"/>
    <cellStyle name="Normal 3 6 5 2" xfId="48296"/>
    <cellStyle name="Normal 3 6 5 2 2" xfId="48297"/>
    <cellStyle name="Normal 3 6 5 2 2 2" xfId="48298"/>
    <cellStyle name="Normal 3 6 5 2 2 2 2" xfId="48299"/>
    <cellStyle name="Normal 3 6 5 2 2 3" xfId="48300"/>
    <cellStyle name="Normal 3 6 5 2 3" xfId="48301"/>
    <cellStyle name="Normal 3 6 5 2 3 2" xfId="48302"/>
    <cellStyle name="Normal 3 6 5 2 4" xfId="48303"/>
    <cellStyle name="Normal 3 6 5 3" xfId="48304"/>
    <cellStyle name="Normal 3 6 5 3 2" xfId="48305"/>
    <cellStyle name="Normal 3 6 5 3 2 2" xfId="48306"/>
    <cellStyle name="Normal 3 6 5 3 3" xfId="48307"/>
    <cellStyle name="Normal 3 6 5 4" xfId="48308"/>
    <cellStyle name="Normal 3 6 5 4 2" xfId="48309"/>
    <cellStyle name="Normal 3 6 5 5" xfId="48310"/>
    <cellStyle name="Normal 3 6 6" xfId="48311"/>
    <cellStyle name="Normal 3 6 6 2" xfId="48312"/>
    <cellStyle name="Normal 3 6 6 2 2" xfId="48313"/>
    <cellStyle name="Normal 3 6 6 2 2 2" xfId="48314"/>
    <cellStyle name="Normal 3 6 6 2 2 2 2" xfId="48315"/>
    <cellStyle name="Normal 3 6 6 2 2 3" xfId="48316"/>
    <cellStyle name="Normal 3 6 6 2 3" xfId="48317"/>
    <cellStyle name="Normal 3 6 6 2 3 2" xfId="48318"/>
    <cellStyle name="Normal 3 6 6 2 4" xfId="48319"/>
    <cellStyle name="Normal 3 6 6 3" xfId="48320"/>
    <cellStyle name="Normal 3 6 6 3 2" xfId="48321"/>
    <cellStyle name="Normal 3 6 6 3 2 2" xfId="48322"/>
    <cellStyle name="Normal 3 6 6 3 3" xfId="48323"/>
    <cellStyle name="Normal 3 6 6 4" xfId="48324"/>
    <cellStyle name="Normal 3 6 6 4 2" xfId="48325"/>
    <cellStyle name="Normal 3 6 6 5" xfId="48326"/>
    <cellStyle name="Normal 3 6 7" xfId="48327"/>
    <cellStyle name="Normal 3 6 7 2" xfId="48328"/>
    <cellStyle name="Normal 3 6 7 2 2" xfId="48329"/>
    <cellStyle name="Normal 3 6 7 2 2 2" xfId="48330"/>
    <cellStyle name="Normal 3 6 7 2 2 2 2" xfId="48331"/>
    <cellStyle name="Normal 3 6 7 2 2 3" xfId="48332"/>
    <cellStyle name="Normal 3 6 7 2 3" xfId="48333"/>
    <cellStyle name="Normal 3 6 7 2 3 2" xfId="48334"/>
    <cellStyle name="Normal 3 6 7 2 4" xfId="48335"/>
    <cellStyle name="Normal 3 6 7 3" xfId="48336"/>
    <cellStyle name="Normal 3 6 7 3 2" xfId="48337"/>
    <cellStyle name="Normal 3 6 7 3 2 2" xfId="48338"/>
    <cellStyle name="Normal 3 6 7 3 3" xfId="48339"/>
    <cellStyle name="Normal 3 6 7 4" xfId="48340"/>
    <cellStyle name="Normal 3 6 7 4 2" xfId="48341"/>
    <cellStyle name="Normal 3 6 7 5" xfId="48342"/>
    <cellStyle name="Normal 3 6 8" xfId="48343"/>
    <cellStyle name="Normal 3 6 8 2" xfId="48344"/>
    <cellStyle name="Normal 3 6 8 2 2" xfId="48345"/>
    <cellStyle name="Normal 3 6 8 2 2 2" xfId="48346"/>
    <cellStyle name="Normal 3 6 8 2 3" xfId="48347"/>
    <cellStyle name="Normal 3 6 8 3" xfId="48348"/>
    <cellStyle name="Normal 3 6 8 3 2" xfId="48349"/>
    <cellStyle name="Normal 3 6 8 4" xfId="48350"/>
    <cellStyle name="Normal 3 6 9" xfId="48351"/>
    <cellStyle name="Normal 3 6 9 2" xfId="48352"/>
    <cellStyle name="Normal 3 6 9 2 2" xfId="48353"/>
    <cellStyle name="Normal 3 6 9 3" xfId="48354"/>
    <cellStyle name="Normal 3 7" xfId="48355"/>
    <cellStyle name="Normal 3 7 10" xfId="48356"/>
    <cellStyle name="Normal 3 7 10 2" xfId="48357"/>
    <cellStyle name="Normal 3 7 11" xfId="48358"/>
    <cellStyle name="Normal 3 7 2" xfId="48359"/>
    <cellStyle name="Normal 3 7 2 10" xfId="48360"/>
    <cellStyle name="Normal 3 7 2 2" xfId="48361"/>
    <cellStyle name="Normal 3 7 2 2 2" xfId="48362"/>
    <cellStyle name="Normal 3 7 2 2 2 2" xfId="48363"/>
    <cellStyle name="Normal 3 7 2 2 2 2 2" xfId="48364"/>
    <cellStyle name="Normal 3 7 2 2 2 2 2 2" xfId="48365"/>
    <cellStyle name="Normal 3 7 2 2 2 2 3" xfId="48366"/>
    <cellStyle name="Normal 3 7 2 2 2 3" xfId="48367"/>
    <cellStyle name="Normal 3 7 2 2 2 3 2" xfId="48368"/>
    <cellStyle name="Normal 3 7 2 2 2 4" xfId="48369"/>
    <cellStyle name="Normal 3 7 2 2 3" xfId="48370"/>
    <cellStyle name="Normal 3 7 2 2 3 2" xfId="48371"/>
    <cellStyle name="Normal 3 7 2 2 3 2 2" xfId="48372"/>
    <cellStyle name="Normal 3 7 2 2 3 3" xfId="48373"/>
    <cellStyle name="Normal 3 7 2 2 4" xfId="48374"/>
    <cellStyle name="Normal 3 7 2 2 4 2" xfId="48375"/>
    <cellStyle name="Normal 3 7 2 2 5" xfId="48376"/>
    <cellStyle name="Normal 3 7 2 3" xfId="48377"/>
    <cellStyle name="Normal 3 7 2 3 2" xfId="48378"/>
    <cellStyle name="Normal 3 7 2 3 2 2" xfId="48379"/>
    <cellStyle name="Normal 3 7 2 3 2 2 2" xfId="48380"/>
    <cellStyle name="Normal 3 7 2 3 2 2 2 2" xfId="48381"/>
    <cellStyle name="Normal 3 7 2 3 2 2 3" xfId="48382"/>
    <cellStyle name="Normal 3 7 2 3 2 3" xfId="48383"/>
    <cellStyle name="Normal 3 7 2 3 2 3 2" xfId="48384"/>
    <cellStyle name="Normal 3 7 2 3 2 4" xfId="48385"/>
    <cellStyle name="Normal 3 7 2 3 3" xfId="48386"/>
    <cellStyle name="Normal 3 7 2 3 3 2" xfId="48387"/>
    <cellStyle name="Normal 3 7 2 3 3 2 2" xfId="48388"/>
    <cellStyle name="Normal 3 7 2 3 3 3" xfId="48389"/>
    <cellStyle name="Normal 3 7 2 3 4" xfId="48390"/>
    <cellStyle name="Normal 3 7 2 3 4 2" xfId="48391"/>
    <cellStyle name="Normal 3 7 2 3 5" xfId="48392"/>
    <cellStyle name="Normal 3 7 2 4" xfId="48393"/>
    <cellStyle name="Normal 3 7 2 4 2" xfId="48394"/>
    <cellStyle name="Normal 3 7 2 4 2 2" xfId="48395"/>
    <cellStyle name="Normal 3 7 2 4 2 2 2" xfId="48396"/>
    <cellStyle name="Normal 3 7 2 4 2 2 2 2" xfId="48397"/>
    <cellStyle name="Normal 3 7 2 4 2 2 3" xfId="48398"/>
    <cellStyle name="Normal 3 7 2 4 2 3" xfId="48399"/>
    <cellStyle name="Normal 3 7 2 4 2 3 2" xfId="48400"/>
    <cellStyle name="Normal 3 7 2 4 2 4" xfId="48401"/>
    <cellStyle name="Normal 3 7 2 4 3" xfId="48402"/>
    <cellStyle name="Normal 3 7 2 4 3 2" xfId="48403"/>
    <cellStyle name="Normal 3 7 2 4 3 2 2" xfId="48404"/>
    <cellStyle name="Normal 3 7 2 4 3 3" xfId="48405"/>
    <cellStyle name="Normal 3 7 2 4 4" xfId="48406"/>
    <cellStyle name="Normal 3 7 2 4 4 2" xfId="48407"/>
    <cellStyle name="Normal 3 7 2 4 5" xfId="48408"/>
    <cellStyle name="Normal 3 7 2 5" xfId="48409"/>
    <cellStyle name="Normal 3 7 2 5 2" xfId="48410"/>
    <cellStyle name="Normal 3 7 2 5 2 2" xfId="48411"/>
    <cellStyle name="Normal 3 7 2 5 2 2 2" xfId="48412"/>
    <cellStyle name="Normal 3 7 2 5 2 2 2 2" xfId="48413"/>
    <cellStyle name="Normal 3 7 2 5 2 2 3" xfId="48414"/>
    <cellStyle name="Normal 3 7 2 5 2 3" xfId="48415"/>
    <cellStyle name="Normal 3 7 2 5 2 3 2" xfId="48416"/>
    <cellStyle name="Normal 3 7 2 5 2 4" xfId="48417"/>
    <cellStyle name="Normal 3 7 2 5 3" xfId="48418"/>
    <cellStyle name="Normal 3 7 2 5 3 2" xfId="48419"/>
    <cellStyle name="Normal 3 7 2 5 3 2 2" xfId="48420"/>
    <cellStyle name="Normal 3 7 2 5 3 3" xfId="48421"/>
    <cellStyle name="Normal 3 7 2 5 4" xfId="48422"/>
    <cellStyle name="Normal 3 7 2 5 4 2" xfId="48423"/>
    <cellStyle name="Normal 3 7 2 5 5" xfId="48424"/>
    <cellStyle name="Normal 3 7 2 6" xfId="48425"/>
    <cellStyle name="Normal 3 7 2 6 2" xfId="48426"/>
    <cellStyle name="Normal 3 7 2 6 2 2" xfId="48427"/>
    <cellStyle name="Normal 3 7 2 6 2 2 2" xfId="48428"/>
    <cellStyle name="Normal 3 7 2 6 2 2 2 2" xfId="48429"/>
    <cellStyle name="Normal 3 7 2 6 2 2 3" xfId="48430"/>
    <cellStyle name="Normal 3 7 2 6 2 3" xfId="48431"/>
    <cellStyle name="Normal 3 7 2 6 2 3 2" xfId="48432"/>
    <cellStyle name="Normal 3 7 2 6 2 4" xfId="48433"/>
    <cellStyle name="Normal 3 7 2 6 3" xfId="48434"/>
    <cellStyle name="Normal 3 7 2 6 3 2" xfId="48435"/>
    <cellStyle name="Normal 3 7 2 6 3 2 2" xfId="48436"/>
    <cellStyle name="Normal 3 7 2 6 3 3" xfId="48437"/>
    <cellStyle name="Normal 3 7 2 6 4" xfId="48438"/>
    <cellStyle name="Normal 3 7 2 6 4 2" xfId="48439"/>
    <cellStyle name="Normal 3 7 2 6 5" xfId="48440"/>
    <cellStyle name="Normal 3 7 2 7" xfId="48441"/>
    <cellStyle name="Normal 3 7 2 7 2" xfId="48442"/>
    <cellStyle name="Normal 3 7 2 7 2 2" xfId="48443"/>
    <cellStyle name="Normal 3 7 2 7 2 2 2" xfId="48444"/>
    <cellStyle name="Normal 3 7 2 7 2 3" xfId="48445"/>
    <cellStyle name="Normal 3 7 2 7 3" xfId="48446"/>
    <cellStyle name="Normal 3 7 2 7 3 2" xfId="48447"/>
    <cellStyle name="Normal 3 7 2 7 4" xfId="48448"/>
    <cellStyle name="Normal 3 7 2 8" xfId="48449"/>
    <cellStyle name="Normal 3 7 2 8 2" xfId="48450"/>
    <cellStyle name="Normal 3 7 2 8 2 2" xfId="48451"/>
    <cellStyle name="Normal 3 7 2 8 3" xfId="48452"/>
    <cellStyle name="Normal 3 7 2 9" xfId="48453"/>
    <cellStyle name="Normal 3 7 2 9 2" xfId="48454"/>
    <cellStyle name="Normal 3 7 3" xfId="48455"/>
    <cellStyle name="Normal 3 7 3 2" xfId="48456"/>
    <cellStyle name="Normal 3 7 3 2 2" xfId="48457"/>
    <cellStyle name="Normal 3 7 3 2 2 2" xfId="48458"/>
    <cellStyle name="Normal 3 7 3 2 2 2 2" xfId="48459"/>
    <cellStyle name="Normal 3 7 3 2 2 3" xfId="48460"/>
    <cellStyle name="Normal 3 7 3 2 3" xfId="48461"/>
    <cellStyle name="Normal 3 7 3 2 3 2" xfId="48462"/>
    <cellStyle name="Normal 3 7 3 2 4" xfId="48463"/>
    <cellStyle name="Normal 3 7 3 3" xfId="48464"/>
    <cellStyle name="Normal 3 7 3 3 2" xfId="48465"/>
    <cellStyle name="Normal 3 7 3 3 2 2" xfId="48466"/>
    <cellStyle name="Normal 3 7 3 3 3" xfId="48467"/>
    <cellStyle name="Normal 3 7 3 4" xfId="48468"/>
    <cellStyle name="Normal 3 7 3 4 2" xfId="48469"/>
    <cellStyle name="Normal 3 7 3 5" xfId="48470"/>
    <cellStyle name="Normal 3 7 4" xfId="48471"/>
    <cellStyle name="Normal 3 7 4 2" xfId="48472"/>
    <cellStyle name="Normal 3 7 4 2 2" xfId="48473"/>
    <cellStyle name="Normal 3 7 4 2 2 2" xfId="48474"/>
    <cellStyle name="Normal 3 7 4 2 2 2 2" xfId="48475"/>
    <cellStyle name="Normal 3 7 4 2 2 3" xfId="48476"/>
    <cellStyle name="Normal 3 7 4 2 3" xfId="48477"/>
    <cellStyle name="Normal 3 7 4 2 3 2" xfId="48478"/>
    <cellStyle name="Normal 3 7 4 2 4" xfId="48479"/>
    <cellStyle name="Normal 3 7 4 3" xfId="48480"/>
    <cellStyle name="Normal 3 7 4 3 2" xfId="48481"/>
    <cellStyle name="Normal 3 7 4 3 2 2" xfId="48482"/>
    <cellStyle name="Normal 3 7 4 3 3" xfId="48483"/>
    <cellStyle name="Normal 3 7 4 4" xfId="48484"/>
    <cellStyle name="Normal 3 7 4 4 2" xfId="48485"/>
    <cellStyle name="Normal 3 7 4 5" xfId="48486"/>
    <cellStyle name="Normal 3 7 5" xfId="48487"/>
    <cellStyle name="Normal 3 7 5 2" xfId="48488"/>
    <cellStyle name="Normal 3 7 5 2 2" xfId="48489"/>
    <cellStyle name="Normal 3 7 5 2 2 2" xfId="48490"/>
    <cellStyle name="Normal 3 7 5 2 2 2 2" xfId="48491"/>
    <cellStyle name="Normal 3 7 5 2 2 3" xfId="48492"/>
    <cellStyle name="Normal 3 7 5 2 3" xfId="48493"/>
    <cellStyle name="Normal 3 7 5 2 3 2" xfId="48494"/>
    <cellStyle name="Normal 3 7 5 2 4" xfId="48495"/>
    <cellStyle name="Normal 3 7 5 3" xfId="48496"/>
    <cellStyle name="Normal 3 7 5 3 2" xfId="48497"/>
    <cellStyle name="Normal 3 7 5 3 2 2" xfId="48498"/>
    <cellStyle name="Normal 3 7 5 3 3" xfId="48499"/>
    <cellStyle name="Normal 3 7 5 4" xfId="48500"/>
    <cellStyle name="Normal 3 7 5 4 2" xfId="48501"/>
    <cellStyle name="Normal 3 7 5 5" xfId="48502"/>
    <cellStyle name="Normal 3 7 6" xfId="48503"/>
    <cellStyle name="Normal 3 7 6 2" xfId="48504"/>
    <cellStyle name="Normal 3 7 6 2 2" xfId="48505"/>
    <cellStyle name="Normal 3 7 6 2 2 2" xfId="48506"/>
    <cellStyle name="Normal 3 7 6 2 2 2 2" xfId="48507"/>
    <cellStyle name="Normal 3 7 6 2 2 3" xfId="48508"/>
    <cellStyle name="Normal 3 7 6 2 3" xfId="48509"/>
    <cellStyle name="Normal 3 7 6 2 3 2" xfId="48510"/>
    <cellStyle name="Normal 3 7 6 2 4" xfId="48511"/>
    <cellStyle name="Normal 3 7 6 3" xfId="48512"/>
    <cellStyle name="Normal 3 7 6 3 2" xfId="48513"/>
    <cellStyle name="Normal 3 7 6 3 2 2" xfId="48514"/>
    <cellStyle name="Normal 3 7 6 3 3" xfId="48515"/>
    <cellStyle name="Normal 3 7 6 4" xfId="48516"/>
    <cellStyle name="Normal 3 7 6 4 2" xfId="48517"/>
    <cellStyle name="Normal 3 7 6 5" xfId="48518"/>
    <cellStyle name="Normal 3 7 7" xfId="48519"/>
    <cellStyle name="Normal 3 7 7 2" xfId="48520"/>
    <cellStyle name="Normal 3 7 7 2 2" xfId="48521"/>
    <cellStyle name="Normal 3 7 7 2 2 2" xfId="48522"/>
    <cellStyle name="Normal 3 7 7 2 2 2 2" xfId="48523"/>
    <cellStyle name="Normal 3 7 7 2 2 3" xfId="48524"/>
    <cellStyle name="Normal 3 7 7 2 3" xfId="48525"/>
    <cellStyle name="Normal 3 7 7 2 3 2" xfId="48526"/>
    <cellStyle name="Normal 3 7 7 2 4" xfId="48527"/>
    <cellStyle name="Normal 3 7 7 3" xfId="48528"/>
    <cellStyle name="Normal 3 7 7 3 2" xfId="48529"/>
    <cellStyle name="Normal 3 7 7 3 2 2" xfId="48530"/>
    <cellStyle name="Normal 3 7 7 3 3" xfId="48531"/>
    <cellStyle name="Normal 3 7 7 4" xfId="48532"/>
    <cellStyle name="Normal 3 7 7 4 2" xfId="48533"/>
    <cellStyle name="Normal 3 7 7 5" xfId="48534"/>
    <cellStyle name="Normal 3 7 8" xfId="48535"/>
    <cellStyle name="Normal 3 7 8 2" xfId="48536"/>
    <cellStyle name="Normal 3 7 8 2 2" xfId="48537"/>
    <cellStyle name="Normal 3 7 8 2 2 2" xfId="48538"/>
    <cellStyle name="Normal 3 7 8 2 3" xfId="48539"/>
    <cellStyle name="Normal 3 7 8 3" xfId="48540"/>
    <cellStyle name="Normal 3 7 8 3 2" xfId="48541"/>
    <cellStyle name="Normal 3 7 8 4" xfId="48542"/>
    <cellStyle name="Normal 3 7 9" xfId="48543"/>
    <cellStyle name="Normal 3 7 9 2" xfId="48544"/>
    <cellStyle name="Normal 3 7 9 2 2" xfId="48545"/>
    <cellStyle name="Normal 3 7 9 3" xfId="48546"/>
    <cellStyle name="Normal 3 8" xfId="48547"/>
    <cellStyle name="Normal 3 8 10" xfId="48548"/>
    <cellStyle name="Normal 3 8 10 2" xfId="48549"/>
    <cellStyle name="Normal 3 8 11" xfId="48550"/>
    <cellStyle name="Normal 3 8 2" xfId="48551"/>
    <cellStyle name="Normal 3 8 2 10" xfId="48552"/>
    <cellStyle name="Normal 3 8 2 2" xfId="48553"/>
    <cellStyle name="Normal 3 8 2 2 2" xfId="48554"/>
    <cellStyle name="Normal 3 8 2 2 2 2" xfId="48555"/>
    <cellStyle name="Normal 3 8 2 2 2 2 2" xfId="48556"/>
    <cellStyle name="Normal 3 8 2 2 2 2 2 2" xfId="48557"/>
    <cellStyle name="Normal 3 8 2 2 2 2 3" xfId="48558"/>
    <cellStyle name="Normal 3 8 2 2 2 3" xfId="48559"/>
    <cellStyle name="Normal 3 8 2 2 2 3 2" xfId="48560"/>
    <cellStyle name="Normal 3 8 2 2 2 4" xfId="48561"/>
    <cellStyle name="Normal 3 8 2 2 3" xfId="48562"/>
    <cellStyle name="Normal 3 8 2 2 3 2" xfId="48563"/>
    <cellStyle name="Normal 3 8 2 2 3 2 2" xfId="48564"/>
    <cellStyle name="Normal 3 8 2 2 3 3" xfId="48565"/>
    <cellStyle name="Normal 3 8 2 2 4" xfId="48566"/>
    <cellStyle name="Normal 3 8 2 2 4 2" xfId="48567"/>
    <cellStyle name="Normal 3 8 2 2 5" xfId="48568"/>
    <cellStyle name="Normal 3 8 2 3" xfId="48569"/>
    <cellStyle name="Normal 3 8 2 3 2" xfId="48570"/>
    <cellStyle name="Normal 3 8 2 3 2 2" xfId="48571"/>
    <cellStyle name="Normal 3 8 2 3 2 2 2" xfId="48572"/>
    <cellStyle name="Normal 3 8 2 3 2 2 2 2" xfId="48573"/>
    <cellStyle name="Normal 3 8 2 3 2 2 3" xfId="48574"/>
    <cellStyle name="Normal 3 8 2 3 2 3" xfId="48575"/>
    <cellStyle name="Normal 3 8 2 3 2 3 2" xfId="48576"/>
    <cellStyle name="Normal 3 8 2 3 2 4" xfId="48577"/>
    <cellStyle name="Normal 3 8 2 3 3" xfId="48578"/>
    <cellStyle name="Normal 3 8 2 3 3 2" xfId="48579"/>
    <cellStyle name="Normal 3 8 2 3 3 2 2" xfId="48580"/>
    <cellStyle name="Normal 3 8 2 3 3 3" xfId="48581"/>
    <cellStyle name="Normal 3 8 2 3 4" xfId="48582"/>
    <cellStyle name="Normal 3 8 2 3 4 2" xfId="48583"/>
    <cellStyle name="Normal 3 8 2 3 5" xfId="48584"/>
    <cellStyle name="Normal 3 8 2 4" xfId="48585"/>
    <cellStyle name="Normal 3 8 2 4 2" xfId="48586"/>
    <cellStyle name="Normal 3 8 2 4 2 2" xfId="48587"/>
    <cellStyle name="Normal 3 8 2 4 2 2 2" xfId="48588"/>
    <cellStyle name="Normal 3 8 2 4 2 2 2 2" xfId="48589"/>
    <cellStyle name="Normal 3 8 2 4 2 2 3" xfId="48590"/>
    <cellStyle name="Normal 3 8 2 4 2 3" xfId="48591"/>
    <cellStyle name="Normal 3 8 2 4 2 3 2" xfId="48592"/>
    <cellStyle name="Normal 3 8 2 4 2 4" xfId="48593"/>
    <cellStyle name="Normal 3 8 2 4 3" xfId="48594"/>
    <cellStyle name="Normal 3 8 2 4 3 2" xfId="48595"/>
    <cellStyle name="Normal 3 8 2 4 3 2 2" xfId="48596"/>
    <cellStyle name="Normal 3 8 2 4 3 3" xfId="48597"/>
    <cellStyle name="Normal 3 8 2 4 4" xfId="48598"/>
    <cellStyle name="Normal 3 8 2 4 4 2" xfId="48599"/>
    <cellStyle name="Normal 3 8 2 4 5" xfId="48600"/>
    <cellStyle name="Normal 3 8 2 5" xfId="48601"/>
    <cellStyle name="Normal 3 8 2 5 2" xfId="48602"/>
    <cellStyle name="Normal 3 8 2 5 2 2" xfId="48603"/>
    <cellStyle name="Normal 3 8 2 5 2 2 2" xfId="48604"/>
    <cellStyle name="Normal 3 8 2 5 2 2 2 2" xfId="48605"/>
    <cellStyle name="Normal 3 8 2 5 2 2 3" xfId="48606"/>
    <cellStyle name="Normal 3 8 2 5 2 3" xfId="48607"/>
    <cellStyle name="Normal 3 8 2 5 2 3 2" xfId="48608"/>
    <cellStyle name="Normal 3 8 2 5 2 4" xfId="48609"/>
    <cellStyle name="Normal 3 8 2 5 3" xfId="48610"/>
    <cellStyle name="Normal 3 8 2 5 3 2" xfId="48611"/>
    <cellStyle name="Normal 3 8 2 5 3 2 2" xfId="48612"/>
    <cellStyle name="Normal 3 8 2 5 3 3" xfId="48613"/>
    <cellStyle name="Normal 3 8 2 5 4" xfId="48614"/>
    <cellStyle name="Normal 3 8 2 5 4 2" xfId="48615"/>
    <cellStyle name="Normal 3 8 2 5 5" xfId="48616"/>
    <cellStyle name="Normal 3 8 2 6" xfId="48617"/>
    <cellStyle name="Normal 3 8 2 6 2" xfId="48618"/>
    <cellStyle name="Normal 3 8 2 6 2 2" xfId="48619"/>
    <cellStyle name="Normal 3 8 2 6 2 2 2" xfId="48620"/>
    <cellStyle name="Normal 3 8 2 6 2 2 2 2" xfId="48621"/>
    <cellStyle name="Normal 3 8 2 6 2 2 3" xfId="48622"/>
    <cellStyle name="Normal 3 8 2 6 2 3" xfId="48623"/>
    <cellStyle name="Normal 3 8 2 6 2 3 2" xfId="48624"/>
    <cellStyle name="Normal 3 8 2 6 2 4" xfId="48625"/>
    <cellStyle name="Normal 3 8 2 6 3" xfId="48626"/>
    <cellStyle name="Normal 3 8 2 6 3 2" xfId="48627"/>
    <cellStyle name="Normal 3 8 2 6 3 2 2" xfId="48628"/>
    <cellStyle name="Normal 3 8 2 6 3 3" xfId="48629"/>
    <cellStyle name="Normal 3 8 2 6 4" xfId="48630"/>
    <cellStyle name="Normal 3 8 2 6 4 2" xfId="48631"/>
    <cellStyle name="Normal 3 8 2 6 5" xfId="48632"/>
    <cellStyle name="Normal 3 8 2 7" xfId="48633"/>
    <cellStyle name="Normal 3 8 2 7 2" xfId="48634"/>
    <cellStyle name="Normal 3 8 2 7 2 2" xfId="48635"/>
    <cellStyle name="Normal 3 8 2 7 2 2 2" xfId="48636"/>
    <cellStyle name="Normal 3 8 2 7 2 3" xfId="48637"/>
    <cellStyle name="Normal 3 8 2 7 3" xfId="48638"/>
    <cellStyle name="Normal 3 8 2 7 3 2" xfId="48639"/>
    <cellStyle name="Normal 3 8 2 7 4" xfId="48640"/>
    <cellStyle name="Normal 3 8 2 8" xfId="48641"/>
    <cellStyle name="Normal 3 8 2 8 2" xfId="48642"/>
    <cellStyle name="Normal 3 8 2 8 2 2" xfId="48643"/>
    <cellStyle name="Normal 3 8 2 8 3" xfId="48644"/>
    <cellStyle name="Normal 3 8 2 9" xfId="48645"/>
    <cellStyle name="Normal 3 8 2 9 2" xfId="48646"/>
    <cellStyle name="Normal 3 8 3" xfId="48647"/>
    <cellStyle name="Normal 3 8 3 2" xfId="48648"/>
    <cellStyle name="Normal 3 8 3 2 2" xfId="48649"/>
    <cellStyle name="Normal 3 8 3 2 2 2" xfId="48650"/>
    <cellStyle name="Normal 3 8 3 2 2 2 2" xfId="48651"/>
    <cellStyle name="Normal 3 8 3 2 2 3" xfId="48652"/>
    <cellStyle name="Normal 3 8 3 2 3" xfId="48653"/>
    <cellStyle name="Normal 3 8 3 2 3 2" xfId="48654"/>
    <cellStyle name="Normal 3 8 3 2 4" xfId="48655"/>
    <cellStyle name="Normal 3 8 3 3" xfId="48656"/>
    <cellStyle name="Normal 3 8 3 3 2" xfId="48657"/>
    <cellStyle name="Normal 3 8 3 3 2 2" xfId="48658"/>
    <cellStyle name="Normal 3 8 3 3 3" xfId="48659"/>
    <cellStyle name="Normal 3 8 3 4" xfId="48660"/>
    <cellStyle name="Normal 3 8 3 4 2" xfId="48661"/>
    <cellStyle name="Normal 3 8 3 5" xfId="48662"/>
    <cellStyle name="Normal 3 8 4" xfId="48663"/>
    <cellStyle name="Normal 3 8 4 2" xfId="48664"/>
    <cellStyle name="Normal 3 8 4 2 2" xfId="48665"/>
    <cellStyle name="Normal 3 8 4 2 2 2" xfId="48666"/>
    <cellStyle name="Normal 3 8 4 2 2 2 2" xfId="48667"/>
    <cellStyle name="Normal 3 8 4 2 2 3" xfId="48668"/>
    <cellStyle name="Normal 3 8 4 2 3" xfId="48669"/>
    <cellStyle name="Normal 3 8 4 2 3 2" xfId="48670"/>
    <cellStyle name="Normal 3 8 4 2 4" xfId="48671"/>
    <cellStyle name="Normal 3 8 4 3" xfId="48672"/>
    <cellStyle name="Normal 3 8 4 3 2" xfId="48673"/>
    <cellStyle name="Normal 3 8 4 3 2 2" xfId="48674"/>
    <cellStyle name="Normal 3 8 4 3 3" xfId="48675"/>
    <cellStyle name="Normal 3 8 4 4" xfId="48676"/>
    <cellStyle name="Normal 3 8 4 4 2" xfId="48677"/>
    <cellStyle name="Normal 3 8 4 5" xfId="48678"/>
    <cellStyle name="Normal 3 8 5" xfId="48679"/>
    <cellStyle name="Normal 3 8 5 2" xfId="48680"/>
    <cellStyle name="Normal 3 8 5 2 2" xfId="48681"/>
    <cellStyle name="Normal 3 8 5 2 2 2" xfId="48682"/>
    <cellStyle name="Normal 3 8 5 2 2 2 2" xfId="48683"/>
    <cellStyle name="Normal 3 8 5 2 2 3" xfId="48684"/>
    <cellStyle name="Normal 3 8 5 2 3" xfId="48685"/>
    <cellStyle name="Normal 3 8 5 2 3 2" xfId="48686"/>
    <cellStyle name="Normal 3 8 5 2 4" xfId="48687"/>
    <cellStyle name="Normal 3 8 5 3" xfId="48688"/>
    <cellStyle name="Normal 3 8 5 3 2" xfId="48689"/>
    <cellStyle name="Normal 3 8 5 3 2 2" xfId="48690"/>
    <cellStyle name="Normal 3 8 5 3 3" xfId="48691"/>
    <cellStyle name="Normal 3 8 5 4" xfId="48692"/>
    <cellStyle name="Normal 3 8 5 4 2" xfId="48693"/>
    <cellStyle name="Normal 3 8 5 5" xfId="48694"/>
    <cellStyle name="Normal 3 8 6" xfId="48695"/>
    <cellStyle name="Normal 3 8 6 2" xfId="48696"/>
    <cellStyle name="Normal 3 8 6 2 2" xfId="48697"/>
    <cellStyle name="Normal 3 8 6 2 2 2" xfId="48698"/>
    <cellStyle name="Normal 3 8 6 2 2 2 2" xfId="48699"/>
    <cellStyle name="Normal 3 8 6 2 2 3" xfId="48700"/>
    <cellStyle name="Normal 3 8 6 2 3" xfId="48701"/>
    <cellStyle name="Normal 3 8 6 2 3 2" xfId="48702"/>
    <cellStyle name="Normal 3 8 6 2 4" xfId="48703"/>
    <cellStyle name="Normal 3 8 6 3" xfId="48704"/>
    <cellStyle name="Normal 3 8 6 3 2" xfId="48705"/>
    <cellStyle name="Normal 3 8 6 3 2 2" xfId="48706"/>
    <cellStyle name="Normal 3 8 6 3 3" xfId="48707"/>
    <cellStyle name="Normal 3 8 6 4" xfId="48708"/>
    <cellStyle name="Normal 3 8 6 4 2" xfId="48709"/>
    <cellStyle name="Normal 3 8 6 5" xfId="48710"/>
    <cellStyle name="Normal 3 8 7" xfId="48711"/>
    <cellStyle name="Normal 3 8 7 2" xfId="48712"/>
    <cellStyle name="Normal 3 8 7 2 2" xfId="48713"/>
    <cellStyle name="Normal 3 8 7 2 2 2" xfId="48714"/>
    <cellStyle name="Normal 3 8 7 2 2 2 2" xfId="48715"/>
    <cellStyle name="Normal 3 8 7 2 2 3" xfId="48716"/>
    <cellStyle name="Normal 3 8 7 2 3" xfId="48717"/>
    <cellStyle name="Normal 3 8 7 2 3 2" xfId="48718"/>
    <cellStyle name="Normal 3 8 7 2 4" xfId="48719"/>
    <cellStyle name="Normal 3 8 7 3" xfId="48720"/>
    <cellStyle name="Normal 3 8 7 3 2" xfId="48721"/>
    <cellStyle name="Normal 3 8 7 3 2 2" xfId="48722"/>
    <cellStyle name="Normal 3 8 7 3 3" xfId="48723"/>
    <cellStyle name="Normal 3 8 7 4" xfId="48724"/>
    <cellStyle name="Normal 3 8 7 4 2" xfId="48725"/>
    <cellStyle name="Normal 3 8 7 5" xfId="48726"/>
    <cellStyle name="Normal 3 8 8" xfId="48727"/>
    <cellStyle name="Normal 3 8 8 2" xfId="48728"/>
    <cellStyle name="Normal 3 8 8 2 2" xfId="48729"/>
    <cellStyle name="Normal 3 8 8 2 2 2" xfId="48730"/>
    <cellStyle name="Normal 3 8 8 2 3" xfId="48731"/>
    <cellStyle name="Normal 3 8 8 3" xfId="48732"/>
    <cellStyle name="Normal 3 8 8 3 2" xfId="48733"/>
    <cellStyle name="Normal 3 8 8 4" xfId="48734"/>
    <cellStyle name="Normal 3 8 9" xfId="48735"/>
    <cellStyle name="Normal 3 8 9 2" xfId="48736"/>
    <cellStyle name="Normal 3 8 9 2 2" xfId="48737"/>
    <cellStyle name="Normal 3 8 9 3" xfId="48738"/>
    <cellStyle name="Normal 3 9" xfId="48739"/>
    <cellStyle name="Normal 3 9 10" xfId="48740"/>
    <cellStyle name="Normal 3 9 10 2" xfId="48741"/>
    <cellStyle name="Normal 3 9 11" xfId="48742"/>
    <cellStyle name="Normal 3 9 2" xfId="48743"/>
    <cellStyle name="Normal 3 9 2 10" xfId="48744"/>
    <cellStyle name="Normal 3 9 2 2" xfId="48745"/>
    <cellStyle name="Normal 3 9 2 2 2" xfId="48746"/>
    <cellStyle name="Normal 3 9 2 2 2 2" xfId="48747"/>
    <cellStyle name="Normal 3 9 2 2 2 2 2" xfId="48748"/>
    <cellStyle name="Normal 3 9 2 2 2 2 2 2" xfId="48749"/>
    <cellStyle name="Normal 3 9 2 2 2 2 3" xfId="48750"/>
    <cellStyle name="Normal 3 9 2 2 2 3" xfId="48751"/>
    <cellStyle name="Normal 3 9 2 2 2 3 2" xfId="48752"/>
    <cellStyle name="Normal 3 9 2 2 2 4" xfId="48753"/>
    <cellStyle name="Normal 3 9 2 2 3" xfId="48754"/>
    <cellStyle name="Normal 3 9 2 2 3 2" xfId="48755"/>
    <cellStyle name="Normal 3 9 2 2 3 2 2" xfId="48756"/>
    <cellStyle name="Normal 3 9 2 2 3 3" xfId="48757"/>
    <cellStyle name="Normal 3 9 2 2 4" xfId="48758"/>
    <cellStyle name="Normal 3 9 2 2 4 2" xfId="48759"/>
    <cellStyle name="Normal 3 9 2 2 5" xfId="48760"/>
    <cellStyle name="Normal 3 9 2 3" xfId="48761"/>
    <cellStyle name="Normal 3 9 2 3 2" xfId="48762"/>
    <cellStyle name="Normal 3 9 2 3 2 2" xfId="48763"/>
    <cellStyle name="Normal 3 9 2 3 2 2 2" xfId="48764"/>
    <cellStyle name="Normal 3 9 2 3 2 2 2 2" xfId="48765"/>
    <cellStyle name="Normal 3 9 2 3 2 2 3" xfId="48766"/>
    <cellStyle name="Normal 3 9 2 3 2 3" xfId="48767"/>
    <cellStyle name="Normal 3 9 2 3 2 3 2" xfId="48768"/>
    <cellStyle name="Normal 3 9 2 3 2 4" xfId="48769"/>
    <cellStyle name="Normal 3 9 2 3 3" xfId="48770"/>
    <cellStyle name="Normal 3 9 2 3 3 2" xfId="48771"/>
    <cellStyle name="Normal 3 9 2 3 3 2 2" xfId="48772"/>
    <cellStyle name="Normal 3 9 2 3 3 3" xfId="48773"/>
    <cellStyle name="Normal 3 9 2 3 4" xfId="48774"/>
    <cellStyle name="Normal 3 9 2 3 4 2" xfId="48775"/>
    <cellStyle name="Normal 3 9 2 3 5" xfId="48776"/>
    <cellStyle name="Normal 3 9 2 4" xfId="48777"/>
    <cellStyle name="Normal 3 9 2 4 2" xfId="48778"/>
    <cellStyle name="Normal 3 9 2 4 2 2" xfId="48779"/>
    <cellStyle name="Normal 3 9 2 4 2 2 2" xfId="48780"/>
    <cellStyle name="Normal 3 9 2 4 2 2 2 2" xfId="48781"/>
    <cellStyle name="Normal 3 9 2 4 2 2 3" xfId="48782"/>
    <cellStyle name="Normal 3 9 2 4 2 3" xfId="48783"/>
    <cellStyle name="Normal 3 9 2 4 2 3 2" xfId="48784"/>
    <cellStyle name="Normal 3 9 2 4 2 4" xfId="48785"/>
    <cellStyle name="Normal 3 9 2 4 3" xfId="48786"/>
    <cellStyle name="Normal 3 9 2 4 3 2" xfId="48787"/>
    <cellStyle name="Normal 3 9 2 4 3 2 2" xfId="48788"/>
    <cellStyle name="Normal 3 9 2 4 3 3" xfId="48789"/>
    <cellStyle name="Normal 3 9 2 4 4" xfId="48790"/>
    <cellStyle name="Normal 3 9 2 4 4 2" xfId="48791"/>
    <cellStyle name="Normal 3 9 2 4 5" xfId="48792"/>
    <cellStyle name="Normal 3 9 2 5" xfId="48793"/>
    <cellStyle name="Normal 3 9 2 5 2" xfId="48794"/>
    <cellStyle name="Normal 3 9 2 5 2 2" xfId="48795"/>
    <cellStyle name="Normal 3 9 2 5 2 2 2" xfId="48796"/>
    <cellStyle name="Normal 3 9 2 5 2 2 2 2" xfId="48797"/>
    <cellStyle name="Normal 3 9 2 5 2 2 3" xfId="48798"/>
    <cellStyle name="Normal 3 9 2 5 2 3" xfId="48799"/>
    <cellStyle name="Normal 3 9 2 5 2 3 2" xfId="48800"/>
    <cellStyle name="Normal 3 9 2 5 2 4" xfId="48801"/>
    <cellStyle name="Normal 3 9 2 5 3" xfId="48802"/>
    <cellStyle name="Normal 3 9 2 5 3 2" xfId="48803"/>
    <cellStyle name="Normal 3 9 2 5 3 2 2" xfId="48804"/>
    <cellStyle name="Normal 3 9 2 5 3 3" xfId="48805"/>
    <cellStyle name="Normal 3 9 2 5 4" xfId="48806"/>
    <cellStyle name="Normal 3 9 2 5 4 2" xfId="48807"/>
    <cellStyle name="Normal 3 9 2 5 5" xfId="48808"/>
    <cellStyle name="Normal 3 9 2 6" xfId="48809"/>
    <cellStyle name="Normal 3 9 2 6 2" xfId="48810"/>
    <cellStyle name="Normal 3 9 2 6 2 2" xfId="48811"/>
    <cellStyle name="Normal 3 9 2 6 2 2 2" xfId="48812"/>
    <cellStyle name="Normal 3 9 2 6 2 2 2 2" xfId="48813"/>
    <cellStyle name="Normal 3 9 2 6 2 2 3" xfId="48814"/>
    <cellStyle name="Normal 3 9 2 6 2 3" xfId="48815"/>
    <cellStyle name="Normal 3 9 2 6 2 3 2" xfId="48816"/>
    <cellStyle name="Normal 3 9 2 6 2 4" xfId="48817"/>
    <cellStyle name="Normal 3 9 2 6 3" xfId="48818"/>
    <cellStyle name="Normal 3 9 2 6 3 2" xfId="48819"/>
    <cellStyle name="Normal 3 9 2 6 3 2 2" xfId="48820"/>
    <cellStyle name="Normal 3 9 2 6 3 3" xfId="48821"/>
    <cellStyle name="Normal 3 9 2 6 4" xfId="48822"/>
    <cellStyle name="Normal 3 9 2 6 4 2" xfId="48823"/>
    <cellStyle name="Normal 3 9 2 6 5" xfId="48824"/>
    <cellStyle name="Normal 3 9 2 7" xfId="48825"/>
    <cellStyle name="Normal 3 9 2 7 2" xfId="48826"/>
    <cellStyle name="Normal 3 9 2 7 2 2" xfId="48827"/>
    <cellStyle name="Normal 3 9 2 7 2 2 2" xfId="48828"/>
    <cellStyle name="Normal 3 9 2 7 2 3" xfId="48829"/>
    <cellStyle name="Normal 3 9 2 7 3" xfId="48830"/>
    <cellStyle name="Normal 3 9 2 7 3 2" xfId="48831"/>
    <cellStyle name="Normal 3 9 2 7 4" xfId="48832"/>
    <cellStyle name="Normal 3 9 2 8" xfId="48833"/>
    <cellStyle name="Normal 3 9 2 8 2" xfId="48834"/>
    <cellStyle name="Normal 3 9 2 8 2 2" xfId="48835"/>
    <cellStyle name="Normal 3 9 2 8 3" xfId="48836"/>
    <cellStyle name="Normal 3 9 2 9" xfId="48837"/>
    <cellStyle name="Normal 3 9 2 9 2" xfId="48838"/>
    <cellStyle name="Normal 3 9 3" xfId="48839"/>
    <cellStyle name="Normal 3 9 3 2" xfId="48840"/>
    <cellStyle name="Normal 3 9 3 2 2" xfId="48841"/>
    <cellStyle name="Normal 3 9 3 2 2 2" xfId="48842"/>
    <cellStyle name="Normal 3 9 3 2 2 2 2" xfId="48843"/>
    <cellStyle name="Normal 3 9 3 2 2 3" xfId="48844"/>
    <cellStyle name="Normal 3 9 3 2 3" xfId="48845"/>
    <cellStyle name="Normal 3 9 3 2 3 2" xfId="48846"/>
    <cellStyle name="Normal 3 9 3 2 4" xfId="48847"/>
    <cellStyle name="Normal 3 9 3 3" xfId="48848"/>
    <cellStyle name="Normal 3 9 3 3 2" xfId="48849"/>
    <cellStyle name="Normal 3 9 3 3 2 2" xfId="48850"/>
    <cellStyle name="Normal 3 9 3 3 3" xfId="48851"/>
    <cellStyle name="Normal 3 9 3 4" xfId="48852"/>
    <cellStyle name="Normal 3 9 3 4 2" xfId="48853"/>
    <cellStyle name="Normal 3 9 3 5" xfId="48854"/>
    <cellStyle name="Normal 3 9 4" xfId="48855"/>
    <cellStyle name="Normal 3 9 4 2" xfId="48856"/>
    <cellStyle name="Normal 3 9 4 2 2" xfId="48857"/>
    <cellStyle name="Normal 3 9 4 2 2 2" xfId="48858"/>
    <cellStyle name="Normal 3 9 4 2 2 2 2" xfId="48859"/>
    <cellStyle name="Normal 3 9 4 2 2 3" xfId="48860"/>
    <cellStyle name="Normal 3 9 4 2 3" xfId="48861"/>
    <cellStyle name="Normal 3 9 4 2 3 2" xfId="48862"/>
    <cellStyle name="Normal 3 9 4 2 4" xfId="48863"/>
    <cellStyle name="Normal 3 9 4 3" xfId="48864"/>
    <cellStyle name="Normal 3 9 4 3 2" xfId="48865"/>
    <cellStyle name="Normal 3 9 4 3 2 2" xfId="48866"/>
    <cellStyle name="Normal 3 9 4 3 3" xfId="48867"/>
    <cellStyle name="Normal 3 9 4 4" xfId="48868"/>
    <cellStyle name="Normal 3 9 4 4 2" xfId="48869"/>
    <cellStyle name="Normal 3 9 4 5" xfId="48870"/>
    <cellStyle name="Normal 3 9 5" xfId="48871"/>
    <cellStyle name="Normal 3 9 5 2" xfId="48872"/>
    <cellStyle name="Normal 3 9 5 2 2" xfId="48873"/>
    <cellStyle name="Normal 3 9 5 2 2 2" xfId="48874"/>
    <cellStyle name="Normal 3 9 5 2 2 2 2" xfId="48875"/>
    <cellStyle name="Normal 3 9 5 2 2 3" xfId="48876"/>
    <cellStyle name="Normal 3 9 5 2 3" xfId="48877"/>
    <cellStyle name="Normal 3 9 5 2 3 2" xfId="48878"/>
    <cellStyle name="Normal 3 9 5 2 4" xfId="48879"/>
    <cellStyle name="Normal 3 9 5 3" xfId="48880"/>
    <cellStyle name="Normal 3 9 5 3 2" xfId="48881"/>
    <cellStyle name="Normal 3 9 5 3 2 2" xfId="48882"/>
    <cellStyle name="Normal 3 9 5 3 3" xfId="48883"/>
    <cellStyle name="Normal 3 9 5 4" xfId="48884"/>
    <cellStyle name="Normal 3 9 5 4 2" xfId="48885"/>
    <cellStyle name="Normal 3 9 5 5" xfId="48886"/>
    <cellStyle name="Normal 3 9 6" xfId="48887"/>
    <cellStyle name="Normal 3 9 6 2" xfId="48888"/>
    <cellStyle name="Normal 3 9 6 2 2" xfId="48889"/>
    <cellStyle name="Normal 3 9 6 2 2 2" xfId="48890"/>
    <cellStyle name="Normal 3 9 6 2 2 2 2" xfId="48891"/>
    <cellStyle name="Normal 3 9 6 2 2 3" xfId="48892"/>
    <cellStyle name="Normal 3 9 6 2 3" xfId="48893"/>
    <cellStyle name="Normal 3 9 6 2 3 2" xfId="48894"/>
    <cellStyle name="Normal 3 9 6 2 4" xfId="48895"/>
    <cellStyle name="Normal 3 9 6 3" xfId="48896"/>
    <cellStyle name="Normal 3 9 6 3 2" xfId="48897"/>
    <cellStyle name="Normal 3 9 6 3 2 2" xfId="48898"/>
    <cellStyle name="Normal 3 9 6 3 3" xfId="48899"/>
    <cellStyle name="Normal 3 9 6 4" xfId="48900"/>
    <cellStyle name="Normal 3 9 6 4 2" xfId="48901"/>
    <cellStyle name="Normal 3 9 6 5" xfId="48902"/>
    <cellStyle name="Normal 3 9 7" xfId="48903"/>
    <cellStyle name="Normal 3 9 7 2" xfId="48904"/>
    <cellStyle name="Normal 3 9 7 2 2" xfId="48905"/>
    <cellStyle name="Normal 3 9 7 2 2 2" xfId="48906"/>
    <cellStyle name="Normal 3 9 7 2 2 2 2" xfId="48907"/>
    <cellStyle name="Normal 3 9 7 2 2 3" xfId="48908"/>
    <cellStyle name="Normal 3 9 7 2 3" xfId="48909"/>
    <cellStyle name="Normal 3 9 7 2 3 2" xfId="48910"/>
    <cellStyle name="Normal 3 9 7 2 4" xfId="48911"/>
    <cellStyle name="Normal 3 9 7 3" xfId="48912"/>
    <cellStyle name="Normal 3 9 7 3 2" xfId="48913"/>
    <cellStyle name="Normal 3 9 7 3 2 2" xfId="48914"/>
    <cellStyle name="Normal 3 9 7 3 3" xfId="48915"/>
    <cellStyle name="Normal 3 9 7 4" xfId="48916"/>
    <cellStyle name="Normal 3 9 7 4 2" xfId="48917"/>
    <cellStyle name="Normal 3 9 7 5" xfId="48918"/>
    <cellStyle name="Normal 3 9 8" xfId="48919"/>
    <cellStyle name="Normal 3 9 8 2" xfId="48920"/>
    <cellStyle name="Normal 3 9 8 2 2" xfId="48921"/>
    <cellStyle name="Normal 3 9 8 2 2 2" xfId="48922"/>
    <cellStyle name="Normal 3 9 8 2 3" xfId="48923"/>
    <cellStyle name="Normal 3 9 8 3" xfId="48924"/>
    <cellStyle name="Normal 3 9 8 3 2" xfId="48925"/>
    <cellStyle name="Normal 3 9 8 4" xfId="48926"/>
    <cellStyle name="Normal 3 9 9" xfId="48927"/>
    <cellStyle name="Normal 3 9 9 2" xfId="48928"/>
    <cellStyle name="Normal 3 9 9 2 2" xfId="48929"/>
    <cellStyle name="Normal 3 9 9 3" xfId="48930"/>
    <cellStyle name="Normal 4" xfId="48931"/>
    <cellStyle name="Normal 4 2" xfId="48932"/>
    <cellStyle name="Normal 5" xfId="48933"/>
    <cellStyle name="Normal 5 2" xfId="48934"/>
    <cellStyle name="Normal 6" xfId="48935"/>
    <cellStyle name="Normal 6 2" xfId="48936"/>
    <cellStyle name="Normal 7" xfId="48937"/>
    <cellStyle name="Normal 7 2" xfId="48938"/>
    <cellStyle name="Normal 7 3" xfId="48939"/>
    <cellStyle name="Normal 7 4" xfId="48940"/>
    <cellStyle name="Normal 7 5" xfId="48941"/>
    <cellStyle name="Normal 7 6" xfId="48942"/>
    <cellStyle name="Normal 7 7" xfId="48943"/>
    <cellStyle name="Normal 8" xfId="48944"/>
    <cellStyle name="Normal 8 10" xfId="48945"/>
    <cellStyle name="Normal 8 2" xfId="48946"/>
    <cellStyle name="Normal 8 2 2" xfId="48947"/>
    <cellStyle name="Normal 8 2 2 2" xfId="48948"/>
    <cellStyle name="Normal 8 2 2 2 2" xfId="48949"/>
    <cellStyle name="Normal 8 2 2 2 2 2" xfId="48950"/>
    <cellStyle name="Normal 8 2 2 2 3" xfId="48951"/>
    <cellStyle name="Normal 8 2 2 3" xfId="48952"/>
    <cellStyle name="Normal 8 2 2 3 2" xfId="48953"/>
    <cellStyle name="Normal 8 2 2 4" xfId="48954"/>
    <cellStyle name="Normal 8 2 3" xfId="48955"/>
    <cellStyle name="Normal 8 2 3 2" xfId="48956"/>
    <cellStyle name="Normal 8 2 3 2 2" xfId="48957"/>
    <cellStyle name="Normal 8 2 3 3" xfId="48958"/>
    <cellStyle name="Normal 8 2 4" xfId="48959"/>
    <cellStyle name="Normal 8 2 4 2" xfId="48960"/>
    <cellStyle name="Normal 8 2 5" xfId="48961"/>
    <cellStyle name="Normal 8 3" xfId="48962"/>
    <cellStyle name="Normal 8 3 2" xfId="48963"/>
    <cellStyle name="Normal 8 3 2 2" xfId="48964"/>
    <cellStyle name="Normal 8 3 2 2 2" xfId="48965"/>
    <cellStyle name="Normal 8 3 2 2 2 2" xfId="48966"/>
    <cellStyle name="Normal 8 3 2 2 3" xfId="48967"/>
    <cellStyle name="Normal 8 3 2 3" xfId="48968"/>
    <cellStyle name="Normal 8 3 2 3 2" xfId="48969"/>
    <cellStyle name="Normal 8 3 2 4" xfId="48970"/>
    <cellStyle name="Normal 8 3 3" xfId="48971"/>
    <cellStyle name="Normal 8 3 3 2" xfId="48972"/>
    <cellStyle name="Normal 8 3 3 2 2" xfId="48973"/>
    <cellStyle name="Normal 8 3 3 3" xfId="48974"/>
    <cellStyle name="Normal 8 3 4" xfId="48975"/>
    <cellStyle name="Normal 8 3 4 2" xfId="48976"/>
    <cellStyle name="Normal 8 3 5" xfId="48977"/>
    <cellStyle name="Normal 8 4" xfId="48978"/>
    <cellStyle name="Normal 8 4 2" xfId="48979"/>
    <cellStyle name="Normal 8 4 2 2" xfId="48980"/>
    <cellStyle name="Normal 8 4 2 2 2" xfId="48981"/>
    <cellStyle name="Normal 8 4 2 2 2 2" xfId="48982"/>
    <cellStyle name="Normal 8 4 2 2 3" xfId="48983"/>
    <cellStyle name="Normal 8 4 2 3" xfId="48984"/>
    <cellStyle name="Normal 8 4 2 3 2" xfId="48985"/>
    <cellStyle name="Normal 8 4 2 4" xfId="48986"/>
    <cellStyle name="Normal 8 4 3" xfId="48987"/>
    <cellStyle name="Normal 8 4 3 2" xfId="48988"/>
    <cellStyle name="Normal 8 4 3 2 2" xfId="48989"/>
    <cellStyle name="Normal 8 4 3 3" xfId="48990"/>
    <cellStyle name="Normal 8 4 4" xfId="48991"/>
    <cellStyle name="Normal 8 4 4 2" xfId="48992"/>
    <cellStyle name="Normal 8 4 5" xfId="48993"/>
    <cellStyle name="Normal 8 5" xfId="48994"/>
    <cellStyle name="Normal 8 5 2" xfId="48995"/>
    <cellStyle name="Normal 8 5 2 2" xfId="48996"/>
    <cellStyle name="Normal 8 5 2 2 2" xfId="48997"/>
    <cellStyle name="Normal 8 5 2 2 2 2" xfId="48998"/>
    <cellStyle name="Normal 8 5 2 2 3" xfId="48999"/>
    <cellStyle name="Normal 8 5 2 3" xfId="49000"/>
    <cellStyle name="Normal 8 5 2 3 2" xfId="49001"/>
    <cellStyle name="Normal 8 5 2 4" xfId="49002"/>
    <cellStyle name="Normal 8 5 3" xfId="49003"/>
    <cellStyle name="Normal 8 5 3 2" xfId="49004"/>
    <cellStyle name="Normal 8 5 3 2 2" xfId="49005"/>
    <cellStyle name="Normal 8 5 3 3" xfId="49006"/>
    <cellStyle name="Normal 8 5 4" xfId="49007"/>
    <cellStyle name="Normal 8 5 4 2" xfId="49008"/>
    <cellStyle name="Normal 8 5 5" xfId="49009"/>
    <cellStyle name="Normal 8 6" xfId="49010"/>
    <cellStyle name="Normal 8 6 2" xfId="49011"/>
    <cellStyle name="Normal 8 6 2 2" xfId="49012"/>
    <cellStyle name="Normal 8 6 2 2 2" xfId="49013"/>
    <cellStyle name="Normal 8 6 2 2 2 2" xfId="49014"/>
    <cellStyle name="Normal 8 6 2 2 3" xfId="49015"/>
    <cellStyle name="Normal 8 6 2 3" xfId="49016"/>
    <cellStyle name="Normal 8 6 2 3 2" xfId="49017"/>
    <cellStyle name="Normal 8 6 2 4" xfId="49018"/>
    <cellStyle name="Normal 8 6 3" xfId="49019"/>
    <cellStyle name="Normal 8 6 3 2" xfId="49020"/>
    <cellStyle name="Normal 8 6 3 2 2" xfId="49021"/>
    <cellStyle name="Normal 8 6 3 3" xfId="49022"/>
    <cellStyle name="Normal 8 6 4" xfId="49023"/>
    <cellStyle name="Normal 8 6 4 2" xfId="49024"/>
    <cellStyle name="Normal 8 6 5" xfId="49025"/>
    <cellStyle name="Normal 8 7" xfId="49026"/>
    <cellStyle name="Normal 8 7 2" xfId="49027"/>
    <cellStyle name="Normal 8 7 2 2" xfId="49028"/>
    <cellStyle name="Normal 8 7 2 2 2" xfId="49029"/>
    <cellStyle name="Normal 8 7 2 3" xfId="49030"/>
    <cellStyle name="Normal 8 7 3" xfId="49031"/>
    <cellStyle name="Normal 8 7 3 2" xfId="49032"/>
    <cellStyle name="Normal 8 7 4" xfId="49033"/>
    <cellStyle name="Normal 8 8" xfId="49034"/>
    <cellStyle name="Normal 8 8 2" xfId="49035"/>
    <cellStyle name="Normal 8 8 2 2" xfId="49036"/>
    <cellStyle name="Normal 8 8 3" xfId="49037"/>
    <cellStyle name="Normal 8 9" xfId="49038"/>
    <cellStyle name="Normal 8 9 2" xfId="49039"/>
    <cellStyle name="Normal 9" xfId="49040"/>
    <cellStyle name="Normal 9 2" xfId="49041"/>
    <cellStyle name="Note" xfId="52845" builtinId="10" customBuiltin="1"/>
    <cellStyle name="Note 2" xfId="49042"/>
    <cellStyle name="Note 2 10" xfId="49043"/>
    <cellStyle name="Note 2 10 10" xfId="49044"/>
    <cellStyle name="Note 2 10 2" xfId="49045"/>
    <cellStyle name="Note 2 10 2 2" xfId="49046"/>
    <cellStyle name="Note 2 10 2 2 2" xfId="49047"/>
    <cellStyle name="Note 2 10 2 2 2 2" xfId="49048"/>
    <cellStyle name="Note 2 10 2 2 2 2 2" xfId="49049"/>
    <cellStyle name="Note 2 10 2 2 2 3" xfId="49050"/>
    <cellStyle name="Note 2 10 2 2 3" xfId="49051"/>
    <cellStyle name="Note 2 10 2 2 3 2" xfId="49052"/>
    <cellStyle name="Note 2 10 2 2 4" xfId="49053"/>
    <cellStyle name="Note 2 10 2 3" xfId="49054"/>
    <cellStyle name="Note 2 10 2 3 2" xfId="49055"/>
    <cellStyle name="Note 2 10 2 3 2 2" xfId="49056"/>
    <cellStyle name="Note 2 10 2 3 3" xfId="49057"/>
    <cellStyle name="Note 2 10 2 4" xfId="49058"/>
    <cellStyle name="Note 2 10 2 4 2" xfId="49059"/>
    <cellStyle name="Note 2 10 2 5" xfId="49060"/>
    <cellStyle name="Note 2 10 3" xfId="49061"/>
    <cellStyle name="Note 2 10 3 2" xfId="49062"/>
    <cellStyle name="Note 2 10 3 2 2" xfId="49063"/>
    <cellStyle name="Note 2 10 3 2 2 2" xfId="49064"/>
    <cellStyle name="Note 2 10 3 2 2 2 2" xfId="49065"/>
    <cellStyle name="Note 2 10 3 2 2 3" xfId="49066"/>
    <cellStyle name="Note 2 10 3 2 3" xfId="49067"/>
    <cellStyle name="Note 2 10 3 2 3 2" xfId="49068"/>
    <cellStyle name="Note 2 10 3 2 4" xfId="49069"/>
    <cellStyle name="Note 2 10 3 3" xfId="49070"/>
    <cellStyle name="Note 2 10 3 3 2" xfId="49071"/>
    <cellStyle name="Note 2 10 3 3 2 2" xfId="49072"/>
    <cellStyle name="Note 2 10 3 3 3" xfId="49073"/>
    <cellStyle name="Note 2 10 3 4" xfId="49074"/>
    <cellStyle name="Note 2 10 3 4 2" xfId="49075"/>
    <cellStyle name="Note 2 10 3 5" xfId="49076"/>
    <cellStyle name="Note 2 10 4" xfId="49077"/>
    <cellStyle name="Note 2 10 4 2" xfId="49078"/>
    <cellStyle name="Note 2 10 4 2 2" xfId="49079"/>
    <cellStyle name="Note 2 10 4 2 2 2" xfId="49080"/>
    <cellStyle name="Note 2 10 4 2 2 2 2" xfId="49081"/>
    <cellStyle name="Note 2 10 4 2 2 3" xfId="49082"/>
    <cellStyle name="Note 2 10 4 2 3" xfId="49083"/>
    <cellStyle name="Note 2 10 4 2 3 2" xfId="49084"/>
    <cellStyle name="Note 2 10 4 2 4" xfId="49085"/>
    <cellStyle name="Note 2 10 4 3" xfId="49086"/>
    <cellStyle name="Note 2 10 4 3 2" xfId="49087"/>
    <cellStyle name="Note 2 10 4 3 2 2" xfId="49088"/>
    <cellStyle name="Note 2 10 4 3 3" xfId="49089"/>
    <cellStyle name="Note 2 10 4 4" xfId="49090"/>
    <cellStyle name="Note 2 10 4 4 2" xfId="49091"/>
    <cellStyle name="Note 2 10 4 5" xfId="49092"/>
    <cellStyle name="Note 2 10 5" xfId="49093"/>
    <cellStyle name="Note 2 10 5 2" xfId="49094"/>
    <cellStyle name="Note 2 10 5 2 2" xfId="49095"/>
    <cellStyle name="Note 2 10 5 2 2 2" xfId="49096"/>
    <cellStyle name="Note 2 10 5 2 2 2 2" xfId="49097"/>
    <cellStyle name="Note 2 10 5 2 2 3" xfId="49098"/>
    <cellStyle name="Note 2 10 5 2 3" xfId="49099"/>
    <cellStyle name="Note 2 10 5 2 3 2" xfId="49100"/>
    <cellStyle name="Note 2 10 5 2 4" xfId="49101"/>
    <cellStyle name="Note 2 10 5 3" xfId="49102"/>
    <cellStyle name="Note 2 10 5 3 2" xfId="49103"/>
    <cellStyle name="Note 2 10 5 3 2 2" xfId="49104"/>
    <cellStyle name="Note 2 10 5 3 3" xfId="49105"/>
    <cellStyle name="Note 2 10 5 4" xfId="49106"/>
    <cellStyle name="Note 2 10 5 4 2" xfId="49107"/>
    <cellStyle name="Note 2 10 5 5" xfId="49108"/>
    <cellStyle name="Note 2 10 6" xfId="49109"/>
    <cellStyle name="Note 2 10 6 2" xfId="49110"/>
    <cellStyle name="Note 2 10 6 2 2" xfId="49111"/>
    <cellStyle name="Note 2 10 6 2 2 2" xfId="49112"/>
    <cellStyle name="Note 2 10 6 2 2 2 2" xfId="49113"/>
    <cellStyle name="Note 2 10 6 2 2 3" xfId="49114"/>
    <cellStyle name="Note 2 10 6 2 3" xfId="49115"/>
    <cellStyle name="Note 2 10 6 2 3 2" xfId="49116"/>
    <cellStyle name="Note 2 10 6 2 4" xfId="49117"/>
    <cellStyle name="Note 2 10 6 3" xfId="49118"/>
    <cellStyle name="Note 2 10 6 3 2" xfId="49119"/>
    <cellStyle name="Note 2 10 6 3 2 2" xfId="49120"/>
    <cellStyle name="Note 2 10 6 3 3" xfId="49121"/>
    <cellStyle name="Note 2 10 6 4" xfId="49122"/>
    <cellStyle name="Note 2 10 6 4 2" xfId="49123"/>
    <cellStyle name="Note 2 10 6 5" xfId="49124"/>
    <cellStyle name="Note 2 10 7" xfId="49125"/>
    <cellStyle name="Note 2 10 7 2" xfId="49126"/>
    <cellStyle name="Note 2 10 7 2 2" xfId="49127"/>
    <cellStyle name="Note 2 10 7 2 2 2" xfId="49128"/>
    <cellStyle name="Note 2 10 7 2 3" xfId="49129"/>
    <cellStyle name="Note 2 10 7 3" xfId="49130"/>
    <cellStyle name="Note 2 10 7 3 2" xfId="49131"/>
    <cellStyle name="Note 2 10 7 4" xfId="49132"/>
    <cellStyle name="Note 2 10 8" xfId="49133"/>
    <cellStyle name="Note 2 10 8 2" xfId="49134"/>
    <cellStyle name="Note 2 10 8 2 2" xfId="49135"/>
    <cellStyle name="Note 2 10 8 3" xfId="49136"/>
    <cellStyle name="Note 2 10 9" xfId="49137"/>
    <cellStyle name="Note 2 10 9 2" xfId="49138"/>
    <cellStyle name="Note 2 11" xfId="49139"/>
    <cellStyle name="Note 2 11 2" xfId="49140"/>
    <cellStyle name="Note 2 11 2 2" xfId="49141"/>
    <cellStyle name="Note 2 11 2 2 2" xfId="49142"/>
    <cellStyle name="Note 2 11 2 2 2 2" xfId="49143"/>
    <cellStyle name="Note 2 11 2 2 3" xfId="49144"/>
    <cellStyle name="Note 2 11 2 3" xfId="49145"/>
    <cellStyle name="Note 2 11 2 3 2" xfId="49146"/>
    <cellStyle name="Note 2 11 2 4" xfId="49147"/>
    <cellStyle name="Note 2 11 3" xfId="49148"/>
    <cellStyle name="Note 2 11 3 2" xfId="49149"/>
    <cellStyle name="Note 2 11 3 2 2" xfId="49150"/>
    <cellStyle name="Note 2 11 3 3" xfId="49151"/>
    <cellStyle name="Note 2 11 4" xfId="49152"/>
    <cellStyle name="Note 2 11 4 2" xfId="49153"/>
    <cellStyle name="Note 2 11 5" xfId="49154"/>
    <cellStyle name="Note 2 12" xfId="49155"/>
    <cellStyle name="Note 2 12 2" xfId="49156"/>
    <cellStyle name="Note 2 12 2 2" xfId="49157"/>
    <cellStyle name="Note 2 12 2 2 2" xfId="49158"/>
    <cellStyle name="Note 2 12 2 2 2 2" xfId="49159"/>
    <cellStyle name="Note 2 12 2 2 3" xfId="49160"/>
    <cellStyle name="Note 2 12 2 3" xfId="49161"/>
    <cellStyle name="Note 2 12 2 3 2" xfId="49162"/>
    <cellStyle name="Note 2 12 2 4" xfId="49163"/>
    <cellStyle name="Note 2 12 3" xfId="49164"/>
    <cellStyle name="Note 2 12 3 2" xfId="49165"/>
    <cellStyle name="Note 2 12 3 2 2" xfId="49166"/>
    <cellStyle name="Note 2 12 3 3" xfId="49167"/>
    <cellStyle name="Note 2 12 4" xfId="49168"/>
    <cellStyle name="Note 2 12 4 2" xfId="49169"/>
    <cellStyle name="Note 2 12 5" xfId="49170"/>
    <cellStyle name="Note 2 13" xfId="49171"/>
    <cellStyle name="Note 2 13 2" xfId="49172"/>
    <cellStyle name="Note 2 13 2 2" xfId="49173"/>
    <cellStyle name="Note 2 13 2 2 2" xfId="49174"/>
    <cellStyle name="Note 2 13 2 2 2 2" xfId="49175"/>
    <cellStyle name="Note 2 13 2 2 3" xfId="49176"/>
    <cellStyle name="Note 2 13 2 3" xfId="49177"/>
    <cellStyle name="Note 2 13 2 3 2" xfId="49178"/>
    <cellStyle name="Note 2 13 2 4" xfId="49179"/>
    <cellStyle name="Note 2 13 3" xfId="49180"/>
    <cellStyle name="Note 2 13 3 2" xfId="49181"/>
    <cellStyle name="Note 2 13 3 2 2" xfId="49182"/>
    <cellStyle name="Note 2 13 3 3" xfId="49183"/>
    <cellStyle name="Note 2 13 4" xfId="49184"/>
    <cellStyle name="Note 2 13 4 2" xfId="49185"/>
    <cellStyle name="Note 2 13 5" xfId="49186"/>
    <cellStyle name="Note 2 14" xfId="49187"/>
    <cellStyle name="Note 2 14 2" xfId="49188"/>
    <cellStyle name="Note 2 14 2 2" xfId="49189"/>
    <cellStyle name="Note 2 14 2 2 2" xfId="49190"/>
    <cellStyle name="Note 2 14 2 2 2 2" xfId="49191"/>
    <cellStyle name="Note 2 14 2 2 3" xfId="49192"/>
    <cellStyle name="Note 2 14 2 3" xfId="49193"/>
    <cellStyle name="Note 2 14 2 3 2" xfId="49194"/>
    <cellStyle name="Note 2 14 2 4" xfId="49195"/>
    <cellStyle name="Note 2 14 3" xfId="49196"/>
    <cellStyle name="Note 2 14 3 2" xfId="49197"/>
    <cellStyle name="Note 2 14 3 2 2" xfId="49198"/>
    <cellStyle name="Note 2 14 3 3" xfId="49199"/>
    <cellStyle name="Note 2 14 4" xfId="49200"/>
    <cellStyle name="Note 2 14 4 2" xfId="49201"/>
    <cellStyle name="Note 2 14 5" xfId="49202"/>
    <cellStyle name="Note 2 15" xfId="49203"/>
    <cellStyle name="Note 2 15 2" xfId="49204"/>
    <cellStyle name="Note 2 15 2 2" xfId="49205"/>
    <cellStyle name="Note 2 15 2 2 2" xfId="49206"/>
    <cellStyle name="Note 2 15 2 2 2 2" xfId="49207"/>
    <cellStyle name="Note 2 15 2 2 3" xfId="49208"/>
    <cellStyle name="Note 2 15 2 3" xfId="49209"/>
    <cellStyle name="Note 2 15 2 3 2" xfId="49210"/>
    <cellStyle name="Note 2 15 2 4" xfId="49211"/>
    <cellStyle name="Note 2 15 3" xfId="49212"/>
    <cellStyle name="Note 2 15 3 2" xfId="49213"/>
    <cellStyle name="Note 2 15 3 2 2" xfId="49214"/>
    <cellStyle name="Note 2 15 3 3" xfId="49215"/>
    <cellStyle name="Note 2 15 4" xfId="49216"/>
    <cellStyle name="Note 2 15 4 2" xfId="49217"/>
    <cellStyle name="Note 2 15 5" xfId="49218"/>
    <cellStyle name="Note 2 16" xfId="49219"/>
    <cellStyle name="Note 2 16 2" xfId="49220"/>
    <cellStyle name="Note 2 16 2 2" xfId="49221"/>
    <cellStyle name="Note 2 16 2 2 2" xfId="49222"/>
    <cellStyle name="Note 2 16 2 3" xfId="49223"/>
    <cellStyle name="Note 2 16 3" xfId="49224"/>
    <cellStyle name="Note 2 16 3 2" xfId="49225"/>
    <cellStyle name="Note 2 16 4" xfId="49226"/>
    <cellStyle name="Note 2 17" xfId="49227"/>
    <cellStyle name="Note 2 17 2" xfId="49228"/>
    <cellStyle name="Note 2 17 2 2" xfId="49229"/>
    <cellStyle name="Note 2 17 3" xfId="49230"/>
    <cellStyle name="Note 2 18" xfId="49231"/>
    <cellStyle name="Note 2 18 2" xfId="49232"/>
    <cellStyle name="Note 2 19" xfId="49233"/>
    <cellStyle name="Note 2 2" xfId="49234"/>
    <cellStyle name="Note 2 2 10" xfId="49235"/>
    <cellStyle name="Note 2 2 10 2" xfId="49236"/>
    <cellStyle name="Note 2 2 11" xfId="49237"/>
    <cellStyle name="Note 2 2 2" xfId="49238"/>
    <cellStyle name="Note 2 2 2 10" xfId="49239"/>
    <cellStyle name="Note 2 2 2 2" xfId="49240"/>
    <cellStyle name="Note 2 2 2 2 2" xfId="49241"/>
    <cellStyle name="Note 2 2 2 2 2 2" xfId="49242"/>
    <cellStyle name="Note 2 2 2 2 2 2 2" xfId="49243"/>
    <cellStyle name="Note 2 2 2 2 2 2 2 2" xfId="49244"/>
    <cellStyle name="Note 2 2 2 2 2 2 3" xfId="49245"/>
    <cellStyle name="Note 2 2 2 2 2 3" xfId="49246"/>
    <cellStyle name="Note 2 2 2 2 2 3 2" xfId="49247"/>
    <cellStyle name="Note 2 2 2 2 2 4" xfId="49248"/>
    <cellStyle name="Note 2 2 2 2 3" xfId="49249"/>
    <cellStyle name="Note 2 2 2 2 3 2" xfId="49250"/>
    <cellStyle name="Note 2 2 2 2 3 2 2" xfId="49251"/>
    <cellStyle name="Note 2 2 2 2 3 3" xfId="49252"/>
    <cellStyle name="Note 2 2 2 2 4" xfId="49253"/>
    <cellStyle name="Note 2 2 2 2 4 2" xfId="49254"/>
    <cellStyle name="Note 2 2 2 2 5" xfId="49255"/>
    <cellStyle name="Note 2 2 2 3" xfId="49256"/>
    <cellStyle name="Note 2 2 2 3 2" xfId="49257"/>
    <cellStyle name="Note 2 2 2 3 2 2" xfId="49258"/>
    <cellStyle name="Note 2 2 2 3 2 2 2" xfId="49259"/>
    <cellStyle name="Note 2 2 2 3 2 2 2 2" xfId="49260"/>
    <cellStyle name="Note 2 2 2 3 2 2 3" xfId="49261"/>
    <cellStyle name="Note 2 2 2 3 2 3" xfId="49262"/>
    <cellStyle name="Note 2 2 2 3 2 3 2" xfId="49263"/>
    <cellStyle name="Note 2 2 2 3 2 4" xfId="49264"/>
    <cellStyle name="Note 2 2 2 3 3" xfId="49265"/>
    <cellStyle name="Note 2 2 2 3 3 2" xfId="49266"/>
    <cellStyle name="Note 2 2 2 3 3 2 2" xfId="49267"/>
    <cellStyle name="Note 2 2 2 3 3 3" xfId="49268"/>
    <cellStyle name="Note 2 2 2 3 4" xfId="49269"/>
    <cellStyle name="Note 2 2 2 3 4 2" xfId="49270"/>
    <cellStyle name="Note 2 2 2 3 5" xfId="49271"/>
    <cellStyle name="Note 2 2 2 4" xfId="49272"/>
    <cellStyle name="Note 2 2 2 4 2" xfId="49273"/>
    <cellStyle name="Note 2 2 2 4 2 2" xfId="49274"/>
    <cellStyle name="Note 2 2 2 4 2 2 2" xfId="49275"/>
    <cellStyle name="Note 2 2 2 4 2 2 2 2" xfId="49276"/>
    <cellStyle name="Note 2 2 2 4 2 2 3" xfId="49277"/>
    <cellStyle name="Note 2 2 2 4 2 3" xfId="49278"/>
    <cellStyle name="Note 2 2 2 4 2 3 2" xfId="49279"/>
    <cellStyle name="Note 2 2 2 4 2 4" xfId="49280"/>
    <cellStyle name="Note 2 2 2 4 3" xfId="49281"/>
    <cellStyle name="Note 2 2 2 4 3 2" xfId="49282"/>
    <cellStyle name="Note 2 2 2 4 3 2 2" xfId="49283"/>
    <cellStyle name="Note 2 2 2 4 3 3" xfId="49284"/>
    <cellStyle name="Note 2 2 2 4 4" xfId="49285"/>
    <cellStyle name="Note 2 2 2 4 4 2" xfId="49286"/>
    <cellStyle name="Note 2 2 2 4 5" xfId="49287"/>
    <cellStyle name="Note 2 2 2 5" xfId="49288"/>
    <cellStyle name="Note 2 2 2 5 2" xfId="49289"/>
    <cellStyle name="Note 2 2 2 5 2 2" xfId="49290"/>
    <cellStyle name="Note 2 2 2 5 2 2 2" xfId="49291"/>
    <cellStyle name="Note 2 2 2 5 2 2 2 2" xfId="49292"/>
    <cellStyle name="Note 2 2 2 5 2 2 3" xfId="49293"/>
    <cellStyle name="Note 2 2 2 5 2 3" xfId="49294"/>
    <cellStyle name="Note 2 2 2 5 2 3 2" xfId="49295"/>
    <cellStyle name="Note 2 2 2 5 2 4" xfId="49296"/>
    <cellStyle name="Note 2 2 2 5 3" xfId="49297"/>
    <cellStyle name="Note 2 2 2 5 3 2" xfId="49298"/>
    <cellStyle name="Note 2 2 2 5 3 2 2" xfId="49299"/>
    <cellStyle name="Note 2 2 2 5 3 3" xfId="49300"/>
    <cellStyle name="Note 2 2 2 5 4" xfId="49301"/>
    <cellStyle name="Note 2 2 2 5 4 2" xfId="49302"/>
    <cellStyle name="Note 2 2 2 5 5" xfId="49303"/>
    <cellStyle name="Note 2 2 2 6" xfId="49304"/>
    <cellStyle name="Note 2 2 2 6 2" xfId="49305"/>
    <cellStyle name="Note 2 2 2 6 2 2" xfId="49306"/>
    <cellStyle name="Note 2 2 2 6 2 2 2" xfId="49307"/>
    <cellStyle name="Note 2 2 2 6 2 2 2 2" xfId="49308"/>
    <cellStyle name="Note 2 2 2 6 2 2 3" xfId="49309"/>
    <cellStyle name="Note 2 2 2 6 2 3" xfId="49310"/>
    <cellStyle name="Note 2 2 2 6 2 3 2" xfId="49311"/>
    <cellStyle name="Note 2 2 2 6 2 4" xfId="49312"/>
    <cellStyle name="Note 2 2 2 6 3" xfId="49313"/>
    <cellStyle name="Note 2 2 2 6 3 2" xfId="49314"/>
    <cellStyle name="Note 2 2 2 6 3 2 2" xfId="49315"/>
    <cellStyle name="Note 2 2 2 6 3 3" xfId="49316"/>
    <cellStyle name="Note 2 2 2 6 4" xfId="49317"/>
    <cellStyle name="Note 2 2 2 6 4 2" xfId="49318"/>
    <cellStyle name="Note 2 2 2 6 5" xfId="49319"/>
    <cellStyle name="Note 2 2 2 7" xfId="49320"/>
    <cellStyle name="Note 2 2 2 7 2" xfId="49321"/>
    <cellStyle name="Note 2 2 2 7 2 2" xfId="49322"/>
    <cellStyle name="Note 2 2 2 7 2 2 2" xfId="49323"/>
    <cellStyle name="Note 2 2 2 7 2 3" xfId="49324"/>
    <cellStyle name="Note 2 2 2 7 3" xfId="49325"/>
    <cellStyle name="Note 2 2 2 7 3 2" xfId="49326"/>
    <cellStyle name="Note 2 2 2 7 4" xfId="49327"/>
    <cellStyle name="Note 2 2 2 8" xfId="49328"/>
    <cellStyle name="Note 2 2 2 8 2" xfId="49329"/>
    <cellStyle name="Note 2 2 2 8 2 2" xfId="49330"/>
    <cellStyle name="Note 2 2 2 8 3" xfId="49331"/>
    <cellStyle name="Note 2 2 2 9" xfId="49332"/>
    <cellStyle name="Note 2 2 2 9 2" xfId="49333"/>
    <cellStyle name="Note 2 2 3" xfId="49334"/>
    <cellStyle name="Note 2 2 3 2" xfId="49335"/>
    <cellStyle name="Note 2 2 3 2 2" xfId="49336"/>
    <cellStyle name="Note 2 2 3 2 2 2" xfId="49337"/>
    <cellStyle name="Note 2 2 3 2 2 2 2" xfId="49338"/>
    <cellStyle name="Note 2 2 3 2 2 3" xfId="49339"/>
    <cellStyle name="Note 2 2 3 2 3" xfId="49340"/>
    <cellStyle name="Note 2 2 3 2 3 2" xfId="49341"/>
    <cellStyle name="Note 2 2 3 2 4" xfId="49342"/>
    <cellStyle name="Note 2 2 3 3" xfId="49343"/>
    <cellStyle name="Note 2 2 3 3 2" xfId="49344"/>
    <cellStyle name="Note 2 2 3 3 2 2" xfId="49345"/>
    <cellStyle name="Note 2 2 3 3 3" xfId="49346"/>
    <cellStyle name="Note 2 2 3 4" xfId="49347"/>
    <cellStyle name="Note 2 2 3 4 2" xfId="49348"/>
    <cellStyle name="Note 2 2 3 5" xfId="49349"/>
    <cellStyle name="Note 2 2 4" xfId="49350"/>
    <cellStyle name="Note 2 2 4 2" xfId="49351"/>
    <cellStyle name="Note 2 2 4 2 2" xfId="49352"/>
    <cellStyle name="Note 2 2 4 2 2 2" xfId="49353"/>
    <cellStyle name="Note 2 2 4 2 2 2 2" xfId="49354"/>
    <cellStyle name="Note 2 2 4 2 2 3" xfId="49355"/>
    <cellStyle name="Note 2 2 4 2 3" xfId="49356"/>
    <cellStyle name="Note 2 2 4 2 3 2" xfId="49357"/>
    <cellStyle name="Note 2 2 4 2 4" xfId="49358"/>
    <cellStyle name="Note 2 2 4 3" xfId="49359"/>
    <cellStyle name="Note 2 2 4 3 2" xfId="49360"/>
    <cellStyle name="Note 2 2 4 3 2 2" xfId="49361"/>
    <cellStyle name="Note 2 2 4 3 3" xfId="49362"/>
    <cellStyle name="Note 2 2 4 4" xfId="49363"/>
    <cellStyle name="Note 2 2 4 4 2" xfId="49364"/>
    <cellStyle name="Note 2 2 4 5" xfId="49365"/>
    <cellStyle name="Note 2 2 5" xfId="49366"/>
    <cellStyle name="Note 2 2 5 2" xfId="49367"/>
    <cellStyle name="Note 2 2 5 2 2" xfId="49368"/>
    <cellStyle name="Note 2 2 5 2 2 2" xfId="49369"/>
    <cellStyle name="Note 2 2 5 2 2 2 2" xfId="49370"/>
    <cellStyle name="Note 2 2 5 2 2 3" xfId="49371"/>
    <cellStyle name="Note 2 2 5 2 3" xfId="49372"/>
    <cellStyle name="Note 2 2 5 2 3 2" xfId="49373"/>
    <cellStyle name="Note 2 2 5 2 4" xfId="49374"/>
    <cellStyle name="Note 2 2 5 3" xfId="49375"/>
    <cellStyle name="Note 2 2 5 3 2" xfId="49376"/>
    <cellStyle name="Note 2 2 5 3 2 2" xfId="49377"/>
    <cellStyle name="Note 2 2 5 3 3" xfId="49378"/>
    <cellStyle name="Note 2 2 5 4" xfId="49379"/>
    <cellStyle name="Note 2 2 5 4 2" xfId="49380"/>
    <cellStyle name="Note 2 2 5 5" xfId="49381"/>
    <cellStyle name="Note 2 2 6" xfId="49382"/>
    <cellStyle name="Note 2 2 6 2" xfId="49383"/>
    <cellStyle name="Note 2 2 6 2 2" xfId="49384"/>
    <cellStyle name="Note 2 2 6 2 2 2" xfId="49385"/>
    <cellStyle name="Note 2 2 6 2 2 2 2" xfId="49386"/>
    <cellStyle name="Note 2 2 6 2 2 3" xfId="49387"/>
    <cellStyle name="Note 2 2 6 2 3" xfId="49388"/>
    <cellStyle name="Note 2 2 6 2 3 2" xfId="49389"/>
    <cellStyle name="Note 2 2 6 2 4" xfId="49390"/>
    <cellStyle name="Note 2 2 6 3" xfId="49391"/>
    <cellStyle name="Note 2 2 6 3 2" xfId="49392"/>
    <cellStyle name="Note 2 2 6 3 2 2" xfId="49393"/>
    <cellStyle name="Note 2 2 6 3 3" xfId="49394"/>
    <cellStyle name="Note 2 2 6 4" xfId="49395"/>
    <cellStyle name="Note 2 2 6 4 2" xfId="49396"/>
    <cellStyle name="Note 2 2 6 5" xfId="49397"/>
    <cellStyle name="Note 2 2 7" xfId="49398"/>
    <cellStyle name="Note 2 2 7 2" xfId="49399"/>
    <cellStyle name="Note 2 2 7 2 2" xfId="49400"/>
    <cellStyle name="Note 2 2 7 2 2 2" xfId="49401"/>
    <cellStyle name="Note 2 2 7 2 2 2 2" xfId="49402"/>
    <cellStyle name="Note 2 2 7 2 2 3" xfId="49403"/>
    <cellStyle name="Note 2 2 7 2 3" xfId="49404"/>
    <cellStyle name="Note 2 2 7 2 3 2" xfId="49405"/>
    <cellStyle name="Note 2 2 7 2 4" xfId="49406"/>
    <cellStyle name="Note 2 2 7 3" xfId="49407"/>
    <cellStyle name="Note 2 2 7 3 2" xfId="49408"/>
    <cellStyle name="Note 2 2 7 3 2 2" xfId="49409"/>
    <cellStyle name="Note 2 2 7 3 3" xfId="49410"/>
    <cellStyle name="Note 2 2 7 4" xfId="49411"/>
    <cellStyle name="Note 2 2 7 4 2" xfId="49412"/>
    <cellStyle name="Note 2 2 7 5" xfId="49413"/>
    <cellStyle name="Note 2 2 8" xfId="49414"/>
    <cellStyle name="Note 2 2 8 2" xfId="49415"/>
    <cellStyle name="Note 2 2 8 2 2" xfId="49416"/>
    <cellStyle name="Note 2 2 8 2 2 2" xfId="49417"/>
    <cellStyle name="Note 2 2 8 2 3" xfId="49418"/>
    <cellStyle name="Note 2 2 8 3" xfId="49419"/>
    <cellStyle name="Note 2 2 8 3 2" xfId="49420"/>
    <cellStyle name="Note 2 2 8 4" xfId="49421"/>
    <cellStyle name="Note 2 2 9" xfId="49422"/>
    <cellStyle name="Note 2 2 9 2" xfId="49423"/>
    <cellStyle name="Note 2 2 9 2 2" xfId="49424"/>
    <cellStyle name="Note 2 2 9 3" xfId="49425"/>
    <cellStyle name="Note 2 3" xfId="49426"/>
    <cellStyle name="Note 2 3 10" xfId="49427"/>
    <cellStyle name="Note 2 3 10 2" xfId="49428"/>
    <cellStyle name="Note 2 3 11" xfId="49429"/>
    <cellStyle name="Note 2 3 2" xfId="49430"/>
    <cellStyle name="Note 2 3 2 10" xfId="49431"/>
    <cellStyle name="Note 2 3 2 2" xfId="49432"/>
    <cellStyle name="Note 2 3 2 2 2" xfId="49433"/>
    <cellStyle name="Note 2 3 2 2 2 2" xfId="49434"/>
    <cellStyle name="Note 2 3 2 2 2 2 2" xfId="49435"/>
    <cellStyle name="Note 2 3 2 2 2 2 2 2" xfId="49436"/>
    <cellStyle name="Note 2 3 2 2 2 2 3" xfId="49437"/>
    <cellStyle name="Note 2 3 2 2 2 3" xfId="49438"/>
    <cellStyle name="Note 2 3 2 2 2 3 2" xfId="49439"/>
    <cellStyle name="Note 2 3 2 2 2 4" xfId="49440"/>
    <cellStyle name="Note 2 3 2 2 3" xfId="49441"/>
    <cellStyle name="Note 2 3 2 2 3 2" xfId="49442"/>
    <cellStyle name="Note 2 3 2 2 3 2 2" xfId="49443"/>
    <cellStyle name="Note 2 3 2 2 3 3" xfId="49444"/>
    <cellStyle name="Note 2 3 2 2 4" xfId="49445"/>
    <cellStyle name="Note 2 3 2 2 4 2" xfId="49446"/>
    <cellStyle name="Note 2 3 2 2 5" xfId="49447"/>
    <cellStyle name="Note 2 3 2 3" xfId="49448"/>
    <cellStyle name="Note 2 3 2 3 2" xfId="49449"/>
    <cellStyle name="Note 2 3 2 3 2 2" xfId="49450"/>
    <cellStyle name="Note 2 3 2 3 2 2 2" xfId="49451"/>
    <cellStyle name="Note 2 3 2 3 2 2 2 2" xfId="49452"/>
    <cellStyle name="Note 2 3 2 3 2 2 3" xfId="49453"/>
    <cellStyle name="Note 2 3 2 3 2 3" xfId="49454"/>
    <cellStyle name="Note 2 3 2 3 2 3 2" xfId="49455"/>
    <cellStyle name="Note 2 3 2 3 2 4" xfId="49456"/>
    <cellStyle name="Note 2 3 2 3 3" xfId="49457"/>
    <cellStyle name="Note 2 3 2 3 3 2" xfId="49458"/>
    <cellStyle name="Note 2 3 2 3 3 2 2" xfId="49459"/>
    <cellStyle name="Note 2 3 2 3 3 3" xfId="49460"/>
    <cellStyle name="Note 2 3 2 3 4" xfId="49461"/>
    <cellStyle name="Note 2 3 2 3 4 2" xfId="49462"/>
    <cellStyle name="Note 2 3 2 3 5" xfId="49463"/>
    <cellStyle name="Note 2 3 2 4" xfId="49464"/>
    <cellStyle name="Note 2 3 2 4 2" xfId="49465"/>
    <cellStyle name="Note 2 3 2 4 2 2" xfId="49466"/>
    <cellStyle name="Note 2 3 2 4 2 2 2" xfId="49467"/>
    <cellStyle name="Note 2 3 2 4 2 2 2 2" xfId="49468"/>
    <cellStyle name="Note 2 3 2 4 2 2 3" xfId="49469"/>
    <cellStyle name="Note 2 3 2 4 2 3" xfId="49470"/>
    <cellStyle name="Note 2 3 2 4 2 3 2" xfId="49471"/>
    <cellStyle name="Note 2 3 2 4 2 4" xfId="49472"/>
    <cellStyle name="Note 2 3 2 4 3" xfId="49473"/>
    <cellStyle name="Note 2 3 2 4 3 2" xfId="49474"/>
    <cellStyle name="Note 2 3 2 4 3 2 2" xfId="49475"/>
    <cellStyle name="Note 2 3 2 4 3 3" xfId="49476"/>
    <cellStyle name="Note 2 3 2 4 4" xfId="49477"/>
    <cellStyle name="Note 2 3 2 4 4 2" xfId="49478"/>
    <cellStyle name="Note 2 3 2 4 5" xfId="49479"/>
    <cellStyle name="Note 2 3 2 5" xfId="49480"/>
    <cellStyle name="Note 2 3 2 5 2" xfId="49481"/>
    <cellStyle name="Note 2 3 2 5 2 2" xfId="49482"/>
    <cellStyle name="Note 2 3 2 5 2 2 2" xfId="49483"/>
    <cellStyle name="Note 2 3 2 5 2 2 2 2" xfId="49484"/>
    <cellStyle name="Note 2 3 2 5 2 2 3" xfId="49485"/>
    <cellStyle name="Note 2 3 2 5 2 3" xfId="49486"/>
    <cellStyle name="Note 2 3 2 5 2 3 2" xfId="49487"/>
    <cellStyle name="Note 2 3 2 5 2 4" xfId="49488"/>
    <cellStyle name="Note 2 3 2 5 3" xfId="49489"/>
    <cellStyle name="Note 2 3 2 5 3 2" xfId="49490"/>
    <cellStyle name="Note 2 3 2 5 3 2 2" xfId="49491"/>
    <cellStyle name="Note 2 3 2 5 3 3" xfId="49492"/>
    <cellStyle name="Note 2 3 2 5 4" xfId="49493"/>
    <cellStyle name="Note 2 3 2 5 4 2" xfId="49494"/>
    <cellStyle name="Note 2 3 2 5 5" xfId="49495"/>
    <cellStyle name="Note 2 3 2 6" xfId="49496"/>
    <cellStyle name="Note 2 3 2 6 2" xfId="49497"/>
    <cellStyle name="Note 2 3 2 6 2 2" xfId="49498"/>
    <cellStyle name="Note 2 3 2 6 2 2 2" xfId="49499"/>
    <cellStyle name="Note 2 3 2 6 2 2 2 2" xfId="49500"/>
    <cellStyle name="Note 2 3 2 6 2 2 3" xfId="49501"/>
    <cellStyle name="Note 2 3 2 6 2 3" xfId="49502"/>
    <cellStyle name="Note 2 3 2 6 2 3 2" xfId="49503"/>
    <cellStyle name="Note 2 3 2 6 2 4" xfId="49504"/>
    <cellStyle name="Note 2 3 2 6 3" xfId="49505"/>
    <cellStyle name="Note 2 3 2 6 3 2" xfId="49506"/>
    <cellStyle name="Note 2 3 2 6 3 2 2" xfId="49507"/>
    <cellStyle name="Note 2 3 2 6 3 3" xfId="49508"/>
    <cellStyle name="Note 2 3 2 6 4" xfId="49509"/>
    <cellStyle name="Note 2 3 2 6 4 2" xfId="49510"/>
    <cellStyle name="Note 2 3 2 6 5" xfId="49511"/>
    <cellStyle name="Note 2 3 2 7" xfId="49512"/>
    <cellStyle name="Note 2 3 2 7 2" xfId="49513"/>
    <cellStyle name="Note 2 3 2 7 2 2" xfId="49514"/>
    <cellStyle name="Note 2 3 2 7 2 2 2" xfId="49515"/>
    <cellStyle name="Note 2 3 2 7 2 3" xfId="49516"/>
    <cellStyle name="Note 2 3 2 7 3" xfId="49517"/>
    <cellStyle name="Note 2 3 2 7 3 2" xfId="49518"/>
    <cellStyle name="Note 2 3 2 7 4" xfId="49519"/>
    <cellStyle name="Note 2 3 2 8" xfId="49520"/>
    <cellStyle name="Note 2 3 2 8 2" xfId="49521"/>
    <cellStyle name="Note 2 3 2 8 2 2" xfId="49522"/>
    <cellStyle name="Note 2 3 2 8 3" xfId="49523"/>
    <cellStyle name="Note 2 3 2 9" xfId="49524"/>
    <cellStyle name="Note 2 3 2 9 2" xfId="49525"/>
    <cellStyle name="Note 2 3 3" xfId="49526"/>
    <cellStyle name="Note 2 3 3 2" xfId="49527"/>
    <cellStyle name="Note 2 3 3 2 2" xfId="49528"/>
    <cellStyle name="Note 2 3 3 2 2 2" xfId="49529"/>
    <cellStyle name="Note 2 3 3 2 2 2 2" xfId="49530"/>
    <cellStyle name="Note 2 3 3 2 2 3" xfId="49531"/>
    <cellStyle name="Note 2 3 3 2 3" xfId="49532"/>
    <cellStyle name="Note 2 3 3 2 3 2" xfId="49533"/>
    <cellStyle name="Note 2 3 3 2 4" xfId="49534"/>
    <cellStyle name="Note 2 3 3 3" xfId="49535"/>
    <cellStyle name="Note 2 3 3 3 2" xfId="49536"/>
    <cellStyle name="Note 2 3 3 3 2 2" xfId="49537"/>
    <cellStyle name="Note 2 3 3 3 3" xfId="49538"/>
    <cellStyle name="Note 2 3 3 4" xfId="49539"/>
    <cellStyle name="Note 2 3 3 4 2" xfId="49540"/>
    <cellStyle name="Note 2 3 3 5" xfId="49541"/>
    <cellStyle name="Note 2 3 4" xfId="49542"/>
    <cellStyle name="Note 2 3 4 2" xfId="49543"/>
    <cellStyle name="Note 2 3 4 2 2" xfId="49544"/>
    <cellStyle name="Note 2 3 4 2 2 2" xfId="49545"/>
    <cellStyle name="Note 2 3 4 2 2 2 2" xfId="49546"/>
    <cellStyle name="Note 2 3 4 2 2 3" xfId="49547"/>
    <cellStyle name="Note 2 3 4 2 3" xfId="49548"/>
    <cellStyle name="Note 2 3 4 2 3 2" xfId="49549"/>
    <cellStyle name="Note 2 3 4 2 4" xfId="49550"/>
    <cellStyle name="Note 2 3 4 3" xfId="49551"/>
    <cellStyle name="Note 2 3 4 3 2" xfId="49552"/>
    <cellStyle name="Note 2 3 4 3 2 2" xfId="49553"/>
    <cellStyle name="Note 2 3 4 3 3" xfId="49554"/>
    <cellStyle name="Note 2 3 4 4" xfId="49555"/>
    <cellStyle name="Note 2 3 4 4 2" xfId="49556"/>
    <cellStyle name="Note 2 3 4 5" xfId="49557"/>
    <cellStyle name="Note 2 3 5" xfId="49558"/>
    <cellStyle name="Note 2 3 5 2" xfId="49559"/>
    <cellStyle name="Note 2 3 5 2 2" xfId="49560"/>
    <cellStyle name="Note 2 3 5 2 2 2" xfId="49561"/>
    <cellStyle name="Note 2 3 5 2 2 2 2" xfId="49562"/>
    <cellStyle name="Note 2 3 5 2 2 3" xfId="49563"/>
    <cellStyle name="Note 2 3 5 2 3" xfId="49564"/>
    <cellStyle name="Note 2 3 5 2 3 2" xfId="49565"/>
    <cellStyle name="Note 2 3 5 2 4" xfId="49566"/>
    <cellStyle name="Note 2 3 5 3" xfId="49567"/>
    <cellStyle name="Note 2 3 5 3 2" xfId="49568"/>
    <cellStyle name="Note 2 3 5 3 2 2" xfId="49569"/>
    <cellStyle name="Note 2 3 5 3 3" xfId="49570"/>
    <cellStyle name="Note 2 3 5 4" xfId="49571"/>
    <cellStyle name="Note 2 3 5 4 2" xfId="49572"/>
    <cellStyle name="Note 2 3 5 5" xfId="49573"/>
    <cellStyle name="Note 2 3 6" xfId="49574"/>
    <cellStyle name="Note 2 3 6 2" xfId="49575"/>
    <cellStyle name="Note 2 3 6 2 2" xfId="49576"/>
    <cellStyle name="Note 2 3 6 2 2 2" xfId="49577"/>
    <cellStyle name="Note 2 3 6 2 2 2 2" xfId="49578"/>
    <cellStyle name="Note 2 3 6 2 2 3" xfId="49579"/>
    <cellStyle name="Note 2 3 6 2 3" xfId="49580"/>
    <cellStyle name="Note 2 3 6 2 3 2" xfId="49581"/>
    <cellStyle name="Note 2 3 6 2 4" xfId="49582"/>
    <cellStyle name="Note 2 3 6 3" xfId="49583"/>
    <cellStyle name="Note 2 3 6 3 2" xfId="49584"/>
    <cellStyle name="Note 2 3 6 3 2 2" xfId="49585"/>
    <cellStyle name="Note 2 3 6 3 3" xfId="49586"/>
    <cellStyle name="Note 2 3 6 4" xfId="49587"/>
    <cellStyle name="Note 2 3 6 4 2" xfId="49588"/>
    <cellStyle name="Note 2 3 6 5" xfId="49589"/>
    <cellStyle name="Note 2 3 7" xfId="49590"/>
    <cellStyle name="Note 2 3 7 2" xfId="49591"/>
    <cellStyle name="Note 2 3 7 2 2" xfId="49592"/>
    <cellStyle name="Note 2 3 7 2 2 2" xfId="49593"/>
    <cellStyle name="Note 2 3 7 2 2 2 2" xfId="49594"/>
    <cellStyle name="Note 2 3 7 2 2 3" xfId="49595"/>
    <cellStyle name="Note 2 3 7 2 3" xfId="49596"/>
    <cellStyle name="Note 2 3 7 2 3 2" xfId="49597"/>
    <cellStyle name="Note 2 3 7 2 4" xfId="49598"/>
    <cellStyle name="Note 2 3 7 3" xfId="49599"/>
    <cellStyle name="Note 2 3 7 3 2" xfId="49600"/>
    <cellStyle name="Note 2 3 7 3 2 2" xfId="49601"/>
    <cellStyle name="Note 2 3 7 3 3" xfId="49602"/>
    <cellStyle name="Note 2 3 7 4" xfId="49603"/>
    <cellStyle name="Note 2 3 7 4 2" xfId="49604"/>
    <cellStyle name="Note 2 3 7 5" xfId="49605"/>
    <cellStyle name="Note 2 3 8" xfId="49606"/>
    <cellStyle name="Note 2 3 8 2" xfId="49607"/>
    <cellStyle name="Note 2 3 8 2 2" xfId="49608"/>
    <cellStyle name="Note 2 3 8 2 2 2" xfId="49609"/>
    <cellStyle name="Note 2 3 8 2 3" xfId="49610"/>
    <cellStyle name="Note 2 3 8 3" xfId="49611"/>
    <cellStyle name="Note 2 3 8 3 2" xfId="49612"/>
    <cellStyle name="Note 2 3 8 4" xfId="49613"/>
    <cellStyle name="Note 2 3 9" xfId="49614"/>
    <cellStyle name="Note 2 3 9 2" xfId="49615"/>
    <cellStyle name="Note 2 3 9 2 2" xfId="49616"/>
    <cellStyle name="Note 2 3 9 3" xfId="49617"/>
    <cellStyle name="Note 2 4" xfId="49618"/>
    <cellStyle name="Note 2 4 10" xfId="49619"/>
    <cellStyle name="Note 2 4 10 2" xfId="49620"/>
    <cellStyle name="Note 2 4 11" xfId="49621"/>
    <cellStyle name="Note 2 4 2" xfId="49622"/>
    <cellStyle name="Note 2 4 2 10" xfId="49623"/>
    <cellStyle name="Note 2 4 2 2" xfId="49624"/>
    <cellStyle name="Note 2 4 2 2 2" xfId="49625"/>
    <cellStyle name="Note 2 4 2 2 2 2" xfId="49626"/>
    <cellStyle name="Note 2 4 2 2 2 2 2" xfId="49627"/>
    <cellStyle name="Note 2 4 2 2 2 2 2 2" xfId="49628"/>
    <cellStyle name="Note 2 4 2 2 2 2 3" xfId="49629"/>
    <cellStyle name="Note 2 4 2 2 2 3" xfId="49630"/>
    <cellStyle name="Note 2 4 2 2 2 3 2" xfId="49631"/>
    <cellStyle name="Note 2 4 2 2 2 4" xfId="49632"/>
    <cellStyle name="Note 2 4 2 2 3" xfId="49633"/>
    <cellStyle name="Note 2 4 2 2 3 2" xfId="49634"/>
    <cellStyle name="Note 2 4 2 2 3 2 2" xfId="49635"/>
    <cellStyle name="Note 2 4 2 2 3 3" xfId="49636"/>
    <cellStyle name="Note 2 4 2 2 4" xfId="49637"/>
    <cellStyle name="Note 2 4 2 2 4 2" xfId="49638"/>
    <cellStyle name="Note 2 4 2 2 5" xfId="49639"/>
    <cellStyle name="Note 2 4 2 3" xfId="49640"/>
    <cellStyle name="Note 2 4 2 3 2" xfId="49641"/>
    <cellStyle name="Note 2 4 2 3 2 2" xfId="49642"/>
    <cellStyle name="Note 2 4 2 3 2 2 2" xfId="49643"/>
    <cellStyle name="Note 2 4 2 3 2 2 2 2" xfId="49644"/>
    <cellStyle name="Note 2 4 2 3 2 2 3" xfId="49645"/>
    <cellStyle name="Note 2 4 2 3 2 3" xfId="49646"/>
    <cellStyle name="Note 2 4 2 3 2 3 2" xfId="49647"/>
    <cellStyle name="Note 2 4 2 3 2 4" xfId="49648"/>
    <cellStyle name="Note 2 4 2 3 3" xfId="49649"/>
    <cellStyle name="Note 2 4 2 3 3 2" xfId="49650"/>
    <cellStyle name="Note 2 4 2 3 3 2 2" xfId="49651"/>
    <cellStyle name="Note 2 4 2 3 3 3" xfId="49652"/>
    <cellStyle name="Note 2 4 2 3 4" xfId="49653"/>
    <cellStyle name="Note 2 4 2 3 4 2" xfId="49654"/>
    <cellStyle name="Note 2 4 2 3 5" xfId="49655"/>
    <cellStyle name="Note 2 4 2 4" xfId="49656"/>
    <cellStyle name="Note 2 4 2 4 2" xfId="49657"/>
    <cellStyle name="Note 2 4 2 4 2 2" xfId="49658"/>
    <cellStyle name="Note 2 4 2 4 2 2 2" xfId="49659"/>
    <cellStyle name="Note 2 4 2 4 2 2 2 2" xfId="49660"/>
    <cellStyle name="Note 2 4 2 4 2 2 3" xfId="49661"/>
    <cellStyle name="Note 2 4 2 4 2 3" xfId="49662"/>
    <cellStyle name="Note 2 4 2 4 2 3 2" xfId="49663"/>
    <cellStyle name="Note 2 4 2 4 2 4" xfId="49664"/>
    <cellStyle name="Note 2 4 2 4 3" xfId="49665"/>
    <cellStyle name="Note 2 4 2 4 3 2" xfId="49666"/>
    <cellStyle name="Note 2 4 2 4 3 2 2" xfId="49667"/>
    <cellStyle name="Note 2 4 2 4 3 3" xfId="49668"/>
    <cellStyle name="Note 2 4 2 4 4" xfId="49669"/>
    <cellStyle name="Note 2 4 2 4 4 2" xfId="49670"/>
    <cellStyle name="Note 2 4 2 4 5" xfId="49671"/>
    <cellStyle name="Note 2 4 2 5" xfId="49672"/>
    <cellStyle name="Note 2 4 2 5 2" xfId="49673"/>
    <cellStyle name="Note 2 4 2 5 2 2" xfId="49674"/>
    <cellStyle name="Note 2 4 2 5 2 2 2" xfId="49675"/>
    <cellStyle name="Note 2 4 2 5 2 2 2 2" xfId="49676"/>
    <cellStyle name="Note 2 4 2 5 2 2 3" xfId="49677"/>
    <cellStyle name="Note 2 4 2 5 2 3" xfId="49678"/>
    <cellStyle name="Note 2 4 2 5 2 3 2" xfId="49679"/>
    <cellStyle name="Note 2 4 2 5 2 4" xfId="49680"/>
    <cellStyle name="Note 2 4 2 5 3" xfId="49681"/>
    <cellStyle name="Note 2 4 2 5 3 2" xfId="49682"/>
    <cellStyle name="Note 2 4 2 5 3 2 2" xfId="49683"/>
    <cellStyle name="Note 2 4 2 5 3 3" xfId="49684"/>
    <cellStyle name="Note 2 4 2 5 4" xfId="49685"/>
    <cellStyle name="Note 2 4 2 5 4 2" xfId="49686"/>
    <cellStyle name="Note 2 4 2 5 5" xfId="49687"/>
    <cellStyle name="Note 2 4 2 6" xfId="49688"/>
    <cellStyle name="Note 2 4 2 6 2" xfId="49689"/>
    <cellStyle name="Note 2 4 2 6 2 2" xfId="49690"/>
    <cellStyle name="Note 2 4 2 6 2 2 2" xfId="49691"/>
    <cellStyle name="Note 2 4 2 6 2 2 2 2" xfId="49692"/>
    <cellStyle name="Note 2 4 2 6 2 2 3" xfId="49693"/>
    <cellStyle name="Note 2 4 2 6 2 3" xfId="49694"/>
    <cellStyle name="Note 2 4 2 6 2 3 2" xfId="49695"/>
    <cellStyle name="Note 2 4 2 6 2 4" xfId="49696"/>
    <cellStyle name="Note 2 4 2 6 3" xfId="49697"/>
    <cellStyle name="Note 2 4 2 6 3 2" xfId="49698"/>
    <cellStyle name="Note 2 4 2 6 3 2 2" xfId="49699"/>
    <cellStyle name="Note 2 4 2 6 3 3" xfId="49700"/>
    <cellStyle name="Note 2 4 2 6 4" xfId="49701"/>
    <cellStyle name="Note 2 4 2 6 4 2" xfId="49702"/>
    <cellStyle name="Note 2 4 2 6 5" xfId="49703"/>
    <cellStyle name="Note 2 4 2 7" xfId="49704"/>
    <cellStyle name="Note 2 4 2 7 2" xfId="49705"/>
    <cellStyle name="Note 2 4 2 7 2 2" xfId="49706"/>
    <cellStyle name="Note 2 4 2 7 2 2 2" xfId="49707"/>
    <cellStyle name="Note 2 4 2 7 2 3" xfId="49708"/>
    <cellStyle name="Note 2 4 2 7 3" xfId="49709"/>
    <cellStyle name="Note 2 4 2 7 3 2" xfId="49710"/>
    <cellStyle name="Note 2 4 2 7 4" xfId="49711"/>
    <cellStyle name="Note 2 4 2 8" xfId="49712"/>
    <cellStyle name="Note 2 4 2 8 2" xfId="49713"/>
    <cellStyle name="Note 2 4 2 8 2 2" xfId="49714"/>
    <cellStyle name="Note 2 4 2 8 3" xfId="49715"/>
    <cellStyle name="Note 2 4 2 9" xfId="49716"/>
    <cellStyle name="Note 2 4 2 9 2" xfId="49717"/>
    <cellStyle name="Note 2 4 3" xfId="49718"/>
    <cellStyle name="Note 2 4 3 2" xfId="49719"/>
    <cellStyle name="Note 2 4 3 2 2" xfId="49720"/>
    <cellStyle name="Note 2 4 3 2 2 2" xfId="49721"/>
    <cellStyle name="Note 2 4 3 2 2 2 2" xfId="49722"/>
    <cellStyle name="Note 2 4 3 2 2 3" xfId="49723"/>
    <cellStyle name="Note 2 4 3 2 3" xfId="49724"/>
    <cellStyle name="Note 2 4 3 2 3 2" xfId="49725"/>
    <cellStyle name="Note 2 4 3 2 4" xfId="49726"/>
    <cellStyle name="Note 2 4 3 3" xfId="49727"/>
    <cellStyle name="Note 2 4 3 3 2" xfId="49728"/>
    <cellStyle name="Note 2 4 3 3 2 2" xfId="49729"/>
    <cellStyle name="Note 2 4 3 3 3" xfId="49730"/>
    <cellStyle name="Note 2 4 3 4" xfId="49731"/>
    <cellStyle name="Note 2 4 3 4 2" xfId="49732"/>
    <cellStyle name="Note 2 4 3 5" xfId="49733"/>
    <cellStyle name="Note 2 4 4" xfId="49734"/>
    <cellStyle name="Note 2 4 4 2" xfId="49735"/>
    <cellStyle name="Note 2 4 4 2 2" xfId="49736"/>
    <cellStyle name="Note 2 4 4 2 2 2" xfId="49737"/>
    <cellStyle name="Note 2 4 4 2 2 2 2" xfId="49738"/>
    <cellStyle name="Note 2 4 4 2 2 3" xfId="49739"/>
    <cellStyle name="Note 2 4 4 2 3" xfId="49740"/>
    <cellStyle name="Note 2 4 4 2 3 2" xfId="49741"/>
    <cellStyle name="Note 2 4 4 2 4" xfId="49742"/>
    <cellStyle name="Note 2 4 4 3" xfId="49743"/>
    <cellStyle name="Note 2 4 4 3 2" xfId="49744"/>
    <cellStyle name="Note 2 4 4 3 2 2" xfId="49745"/>
    <cellStyle name="Note 2 4 4 3 3" xfId="49746"/>
    <cellStyle name="Note 2 4 4 4" xfId="49747"/>
    <cellStyle name="Note 2 4 4 4 2" xfId="49748"/>
    <cellStyle name="Note 2 4 4 5" xfId="49749"/>
    <cellStyle name="Note 2 4 5" xfId="49750"/>
    <cellStyle name="Note 2 4 5 2" xfId="49751"/>
    <cellStyle name="Note 2 4 5 2 2" xfId="49752"/>
    <cellStyle name="Note 2 4 5 2 2 2" xfId="49753"/>
    <cellStyle name="Note 2 4 5 2 2 2 2" xfId="49754"/>
    <cellStyle name="Note 2 4 5 2 2 3" xfId="49755"/>
    <cellStyle name="Note 2 4 5 2 3" xfId="49756"/>
    <cellStyle name="Note 2 4 5 2 3 2" xfId="49757"/>
    <cellStyle name="Note 2 4 5 2 4" xfId="49758"/>
    <cellStyle name="Note 2 4 5 3" xfId="49759"/>
    <cellStyle name="Note 2 4 5 3 2" xfId="49760"/>
    <cellStyle name="Note 2 4 5 3 2 2" xfId="49761"/>
    <cellStyle name="Note 2 4 5 3 3" xfId="49762"/>
    <cellStyle name="Note 2 4 5 4" xfId="49763"/>
    <cellStyle name="Note 2 4 5 4 2" xfId="49764"/>
    <cellStyle name="Note 2 4 5 5" xfId="49765"/>
    <cellStyle name="Note 2 4 6" xfId="49766"/>
    <cellStyle name="Note 2 4 6 2" xfId="49767"/>
    <cellStyle name="Note 2 4 6 2 2" xfId="49768"/>
    <cellStyle name="Note 2 4 6 2 2 2" xfId="49769"/>
    <cellStyle name="Note 2 4 6 2 2 2 2" xfId="49770"/>
    <cellStyle name="Note 2 4 6 2 2 3" xfId="49771"/>
    <cellStyle name="Note 2 4 6 2 3" xfId="49772"/>
    <cellStyle name="Note 2 4 6 2 3 2" xfId="49773"/>
    <cellStyle name="Note 2 4 6 2 4" xfId="49774"/>
    <cellStyle name="Note 2 4 6 3" xfId="49775"/>
    <cellStyle name="Note 2 4 6 3 2" xfId="49776"/>
    <cellStyle name="Note 2 4 6 3 2 2" xfId="49777"/>
    <cellStyle name="Note 2 4 6 3 3" xfId="49778"/>
    <cellStyle name="Note 2 4 6 4" xfId="49779"/>
    <cellStyle name="Note 2 4 6 4 2" xfId="49780"/>
    <cellStyle name="Note 2 4 6 5" xfId="49781"/>
    <cellStyle name="Note 2 4 7" xfId="49782"/>
    <cellStyle name="Note 2 4 7 2" xfId="49783"/>
    <cellStyle name="Note 2 4 7 2 2" xfId="49784"/>
    <cellStyle name="Note 2 4 7 2 2 2" xfId="49785"/>
    <cellStyle name="Note 2 4 7 2 2 2 2" xfId="49786"/>
    <cellStyle name="Note 2 4 7 2 2 3" xfId="49787"/>
    <cellStyle name="Note 2 4 7 2 3" xfId="49788"/>
    <cellStyle name="Note 2 4 7 2 3 2" xfId="49789"/>
    <cellStyle name="Note 2 4 7 2 4" xfId="49790"/>
    <cellStyle name="Note 2 4 7 3" xfId="49791"/>
    <cellStyle name="Note 2 4 7 3 2" xfId="49792"/>
    <cellStyle name="Note 2 4 7 3 2 2" xfId="49793"/>
    <cellStyle name="Note 2 4 7 3 3" xfId="49794"/>
    <cellStyle name="Note 2 4 7 4" xfId="49795"/>
    <cellStyle name="Note 2 4 7 4 2" xfId="49796"/>
    <cellStyle name="Note 2 4 7 5" xfId="49797"/>
    <cellStyle name="Note 2 4 8" xfId="49798"/>
    <cellStyle name="Note 2 4 8 2" xfId="49799"/>
    <cellStyle name="Note 2 4 8 2 2" xfId="49800"/>
    <cellStyle name="Note 2 4 8 2 2 2" xfId="49801"/>
    <cellStyle name="Note 2 4 8 2 3" xfId="49802"/>
    <cellStyle name="Note 2 4 8 3" xfId="49803"/>
    <cellStyle name="Note 2 4 8 3 2" xfId="49804"/>
    <cellStyle name="Note 2 4 8 4" xfId="49805"/>
    <cellStyle name="Note 2 4 9" xfId="49806"/>
    <cellStyle name="Note 2 4 9 2" xfId="49807"/>
    <cellStyle name="Note 2 4 9 2 2" xfId="49808"/>
    <cellStyle name="Note 2 4 9 3" xfId="49809"/>
    <cellStyle name="Note 2 5" xfId="49810"/>
    <cellStyle name="Note 2 5 10" xfId="49811"/>
    <cellStyle name="Note 2 5 10 2" xfId="49812"/>
    <cellStyle name="Note 2 5 11" xfId="49813"/>
    <cellStyle name="Note 2 5 2" xfId="49814"/>
    <cellStyle name="Note 2 5 2 10" xfId="49815"/>
    <cellStyle name="Note 2 5 2 2" xfId="49816"/>
    <cellStyle name="Note 2 5 2 2 2" xfId="49817"/>
    <cellStyle name="Note 2 5 2 2 2 2" xfId="49818"/>
    <cellStyle name="Note 2 5 2 2 2 2 2" xfId="49819"/>
    <cellStyle name="Note 2 5 2 2 2 2 2 2" xfId="49820"/>
    <cellStyle name="Note 2 5 2 2 2 2 3" xfId="49821"/>
    <cellStyle name="Note 2 5 2 2 2 3" xfId="49822"/>
    <cellStyle name="Note 2 5 2 2 2 3 2" xfId="49823"/>
    <cellStyle name="Note 2 5 2 2 2 4" xfId="49824"/>
    <cellStyle name="Note 2 5 2 2 3" xfId="49825"/>
    <cellStyle name="Note 2 5 2 2 3 2" xfId="49826"/>
    <cellStyle name="Note 2 5 2 2 3 2 2" xfId="49827"/>
    <cellStyle name="Note 2 5 2 2 3 3" xfId="49828"/>
    <cellStyle name="Note 2 5 2 2 4" xfId="49829"/>
    <cellStyle name="Note 2 5 2 2 4 2" xfId="49830"/>
    <cellStyle name="Note 2 5 2 2 5" xfId="49831"/>
    <cellStyle name="Note 2 5 2 3" xfId="49832"/>
    <cellStyle name="Note 2 5 2 3 2" xfId="49833"/>
    <cellStyle name="Note 2 5 2 3 2 2" xfId="49834"/>
    <cellStyle name="Note 2 5 2 3 2 2 2" xfId="49835"/>
    <cellStyle name="Note 2 5 2 3 2 2 2 2" xfId="49836"/>
    <cellStyle name="Note 2 5 2 3 2 2 3" xfId="49837"/>
    <cellStyle name="Note 2 5 2 3 2 3" xfId="49838"/>
    <cellStyle name="Note 2 5 2 3 2 3 2" xfId="49839"/>
    <cellStyle name="Note 2 5 2 3 2 4" xfId="49840"/>
    <cellStyle name="Note 2 5 2 3 3" xfId="49841"/>
    <cellStyle name="Note 2 5 2 3 3 2" xfId="49842"/>
    <cellStyle name="Note 2 5 2 3 3 2 2" xfId="49843"/>
    <cellStyle name="Note 2 5 2 3 3 3" xfId="49844"/>
    <cellStyle name="Note 2 5 2 3 4" xfId="49845"/>
    <cellStyle name="Note 2 5 2 3 4 2" xfId="49846"/>
    <cellStyle name="Note 2 5 2 3 5" xfId="49847"/>
    <cellStyle name="Note 2 5 2 4" xfId="49848"/>
    <cellStyle name="Note 2 5 2 4 2" xfId="49849"/>
    <cellStyle name="Note 2 5 2 4 2 2" xfId="49850"/>
    <cellStyle name="Note 2 5 2 4 2 2 2" xfId="49851"/>
    <cellStyle name="Note 2 5 2 4 2 2 2 2" xfId="49852"/>
    <cellStyle name="Note 2 5 2 4 2 2 3" xfId="49853"/>
    <cellStyle name="Note 2 5 2 4 2 3" xfId="49854"/>
    <cellStyle name="Note 2 5 2 4 2 3 2" xfId="49855"/>
    <cellStyle name="Note 2 5 2 4 2 4" xfId="49856"/>
    <cellStyle name="Note 2 5 2 4 3" xfId="49857"/>
    <cellStyle name="Note 2 5 2 4 3 2" xfId="49858"/>
    <cellStyle name="Note 2 5 2 4 3 2 2" xfId="49859"/>
    <cellStyle name="Note 2 5 2 4 3 3" xfId="49860"/>
    <cellStyle name="Note 2 5 2 4 4" xfId="49861"/>
    <cellStyle name="Note 2 5 2 4 4 2" xfId="49862"/>
    <cellStyle name="Note 2 5 2 4 5" xfId="49863"/>
    <cellStyle name="Note 2 5 2 5" xfId="49864"/>
    <cellStyle name="Note 2 5 2 5 2" xfId="49865"/>
    <cellStyle name="Note 2 5 2 5 2 2" xfId="49866"/>
    <cellStyle name="Note 2 5 2 5 2 2 2" xfId="49867"/>
    <cellStyle name="Note 2 5 2 5 2 2 2 2" xfId="49868"/>
    <cellStyle name="Note 2 5 2 5 2 2 3" xfId="49869"/>
    <cellStyle name="Note 2 5 2 5 2 3" xfId="49870"/>
    <cellStyle name="Note 2 5 2 5 2 3 2" xfId="49871"/>
    <cellStyle name="Note 2 5 2 5 2 4" xfId="49872"/>
    <cellStyle name="Note 2 5 2 5 3" xfId="49873"/>
    <cellStyle name="Note 2 5 2 5 3 2" xfId="49874"/>
    <cellStyle name="Note 2 5 2 5 3 2 2" xfId="49875"/>
    <cellStyle name="Note 2 5 2 5 3 3" xfId="49876"/>
    <cellStyle name="Note 2 5 2 5 4" xfId="49877"/>
    <cellStyle name="Note 2 5 2 5 4 2" xfId="49878"/>
    <cellStyle name="Note 2 5 2 5 5" xfId="49879"/>
    <cellStyle name="Note 2 5 2 6" xfId="49880"/>
    <cellStyle name="Note 2 5 2 6 2" xfId="49881"/>
    <cellStyle name="Note 2 5 2 6 2 2" xfId="49882"/>
    <cellStyle name="Note 2 5 2 6 2 2 2" xfId="49883"/>
    <cellStyle name="Note 2 5 2 6 2 2 2 2" xfId="49884"/>
    <cellStyle name="Note 2 5 2 6 2 2 3" xfId="49885"/>
    <cellStyle name="Note 2 5 2 6 2 3" xfId="49886"/>
    <cellStyle name="Note 2 5 2 6 2 3 2" xfId="49887"/>
    <cellStyle name="Note 2 5 2 6 2 4" xfId="49888"/>
    <cellStyle name="Note 2 5 2 6 3" xfId="49889"/>
    <cellStyle name="Note 2 5 2 6 3 2" xfId="49890"/>
    <cellStyle name="Note 2 5 2 6 3 2 2" xfId="49891"/>
    <cellStyle name="Note 2 5 2 6 3 3" xfId="49892"/>
    <cellStyle name="Note 2 5 2 6 4" xfId="49893"/>
    <cellStyle name="Note 2 5 2 6 4 2" xfId="49894"/>
    <cellStyle name="Note 2 5 2 6 5" xfId="49895"/>
    <cellStyle name="Note 2 5 2 7" xfId="49896"/>
    <cellStyle name="Note 2 5 2 7 2" xfId="49897"/>
    <cellStyle name="Note 2 5 2 7 2 2" xfId="49898"/>
    <cellStyle name="Note 2 5 2 7 2 2 2" xfId="49899"/>
    <cellStyle name="Note 2 5 2 7 2 3" xfId="49900"/>
    <cellStyle name="Note 2 5 2 7 3" xfId="49901"/>
    <cellStyle name="Note 2 5 2 7 3 2" xfId="49902"/>
    <cellStyle name="Note 2 5 2 7 4" xfId="49903"/>
    <cellStyle name="Note 2 5 2 8" xfId="49904"/>
    <cellStyle name="Note 2 5 2 8 2" xfId="49905"/>
    <cellStyle name="Note 2 5 2 8 2 2" xfId="49906"/>
    <cellStyle name="Note 2 5 2 8 3" xfId="49907"/>
    <cellStyle name="Note 2 5 2 9" xfId="49908"/>
    <cellStyle name="Note 2 5 2 9 2" xfId="49909"/>
    <cellStyle name="Note 2 5 3" xfId="49910"/>
    <cellStyle name="Note 2 5 3 2" xfId="49911"/>
    <cellStyle name="Note 2 5 3 2 2" xfId="49912"/>
    <cellStyle name="Note 2 5 3 2 2 2" xfId="49913"/>
    <cellStyle name="Note 2 5 3 2 2 2 2" xfId="49914"/>
    <cellStyle name="Note 2 5 3 2 2 3" xfId="49915"/>
    <cellStyle name="Note 2 5 3 2 3" xfId="49916"/>
    <cellStyle name="Note 2 5 3 2 3 2" xfId="49917"/>
    <cellStyle name="Note 2 5 3 2 4" xfId="49918"/>
    <cellStyle name="Note 2 5 3 3" xfId="49919"/>
    <cellStyle name="Note 2 5 3 3 2" xfId="49920"/>
    <cellStyle name="Note 2 5 3 3 2 2" xfId="49921"/>
    <cellStyle name="Note 2 5 3 3 3" xfId="49922"/>
    <cellStyle name="Note 2 5 3 4" xfId="49923"/>
    <cellStyle name="Note 2 5 3 4 2" xfId="49924"/>
    <cellStyle name="Note 2 5 3 5" xfId="49925"/>
    <cellStyle name="Note 2 5 4" xfId="49926"/>
    <cellStyle name="Note 2 5 4 2" xfId="49927"/>
    <cellStyle name="Note 2 5 4 2 2" xfId="49928"/>
    <cellStyle name="Note 2 5 4 2 2 2" xfId="49929"/>
    <cellStyle name="Note 2 5 4 2 2 2 2" xfId="49930"/>
    <cellStyle name="Note 2 5 4 2 2 3" xfId="49931"/>
    <cellStyle name="Note 2 5 4 2 3" xfId="49932"/>
    <cellStyle name="Note 2 5 4 2 3 2" xfId="49933"/>
    <cellStyle name="Note 2 5 4 2 4" xfId="49934"/>
    <cellStyle name="Note 2 5 4 3" xfId="49935"/>
    <cellStyle name="Note 2 5 4 3 2" xfId="49936"/>
    <cellStyle name="Note 2 5 4 3 2 2" xfId="49937"/>
    <cellStyle name="Note 2 5 4 3 3" xfId="49938"/>
    <cellStyle name="Note 2 5 4 4" xfId="49939"/>
    <cellStyle name="Note 2 5 4 4 2" xfId="49940"/>
    <cellStyle name="Note 2 5 4 5" xfId="49941"/>
    <cellStyle name="Note 2 5 5" xfId="49942"/>
    <cellStyle name="Note 2 5 5 2" xfId="49943"/>
    <cellStyle name="Note 2 5 5 2 2" xfId="49944"/>
    <cellStyle name="Note 2 5 5 2 2 2" xfId="49945"/>
    <cellStyle name="Note 2 5 5 2 2 2 2" xfId="49946"/>
    <cellStyle name="Note 2 5 5 2 2 3" xfId="49947"/>
    <cellStyle name="Note 2 5 5 2 3" xfId="49948"/>
    <cellStyle name="Note 2 5 5 2 3 2" xfId="49949"/>
    <cellStyle name="Note 2 5 5 2 4" xfId="49950"/>
    <cellStyle name="Note 2 5 5 3" xfId="49951"/>
    <cellStyle name="Note 2 5 5 3 2" xfId="49952"/>
    <cellStyle name="Note 2 5 5 3 2 2" xfId="49953"/>
    <cellStyle name="Note 2 5 5 3 3" xfId="49954"/>
    <cellStyle name="Note 2 5 5 4" xfId="49955"/>
    <cellStyle name="Note 2 5 5 4 2" xfId="49956"/>
    <cellStyle name="Note 2 5 5 5" xfId="49957"/>
    <cellStyle name="Note 2 5 6" xfId="49958"/>
    <cellStyle name="Note 2 5 6 2" xfId="49959"/>
    <cellStyle name="Note 2 5 6 2 2" xfId="49960"/>
    <cellStyle name="Note 2 5 6 2 2 2" xfId="49961"/>
    <cellStyle name="Note 2 5 6 2 2 2 2" xfId="49962"/>
    <cellStyle name="Note 2 5 6 2 2 3" xfId="49963"/>
    <cellStyle name="Note 2 5 6 2 3" xfId="49964"/>
    <cellStyle name="Note 2 5 6 2 3 2" xfId="49965"/>
    <cellStyle name="Note 2 5 6 2 4" xfId="49966"/>
    <cellStyle name="Note 2 5 6 3" xfId="49967"/>
    <cellStyle name="Note 2 5 6 3 2" xfId="49968"/>
    <cellStyle name="Note 2 5 6 3 2 2" xfId="49969"/>
    <cellStyle name="Note 2 5 6 3 3" xfId="49970"/>
    <cellStyle name="Note 2 5 6 4" xfId="49971"/>
    <cellStyle name="Note 2 5 6 4 2" xfId="49972"/>
    <cellStyle name="Note 2 5 6 5" xfId="49973"/>
    <cellStyle name="Note 2 5 7" xfId="49974"/>
    <cellStyle name="Note 2 5 7 2" xfId="49975"/>
    <cellStyle name="Note 2 5 7 2 2" xfId="49976"/>
    <cellStyle name="Note 2 5 7 2 2 2" xfId="49977"/>
    <cellStyle name="Note 2 5 7 2 2 2 2" xfId="49978"/>
    <cellStyle name="Note 2 5 7 2 2 3" xfId="49979"/>
    <cellStyle name="Note 2 5 7 2 3" xfId="49980"/>
    <cellStyle name="Note 2 5 7 2 3 2" xfId="49981"/>
    <cellStyle name="Note 2 5 7 2 4" xfId="49982"/>
    <cellStyle name="Note 2 5 7 3" xfId="49983"/>
    <cellStyle name="Note 2 5 7 3 2" xfId="49984"/>
    <cellStyle name="Note 2 5 7 3 2 2" xfId="49985"/>
    <cellStyle name="Note 2 5 7 3 3" xfId="49986"/>
    <cellStyle name="Note 2 5 7 4" xfId="49987"/>
    <cellStyle name="Note 2 5 7 4 2" xfId="49988"/>
    <cellStyle name="Note 2 5 7 5" xfId="49989"/>
    <cellStyle name="Note 2 5 8" xfId="49990"/>
    <cellStyle name="Note 2 5 8 2" xfId="49991"/>
    <cellStyle name="Note 2 5 8 2 2" xfId="49992"/>
    <cellStyle name="Note 2 5 8 2 2 2" xfId="49993"/>
    <cellStyle name="Note 2 5 8 2 3" xfId="49994"/>
    <cellStyle name="Note 2 5 8 3" xfId="49995"/>
    <cellStyle name="Note 2 5 8 3 2" xfId="49996"/>
    <cellStyle name="Note 2 5 8 4" xfId="49997"/>
    <cellStyle name="Note 2 5 9" xfId="49998"/>
    <cellStyle name="Note 2 5 9 2" xfId="49999"/>
    <cellStyle name="Note 2 5 9 2 2" xfId="50000"/>
    <cellStyle name="Note 2 5 9 3" xfId="50001"/>
    <cellStyle name="Note 2 6" xfId="50002"/>
    <cellStyle name="Note 2 6 10" xfId="50003"/>
    <cellStyle name="Note 2 6 10 2" xfId="50004"/>
    <cellStyle name="Note 2 6 11" xfId="50005"/>
    <cellStyle name="Note 2 6 2" xfId="50006"/>
    <cellStyle name="Note 2 6 2 10" xfId="50007"/>
    <cellStyle name="Note 2 6 2 2" xfId="50008"/>
    <cellStyle name="Note 2 6 2 2 2" xfId="50009"/>
    <cellStyle name="Note 2 6 2 2 2 2" xfId="50010"/>
    <cellStyle name="Note 2 6 2 2 2 2 2" xfId="50011"/>
    <cellStyle name="Note 2 6 2 2 2 2 2 2" xfId="50012"/>
    <cellStyle name="Note 2 6 2 2 2 2 3" xfId="50013"/>
    <cellStyle name="Note 2 6 2 2 2 3" xfId="50014"/>
    <cellStyle name="Note 2 6 2 2 2 3 2" xfId="50015"/>
    <cellStyle name="Note 2 6 2 2 2 4" xfId="50016"/>
    <cellStyle name="Note 2 6 2 2 3" xfId="50017"/>
    <cellStyle name="Note 2 6 2 2 3 2" xfId="50018"/>
    <cellStyle name="Note 2 6 2 2 3 2 2" xfId="50019"/>
    <cellStyle name="Note 2 6 2 2 3 3" xfId="50020"/>
    <cellStyle name="Note 2 6 2 2 4" xfId="50021"/>
    <cellStyle name="Note 2 6 2 2 4 2" xfId="50022"/>
    <cellStyle name="Note 2 6 2 2 5" xfId="50023"/>
    <cellStyle name="Note 2 6 2 3" xfId="50024"/>
    <cellStyle name="Note 2 6 2 3 2" xfId="50025"/>
    <cellStyle name="Note 2 6 2 3 2 2" xfId="50026"/>
    <cellStyle name="Note 2 6 2 3 2 2 2" xfId="50027"/>
    <cellStyle name="Note 2 6 2 3 2 2 2 2" xfId="50028"/>
    <cellStyle name="Note 2 6 2 3 2 2 3" xfId="50029"/>
    <cellStyle name="Note 2 6 2 3 2 3" xfId="50030"/>
    <cellStyle name="Note 2 6 2 3 2 3 2" xfId="50031"/>
    <cellStyle name="Note 2 6 2 3 2 4" xfId="50032"/>
    <cellStyle name="Note 2 6 2 3 3" xfId="50033"/>
    <cellStyle name="Note 2 6 2 3 3 2" xfId="50034"/>
    <cellStyle name="Note 2 6 2 3 3 2 2" xfId="50035"/>
    <cellStyle name="Note 2 6 2 3 3 3" xfId="50036"/>
    <cellStyle name="Note 2 6 2 3 4" xfId="50037"/>
    <cellStyle name="Note 2 6 2 3 4 2" xfId="50038"/>
    <cellStyle name="Note 2 6 2 3 5" xfId="50039"/>
    <cellStyle name="Note 2 6 2 4" xfId="50040"/>
    <cellStyle name="Note 2 6 2 4 2" xfId="50041"/>
    <cellStyle name="Note 2 6 2 4 2 2" xfId="50042"/>
    <cellStyle name="Note 2 6 2 4 2 2 2" xfId="50043"/>
    <cellStyle name="Note 2 6 2 4 2 2 2 2" xfId="50044"/>
    <cellStyle name="Note 2 6 2 4 2 2 3" xfId="50045"/>
    <cellStyle name="Note 2 6 2 4 2 3" xfId="50046"/>
    <cellStyle name="Note 2 6 2 4 2 3 2" xfId="50047"/>
    <cellStyle name="Note 2 6 2 4 2 4" xfId="50048"/>
    <cellStyle name="Note 2 6 2 4 3" xfId="50049"/>
    <cellStyle name="Note 2 6 2 4 3 2" xfId="50050"/>
    <cellStyle name="Note 2 6 2 4 3 2 2" xfId="50051"/>
    <cellStyle name="Note 2 6 2 4 3 3" xfId="50052"/>
    <cellStyle name="Note 2 6 2 4 4" xfId="50053"/>
    <cellStyle name="Note 2 6 2 4 4 2" xfId="50054"/>
    <cellStyle name="Note 2 6 2 4 5" xfId="50055"/>
    <cellStyle name="Note 2 6 2 5" xfId="50056"/>
    <cellStyle name="Note 2 6 2 5 2" xfId="50057"/>
    <cellStyle name="Note 2 6 2 5 2 2" xfId="50058"/>
    <cellStyle name="Note 2 6 2 5 2 2 2" xfId="50059"/>
    <cellStyle name="Note 2 6 2 5 2 2 2 2" xfId="50060"/>
    <cellStyle name="Note 2 6 2 5 2 2 3" xfId="50061"/>
    <cellStyle name="Note 2 6 2 5 2 3" xfId="50062"/>
    <cellStyle name="Note 2 6 2 5 2 3 2" xfId="50063"/>
    <cellStyle name="Note 2 6 2 5 2 4" xfId="50064"/>
    <cellStyle name="Note 2 6 2 5 3" xfId="50065"/>
    <cellStyle name="Note 2 6 2 5 3 2" xfId="50066"/>
    <cellStyle name="Note 2 6 2 5 3 2 2" xfId="50067"/>
    <cellStyle name="Note 2 6 2 5 3 3" xfId="50068"/>
    <cellStyle name="Note 2 6 2 5 4" xfId="50069"/>
    <cellStyle name="Note 2 6 2 5 4 2" xfId="50070"/>
    <cellStyle name="Note 2 6 2 5 5" xfId="50071"/>
    <cellStyle name="Note 2 6 2 6" xfId="50072"/>
    <cellStyle name="Note 2 6 2 6 2" xfId="50073"/>
    <cellStyle name="Note 2 6 2 6 2 2" xfId="50074"/>
    <cellStyle name="Note 2 6 2 6 2 2 2" xfId="50075"/>
    <cellStyle name="Note 2 6 2 6 2 2 2 2" xfId="50076"/>
    <cellStyle name="Note 2 6 2 6 2 2 3" xfId="50077"/>
    <cellStyle name="Note 2 6 2 6 2 3" xfId="50078"/>
    <cellStyle name="Note 2 6 2 6 2 3 2" xfId="50079"/>
    <cellStyle name="Note 2 6 2 6 2 4" xfId="50080"/>
    <cellStyle name="Note 2 6 2 6 3" xfId="50081"/>
    <cellStyle name="Note 2 6 2 6 3 2" xfId="50082"/>
    <cellStyle name="Note 2 6 2 6 3 2 2" xfId="50083"/>
    <cellStyle name="Note 2 6 2 6 3 3" xfId="50084"/>
    <cellStyle name="Note 2 6 2 6 4" xfId="50085"/>
    <cellStyle name="Note 2 6 2 6 4 2" xfId="50086"/>
    <cellStyle name="Note 2 6 2 6 5" xfId="50087"/>
    <cellStyle name="Note 2 6 2 7" xfId="50088"/>
    <cellStyle name="Note 2 6 2 7 2" xfId="50089"/>
    <cellStyle name="Note 2 6 2 7 2 2" xfId="50090"/>
    <cellStyle name="Note 2 6 2 7 2 2 2" xfId="50091"/>
    <cellStyle name="Note 2 6 2 7 2 3" xfId="50092"/>
    <cellStyle name="Note 2 6 2 7 3" xfId="50093"/>
    <cellStyle name="Note 2 6 2 7 3 2" xfId="50094"/>
    <cellStyle name="Note 2 6 2 7 4" xfId="50095"/>
    <cellStyle name="Note 2 6 2 8" xfId="50096"/>
    <cellStyle name="Note 2 6 2 8 2" xfId="50097"/>
    <cellStyle name="Note 2 6 2 8 2 2" xfId="50098"/>
    <cellStyle name="Note 2 6 2 8 3" xfId="50099"/>
    <cellStyle name="Note 2 6 2 9" xfId="50100"/>
    <cellStyle name="Note 2 6 2 9 2" xfId="50101"/>
    <cellStyle name="Note 2 6 3" xfId="50102"/>
    <cellStyle name="Note 2 6 3 2" xfId="50103"/>
    <cellStyle name="Note 2 6 3 2 2" xfId="50104"/>
    <cellStyle name="Note 2 6 3 2 2 2" xfId="50105"/>
    <cellStyle name="Note 2 6 3 2 2 2 2" xfId="50106"/>
    <cellStyle name="Note 2 6 3 2 2 3" xfId="50107"/>
    <cellStyle name="Note 2 6 3 2 3" xfId="50108"/>
    <cellStyle name="Note 2 6 3 2 3 2" xfId="50109"/>
    <cellStyle name="Note 2 6 3 2 4" xfId="50110"/>
    <cellStyle name="Note 2 6 3 3" xfId="50111"/>
    <cellStyle name="Note 2 6 3 3 2" xfId="50112"/>
    <cellStyle name="Note 2 6 3 3 2 2" xfId="50113"/>
    <cellStyle name="Note 2 6 3 3 3" xfId="50114"/>
    <cellStyle name="Note 2 6 3 4" xfId="50115"/>
    <cellStyle name="Note 2 6 3 4 2" xfId="50116"/>
    <cellStyle name="Note 2 6 3 5" xfId="50117"/>
    <cellStyle name="Note 2 6 4" xfId="50118"/>
    <cellStyle name="Note 2 6 4 2" xfId="50119"/>
    <cellStyle name="Note 2 6 4 2 2" xfId="50120"/>
    <cellStyle name="Note 2 6 4 2 2 2" xfId="50121"/>
    <cellStyle name="Note 2 6 4 2 2 2 2" xfId="50122"/>
    <cellStyle name="Note 2 6 4 2 2 3" xfId="50123"/>
    <cellStyle name="Note 2 6 4 2 3" xfId="50124"/>
    <cellStyle name="Note 2 6 4 2 3 2" xfId="50125"/>
    <cellStyle name="Note 2 6 4 2 4" xfId="50126"/>
    <cellStyle name="Note 2 6 4 3" xfId="50127"/>
    <cellStyle name="Note 2 6 4 3 2" xfId="50128"/>
    <cellStyle name="Note 2 6 4 3 2 2" xfId="50129"/>
    <cellStyle name="Note 2 6 4 3 3" xfId="50130"/>
    <cellStyle name="Note 2 6 4 4" xfId="50131"/>
    <cellStyle name="Note 2 6 4 4 2" xfId="50132"/>
    <cellStyle name="Note 2 6 4 5" xfId="50133"/>
    <cellStyle name="Note 2 6 5" xfId="50134"/>
    <cellStyle name="Note 2 6 5 2" xfId="50135"/>
    <cellStyle name="Note 2 6 5 2 2" xfId="50136"/>
    <cellStyle name="Note 2 6 5 2 2 2" xfId="50137"/>
    <cellStyle name="Note 2 6 5 2 2 2 2" xfId="50138"/>
    <cellStyle name="Note 2 6 5 2 2 3" xfId="50139"/>
    <cellStyle name="Note 2 6 5 2 3" xfId="50140"/>
    <cellStyle name="Note 2 6 5 2 3 2" xfId="50141"/>
    <cellStyle name="Note 2 6 5 2 4" xfId="50142"/>
    <cellStyle name="Note 2 6 5 3" xfId="50143"/>
    <cellStyle name="Note 2 6 5 3 2" xfId="50144"/>
    <cellStyle name="Note 2 6 5 3 2 2" xfId="50145"/>
    <cellStyle name="Note 2 6 5 3 3" xfId="50146"/>
    <cellStyle name="Note 2 6 5 4" xfId="50147"/>
    <cellStyle name="Note 2 6 5 4 2" xfId="50148"/>
    <cellStyle name="Note 2 6 5 5" xfId="50149"/>
    <cellStyle name="Note 2 6 6" xfId="50150"/>
    <cellStyle name="Note 2 6 6 2" xfId="50151"/>
    <cellStyle name="Note 2 6 6 2 2" xfId="50152"/>
    <cellStyle name="Note 2 6 6 2 2 2" xfId="50153"/>
    <cellStyle name="Note 2 6 6 2 2 2 2" xfId="50154"/>
    <cellStyle name="Note 2 6 6 2 2 3" xfId="50155"/>
    <cellStyle name="Note 2 6 6 2 3" xfId="50156"/>
    <cellStyle name="Note 2 6 6 2 3 2" xfId="50157"/>
    <cellStyle name="Note 2 6 6 2 4" xfId="50158"/>
    <cellStyle name="Note 2 6 6 3" xfId="50159"/>
    <cellStyle name="Note 2 6 6 3 2" xfId="50160"/>
    <cellStyle name="Note 2 6 6 3 2 2" xfId="50161"/>
    <cellStyle name="Note 2 6 6 3 3" xfId="50162"/>
    <cellStyle name="Note 2 6 6 4" xfId="50163"/>
    <cellStyle name="Note 2 6 6 4 2" xfId="50164"/>
    <cellStyle name="Note 2 6 6 5" xfId="50165"/>
    <cellStyle name="Note 2 6 7" xfId="50166"/>
    <cellStyle name="Note 2 6 7 2" xfId="50167"/>
    <cellStyle name="Note 2 6 7 2 2" xfId="50168"/>
    <cellStyle name="Note 2 6 7 2 2 2" xfId="50169"/>
    <cellStyle name="Note 2 6 7 2 2 2 2" xfId="50170"/>
    <cellStyle name="Note 2 6 7 2 2 3" xfId="50171"/>
    <cellStyle name="Note 2 6 7 2 3" xfId="50172"/>
    <cellStyle name="Note 2 6 7 2 3 2" xfId="50173"/>
    <cellStyle name="Note 2 6 7 2 4" xfId="50174"/>
    <cellStyle name="Note 2 6 7 3" xfId="50175"/>
    <cellStyle name="Note 2 6 7 3 2" xfId="50176"/>
    <cellStyle name="Note 2 6 7 3 2 2" xfId="50177"/>
    <cellStyle name="Note 2 6 7 3 3" xfId="50178"/>
    <cellStyle name="Note 2 6 7 4" xfId="50179"/>
    <cellStyle name="Note 2 6 7 4 2" xfId="50180"/>
    <cellStyle name="Note 2 6 7 5" xfId="50181"/>
    <cellStyle name="Note 2 6 8" xfId="50182"/>
    <cellStyle name="Note 2 6 8 2" xfId="50183"/>
    <cellStyle name="Note 2 6 8 2 2" xfId="50184"/>
    <cellStyle name="Note 2 6 8 2 2 2" xfId="50185"/>
    <cellStyle name="Note 2 6 8 2 3" xfId="50186"/>
    <cellStyle name="Note 2 6 8 3" xfId="50187"/>
    <cellStyle name="Note 2 6 8 3 2" xfId="50188"/>
    <cellStyle name="Note 2 6 8 4" xfId="50189"/>
    <cellStyle name="Note 2 6 9" xfId="50190"/>
    <cellStyle name="Note 2 6 9 2" xfId="50191"/>
    <cellStyle name="Note 2 6 9 2 2" xfId="50192"/>
    <cellStyle name="Note 2 6 9 3" xfId="50193"/>
    <cellStyle name="Note 2 7" xfId="50194"/>
    <cellStyle name="Note 2 7 10" xfId="50195"/>
    <cellStyle name="Note 2 7 10 2" xfId="50196"/>
    <cellStyle name="Note 2 7 11" xfId="50197"/>
    <cellStyle name="Note 2 7 2" xfId="50198"/>
    <cellStyle name="Note 2 7 2 10" xfId="50199"/>
    <cellStyle name="Note 2 7 2 2" xfId="50200"/>
    <cellStyle name="Note 2 7 2 2 2" xfId="50201"/>
    <cellStyle name="Note 2 7 2 2 2 2" xfId="50202"/>
    <cellStyle name="Note 2 7 2 2 2 2 2" xfId="50203"/>
    <cellStyle name="Note 2 7 2 2 2 2 2 2" xfId="50204"/>
    <cellStyle name="Note 2 7 2 2 2 2 3" xfId="50205"/>
    <cellStyle name="Note 2 7 2 2 2 3" xfId="50206"/>
    <cellStyle name="Note 2 7 2 2 2 3 2" xfId="50207"/>
    <cellStyle name="Note 2 7 2 2 2 4" xfId="50208"/>
    <cellStyle name="Note 2 7 2 2 3" xfId="50209"/>
    <cellStyle name="Note 2 7 2 2 3 2" xfId="50210"/>
    <cellStyle name="Note 2 7 2 2 3 2 2" xfId="50211"/>
    <cellStyle name="Note 2 7 2 2 3 3" xfId="50212"/>
    <cellStyle name="Note 2 7 2 2 4" xfId="50213"/>
    <cellStyle name="Note 2 7 2 2 4 2" xfId="50214"/>
    <cellStyle name="Note 2 7 2 2 5" xfId="50215"/>
    <cellStyle name="Note 2 7 2 3" xfId="50216"/>
    <cellStyle name="Note 2 7 2 3 2" xfId="50217"/>
    <cellStyle name="Note 2 7 2 3 2 2" xfId="50218"/>
    <cellStyle name="Note 2 7 2 3 2 2 2" xfId="50219"/>
    <cellStyle name="Note 2 7 2 3 2 2 2 2" xfId="50220"/>
    <cellStyle name="Note 2 7 2 3 2 2 3" xfId="50221"/>
    <cellStyle name="Note 2 7 2 3 2 3" xfId="50222"/>
    <cellStyle name="Note 2 7 2 3 2 3 2" xfId="50223"/>
    <cellStyle name="Note 2 7 2 3 2 4" xfId="50224"/>
    <cellStyle name="Note 2 7 2 3 3" xfId="50225"/>
    <cellStyle name="Note 2 7 2 3 3 2" xfId="50226"/>
    <cellStyle name="Note 2 7 2 3 3 2 2" xfId="50227"/>
    <cellStyle name="Note 2 7 2 3 3 3" xfId="50228"/>
    <cellStyle name="Note 2 7 2 3 4" xfId="50229"/>
    <cellStyle name="Note 2 7 2 3 4 2" xfId="50230"/>
    <cellStyle name="Note 2 7 2 3 5" xfId="50231"/>
    <cellStyle name="Note 2 7 2 4" xfId="50232"/>
    <cellStyle name="Note 2 7 2 4 2" xfId="50233"/>
    <cellStyle name="Note 2 7 2 4 2 2" xfId="50234"/>
    <cellStyle name="Note 2 7 2 4 2 2 2" xfId="50235"/>
    <cellStyle name="Note 2 7 2 4 2 2 2 2" xfId="50236"/>
    <cellStyle name="Note 2 7 2 4 2 2 3" xfId="50237"/>
    <cellStyle name="Note 2 7 2 4 2 3" xfId="50238"/>
    <cellStyle name="Note 2 7 2 4 2 3 2" xfId="50239"/>
    <cellStyle name="Note 2 7 2 4 2 4" xfId="50240"/>
    <cellStyle name="Note 2 7 2 4 3" xfId="50241"/>
    <cellStyle name="Note 2 7 2 4 3 2" xfId="50242"/>
    <cellStyle name="Note 2 7 2 4 3 2 2" xfId="50243"/>
    <cellStyle name="Note 2 7 2 4 3 3" xfId="50244"/>
    <cellStyle name="Note 2 7 2 4 4" xfId="50245"/>
    <cellStyle name="Note 2 7 2 4 4 2" xfId="50246"/>
    <cellStyle name="Note 2 7 2 4 5" xfId="50247"/>
    <cellStyle name="Note 2 7 2 5" xfId="50248"/>
    <cellStyle name="Note 2 7 2 5 2" xfId="50249"/>
    <cellStyle name="Note 2 7 2 5 2 2" xfId="50250"/>
    <cellStyle name="Note 2 7 2 5 2 2 2" xfId="50251"/>
    <cellStyle name="Note 2 7 2 5 2 2 2 2" xfId="50252"/>
    <cellStyle name="Note 2 7 2 5 2 2 3" xfId="50253"/>
    <cellStyle name="Note 2 7 2 5 2 3" xfId="50254"/>
    <cellStyle name="Note 2 7 2 5 2 3 2" xfId="50255"/>
    <cellStyle name="Note 2 7 2 5 2 4" xfId="50256"/>
    <cellStyle name="Note 2 7 2 5 3" xfId="50257"/>
    <cellStyle name="Note 2 7 2 5 3 2" xfId="50258"/>
    <cellStyle name="Note 2 7 2 5 3 2 2" xfId="50259"/>
    <cellStyle name="Note 2 7 2 5 3 3" xfId="50260"/>
    <cellStyle name="Note 2 7 2 5 4" xfId="50261"/>
    <cellStyle name="Note 2 7 2 5 4 2" xfId="50262"/>
    <cellStyle name="Note 2 7 2 5 5" xfId="50263"/>
    <cellStyle name="Note 2 7 2 6" xfId="50264"/>
    <cellStyle name="Note 2 7 2 6 2" xfId="50265"/>
    <cellStyle name="Note 2 7 2 6 2 2" xfId="50266"/>
    <cellStyle name="Note 2 7 2 6 2 2 2" xfId="50267"/>
    <cellStyle name="Note 2 7 2 6 2 2 2 2" xfId="50268"/>
    <cellStyle name="Note 2 7 2 6 2 2 3" xfId="50269"/>
    <cellStyle name="Note 2 7 2 6 2 3" xfId="50270"/>
    <cellStyle name="Note 2 7 2 6 2 3 2" xfId="50271"/>
    <cellStyle name="Note 2 7 2 6 2 4" xfId="50272"/>
    <cellStyle name="Note 2 7 2 6 3" xfId="50273"/>
    <cellStyle name="Note 2 7 2 6 3 2" xfId="50274"/>
    <cellStyle name="Note 2 7 2 6 3 2 2" xfId="50275"/>
    <cellStyle name="Note 2 7 2 6 3 3" xfId="50276"/>
    <cellStyle name="Note 2 7 2 6 4" xfId="50277"/>
    <cellStyle name="Note 2 7 2 6 4 2" xfId="50278"/>
    <cellStyle name="Note 2 7 2 6 5" xfId="50279"/>
    <cellStyle name="Note 2 7 2 7" xfId="50280"/>
    <cellStyle name="Note 2 7 2 7 2" xfId="50281"/>
    <cellStyle name="Note 2 7 2 7 2 2" xfId="50282"/>
    <cellStyle name="Note 2 7 2 7 2 2 2" xfId="50283"/>
    <cellStyle name="Note 2 7 2 7 2 3" xfId="50284"/>
    <cellStyle name="Note 2 7 2 7 3" xfId="50285"/>
    <cellStyle name="Note 2 7 2 7 3 2" xfId="50286"/>
    <cellStyle name="Note 2 7 2 7 4" xfId="50287"/>
    <cellStyle name="Note 2 7 2 8" xfId="50288"/>
    <cellStyle name="Note 2 7 2 8 2" xfId="50289"/>
    <cellStyle name="Note 2 7 2 8 2 2" xfId="50290"/>
    <cellStyle name="Note 2 7 2 8 3" xfId="50291"/>
    <cellStyle name="Note 2 7 2 9" xfId="50292"/>
    <cellStyle name="Note 2 7 2 9 2" xfId="50293"/>
    <cellStyle name="Note 2 7 3" xfId="50294"/>
    <cellStyle name="Note 2 7 3 2" xfId="50295"/>
    <cellStyle name="Note 2 7 3 2 2" xfId="50296"/>
    <cellStyle name="Note 2 7 3 2 2 2" xfId="50297"/>
    <cellStyle name="Note 2 7 3 2 2 2 2" xfId="50298"/>
    <cellStyle name="Note 2 7 3 2 2 3" xfId="50299"/>
    <cellStyle name="Note 2 7 3 2 3" xfId="50300"/>
    <cellStyle name="Note 2 7 3 2 3 2" xfId="50301"/>
    <cellStyle name="Note 2 7 3 2 4" xfId="50302"/>
    <cellStyle name="Note 2 7 3 3" xfId="50303"/>
    <cellStyle name="Note 2 7 3 3 2" xfId="50304"/>
    <cellStyle name="Note 2 7 3 3 2 2" xfId="50305"/>
    <cellStyle name="Note 2 7 3 3 3" xfId="50306"/>
    <cellStyle name="Note 2 7 3 4" xfId="50307"/>
    <cellStyle name="Note 2 7 3 4 2" xfId="50308"/>
    <cellStyle name="Note 2 7 3 5" xfId="50309"/>
    <cellStyle name="Note 2 7 4" xfId="50310"/>
    <cellStyle name="Note 2 7 4 2" xfId="50311"/>
    <cellStyle name="Note 2 7 4 2 2" xfId="50312"/>
    <cellStyle name="Note 2 7 4 2 2 2" xfId="50313"/>
    <cellStyle name="Note 2 7 4 2 2 2 2" xfId="50314"/>
    <cellStyle name="Note 2 7 4 2 2 3" xfId="50315"/>
    <cellStyle name="Note 2 7 4 2 3" xfId="50316"/>
    <cellStyle name="Note 2 7 4 2 3 2" xfId="50317"/>
    <cellStyle name="Note 2 7 4 2 4" xfId="50318"/>
    <cellStyle name="Note 2 7 4 3" xfId="50319"/>
    <cellStyle name="Note 2 7 4 3 2" xfId="50320"/>
    <cellStyle name="Note 2 7 4 3 2 2" xfId="50321"/>
    <cellStyle name="Note 2 7 4 3 3" xfId="50322"/>
    <cellStyle name="Note 2 7 4 4" xfId="50323"/>
    <cellStyle name="Note 2 7 4 4 2" xfId="50324"/>
    <cellStyle name="Note 2 7 4 5" xfId="50325"/>
    <cellStyle name="Note 2 7 5" xfId="50326"/>
    <cellStyle name="Note 2 7 5 2" xfId="50327"/>
    <cellStyle name="Note 2 7 5 2 2" xfId="50328"/>
    <cellStyle name="Note 2 7 5 2 2 2" xfId="50329"/>
    <cellStyle name="Note 2 7 5 2 2 2 2" xfId="50330"/>
    <cellStyle name="Note 2 7 5 2 2 3" xfId="50331"/>
    <cellStyle name="Note 2 7 5 2 3" xfId="50332"/>
    <cellStyle name="Note 2 7 5 2 3 2" xfId="50333"/>
    <cellStyle name="Note 2 7 5 2 4" xfId="50334"/>
    <cellStyle name="Note 2 7 5 3" xfId="50335"/>
    <cellStyle name="Note 2 7 5 3 2" xfId="50336"/>
    <cellStyle name="Note 2 7 5 3 2 2" xfId="50337"/>
    <cellStyle name="Note 2 7 5 3 3" xfId="50338"/>
    <cellStyle name="Note 2 7 5 4" xfId="50339"/>
    <cellStyle name="Note 2 7 5 4 2" xfId="50340"/>
    <cellStyle name="Note 2 7 5 5" xfId="50341"/>
    <cellStyle name="Note 2 7 6" xfId="50342"/>
    <cellStyle name="Note 2 7 6 2" xfId="50343"/>
    <cellStyle name="Note 2 7 6 2 2" xfId="50344"/>
    <cellStyle name="Note 2 7 6 2 2 2" xfId="50345"/>
    <cellStyle name="Note 2 7 6 2 2 2 2" xfId="50346"/>
    <cellStyle name="Note 2 7 6 2 2 3" xfId="50347"/>
    <cellStyle name="Note 2 7 6 2 3" xfId="50348"/>
    <cellStyle name="Note 2 7 6 2 3 2" xfId="50349"/>
    <cellStyle name="Note 2 7 6 2 4" xfId="50350"/>
    <cellStyle name="Note 2 7 6 3" xfId="50351"/>
    <cellStyle name="Note 2 7 6 3 2" xfId="50352"/>
    <cellStyle name="Note 2 7 6 3 2 2" xfId="50353"/>
    <cellStyle name="Note 2 7 6 3 3" xfId="50354"/>
    <cellStyle name="Note 2 7 6 4" xfId="50355"/>
    <cellStyle name="Note 2 7 6 4 2" xfId="50356"/>
    <cellStyle name="Note 2 7 6 5" xfId="50357"/>
    <cellStyle name="Note 2 7 7" xfId="50358"/>
    <cellStyle name="Note 2 7 7 2" xfId="50359"/>
    <cellStyle name="Note 2 7 7 2 2" xfId="50360"/>
    <cellStyle name="Note 2 7 7 2 2 2" xfId="50361"/>
    <cellStyle name="Note 2 7 7 2 2 2 2" xfId="50362"/>
    <cellStyle name="Note 2 7 7 2 2 3" xfId="50363"/>
    <cellStyle name="Note 2 7 7 2 3" xfId="50364"/>
    <cellStyle name="Note 2 7 7 2 3 2" xfId="50365"/>
    <cellStyle name="Note 2 7 7 2 4" xfId="50366"/>
    <cellStyle name="Note 2 7 7 3" xfId="50367"/>
    <cellStyle name="Note 2 7 7 3 2" xfId="50368"/>
    <cellStyle name="Note 2 7 7 3 2 2" xfId="50369"/>
    <cellStyle name="Note 2 7 7 3 3" xfId="50370"/>
    <cellStyle name="Note 2 7 7 4" xfId="50371"/>
    <cellStyle name="Note 2 7 7 4 2" xfId="50372"/>
    <cellStyle name="Note 2 7 7 5" xfId="50373"/>
    <cellStyle name="Note 2 7 8" xfId="50374"/>
    <cellStyle name="Note 2 7 8 2" xfId="50375"/>
    <cellStyle name="Note 2 7 8 2 2" xfId="50376"/>
    <cellStyle name="Note 2 7 8 2 2 2" xfId="50377"/>
    <cellStyle name="Note 2 7 8 2 3" xfId="50378"/>
    <cellStyle name="Note 2 7 8 3" xfId="50379"/>
    <cellStyle name="Note 2 7 8 3 2" xfId="50380"/>
    <cellStyle name="Note 2 7 8 4" xfId="50381"/>
    <cellStyle name="Note 2 7 9" xfId="50382"/>
    <cellStyle name="Note 2 7 9 2" xfId="50383"/>
    <cellStyle name="Note 2 7 9 2 2" xfId="50384"/>
    <cellStyle name="Note 2 7 9 3" xfId="50385"/>
    <cellStyle name="Note 2 8" xfId="50386"/>
    <cellStyle name="Note 2 8 10" xfId="50387"/>
    <cellStyle name="Note 2 8 10 2" xfId="50388"/>
    <cellStyle name="Note 2 8 11" xfId="50389"/>
    <cellStyle name="Note 2 8 2" xfId="50390"/>
    <cellStyle name="Note 2 8 2 10" xfId="50391"/>
    <cellStyle name="Note 2 8 2 2" xfId="50392"/>
    <cellStyle name="Note 2 8 2 2 2" xfId="50393"/>
    <cellStyle name="Note 2 8 2 2 2 2" xfId="50394"/>
    <cellStyle name="Note 2 8 2 2 2 2 2" xfId="50395"/>
    <cellStyle name="Note 2 8 2 2 2 2 2 2" xfId="50396"/>
    <cellStyle name="Note 2 8 2 2 2 2 3" xfId="50397"/>
    <cellStyle name="Note 2 8 2 2 2 3" xfId="50398"/>
    <cellStyle name="Note 2 8 2 2 2 3 2" xfId="50399"/>
    <cellStyle name="Note 2 8 2 2 2 4" xfId="50400"/>
    <cellStyle name="Note 2 8 2 2 3" xfId="50401"/>
    <cellStyle name="Note 2 8 2 2 3 2" xfId="50402"/>
    <cellStyle name="Note 2 8 2 2 3 2 2" xfId="50403"/>
    <cellStyle name="Note 2 8 2 2 3 3" xfId="50404"/>
    <cellStyle name="Note 2 8 2 2 4" xfId="50405"/>
    <cellStyle name="Note 2 8 2 2 4 2" xfId="50406"/>
    <cellStyle name="Note 2 8 2 2 5" xfId="50407"/>
    <cellStyle name="Note 2 8 2 3" xfId="50408"/>
    <cellStyle name="Note 2 8 2 3 2" xfId="50409"/>
    <cellStyle name="Note 2 8 2 3 2 2" xfId="50410"/>
    <cellStyle name="Note 2 8 2 3 2 2 2" xfId="50411"/>
    <cellStyle name="Note 2 8 2 3 2 2 2 2" xfId="50412"/>
    <cellStyle name="Note 2 8 2 3 2 2 3" xfId="50413"/>
    <cellStyle name="Note 2 8 2 3 2 3" xfId="50414"/>
    <cellStyle name="Note 2 8 2 3 2 3 2" xfId="50415"/>
    <cellStyle name="Note 2 8 2 3 2 4" xfId="50416"/>
    <cellStyle name="Note 2 8 2 3 3" xfId="50417"/>
    <cellStyle name="Note 2 8 2 3 3 2" xfId="50418"/>
    <cellStyle name="Note 2 8 2 3 3 2 2" xfId="50419"/>
    <cellStyle name="Note 2 8 2 3 3 3" xfId="50420"/>
    <cellStyle name="Note 2 8 2 3 4" xfId="50421"/>
    <cellStyle name="Note 2 8 2 3 4 2" xfId="50422"/>
    <cellStyle name="Note 2 8 2 3 5" xfId="50423"/>
    <cellStyle name="Note 2 8 2 4" xfId="50424"/>
    <cellStyle name="Note 2 8 2 4 2" xfId="50425"/>
    <cellStyle name="Note 2 8 2 4 2 2" xfId="50426"/>
    <cellStyle name="Note 2 8 2 4 2 2 2" xfId="50427"/>
    <cellStyle name="Note 2 8 2 4 2 2 2 2" xfId="50428"/>
    <cellStyle name="Note 2 8 2 4 2 2 3" xfId="50429"/>
    <cellStyle name="Note 2 8 2 4 2 3" xfId="50430"/>
    <cellStyle name="Note 2 8 2 4 2 3 2" xfId="50431"/>
    <cellStyle name="Note 2 8 2 4 2 4" xfId="50432"/>
    <cellStyle name="Note 2 8 2 4 3" xfId="50433"/>
    <cellStyle name="Note 2 8 2 4 3 2" xfId="50434"/>
    <cellStyle name="Note 2 8 2 4 3 2 2" xfId="50435"/>
    <cellStyle name="Note 2 8 2 4 3 3" xfId="50436"/>
    <cellStyle name="Note 2 8 2 4 4" xfId="50437"/>
    <cellStyle name="Note 2 8 2 4 4 2" xfId="50438"/>
    <cellStyle name="Note 2 8 2 4 5" xfId="50439"/>
    <cellStyle name="Note 2 8 2 5" xfId="50440"/>
    <cellStyle name="Note 2 8 2 5 2" xfId="50441"/>
    <cellStyle name="Note 2 8 2 5 2 2" xfId="50442"/>
    <cellStyle name="Note 2 8 2 5 2 2 2" xfId="50443"/>
    <cellStyle name="Note 2 8 2 5 2 2 2 2" xfId="50444"/>
    <cellStyle name="Note 2 8 2 5 2 2 3" xfId="50445"/>
    <cellStyle name="Note 2 8 2 5 2 3" xfId="50446"/>
    <cellStyle name="Note 2 8 2 5 2 3 2" xfId="50447"/>
    <cellStyle name="Note 2 8 2 5 2 4" xfId="50448"/>
    <cellStyle name="Note 2 8 2 5 3" xfId="50449"/>
    <cellStyle name="Note 2 8 2 5 3 2" xfId="50450"/>
    <cellStyle name="Note 2 8 2 5 3 2 2" xfId="50451"/>
    <cellStyle name="Note 2 8 2 5 3 3" xfId="50452"/>
    <cellStyle name="Note 2 8 2 5 4" xfId="50453"/>
    <cellStyle name="Note 2 8 2 5 4 2" xfId="50454"/>
    <cellStyle name="Note 2 8 2 5 5" xfId="50455"/>
    <cellStyle name="Note 2 8 2 6" xfId="50456"/>
    <cellStyle name="Note 2 8 2 6 2" xfId="50457"/>
    <cellStyle name="Note 2 8 2 6 2 2" xfId="50458"/>
    <cellStyle name="Note 2 8 2 6 2 2 2" xfId="50459"/>
    <cellStyle name="Note 2 8 2 6 2 2 2 2" xfId="50460"/>
    <cellStyle name="Note 2 8 2 6 2 2 3" xfId="50461"/>
    <cellStyle name="Note 2 8 2 6 2 3" xfId="50462"/>
    <cellStyle name="Note 2 8 2 6 2 3 2" xfId="50463"/>
    <cellStyle name="Note 2 8 2 6 2 4" xfId="50464"/>
    <cellStyle name="Note 2 8 2 6 3" xfId="50465"/>
    <cellStyle name="Note 2 8 2 6 3 2" xfId="50466"/>
    <cellStyle name="Note 2 8 2 6 3 2 2" xfId="50467"/>
    <cellStyle name="Note 2 8 2 6 3 3" xfId="50468"/>
    <cellStyle name="Note 2 8 2 6 4" xfId="50469"/>
    <cellStyle name="Note 2 8 2 6 4 2" xfId="50470"/>
    <cellStyle name="Note 2 8 2 6 5" xfId="50471"/>
    <cellStyle name="Note 2 8 2 7" xfId="50472"/>
    <cellStyle name="Note 2 8 2 7 2" xfId="50473"/>
    <cellStyle name="Note 2 8 2 7 2 2" xfId="50474"/>
    <cellStyle name="Note 2 8 2 7 2 2 2" xfId="50475"/>
    <cellStyle name="Note 2 8 2 7 2 3" xfId="50476"/>
    <cellStyle name="Note 2 8 2 7 3" xfId="50477"/>
    <cellStyle name="Note 2 8 2 7 3 2" xfId="50478"/>
    <cellStyle name="Note 2 8 2 7 4" xfId="50479"/>
    <cellStyle name="Note 2 8 2 8" xfId="50480"/>
    <cellStyle name="Note 2 8 2 8 2" xfId="50481"/>
    <cellStyle name="Note 2 8 2 8 2 2" xfId="50482"/>
    <cellStyle name="Note 2 8 2 8 3" xfId="50483"/>
    <cellStyle name="Note 2 8 2 9" xfId="50484"/>
    <cellStyle name="Note 2 8 2 9 2" xfId="50485"/>
    <cellStyle name="Note 2 8 3" xfId="50486"/>
    <cellStyle name="Note 2 8 3 2" xfId="50487"/>
    <cellStyle name="Note 2 8 3 2 2" xfId="50488"/>
    <cellStyle name="Note 2 8 3 2 2 2" xfId="50489"/>
    <cellStyle name="Note 2 8 3 2 2 2 2" xfId="50490"/>
    <cellStyle name="Note 2 8 3 2 2 3" xfId="50491"/>
    <cellStyle name="Note 2 8 3 2 3" xfId="50492"/>
    <cellStyle name="Note 2 8 3 2 3 2" xfId="50493"/>
    <cellStyle name="Note 2 8 3 2 4" xfId="50494"/>
    <cellStyle name="Note 2 8 3 3" xfId="50495"/>
    <cellStyle name="Note 2 8 3 3 2" xfId="50496"/>
    <cellStyle name="Note 2 8 3 3 2 2" xfId="50497"/>
    <cellStyle name="Note 2 8 3 3 3" xfId="50498"/>
    <cellStyle name="Note 2 8 3 4" xfId="50499"/>
    <cellStyle name="Note 2 8 3 4 2" xfId="50500"/>
    <cellStyle name="Note 2 8 3 5" xfId="50501"/>
    <cellStyle name="Note 2 8 4" xfId="50502"/>
    <cellStyle name="Note 2 8 4 2" xfId="50503"/>
    <cellStyle name="Note 2 8 4 2 2" xfId="50504"/>
    <cellStyle name="Note 2 8 4 2 2 2" xfId="50505"/>
    <cellStyle name="Note 2 8 4 2 2 2 2" xfId="50506"/>
    <cellStyle name="Note 2 8 4 2 2 3" xfId="50507"/>
    <cellStyle name="Note 2 8 4 2 3" xfId="50508"/>
    <cellStyle name="Note 2 8 4 2 3 2" xfId="50509"/>
    <cellStyle name="Note 2 8 4 2 4" xfId="50510"/>
    <cellStyle name="Note 2 8 4 3" xfId="50511"/>
    <cellStyle name="Note 2 8 4 3 2" xfId="50512"/>
    <cellStyle name="Note 2 8 4 3 2 2" xfId="50513"/>
    <cellStyle name="Note 2 8 4 3 3" xfId="50514"/>
    <cellStyle name="Note 2 8 4 4" xfId="50515"/>
    <cellStyle name="Note 2 8 4 4 2" xfId="50516"/>
    <cellStyle name="Note 2 8 4 5" xfId="50517"/>
    <cellStyle name="Note 2 8 5" xfId="50518"/>
    <cellStyle name="Note 2 8 5 2" xfId="50519"/>
    <cellStyle name="Note 2 8 5 2 2" xfId="50520"/>
    <cellStyle name="Note 2 8 5 2 2 2" xfId="50521"/>
    <cellStyle name="Note 2 8 5 2 2 2 2" xfId="50522"/>
    <cellStyle name="Note 2 8 5 2 2 3" xfId="50523"/>
    <cellStyle name="Note 2 8 5 2 3" xfId="50524"/>
    <cellStyle name="Note 2 8 5 2 3 2" xfId="50525"/>
    <cellStyle name="Note 2 8 5 2 4" xfId="50526"/>
    <cellStyle name="Note 2 8 5 3" xfId="50527"/>
    <cellStyle name="Note 2 8 5 3 2" xfId="50528"/>
    <cellStyle name="Note 2 8 5 3 2 2" xfId="50529"/>
    <cellStyle name="Note 2 8 5 3 3" xfId="50530"/>
    <cellStyle name="Note 2 8 5 4" xfId="50531"/>
    <cellStyle name="Note 2 8 5 4 2" xfId="50532"/>
    <cellStyle name="Note 2 8 5 5" xfId="50533"/>
    <cellStyle name="Note 2 8 6" xfId="50534"/>
    <cellStyle name="Note 2 8 6 2" xfId="50535"/>
    <cellStyle name="Note 2 8 6 2 2" xfId="50536"/>
    <cellStyle name="Note 2 8 6 2 2 2" xfId="50537"/>
    <cellStyle name="Note 2 8 6 2 2 2 2" xfId="50538"/>
    <cellStyle name="Note 2 8 6 2 2 3" xfId="50539"/>
    <cellStyle name="Note 2 8 6 2 3" xfId="50540"/>
    <cellStyle name="Note 2 8 6 2 3 2" xfId="50541"/>
    <cellStyle name="Note 2 8 6 2 4" xfId="50542"/>
    <cellStyle name="Note 2 8 6 3" xfId="50543"/>
    <cellStyle name="Note 2 8 6 3 2" xfId="50544"/>
    <cellStyle name="Note 2 8 6 3 2 2" xfId="50545"/>
    <cellStyle name="Note 2 8 6 3 3" xfId="50546"/>
    <cellStyle name="Note 2 8 6 4" xfId="50547"/>
    <cellStyle name="Note 2 8 6 4 2" xfId="50548"/>
    <cellStyle name="Note 2 8 6 5" xfId="50549"/>
    <cellStyle name="Note 2 8 7" xfId="50550"/>
    <cellStyle name="Note 2 8 7 2" xfId="50551"/>
    <cellStyle name="Note 2 8 7 2 2" xfId="50552"/>
    <cellStyle name="Note 2 8 7 2 2 2" xfId="50553"/>
    <cellStyle name="Note 2 8 7 2 2 2 2" xfId="50554"/>
    <cellStyle name="Note 2 8 7 2 2 3" xfId="50555"/>
    <cellStyle name="Note 2 8 7 2 3" xfId="50556"/>
    <cellStyle name="Note 2 8 7 2 3 2" xfId="50557"/>
    <cellStyle name="Note 2 8 7 2 4" xfId="50558"/>
    <cellStyle name="Note 2 8 7 3" xfId="50559"/>
    <cellStyle name="Note 2 8 7 3 2" xfId="50560"/>
    <cellStyle name="Note 2 8 7 3 2 2" xfId="50561"/>
    <cellStyle name="Note 2 8 7 3 3" xfId="50562"/>
    <cellStyle name="Note 2 8 7 4" xfId="50563"/>
    <cellStyle name="Note 2 8 7 4 2" xfId="50564"/>
    <cellStyle name="Note 2 8 7 5" xfId="50565"/>
    <cellStyle name="Note 2 8 8" xfId="50566"/>
    <cellStyle name="Note 2 8 8 2" xfId="50567"/>
    <cellStyle name="Note 2 8 8 2 2" xfId="50568"/>
    <cellStyle name="Note 2 8 8 2 2 2" xfId="50569"/>
    <cellStyle name="Note 2 8 8 2 3" xfId="50570"/>
    <cellStyle name="Note 2 8 8 3" xfId="50571"/>
    <cellStyle name="Note 2 8 8 3 2" xfId="50572"/>
    <cellStyle name="Note 2 8 8 4" xfId="50573"/>
    <cellStyle name="Note 2 8 9" xfId="50574"/>
    <cellStyle name="Note 2 8 9 2" xfId="50575"/>
    <cellStyle name="Note 2 8 9 2 2" xfId="50576"/>
    <cellStyle name="Note 2 8 9 3" xfId="50577"/>
    <cellStyle name="Note 2 9" xfId="50578"/>
    <cellStyle name="Note 2 9 10" xfId="50579"/>
    <cellStyle name="Note 2 9 10 2" xfId="50580"/>
    <cellStyle name="Note 2 9 11" xfId="50581"/>
    <cellStyle name="Note 2 9 2" xfId="50582"/>
    <cellStyle name="Note 2 9 2 10" xfId="50583"/>
    <cellStyle name="Note 2 9 2 2" xfId="50584"/>
    <cellStyle name="Note 2 9 2 2 2" xfId="50585"/>
    <cellStyle name="Note 2 9 2 2 2 2" xfId="50586"/>
    <cellStyle name="Note 2 9 2 2 2 2 2" xfId="50587"/>
    <cellStyle name="Note 2 9 2 2 2 2 2 2" xfId="50588"/>
    <cellStyle name="Note 2 9 2 2 2 2 3" xfId="50589"/>
    <cellStyle name="Note 2 9 2 2 2 3" xfId="50590"/>
    <cellStyle name="Note 2 9 2 2 2 3 2" xfId="50591"/>
    <cellStyle name="Note 2 9 2 2 2 4" xfId="50592"/>
    <cellStyle name="Note 2 9 2 2 3" xfId="50593"/>
    <cellStyle name="Note 2 9 2 2 3 2" xfId="50594"/>
    <cellStyle name="Note 2 9 2 2 3 2 2" xfId="50595"/>
    <cellStyle name="Note 2 9 2 2 3 3" xfId="50596"/>
    <cellStyle name="Note 2 9 2 2 4" xfId="50597"/>
    <cellStyle name="Note 2 9 2 2 4 2" xfId="50598"/>
    <cellStyle name="Note 2 9 2 2 5" xfId="50599"/>
    <cellStyle name="Note 2 9 2 3" xfId="50600"/>
    <cellStyle name="Note 2 9 2 3 2" xfId="50601"/>
    <cellStyle name="Note 2 9 2 3 2 2" xfId="50602"/>
    <cellStyle name="Note 2 9 2 3 2 2 2" xfId="50603"/>
    <cellStyle name="Note 2 9 2 3 2 2 2 2" xfId="50604"/>
    <cellStyle name="Note 2 9 2 3 2 2 3" xfId="50605"/>
    <cellStyle name="Note 2 9 2 3 2 3" xfId="50606"/>
    <cellStyle name="Note 2 9 2 3 2 3 2" xfId="50607"/>
    <cellStyle name="Note 2 9 2 3 2 4" xfId="50608"/>
    <cellStyle name="Note 2 9 2 3 3" xfId="50609"/>
    <cellStyle name="Note 2 9 2 3 3 2" xfId="50610"/>
    <cellStyle name="Note 2 9 2 3 3 2 2" xfId="50611"/>
    <cellStyle name="Note 2 9 2 3 3 3" xfId="50612"/>
    <cellStyle name="Note 2 9 2 3 4" xfId="50613"/>
    <cellStyle name="Note 2 9 2 3 4 2" xfId="50614"/>
    <cellStyle name="Note 2 9 2 3 5" xfId="50615"/>
    <cellStyle name="Note 2 9 2 4" xfId="50616"/>
    <cellStyle name="Note 2 9 2 4 2" xfId="50617"/>
    <cellStyle name="Note 2 9 2 4 2 2" xfId="50618"/>
    <cellStyle name="Note 2 9 2 4 2 2 2" xfId="50619"/>
    <cellStyle name="Note 2 9 2 4 2 2 2 2" xfId="50620"/>
    <cellStyle name="Note 2 9 2 4 2 2 3" xfId="50621"/>
    <cellStyle name="Note 2 9 2 4 2 3" xfId="50622"/>
    <cellStyle name="Note 2 9 2 4 2 3 2" xfId="50623"/>
    <cellStyle name="Note 2 9 2 4 2 4" xfId="50624"/>
    <cellStyle name="Note 2 9 2 4 3" xfId="50625"/>
    <cellStyle name="Note 2 9 2 4 3 2" xfId="50626"/>
    <cellStyle name="Note 2 9 2 4 3 2 2" xfId="50627"/>
    <cellStyle name="Note 2 9 2 4 3 3" xfId="50628"/>
    <cellStyle name="Note 2 9 2 4 4" xfId="50629"/>
    <cellStyle name="Note 2 9 2 4 4 2" xfId="50630"/>
    <cellStyle name="Note 2 9 2 4 5" xfId="50631"/>
    <cellStyle name="Note 2 9 2 5" xfId="50632"/>
    <cellStyle name="Note 2 9 2 5 2" xfId="50633"/>
    <cellStyle name="Note 2 9 2 5 2 2" xfId="50634"/>
    <cellStyle name="Note 2 9 2 5 2 2 2" xfId="50635"/>
    <cellStyle name="Note 2 9 2 5 2 2 2 2" xfId="50636"/>
    <cellStyle name="Note 2 9 2 5 2 2 3" xfId="50637"/>
    <cellStyle name="Note 2 9 2 5 2 3" xfId="50638"/>
    <cellStyle name="Note 2 9 2 5 2 3 2" xfId="50639"/>
    <cellStyle name="Note 2 9 2 5 2 4" xfId="50640"/>
    <cellStyle name="Note 2 9 2 5 3" xfId="50641"/>
    <cellStyle name="Note 2 9 2 5 3 2" xfId="50642"/>
    <cellStyle name="Note 2 9 2 5 3 2 2" xfId="50643"/>
    <cellStyle name="Note 2 9 2 5 3 3" xfId="50644"/>
    <cellStyle name="Note 2 9 2 5 4" xfId="50645"/>
    <cellStyle name="Note 2 9 2 5 4 2" xfId="50646"/>
    <cellStyle name="Note 2 9 2 5 5" xfId="50647"/>
    <cellStyle name="Note 2 9 2 6" xfId="50648"/>
    <cellStyle name="Note 2 9 2 6 2" xfId="50649"/>
    <cellStyle name="Note 2 9 2 6 2 2" xfId="50650"/>
    <cellStyle name="Note 2 9 2 6 2 2 2" xfId="50651"/>
    <cellStyle name="Note 2 9 2 6 2 2 2 2" xfId="50652"/>
    <cellStyle name="Note 2 9 2 6 2 2 3" xfId="50653"/>
    <cellStyle name="Note 2 9 2 6 2 3" xfId="50654"/>
    <cellStyle name="Note 2 9 2 6 2 3 2" xfId="50655"/>
    <cellStyle name="Note 2 9 2 6 2 4" xfId="50656"/>
    <cellStyle name="Note 2 9 2 6 3" xfId="50657"/>
    <cellStyle name="Note 2 9 2 6 3 2" xfId="50658"/>
    <cellStyle name="Note 2 9 2 6 3 2 2" xfId="50659"/>
    <cellStyle name="Note 2 9 2 6 3 3" xfId="50660"/>
    <cellStyle name="Note 2 9 2 6 4" xfId="50661"/>
    <cellStyle name="Note 2 9 2 6 4 2" xfId="50662"/>
    <cellStyle name="Note 2 9 2 6 5" xfId="50663"/>
    <cellStyle name="Note 2 9 2 7" xfId="50664"/>
    <cellStyle name="Note 2 9 2 7 2" xfId="50665"/>
    <cellStyle name="Note 2 9 2 7 2 2" xfId="50666"/>
    <cellStyle name="Note 2 9 2 7 2 2 2" xfId="50667"/>
    <cellStyle name="Note 2 9 2 7 2 3" xfId="50668"/>
    <cellStyle name="Note 2 9 2 7 3" xfId="50669"/>
    <cellStyle name="Note 2 9 2 7 3 2" xfId="50670"/>
    <cellStyle name="Note 2 9 2 7 4" xfId="50671"/>
    <cellStyle name="Note 2 9 2 8" xfId="50672"/>
    <cellStyle name="Note 2 9 2 8 2" xfId="50673"/>
    <cellStyle name="Note 2 9 2 8 2 2" xfId="50674"/>
    <cellStyle name="Note 2 9 2 8 3" xfId="50675"/>
    <cellStyle name="Note 2 9 2 9" xfId="50676"/>
    <cellStyle name="Note 2 9 2 9 2" xfId="50677"/>
    <cellStyle name="Note 2 9 3" xfId="50678"/>
    <cellStyle name="Note 2 9 3 2" xfId="50679"/>
    <cellStyle name="Note 2 9 3 2 2" xfId="50680"/>
    <cellStyle name="Note 2 9 3 2 2 2" xfId="50681"/>
    <cellStyle name="Note 2 9 3 2 2 2 2" xfId="50682"/>
    <cellStyle name="Note 2 9 3 2 2 3" xfId="50683"/>
    <cellStyle name="Note 2 9 3 2 3" xfId="50684"/>
    <cellStyle name="Note 2 9 3 2 3 2" xfId="50685"/>
    <cellStyle name="Note 2 9 3 2 4" xfId="50686"/>
    <cellStyle name="Note 2 9 3 3" xfId="50687"/>
    <cellStyle name="Note 2 9 3 3 2" xfId="50688"/>
    <cellStyle name="Note 2 9 3 3 2 2" xfId="50689"/>
    <cellStyle name="Note 2 9 3 3 3" xfId="50690"/>
    <cellStyle name="Note 2 9 3 4" xfId="50691"/>
    <cellStyle name="Note 2 9 3 4 2" xfId="50692"/>
    <cellStyle name="Note 2 9 3 5" xfId="50693"/>
    <cellStyle name="Note 2 9 4" xfId="50694"/>
    <cellStyle name="Note 2 9 4 2" xfId="50695"/>
    <cellStyle name="Note 2 9 4 2 2" xfId="50696"/>
    <cellStyle name="Note 2 9 4 2 2 2" xfId="50697"/>
    <cellStyle name="Note 2 9 4 2 2 2 2" xfId="50698"/>
    <cellStyle name="Note 2 9 4 2 2 3" xfId="50699"/>
    <cellStyle name="Note 2 9 4 2 3" xfId="50700"/>
    <cellStyle name="Note 2 9 4 2 3 2" xfId="50701"/>
    <cellStyle name="Note 2 9 4 2 4" xfId="50702"/>
    <cellStyle name="Note 2 9 4 3" xfId="50703"/>
    <cellStyle name="Note 2 9 4 3 2" xfId="50704"/>
    <cellStyle name="Note 2 9 4 3 2 2" xfId="50705"/>
    <cellStyle name="Note 2 9 4 3 3" xfId="50706"/>
    <cellStyle name="Note 2 9 4 4" xfId="50707"/>
    <cellStyle name="Note 2 9 4 4 2" xfId="50708"/>
    <cellStyle name="Note 2 9 4 5" xfId="50709"/>
    <cellStyle name="Note 2 9 5" xfId="50710"/>
    <cellStyle name="Note 2 9 5 2" xfId="50711"/>
    <cellStyle name="Note 2 9 5 2 2" xfId="50712"/>
    <cellStyle name="Note 2 9 5 2 2 2" xfId="50713"/>
    <cellStyle name="Note 2 9 5 2 2 2 2" xfId="50714"/>
    <cellStyle name="Note 2 9 5 2 2 3" xfId="50715"/>
    <cellStyle name="Note 2 9 5 2 3" xfId="50716"/>
    <cellStyle name="Note 2 9 5 2 3 2" xfId="50717"/>
    <cellStyle name="Note 2 9 5 2 4" xfId="50718"/>
    <cellStyle name="Note 2 9 5 3" xfId="50719"/>
    <cellStyle name="Note 2 9 5 3 2" xfId="50720"/>
    <cellStyle name="Note 2 9 5 3 2 2" xfId="50721"/>
    <cellStyle name="Note 2 9 5 3 3" xfId="50722"/>
    <cellStyle name="Note 2 9 5 4" xfId="50723"/>
    <cellStyle name="Note 2 9 5 4 2" xfId="50724"/>
    <cellStyle name="Note 2 9 5 5" xfId="50725"/>
    <cellStyle name="Note 2 9 6" xfId="50726"/>
    <cellStyle name="Note 2 9 6 2" xfId="50727"/>
    <cellStyle name="Note 2 9 6 2 2" xfId="50728"/>
    <cellStyle name="Note 2 9 6 2 2 2" xfId="50729"/>
    <cellStyle name="Note 2 9 6 2 2 2 2" xfId="50730"/>
    <cellStyle name="Note 2 9 6 2 2 3" xfId="50731"/>
    <cellStyle name="Note 2 9 6 2 3" xfId="50732"/>
    <cellStyle name="Note 2 9 6 2 3 2" xfId="50733"/>
    <cellStyle name="Note 2 9 6 2 4" xfId="50734"/>
    <cellStyle name="Note 2 9 6 3" xfId="50735"/>
    <cellStyle name="Note 2 9 6 3 2" xfId="50736"/>
    <cellStyle name="Note 2 9 6 3 2 2" xfId="50737"/>
    <cellStyle name="Note 2 9 6 3 3" xfId="50738"/>
    <cellStyle name="Note 2 9 6 4" xfId="50739"/>
    <cellStyle name="Note 2 9 6 4 2" xfId="50740"/>
    <cellStyle name="Note 2 9 6 5" xfId="50741"/>
    <cellStyle name="Note 2 9 7" xfId="50742"/>
    <cellStyle name="Note 2 9 7 2" xfId="50743"/>
    <cellStyle name="Note 2 9 7 2 2" xfId="50744"/>
    <cellStyle name="Note 2 9 7 2 2 2" xfId="50745"/>
    <cellStyle name="Note 2 9 7 2 2 2 2" xfId="50746"/>
    <cellStyle name="Note 2 9 7 2 2 3" xfId="50747"/>
    <cellStyle name="Note 2 9 7 2 3" xfId="50748"/>
    <cellStyle name="Note 2 9 7 2 3 2" xfId="50749"/>
    <cellStyle name="Note 2 9 7 2 4" xfId="50750"/>
    <cellStyle name="Note 2 9 7 3" xfId="50751"/>
    <cellStyle name="Note 2 9 7 3 2" xfId="50752"/>
    <cellStyle name="Note 2 9 7 3 2 2" xfId="50753"/>
    <cellStyle name="Note 2 9 7 3 3" xfId="50754"/>
    <cellStyle name="Note 2 9 7 4" xfId="50755"/>
    <cellStyle name="Note 2 9 7 4 2" xfId="50756"/>
    <cellStyle name="Note 2 9 7 5" xfId="50757"/>
    <cellStyle name="Note 2 9 8" xfId="50758"/>
    <cellStyle name="Note 2 9 8 2" xfId="50759"/>
    <cellStyle name="Note 2 9 8 2 2" xfId="50760"/>
    <cellStyle name="Note 2 9 8 2 2 2" xfId="50761"/>
    <cellStyle name="Note 2 9 8 2 3" xfId="50762"/>
    <cellStyle name="Note 2 9 8 3" xfId="50763"/>
    <cellStyle name="Note 2 9 8 3 2" xfId="50764"/>
    <cellStyle name="Note 2 9 8 4" xfId="50765"/>
    <cellStyle name="Note 2 9 9" xfId="50766"/>
    <cellStyle name="Note 2 9 9 2" xfId="50767"/>
    <cellStyle name="Note 2 9 9 2 2" xfId="50768"/>
    <cellStyle name="Note 2 9 9 3" xfId="50769"/>
    <cellStyle name="Note 3" xfId="50770"/>
    <cellStyle name="Note 3 10" xfId="50771"/>
    <cellStyle name="Note 3 10 10" xfId="50772"/>
    <cellStyle name="Note 3 10 2" xfId="50773"/>
    <cellStyle name="Note 3 10 2 2" xfId="50774"/>
    <cellStyle name="Note 3 10 2 2 2" xfId="50775"/>
    <cellStyle name="Note 3 10 2 2 2 2" xfId="50776"/>
    <cellStyle name="Note 3 10 2 2 2 2 2" xfId="50777"/>
    <cellStyle name="Note 3 10 2 2 2 3" xfId="50778"/>
    <cellStyle name="Note 3 10 2 2 3" xfId="50779"/>
    <cellStyle name="Note 3 10 2 2 3 2" xfId="50780"/>
    <cellStyle name="Note 3 10 2 2 4" xfId="50781"/>
    <cellStyle name="Note 3 10 2 3" xfId="50782"/>
    <cellStyle name="Note 3 10 2 3 2" xfId="50783"/>
    <cellStyle name="Note 3 10 2 3 2 2" xfId="50784"/>
    <cellStyle name="Note 3 10 2 3 3" xfId="50785"/>
    <cellStyle name="Note 3 10 2 4" xfId="50786"/>
    <cellStyle name="Note 3 10 2 4 2" xfId="50787"/>
    <cellStyle name="Note 3 10 2 5" xfId="50788"/>
    <cellStyle name="Note 3 10 3" xfId="50789"/>
    <cellStyle name="Note 3 10 3 2" xfId="50790"/>
    <cellStyle name="Note 3 10 3 2 2" xfId="50791"/>
    <cellStyle name="Note 3 10 3 2 2 2" xfId="50792"/>
    <cellStyle name="Note 3 10 3 2 2 2 2" xfId="50793"/>
    <cellStyle name="Note 3 10 3 2 2 3" xfId="50794"/>
    <cellStyle name="Note 3 10 3 2 3" xfId="50795"/>
    <cellStyle name="Note 3 10 3 2 3 2" xfId="50796"/>
    <cellStyle name="Note 3 10 3 2 4" xfId="50797"/>
    <cellStyle name="Note 3 10 3 3" xfId="50798"/>
    <cellStyle name="Note 3 10 3 3 2" xfId="50799"/>
    <cellStyle name="Note 3 10 3 3 2 2" xfId="50800"/>
    <cellStyle name="Note 3 10 3 3 3" xfId="50801"/>
    <cellStyle name="Note 3 10 3 4" xfId="50802"/>
    <cellStyle name="Note 3 10 3 4 2" xfId="50803"/>
    <cellStyle name="Note 3 10 3 5" xfId="50804"/>
    <cellStyle name="Note 3 10 4" xfId="50805"/>
    <cellStyle name="Note 3 10 4 2" xfId="50806"/>
    <cellStyle name="Note 3 10 4 2 2" xfId="50807"/>
    <cellStyle name="Note 3 10 4 2 2 2" xfId="50808"/>
    <cellStyle name="Note 3 10 4 2 2 2 2" xfId="50809"/>
    <cellStyle name="Note 3 10 4 2 2 3" xfId="50810"/>
    <cellStyle name="Note 3 10 4 2 3" xfId="50811"/>
    <cellStyle name="Note 3 10 4 2 3 2" xfId="50812"/>
    <cellStyle name="Note 3 10 4 2 4" xfId="50813"/>
    <cellStyle name="Note 3 10 4 3" xfId="50814"/>
    <cellStyle name="Note 3 10 4 3 2" xfId="50815"/>
    <cellStyle name="Note 3 10 4 3 2 2" xfId="50816"/>
    <cellStyle name="Note 3 10 4 3 3" xfId="50817"/>
    <cellStyle name="Note 3 10 4 4" xfId="50818"/>
    <cellStyle name="Note 3 10 4 4 2" xfId="50819"/>
    <cellStyle name="Note 3 10 4 5" xfId="50820"/>
    <cellStyle name="Note 3 10 5" xfId="50821"/>
    <cellStyle name="Note 3 10 5 2" xfId="50822"/>
    <cellStyle name="Note 3 10 5 2 2" xfId="50823"/>
    <cellStyle name="Note 3 10 5 2 2 2" xfId="50824"/>
    <cellStyle name="Note 3 10 5 2 2 2 2" xfId="50825"/>
    <cellStyle name="Note 3 10 5 2 2 3" xfId="50826"/>
    <cellStyle name="Note 3 10 5 2 3" xfId="50827"/>
    <cellStyle name="Note 3 10 5 2 3 2" xfId="50828"/>
    <cellStyle name="Note 3 10 5 2 4" xfId="50829"/>
    <cellStyle name="Note 3 10 5 3" xfId="50830"/>
    <cellStyle name="Note 3 10 5 3 2" xfId="50831"/>
    <cellStyle name="Note 3 10 5 3 2 2" xfId="50832"/>
    <cellStyle name="Note 3 10 5 3 3" xfId="50833"/>
    <cellStyle name="Note 3 10 5 4" xfId="50834"/>
    <cellStyle name="Note 3 10 5 4 2" xfId="50835"/>
    <cellStyle name="Note 3 10 5 5" xfId="50836"/>
    <cellStyle name="Note 3 10 6" xfId="50837"/>
    <cellStyle name="Note 3 10 6 2" xfId="50838"/>
    <cellStyle name="Note 3 10 6 2 2" xfId="50839"/>
    <cellStyle name="Note 3 10 6 2 2 2" xfId="50840"/>
    <cellStyle name="Note 3 10 6 2 2 2 2" xfId="50841"/>
    <cellStyle name="Note 3 10 6 2 2 3" xfId="50842"/>
    <cellStyle name="Note 3 10 6 2 3" xfId="50843"/>
    <cellStyle name="Note 3 10 6 2 3 2" xfId="50844"/>
    <cellStyle name="Note 3 10 6 2 4" xfId="50845"/>
    <cellStyle name="Note 3 10 6 3" xfId="50846"/>
    <cellStyle name="Note 3 10 6 3 2" xfId="50847"/>
    <cellStyle name="Note 3 10 6 3 2 2" xfId="50848"/>
    <cellStyle name="Note 3 10 6 3 3" xfId="50849"/>
    <cellStyle name="Note 3 10 6 4" xfId="50850"/>
    <cellStyle name="Note 3 10 6 4 2" xfId="50851"/>
    <cellStyle name="Note 3 10 6 5" xfId="50852"/>
    <cellStyle name="Note 3 10 7" xfId="50853"/>
    <cellStyle name="Note 3 10 7 2" xfId="50854"/>
    <cellStyle name="Note 3 10 7 2 2" xfId="50855"/>
    <cellStyle name="Note 3 10 7 2 2 2" xfId="50856"/>
    <cellStyle name="Note 3 10 7 2 3" xfId="50857"/>
    <cellStyle name="Note 3 10 7 3" xfId="50858"/>
    <cellStyle name="Note 3 10 7 3 2" xfId="50859"/>
    <cellStyle name="Note 3 10 7 4" xfId="50860"/>
    <cellStyle name="Note 3 10 8" xfId="50861"/>
    <cellStyle name="Note 3 10 8 2" xfId="50862"/>
    <cellStyle name="Note 3 10 8 2 2" xfId="50863"/>
    <cellStyle name="Note 3 10 8 3" xfId="50864"/>
    <cellStyle name="Note 3 10 9" xfId="50865"/>
    <cellStyle name="Note 3 10 9 2" xfId="50866"/>
    <cellStyle name="Note 3 11" xfId="50867"/>
    <cellStyle name="Note 3 11 2" xfId="50868"/>
    <cellStyle name="Note 3 11 2 2" xfId="50869"/>
    <cellStyle name="Note 3 11 2 2 2" xfId="50870"/>
    <cellStyle name="Note 3 11 2 2 2 2" xfId="50871"/>
    <cellStyle name="Note 3 11 2 2 3" xfId="50872"/>
    <cellStyle name="Note 3 11 2 3" xfId="50873"/>
    <cellStyle name="Note 3 11 2 3 2" xfId="50874"/>
    <cellStyle name="Note 3 11 2 4" xfId="50875"/>
    <cellStyle name="Note 3 11 3" xfId="50876"/>
    <cellStyle name="Note 3 11 3 2" xfId="50877"/>
    <cellStyle name="Note 3 11 3 2 2" xfId="50878"/>
    <cellStyle name="Note 3 11 3 3" xfId="50879"/>
    <cellStyle name="Note 3 11 4" xfId="50880"/>
    <cellStyle name="Note 3 11 4 2" xfId="50881"/>
    <cellStyle name="Note 3 11 5" xfId="50882"/>
    <cellStyle name="Note 3 12" xfId="50883"/>
    <cellStyle name="Note 3 12 2" xfId="50884"/>
    <cellStyle name="Note 3 12 2 2" xfId="50885"/>
    <cellStyle name="Note 3 12 2 2 2" xfId="50886"/>
    <cellStyle name="Note 3 12 2 2 2 2" xfId="50887"/>
    <cellStyle name="Note 3 12 2 2 3" xfId="50888"/>
    <cellStyle name="Note 3 12 2 3" xfId="50889"/>
    <cellStyle name="Note 3 12 2 3 2" xfId="50890"/>
    <cellStyle name="Note 3 12 2 4" xfId="50891"/>
    <cellStyle name="Note 3 12 3" xfId="50892"/>
    <cellStyle name="Note 3 12 3 2" xfId="50893"/>
    <cellStyle name="Note 3 12 3 2 2" xfId="50894"/>
    <cellStyle name="Note 3 12 3 3" xfId="50895"/>
    <cellStyle name="Note 3 12 4" xfId="50896"/>
    <cellStyle name="Note 3 12 4 2" xfId="50897"/>
    <cellStyle name="Note 3 12 5" xfId="50898"/>
    <cellStyle name="Note 3 13" xfId="50899"/>
    <cellStyle name="Note 3 13 2" xfId="50900"/>
    <cellStyle name="Note 3 13 2 2" xfId="50901"/>
    <cellStyle name="Note 3 13 2 2 2" xfId="50902"/>
    <cellStyle name="Note 3 13 2 2 2 2" xfId="50903"/>
    <cellStyle name="Note 3 13 2 2 3" xfId="50904"/>
    <cellStyle name="Note 3 13 2 3" xfId="50905"/>
    <cellStyle name="Note 3 13 2 3 2" xfId="50906"/>
    <cellStyle name="Note 3 13 2 4" xfId="50907"/>
    <cellStyle name="Note 3 13 3" xfId="50908"/>
    <cellStyle name="Note 3 13 3 2" xfId="50909"/>
    <cellStyle name="Note 3 13 3 2 2" xfId="50910"/>
    <cellStyle name="Note 3 13 3 3" xfId="50911"/>
    <cellStyle name="Note 3 13 4" xfId="50912"/>
    <cellStyle name="Note 3 13 4 2" xfId="50913"/>
    <cellStyle name="Note 3 13 5" xfId="50914"/>
    <cellStyle name="Note 3 14" xfId="50915"/>
    <cellStyle name="Note 3 14 2" xfId="50916"/>
    <cellStyle name="Note 3 14 2 2" xfId="50917"/>
    <cellStyle name="Note 3 14 2 2 2" xfId="50918"/>
    <cellStyle name="Note 3 14 2 2 2 2" xfId="50919"/>
    <cellStyle name="Note 3 14 2 2 3" xfId="50920"/>
    <cellStyle name="Note 3 14 2 3" xfId="50921"/>
    <cellStyle name="Note 3 14 2 3 2" xfId="50922"/>
    <cellStyle name="Note 3 14 2 4" xfId="50923"/>
    <cellStyle name="Note 3 14 3" xfId="50924"/>
    <cellStyle name="Note 3 14 3 2" xfId="50925"/>
    <cellStyle name="Note 3 14 3 2 2" xfId="50926"/>
    <cellStyle name="Note 3 14 3 3" xfId="50927"/>
    <cellStyle name="Note 3 14 4" xfId="50928"/>
    <cellStyle name="Note 3 14 4 2" xfId="50929"/>
    <cellStyle name="Note 3 14 5" xfId="50930"/>
    <cellStyle name="Note 3 15" xfId="50931"/>
    <cellStyle name="Note 3 15 2" xfId="50932"/>
    <cellStyle name="Note 3 15 2 2" xfId="50933"/>
    <cellStyle name="Note 3 15 2 2 2" xfId="50934"/>
    <cellStyle name="Note 3 15 2 2 2 2" xfId="50935"/>
    <cellStyle name="Note 3 15 2 2 3" xfId="50936"/>
    <cellStyle name="Note 3 15 2 3" xfId="50937"/>
    <cellStyle name="Note 3 15 2 3 2" xfId="50938"/>
    <cellStyle name="Note 3 15 2 4" xfId="50939"/>
    <cellStyle name="Note 3 15 3" xfId="50940"/>
    <cellStyle name="Note 3 15 3 2" xfId="50941"/>
    <cellStyle name="Note 3 15 3 2 2" xfId="50942"/>
    <cellStyle name="Note 3 15 3 3" xfId="50943"/>
    <cellStyle name="Note 3 15 4" xfId="50944"/>
    <cellStyle name="Note 3 15 4 2" xfId="50945"/>
    <cellStyle name="Note 3 15 5" xfId="50946"/>
    <cellStyle name="Note 3 16" xfId="50947"/>
    <cellStyle name="Note 3 16 2" xfId="50948"/>
    <cellStyle name="Note 3 16 2 2" xfId="50949"/>
    <cellStyle name="Note 3 16 2 2 2" xfId="50950"/>
    <cellStyle name="Note 3 16 2 3" xfId="50951"/>
    <cellStyle name="Note 3 16 3" xfId="50952"/>
    <cellStyle name="Note 3 16 3 2" xfId="50953"/>
    <cellStyle name="Note 3 16 4" xfId="50954"/>
    <cellStyle name="Note 3 17" xfId="50955"/>
    <cellStyle name="Note 3 17 2" xfId="50956"/>
    <cellStyle name="Note 3 17 2 2" xfId="50957"/>
    <cellStyle name="Note 3 17 3" xfId="50958"/>
    <cellStyle name="Note 3 18" xfId="50959"/>
    <cellStyle name="Note 3 18 2" xfId="50960"/>
    <cellStyle name="Note 3 19" xfId="50961"/>
    <cellStyle name="Note 3 2" xfId="50962"/>
    <cellStyle name="Note 3 2 10" xfId="50963"/>
    <cellStyle name="Note 3 2 10 2" xfId="50964"/>
    <cellStyle name="Note 3 2 11" xfId="50965"/>
    <cellStyle name="Note 3 2 2" xfId="50966"/>
    <cellStyle name="Note 3 2 2 10" xfId="50967"/>
    <cellStyle name="Note 3 2 2 2" xfId="50968"/>
    <cellStyle name="Note 3 2 2 2 2" xfId="50969"/>
    <cellStyle name="Note 3 2 2 2 2 2" xfId="50970"/>
    <cellStyle name="Note 3 2 2 2 2 2 2" xfId="50971"/>
    <cellStyle name="Note 3 2 2 2 2 2 2 2" xfId="50972"/>
    <cellStyle name="Note 3 2 2 2 2 2 3" xfId="50973"/>
    <cellStyle name="Note 3 2 2 2 2 3" xfId="50974"/>
    <cellStyle name="Note 3 2 2 2 2 3 2" xfId="50975"/>
    <cellStyle name="Note 3 2 2 2 2 4" xfId="50976"/>
    <cellStyle name="Note 3 2 2 2 3" xfId="50977"/>
    <cellStyle name="Note 3 2 2 2 3 2" xfId="50978"/>
    <cellStyle name="Note 3 2 2 2 3 2 2" xfId="50979"/>
    <cellStyle name="Note 3 2 2 2 3 3" xfId="50980"/>
    <cellStyle name="Note 3 2 2 2 4" xfId="50981"/>
    <cellStyle name="Note 3 2 2 2 4 2" xfId="50982"/>
    <cellStyle name="Note 3 2 2 2 5" xfId="50983"/>
    <cellStyle name="Note 3 2 2 3" xfId="50984"/>
    <cellStyle name="Note 3 2 2 3 2" xfId="50985"/>
    <cellStyle name="Note 3 2 2 3 2 2" xfId="50986"/>
    <cellStyle name="Note 3 2 2 3 2 2 2" xfId="50987"/>
    <cellStyle name="Note 3 2 2 3 2 2 2 2" xfId="50988"/>
    <cellStyle name="Note 3 2 2 3 2 2 3" xfId="50989"/>
    <cellStyle name="Note 3 2 2 3 2 3" xfId="50990"/>
    <cellStyle name="Note 3 2 2 3 2 3 2" xfId="50991"/>
    <cellStyle name="Note 3 2 2 3 2 4" xfId="50992"/>
    <cellStyle name="Note 3 2 2 3 3" xfId="50993"/>
    <cellStyle name="Note 3 2 2 3 3 2" xfId="50994"/>
    <cellStyle name="Note 3 2 2 3 3 2 2" xfId="50995"/>
    <cellStyle name="Note 3 2 2 3 3 3" xfId="50996"/>
    <cellStyle name="Note 3 2 2 3 4" xfId="50997"/>
    <cellStyle name="Note 3 2 2 3 4 2" xfId="50998"/>
    <cellStyle name="Note 3 2 2 3 5" xfId="50999"/>
    <cellStyle name="Note 3 2 2 4" xfId="51000"/>
    <cellStyle name="Note 3 2 2 4 2" xfId="51001"/>
    <cellStyle name="Note 3 2 2 4 2 2" xfId="51002"/>
    <cellStyle name="Note 3 2 2 4 2 2 2" xfId="51003"/>
    <cellStyle name="Note 3 2 2 4 2 2 2 2" xfId="51004"/>
    <cellStyle name="Note 3 2 2 4 2 2 3" xfId="51005"/>
    <cellStyle name="Note 3 2 2 4 2 3" xfId="51006"/>
    <cellStyle name="Note 3 2 2 4 2 3 2" xfId="51007"/>
    <cellStyle name="Note 3 2 2 4 2 4" xfId="51008"/>
    <cellStyle name="Note 3 2 2 4 3" xfId="51009"/>
    <cellStyle name="Note 3 2 2 4 3 2" xfId="51010"/>
    <cellStyle name="Note 3 2 2 4 3 2 2" xfId="51011"/>
    <cellStyle name="Note 3 2 2 4 3 3" xfId="51012"/>
    <cellStyle name="Note 3 2 2 4 4" xfId="51013"/>
    <cellStyle name="Note 3 2 2 4 4 2" xfId="51014"/>
    <cellStyle name="Note 3 2 2 4 5" xfId="51015"/>
    <cellStyle name="Note 3 2 2 5" xfId="51016"/>
    <cellStyle name="Note 3 2 2 5 2" xfId="51017"/>
    <cellStyle name="Note 3 2 2 5 2 2" xfId="51018"/>
    <cellStyle name="Note 3 2 2 5 2 2 2" xfId="51019"/>
    <cellStyle name="Note 3 2 2 5 2 2 2 2" xfId="51020"/>
    <cellStyle name="Note 3 2 2 5 2 2 3" xfId="51021"/>
    <cellStyle name="Note 3 2 2 5 2 3" xfId="51022"/>
    <cellStyle name="Note 3 2 2 5 2 3 2" xfId="51023"/>
    <cellStyle name="Note 3 2 2 5 2 4" xfId="51024"/>
    <cellStyle name="Note 3 2 2 5 3" xfId="51025"/>
    <cellStyle name="Note 3 2 2 5 3 2" xfId="51026"/>
    <cellStyle name="Note 3 2 2 5 3 2 2" xfId="51027"/>
    <cellStyle name="Note 3 2 2 5 3 3" xfId="51028"/>
    <cellStyle name="Note 3 2 2 5 4" xfId="51029"/>
    <cellStyle name="Note 3 2 2 5 4 2" xfId="51030"/>
    <cellStyle name="Note 3 2 2 5 5" xfId="51031"/>
    <cellStyle name="Note 3 2 2 6" xfId="51032"/>
    <cellStyle name="Note 3 2 2 6 2" xfId="51033"/>
    <cellStyle name="Note 3 2 2 6 2 2" xfId="51034"/>
    <cellStyle name="Note 3 2 2 6 2 2 2" xfId="51035"/>
    <cellStyle name="Note 3 2 2 6 2 2 2 2" xfId="51036"/>
    <cellStyle name="Note 3 2 2 6 2 2 3" xfId="51037"/>
    <cellStyle name="Note 3 2 2 6 2 3" xfId="51038"/>
    <cellStyle name="Note 3 2 2 6 2 3 2" xfId="51039"/>
    <cellStyle name="Note 3 2 2 6 2 4" xfId="51040"/>
    <cellStyle name="Note 3 2 2 6 3" xfId="51041"/>
    <cellStyle name="Note 3 2 2 6 3 2" xfId="51042"/>
    <cellStyle name="Note 3 2 2 6 3 2 2" xfId="51043"/>
    <cellStyle name="Note 3 2 2 6 3 3" xfId="51044"/>
    <cellStyle name="Note 3 2 2 6 4" xfId="51045"/>
    <cellStyle name="Note 3 2 2 6 4 2" xfId="51046"/>
    <cellStyle name="Note 3 2 2 6 5" xfId="51047"/>
    <cellStyle name="Note 3 2 2 7" xfId="51048"/>
    <cellStyle name="Note 3 2 2 7 2" xfId="51049"/>
    <cellStyle name="Note 3 2 2 7 2 2" xfId="51050"/>
    <cellStyle name="Note 3 2 2 7 2 2 2" xfId="51051"/>
    <cellStyle name="Note 3 2 2 7 2 3" xfId="51052"/>
    <cellStyle name="Note 3 2 2 7 3" xfId="51053"/>
    <cellStyle name="Note 3 2 2 7 3 2" xfId="51054"/>
    <cellStyle name="Note 3 2 2 7 4" xfId="51055"/>
    <cellStyle name="Note 3 2 2 8" xfId="51056"/>
    <cellStyle name="Note 3 2 2 8 2" xfId="51057"/>
    <cellStyle name="Note 3 2 2 8 2 2" xfId="51058"/>
    <cellStyle name="Note 3 2 2 8 3" xfId="51059"/>
    <cellStyle name="Note 3 2 2 9" xfId="51060"/>
    <cellStyle name="Note 3 2 2 9 2" xfId="51061"/>
    <cellStyle name="Note 3 2 3" xfId="51062"/>
    <cellStyle name="Note 3 2 3 2" xfId="51063"/>
    <cellStyle name="Note 3 2 3 2 2" xfId="51064"/>
    <cellStyle name="Note 3 2 3 2 2 2" xfId="51065"/>
    <cellStyle name="Note 3 2 3 2 2 2 2" xfId="51066"/>
    <cellStyle name="Note 3 2 3 2 2 3" xfId="51067"/>
    <cellStyle name="Note 3 2 3 2 3" xfId="51068"/>
    <cellStyle name="Note 3 2 3 2 3 2" xfId="51069"/>
    <cellStyle name="Note 3 2 3 2 4" xfId="51070"/>
    <cellStyle name="Note 3 2 3 3" xfId="51071"/>
    <cellStyle name="Note 3 2 3 3 2" xfId="51072"/>
    <cellStyle name="Note 3 2 3 3 2 2" xfId="51073"/>
    <cellStyle name="Note 3 2 3 3 3" xfId="51074"/>
    <cellStyle name="Note 3 2 3 4" xfId="51075"/>
    <cellStyle name="Note 3 2 3 4 2" xfId="51076"/>
    <cellStyle name="Note 3 2 3 5" xfId="51077"/>
    <cellStyle name="Note 3 2 4" xfId="51078"/>
    <cellStyle name="Note 3 2 4 2" xfId="51079"/>
    <cellStyle name="Note 3 2 4 2 2" xfId="51080"/>
    <cellStyle name="Note 3 2 4 2 2 2" xfId="51081"/>
    <cellStyle name="Note 3 2 4 2 2 2 2" xfId="51082"/>
    <cellStyle name="Note 3 2 4 2 2 3" xfId="51083"/>
    <cellStyle name="Note 3 2 4 2 3" xfId="51084"/>
    <cellStyle name="Note 3 2 4 2 3 2" xfId="51085"/>
    <cellStyle name="Note 3 2 4 2 4" xfId="51086"/>
    <cellStyle name="Note 3 2 4 3" xfId="51087"/>
    <cellStyle name="Note 3 2 4 3 2" xfId="51088"/>
    <cellStyle name="Note 3 2 4 3 2 2" xfId="51089"/>
    <cellStyle name="Note 3 2 4 3 3" xfId="51090"/>
    <cellStyle name="Note 3 2 4 4" xfId="51091"/>
    <cellStyle name="Note 3 2 4 4 2" xfId="51092"/>
    <cellStyle name="Note 3 2 4 5" xfId="51093"/>
    <cellStyle name="Note 3 2 5" xfId="51094"/>
    <cellStyle name="Note 3 2 5 2" xfId="51095"/>
    <cellStyle name="Note 3 2 5 2 2" xfId="51096"/>
    <cellStyle name="Note 3 2 5 2 2 2" xfId="51097"/>
    <cellStyle name="Note 3 2 5 2 2 2 2" xfId="51098"/>
    <cellStyle name="Note 3 2 5 2 2 3" xfId="51099"/>
    <cellStyle name="Note 3 2 5 2 3" xfId="51100"/>
    <cellStyle name="Note 3 2 5 2 3 2" xfId="51101"/>
    <cellStyle name="Note 3 2 5 2 4" xfId="51102"/>
    <cellStyle name="Note 3 2 5 3" xfId="51103"/>
    <cellStyle name="Note 3 2 5 3 2" xfId="51104"/>
    <cellStyle name="Note 3 2 5 3 2 2" xfId="51105"/>
    <cellStyle name="Note 3 2 5 3 3" xfId="51106"/>
    <cellStyle name="Note 3 2 5 4" xfId="51107"/>
    <cellStyle name="Note 3 2 5 4 2" xfId="51108"/>
    <cellStyle name="Note 3 2 5 5" xfId="51109"/>
    <cellStyle name="Note 3 2 6" xfId="51110"/>
    <cellStyle name="Note 3 2 6 2" xfId="51111"/>
    <cellStyle name="Note 3 2 6 2 2" xfId="51112"/>
    <cellStyle name="Note 3 2 6 2 2 2" xfId="51113"/>
    <cellStyle name="Note 3 2 6 2 2 2 2" xfId="51114"/>
    <cellStyle name="Note 3 2 6 2 2 3" xfId="51115"/>
    <cellStyle name="Note 3 2 6 2 3" xfId="51116"/>
    <cellStyle name="Note 3 2 6 2 3 2" xfId="51117"/>
    <cellStyle name="Note 3 2 6 2 4" xfId="51118"/>
    <cellStyle name="Note 3 2 6 3" xfId="51119"/>
    <cellStyle name="Note 3 2 6 3 2" xfId="51120"/>
    <cellStyle name="Note 3 2 6 3 2 2" xfId="51121"/>
    <cellStyle name="Note 3 2 6 3 3" xfId="51122"/>
    <cellStyle name="Note 3 2 6 4" xfId="51123"/>
    <cellStyle name="Note 3 2 6 4 2" xfId="51124"/>
    <cellStyle name="Note 3 2 6 5" xfId="51125"/>
    <cellStyle name="Note 3 2 7" xfId="51126"/>
    <cellStyle name="Note 3 2 7 2" xfId="51127"/>
    <cellStyle name="Note 3 2 7 2 2" xfId="51128"/>
    <cellStyle name="Note 3 2 7 2 2 2" xfId="51129"/>
    <cellStyle name="Note 3 2 7 2 2 2 2" xfId="51130"/>
    <cellStyle name="Note 3 2 7 2 2 3" xfId="51131"/>
    <cellStyle name="Note 3 2 7 2 3" xfId="51132"/>
    <cellStyle name="Note 3 2 7 2 3 2" xfId="51133"/>
    <cellStyle name="Note 3 2 7 2 4" xfId="51134"/>
    <cellStyle name="Note 3 2 7 3" xfId="51135"/>
    <cellStyle name="Note 3 2 7 3 2" xfId="51136"/>
    <cellStyle name="Note 3 2 7 3 2 2" xfId="51137"/>
    <cellStyle name="Note 3 2 7 3 3" xfId="51138"/>
    <cellStyle name="Note 3 2 7 4" xfId="51139"/>
    <cellStyle name="Note 3 2 7 4 2" xfId="51140"/>
    <cellStyle name="Note 3 2 7 5" xfId="51141"/>
    <cellStyle name="Note 3 2 8" xfId="51142"/>
    <cellStyle name="Note 3 2 8 2" xfId="51143"/>
    <cellStyle name="Note 3 2 8 2 2" xfId="51144"/>
    <cellStyle name="Note 3 2 8 2 2 2" xfId="51145"/>
    <cellStyle name="Note 3 2 8 2 3" xfId="51146"/>
    <cellStyle name="Note 3 2 8 3" xfId="51147"/>
    <cellStyle name="Note 3 2 8 3 2" xfId="51148"/>
    <cellStyle name="Note 3 2 8 4" xfId="51149"/>
    <cellStyle name="Note 3 2 9" xfId="51150"/>
    <cellStyle name="Note 3 2 9 2" xfId="51151"/>
    <cellStyle name="Note 3 2 9 2 2" xfId="51152"/>
    <cellStyle name="Note 3 2 9 3" xfId="51153"/>
    <cellStyle name="Note 3 3" xfId="51154"/>
    <cellStyle name="Note 3 3 10" xfId="51155"/>
    <cellStyle name="Note 3 3 10 2" xfId="51156"/>
    <cellStyle name="Note 3 3 11" xfId="51157"/>
    <cellStyle name="Note 3 3 2" xfId="51158"/>
    <cellStyle name="Note 3 3 2 10" xfId="51159"/>
    <cellStyle name="Note 3 3 2 2" xfId="51160"/>
    <cellStyle name="Note 3 3 2 2 2" xfId="51161"/>
    <cellStyle name="Note 3 3 2 2 2 2" xfId="51162"/>
    <cellStyle name="Note 3 3 2 2 2 2 2" xfId="51163"/>
    <cellStyle name="Note 3 3 2 2 2 2 2 2" xfId="51164"/>
    <cellStyle name="Note 3 3 2 2 2 2 3" xfId="51165"/>
    <cellStyle name="Note 3 3 2 2 2 3" xfId="51166"/>
    <cellStyle name="Note 3 3 2 2 2 3 2" xfId="51167"/>
    <cellStyle name="Note 3 3 2 2 2 4" xfId="51168"/>
    <cellStyle name="Note 3 3 2 2 3" xfId="51169"/>
    <cellStyle name="Note 3 3 2 2 3 2" xfId="51170"/>
    <cellStyle name="Note 3 3 2 2 3 2 2" xfId="51171"/>
    <cellStyle name="Note 3 3 2 2 3 3" xfId="51172"/>
    <cellStyle name="Note 3 3 2 2 4" xfId="51173"/>
    <cellStyle name="Note 3 3 2 2 4 2" xfId="51174"/>
    <cellStyle name="Note 3 3 2 2 5" xfId="51175"/>
    <cellStyle name="Note 3 3 2 3" xfId="51176"/>
    <cellStyle name="Note 3 3 2 3 2" xfId="51177"/>
    <cellStyle name="Note 3 3 2 3 2 2" xfId="51178"/>
    <cellStyle name="Note 3 3 2 3 2 2 2" xfId="51179"/>
    <cellStyle name="Note 3 3 2 3 2 2 2 2" xfId="51180"/>
    <cellStyle name="Note 3 3 2 3 2 2 3" xfId="51181"/>
    <cellStyle name="Note 3 3 2 3 2 3" xfId="51182"/>
    <cellStyle name="Note 3 3 2 3 2 3 2" xfId="51183"/>
    <cellStyle name="Note 3 3 2 3 2 4" xfId="51184"/>
    <cellStyle name="Note 3 3 2 3 3" xfId="51185"/>
    <cellStyle name="Note 3 3 2 3 3 2" xfId="51186"/>
    <cellStyle name="Note 3 3 2 3 3 2 2" xfId="51187"/>
    <cellStyle name="Note 3 3 2 3 3 3" xfId="51188"/>
    <cellStyle name="Note 3 3 2 3 4" xfId="51189"/>
    <cellStyle name="Note 3 3 2 3 4 2" xfId="51190"/>
    <cellStyle name="Note 3 3 2 3 5" xfId="51191"/>
    <cellStyle name="Note 3 3 2 4" xfId="51192"/>
    <cellStyle name="Note 3 3 2 4 2" xfId="51193"/>
    <cellStyle name="Note 3 3 2 4 2 2" xfId="51194"/>
    <cellStyle name="Note 3 3 2 4 2 2 2" xfId="51195"/>
    <cellStyle name="Note 3 3 2 4 2 2 2 2" xfId="51196"/>
    <cellStyle name="Note 3 3 2 4 2 2 3" xfId="51197"/>
    <cellStyle name="Note 3 3 2 4 2 3" xfId="51198"/>
    <cellStyle name="Note 3 3 2 4 2 3 2" xfId="51199"/>
    <cellStyle name="Note 3 3 2 4 2 4" xfId="51200"/>
    <cellStyle name="Note 3 3 2 4 3" xfId="51201"/>
    <cellStyle name="Note 3 3 2 4 3 2" xfId="51202"/>
    <cellStyle name="Note 3 3 2 4 3 2 2" xfId="51203"/>
    <cellStyle name="Note 3 3 2 4 3 3" xfId="51204"/>
    <cellStyle name="Note 3 3 2 4 4" xfId="51205"/>
    <cellStyle name="Note 3 3 2 4 4 2" xfId="51206"/>
    <cellStyle name="Note 3 3 2 4 5" xfId="51207"/>
    <cellStyle name="Note 3 3 2 5" xfId="51208"/>
    <cellStyle name="Note 3 3 2 5 2" xfId="51209"/>
    <cellStyle name="Note 3 3 2 5 2 2" xfId="51210"/>
    <cellStyle name="Note 3 3 2 5 2 2 2" xfId="51211"/>
    <cellStyle name="Note 3 3 2 5 2 2 2 2" xfId="51212"/>
    <cellStyle name="Note 3 3 2 5 2 2 3" xfId="51213"/>
    <cellStyle name="Note 3 3 2 5 2 3" xfId="51214"/>
    <cellStyle name="Note 3 3 2 5 2 3 2" xfId="51215"/>
    <cellStyle name="Note 3 3 2 5 2 4" xfId="51216"/>
    <cellStyle name="Note 3 3 2 5 3" xfId="51217"/>
    <cellStyle name="Note 3 3 2 5 3 2" xfId="51218"/>
    <cellStyle name="Note 3 3 2 5 3 2 2" xfId="51219"/>
    <cellStyle name="Note 3 3 2 5 3 3" xfId="51220"/>
    <cellStyle name="Note 3 3 2 5 4" xfId="51221"/>
    <cellStyle name="Note 3 3 2 5 4 2" xfId="51222"/>
    <cellStyle name="Note 3 3 2 5 5" xfId="51223"/>
    <cellStyle name="Note 3 3 2 6" xfId="51224"/>
    <cellStyle name="Note 3 3 2 6 2" xfId="51225"/>
    <cellStyle name="Note 3 3 2 6 2 2" xfId="51226"/>
    <cellStyle name="Note 3 3 2 6 2 2 2" xfId="51227"/>
    <cellStyle name="Note 3 3 2 6 2 2 2 2" xfId="51228"/>
    <cellStyle name="Note 3 3 2 6 2 2 3" xfId="51229"/>
    <cellStyle name="Note 3 3 2 6 2 3" xfId="51230"/>
    <cellStyle name="Note 3 3 2 6 2 3 2" xfId="51231"/>
    <cellStyle name="Note 3 3 2 6 2 4" xfId="51232"/>
    <cellStyle name="Note 3 3 2 6 3" xfId="51233"/>
    <cellStyle name="Note 3 3 2 6 3 2" xfId="51234"/>
    <cellStyle name="Note 3 3 2 6 3 2 2" xfId="51235"/>
    <cellStyle name="Note 3 3 2 6 3 3" xfId="51236"/>
    <cellStyle name="Note 3 3 2 6 4" xfId="51237"/>
    <cellStyle name="Note 3 3 2 6 4 2" xfId="51238"/>
    <cellStyle name="Note 3 3 2 6 5" xfId="51239"/>
    <cellStyle name="Note 3 3 2 7" xfId="51240"/>
    <cellStyle name="Note 3 3 2 7 2" xfId="51241"/>
    <cellStyle name="Note 3 3 2 7 2 2" xfId="51242"/>
    <cellStyle name="Note 3 3 2 7 2 2 2" xfId="51243"/>
    <cellStyle name="Note 3 3 2 7 2 3" xfId="51244"/>
    <cellStyle name="Note 3 3 2 7 3" xfId="51245"/>
    <cellStyle name="Note 3 3 2 7 3 2" xfId="51246"/>
    <cellStyle name="Note 3 3 2 7 4" xfId="51247"/>
    <cellStyle name="Note 3 3 2 8" xfId="51248"/>
    <cellStyle name="Note 3 3 2 8 2" xfId="51249"/>
    <cellStyle name="Note 3 3 2 8 2 2" xfId="51250"/>
    <cellStyle name="Note 3 3 2 8 3" xfId="51251"/>
    <cellStyle name="Note 3 3 2 9" xfId="51252"/>
    <cellStyle name="Note 3 3 2 9 2" xfId="51253"/>
    <cellStyle name="Note 3 3 3" xfId="51254"/>
    <cellStyle name="Note 3 3 3 2" xfId="51255"/>
    <cellStyle name="Note 3 3 3 2 2" xfId="51256"/>
    <cellStyle name="Note 3 3 3 2 2 2" xfId="51257"/>
    <cellStyle name="Note 3 3 3 2 2 2 2" xfId="51258"/>
    <cellStyle name="Note 3 3 3 2 2 3" xfId="51259"/>
    <cellStyle name="Note 3 3 3 2 3" xfId="51260"/>
    <cellStyle name="Note 3 3 3 2 3 2" xfId="51261"/>
    <cellStyle name="Note 3 3 3 2 4" xfId="51262"/>
    <cellStyle name="Note 3 3 3 3" xfId="51263"/>
    <cellStyle name="Note 3 3 3 3 2" xfId="51264"/>
    <cellStyle name="Note 3 3 3 3 2 2" xfId="51265"/>
    <cellStyle name="Note 3 3 3 3 3" xfId="51266"/>
    <cellStyle name="Note 3 3 3 4" xfId="51267"/>
    <cellStyle name="Note 3 3 3 4 2" xfId="51268"/>
    <cellStyle name="Note 3 3 3 5" xfId="51269"/>
    <cellStyle name="Note 3 3 4" xfId="51270"/>
    <cellStyle name="Note 3 3 4 2" xfId="51271"/>
    <cellStyle name="Note 3 3 4 2 2" xfId="51272"/>
    <cellStyle name="Note 3 3 4 2 2 2" xfId="51273"/>
    <cellStyle name="Note 3 3 4 2 2 2 2" xfId="51274"/>
    <cellStyle name="Note 3 3 4 2 2 3" xfId="51275"/>
    <cellStyle name="Note 3 3 4 2 3" xfId="51276"/>
    <cellStyle name="Note 3 3 4 2 3 2" xfId="51277"/>
    <cellStyle name="Note 3 3 4 2 4" xfId="51278"/>
    <cellStyle name="Note 3 3 4 3" xfId="51279"/>
    <cellStyle name="Note 3 3 4 3 2" xfId="51280"/>
    <cellStyle name="Note 3 3 4 3 2 2" xfId="51281"/>
    <cellStyle name="Note 3 3 4 3 3" xfId="51282"/>
    <cellStyle name="Note 3 3 4 4" xfId="51283"/>
    <cellStyle name="Note 3 3 4 4 2" xfId="51284"/>
    <cellStyle name="Note 3 3 4 5" xfId="51285"/>
    <cellStyle name="Note 3 3 5" xfId="51286"/>
    <cellStyle name="Note 3 3 5 2" xfId="51287"/>
    <cellStyle name="Note 3 3 5 2 2" xfId="51288"/>
    <cellStyle name="Note 3 3 5 2 2 2" xfId="51289"/>
    <cellStyle name="Note 3 3 5 2 2 2 2" xfId="51290"/>
    <cellStyle name="Note 3 3 5 2 2 3" xfId="51291"/>
    <cellStyle name="Note 3 3 5 2 3" xfId="51292"/>
    <cellStyle name="Note 3 3 5 2 3 2" xfId="51293"/>
    <cellStyle name="Note 3 3 5 2 4" xfId="51294"/>
    <cellStyle name="Note 3 3 5 3" xfId="51295"/>
    <cellStyle name="Note 3 3 5 3 2" xfId="51296"/>
    <cellStyle name="Note 3 3 5 3 2 2" xfId="51297"/>
    <cellStyle name="Note 3 3 5 3 3" xfId="51298"/>
    <cellStyle name="Note 3 3 5 4" xfId="51299"/>
    <cellStyle name="Note 3 3 5 4 2" xfId="51300"/>
    <cellStyle name="Note 3 3 5 5" xfId="51301"/>
    <cellStyle name="Note 3 3 6" xfId="51302"/>
    <cellStyle name="Note 3 3 6 2" xfId="51303"/>
    <cellStyle name="Note 3 3 6 2 2" xfId="51304"/>
    <cellStyle name="Note 3 3 6 2 2 2" xfId="51305"/>
    <cellStyle name="Note 3 3 6 2 2 2 2" xfId="51306"/>
    <cellStyle name="Note 3 3 6 2 2 3" xfId="51307"/>
    <cellStyle name="Note 3 3 6 2 3" xfId="51308"/>
    <cellStyle name="Note 3 3 6 2 3 2" xfId="51309"/>
    <cellStyle name="Note 3 3 6 2 4" xfId="51310"/>
    <cellStyle name="Note 3 3 6 3" xfId="51311"/>
    <cellStyle name="Note 3 3 6 3 2" xfId="51312"/>
    <cellStyle name="Note 3 3 6 3 2 2" xfId="51313"/>
    <cellStyle name="Note 3 3 6 3 3" xfId="51314"/>
    <cellStyle name="Note 3 3 6 4" xfId="51315"/>
    <cellStyle name="Note 3 3 6 4 2" xfId="51316"/>
    <cellStyle name="Note 3 3 6 5" xfId="51317"/>
    <cellStyle name="Note 3 3 7" xfId="51318"/>
    <cellStyle name="Note 3 3 7 2" xfId="51319"/>
    <cellStyle name="Note 3 3 7 2 2" xfId="51320"/>
    <cellStyle name="Note 3 3 7 2 2 2" xfId="51321"/>
    <cellStyle name="Note 3 3 7 2 2 2 2" xfId="51322"/>
    <cellStyle name="Note 3 3 7 2 2 3" xfId="51323"/>
    <cellStyle name="Note 3 3 7 2 3" xfId="51324"/>
    <cellStyle name="Note 3 3 7 2 3 2" xfId="51325"/>
    <cellStyle name="Note 3 3 7 2 4" xfId="51326"/>
    <cellStyle name="Note 3 3 7 3" xfId="51327"/>
    <cellStyle name="Note 3 3 7 3 2" xfId="51328"/>
    <cellStyle name="Note 3 3 7 3 2 2" xfId="51329"/>
    <cellStyle name="Note 3 3 7 3 3" xfId="51330"/>
    <cellStyle name="Note 3 3 7 4" xfId="51331"/>
    <cellStyle name="Note 3 3 7 4 2" xfId="51332"/>
    <cellStyle name="Note 3 3 7 5" xfId="51333"/>
    <cellStyle name="Note 3 3 8" xfId="51334"/>
    <cellStyle name="Note 3 3 8 2" xfId="51335"/>
    <cellStyle name="Note 3 3 8 2 2" xfId="51336"/>
    <cellStyle name="Note 3 3 8 2 2 2" xfId="51337"/>
    <cellStyle name="Note 3 3 8 2 3" xfId="51338"/>
    <cellStyle name="Note 3 3 8 3" xfId="51339"/>
    <cellStyle name="Note 3 3 8 3 2" xfId="51340"/>
    <cellStyle name="Note 3 3 8 4" xfId="51341"/>
    <cellStyle name="Note 3 3 9" xfId="51342"/>
    <cellStyle name="Note 3 3 9 2" xfId="51343"/>
    <cellStyle name="Note 3 3 9 2 2" xfId="51344"/>
    <cellStyle name="Note 3 3 9 3" xfId="51345"/>
    <cellStyle name="Note 3 4" xfId="51346"/>
    <cellStyle name="Note 3 4 10" xfId="51347"/>
    <cellStyle name="Note 3 4 10 2" xfId="51348"/>
    <cellStyle name="Note 3 4 11" xfId="51349"/>
    <cellStyle name="Note 3 4 2" xfId="51350"/>
    <cellStyle name="Note 3 4 2 10" xfId="51351"/>
    <cellStyle name="Note 3 4 2 2" xfId="51352"/>
    <cellStyle name="Note 3 4 2 2 2" xfId="51353"/>
    <cellStyle name="Note 3 4 2 2 2 2" xfId="51354"/>
    <cellStyle name="Note 3 4 2 2 2 2 2" xfId="51355"/>
    <cellStyle name="Note 3 4 2 2 2 2 2 2" xfId="51356"/>
    <cellStyle name="Note 3 4 2 2 2 2 3" xfId="51357"/>
    <cellStyle name="Note 3 4 2 2 2 3" xfId="51358"/>
    <cellStyle name="Note 3 4 2 2 2 3 2" xfId="51359"/>
    <cellStyle name="Note 3 4 2 2 2 4" xfId="51360"/>
    <cellStyle name="Note 3 4 2 2 3" xfId="51361"/>
    <cellStyle name="Note 3 4 2 2 3 2" xfId="51362"/>
    <cellStyle name="Note 3 4 2 2 3 2 2" xfId="51363"/>
    <cellStyle name="Note 3 4 2 2 3 3" xfId="51364"/>
    <cellStyle name="Note 3 4 2 2 4" xfId="51365"/>
    <cellStyle name="Note 3 4 2 2 4 2" xfId="51366"/>
    <cellStyle name="Note 3 4 2 2 5" xfId="51367"/>
    <cellStyle name="Note 3 4 2 3" xfId="51368"/>
    <cellStyle name="Note 3 4 2 3 2" xfId="51369"/>
    <cellStyle name="Note 3 4 2 3 2 2" xfId="51370"/>
    <cellStyle name="Note 3 4 2 3 2 2 2" xfId="51371"/>
    <cellStyle name="Note 3 4 2 3 2 2 2 2" xfId="51372"/>
    <cellStyle name="Note 3 4 2 3 2 2 3" xfId="51373"/>
    <cellStyle name="Note 3 4 2 3 2 3" xfId="51374"/>
    <cellStyle name="Note 3 4 2 3 2 3 2" xfId="51375"/>
    <cellStyle name="Note 3 4 2 3 2 4" xfId="51376"/>
    <cellStyle name="Note 3 4 2 3 3" xfId="51377"/>
    <cellStyle name="Note 3 4 2 3 3 2" xfId="51378"/>
    <cellStyle name="Note 3 4 2 3 3 2 2" xfId="51379"/>
    <cellStyle name="Note 3 4 2 3 3 3" xfId="51380"/>
    <cellStyle name="Note 3 4 2 3 4" xfId="51381"/>
    <cellStyle name="Note 3 4 2 3 4 2" xfId="51382"/>
    <cellStyle name="Note 3 4 2 3 5" xfId="51383"/>
    <cellStyle name="Note 3 4 2 4" xfId="51384"/>
    <cellStyle name="Note 3 4 2 4 2" xfId="51385"/>
    <cellStyle name="Note 3 4 2 4 2 2" xfId="51386"/>
    <cellStyle name="Note 3 4 2 4 2 2 2" xfId="51387"/>
    <cellStyle name="Note 3 4 2 4 2 2 2 2" xfId="51388"/>
    <cellStyle name="Note 3 4 2 4 2 2 3" xfId="51389"/>
    <cellStyle name="Note 3 4 2 4 2 3" xfId="51390"/>
    <cellStyle name="Note 3 4 2 4 2 3 2" xfId="51391"/>
    <cellStyle name="Note 3 4 2 4 2 4" xfId="51392"/>
    <cellStyle name="Note 3 4 2 4 3" xfId="51393"/>
    <cellStyle name="Note 3 4 2 4 3 2" xfId="51394"/>
    <cellStyle name="Note 3 4 2 4 3 2 2" xfId="51395"/>
    <cellStyle name="Note 3 4 2 4 3 3" xfId="51396"/>
    <cellStyle name="Note 3 4 2 4 4" xfId="51397"/>
    <cellStyle name="Note 3 4 2 4 4 2" xfId="51398"/>
    <cellStyle name="Note 3 4 2 4 5" xfId="51399"/>
    <cellStyle name="Note 3 4 2 5" xfId="51400"/>
    <cellStyle name="Note 3 4 2 5 2" xfId="51401"/>
    <cellStyle name="Note 3 4 2 5 2 2" xfId="51402"/>
    <cellStyle name="Note 3 4 2 5 2 2 2" xfId="51403"/>
    <cellStyle name="Note 3 4 2 5 2 2 2 2" xfId="51404"/>
    <cellStyle name="Note 3 4 2 5 2 2 3" xfId="51405"/>
    <cellStyle name="Note 3 4 2 5 2 3" xfId="51406"/>
    <cellStyle name="Note 3 4 2 5 2 3 2" xfId="51407"/>
    <cellStyle name="Note 3 4 2 5 2 4" xfId="51408"/>
    <cellStyle name="Note 3 4 2 5 3" xfId="51409"/>
    <cellStyle name="Note 3 4 2 5 3 2" xfId="51410"/>
    <cellStyle name="Note 3 4 2 5 3 2 2" xfId="51411"/>
    <cellStyle name="Note 3 4 2 5 3 3" xfId="51412"/>
    <cellStyle name="Note 3 4 2 5 4" xfId="51413"/>
    <cellStyle name="Note 3 4 2 5 4 2" xfId="51414"/>
    <cellStyle name="Note 3 4 2 5 5" xfId="51415"/>
    <cellStyle name="Note 3 4 2 6" xfId="51416"/>
    <cellStyle name="Note 3 4 2 6 2" xfId="51417"/>
    <cellStyle name="Note 3 4 2 6 2 2" xfId="51418"/>
    <cellStyle name="Note 3 4 2 6 2 2 2" xfId="51419"/>
    <cellStyle name="Note 3 4 2 6 2 2 2 2" xfId="51420"/>
    <cellStyle name="Note 3 4 2 6 2 2 3" xfId="51421"/>
    <cellStyle name="Note 3 4 2 6 2 3" xfId="51422"/>
    <cellStyle name="Note 3 4 2 6 2 3 2" xfId="51423"/>
    <cellStyle name="Note 3 4 2 6 2 4" xfId="51424"/>
    <cellStyle name="Note 3 4 2 6 3" xfId="51425"/>
    <cellStyle name="Note 3 4 2 6 3 2" xfId="51426"/>
    <cellStyle name="Note 3 4 2 6 3 2 2" xfId="51427"/>
    <cellStyle name="Note 3 4 2 6 3 3" xfId="51428"/>
    <cellStyle name="Note 3 4 2 6 4" xfId="51429"/>
    <cellStyle name="Note 3 4 2 6 4 2" xfId="51430"/>
    <cellStyle name="Note 3 4 2 6 5" xfId="51431"/>
    <cellStyle name="Note 3 4 2 7" xfId="51432"/>
    <cellStyle name="Note 3 4 2 7 2" xfId="51433"/>
    <cellStyle name="Note 3 4 2 7 2 2" xfId="51434"/>
    <cellStyle name="Note 3 4 2 7 2 2 2" xfId="51435"/>
    <cellStyle name="Note 3 4 2 7 2 3" xfId="51436"/>
    <cellStyle name="Note 3 4 2 7 3" xfId="51437"/>
    <cellStyle name="Note 3 4 2 7 3 2" xfId="51438"/>
    <cellStyle name="Note 3 4 2 7 4" xfId="51439"/>
    <cellStyle name="Note 3 4 2 8" xfId="51440"/>
    <cellStyle name="Note 3 4 2 8 2" xfId="51441"/>
    <cellStyle name="Note 3 4 2 8 2 2" xfId="51442"/>
    <cellStyle name="Note 3 4 2 8 3" xfId="51443"/>
    <cellStyle name="Note 3 4 2 9" xfId="51444"/>
    <cellStyle name="Note 3 4 2 9 2" xfId="51445"/>
    <cellStyle name="Note 3 4 3" xfId="51446"/>
    <cellStyle name="Note 3 4 3 2" xfId="51447"/>
    <cellStyle name="Note 3 4 3 2 2" xfId="51448"/>
    <cellStyle name="Note 3 4 3 2 2 2" xfId="51449"/>
    <cellStyle name="Note 3 4 3 2 2 2 2" xfId="51450"/>
    <cellStyle name="Note 3 4 3 2 2 3" xfId="51451"/>
    <cellStyle name="Note 3 4 3 2 3" xfId="51452"/>
    <cellStyle name="Note 3 4 3 2 3 2" xfId="51453"/>
    <cellStyle name="Note 3 4 3 2 4" xfId="51454"/>
    <cellStyle name="Note 3 4 3 3" xfId="51455"/>
    <cellStyle name="Note 3 4 3 3 2" xfId="51456"/>
    <cellStyle name="Note 3 4 3 3 2 2" xfId="51457"/>
    <cellStyle name="Note 3 4 3 3 3" xfId="51458"/>
    <cellStyle name="Note 3 4 3 4" xfId="51459"/>
    <cellStyle name="Note 3 4 3 4 2" xfId="51460"/>
    <cellStyle name="Note 3 4 3 5" xfId="51461"/>
    <cellStyle name="Note 3 4 4" xfId="51462"/>
    <cellStyle name="Note 3 4 4 2" xfId="51463"/>
    <cellStyle name="Note 3 4 4 2 2" xfId="51464"/>
    <cellStyle name="Note 3 4 4 2 2 2" xfId="51465"/>
    <cellStyle name="Note 3 4 4 2 2 2 2" xfId="51466"/>
    <cellStyle name="Note 3 4 4 2 2 3" xfId="51467"/>
    <cellStyle name="Note 3 4 4 2 3" xfId="51468"/>
    <cellStyle name="Note 3 4 4 2 3 2" xfId="51469"/>
    <cellStyle name="Note 3 4 4 2 4" xfId="51470"/>
    <cellStyle name="Note 3 4 4 3" xfId="51471"/>
    <cellStyle name="Note 3 4 4 3 2" xfId="51472"/>
    <cellStyle name="Note 3 4 4 3 2 2" xfId="51473"/>
    <cellStyle name="Note 3 4 4 3 3" xfId="51474"/>
    <cellStyle name="Note 3 4 4 4" xfId="51475"/>
    <cellStyle name="Note 3 4 4 4 2" xfId="51476"/>
    <cellStyle name="Note 3 4 4 5" xfId="51477"/>
    <cellStyle name="Note 3 4 5" xfId="51478"/>
    <cellStyle name="Note 3 4 5 2" xfId="51479"/>
    <cellStyle name="Note 3 4 5 2 2" xfId="51480"/>
    <cellStyle name="Note 3 4 5 2 2 2" xfId="51481"/>
    <cellStyle name="Note 3 4 5 2 2 2 2" xfId="51482"/>
    <cellStyle name="Note 3 4 5 2 2 3" xfId="51483"/>
    <cellStyle name="Note 3 4 5 2 3" xfId="51484"/>
    <cellStyle name="Note 3 4 5 2 3 2" xfId="51485"/>
    <cellStyle name="Note 3 4 5 2 4" xfId="51486"/>
    <cellStyle name="Note 3 4 5 3" xfId="51487"/>
    <cellStyle name="Note 3 4 5 3 2" xfId="51488"/>
    <cellStyle name="Note 3 4 5 3 2 2" xfId="51489"/>
    <cellStyle name="Note 3 4 5 3 3" xfId="51490"/>
    <cellStyle name="Note 3 4 5 4" xfId="51491"/>
    <cellStyle name="Note 3 4 5 4 2" xfId="51492"/>
    <cellStyle name="Note 3 4 5 5" xfId="51493"/>
    <cellStyle name="Note 3 4 6" xfId="51494"/>
    <cellStyle name="Note 3 4 6 2" xfId="51495"/>
    <cellStyle name="Note 3 4 6 2 2" xfId="51496"/>
    <cellStyle name="Note 3 4 6 2 2 2" xfId="51497"/>
    <cellStyle name="Note 3 4 6 2 2 2 2" xfId="51498"/>
    <cellStyle name="Note 3 4 6 2 2 3" xfId="51499"/>
    <cellStyle name="Note 3 4 6 2 3" xfId="51500"/>
    <cellStyle name="Note 3 4 6 2 3 2" xfId="51501"/>
    <cellStyle name="Note 3 4 6 2 4" xfId="51502"/>
    <cellStyle name="Note 3 4 6 3" xfId="51503"/>
    <cellStyle name="Note 3 4 6 3 2" xfId="51504"/>
    <cellStyle name="Note 3 4 6 3 2 2" xfId="51505"/>
    <cellStyle name="Note 3 4 6 3 3" xfId="51506"/>
    <cellStyle name="Note 3 4 6 4" xfId="51507"/>
    <cellStyle name="Note 3 4 6 4 2" xfId="51508"/>
    <cellStyle name="Note 3 4 6 5" xfId="51509"/>
    <cellStyle name="Note 3 4 7" xfId="51510"/>
    <cellStyle name="Note 3 4 7 2" xfId="51511"/>
    <cellStyle name="Note 3 4 7 2 2" xfId="51512"/>
    <cellStyle name="Note 3 4 7 2 2 2" xfId="51513"/>
    <cellStyle name="Note 3 4 7 2 2 2 2" xfId="51514"/>
    <cellStyle name="Note 3 4 7 2 2 3" xfId="51515"/>
    <cellStyle name="Note 3 4 7 2 3" xfId="51516"/>
    <cellStyle name="Note 3 4 7 2 3 2" xfId="51517"/>
    <cellStyle name="Note 3 4 7 2 4" xfId="51518"/>
    <cellStyle name="Note 3 4 7 3" xfId="51519"/>
    <cellStyle name="Note 3 4 7 3 2" xfId="51520"/>
    <cellStyle name="Note 3 4 7 3 2 2" xfId="51521"/>
    <cellStyle name="Note 3 4 7 3 3" xfId="51522"/>
    <cellStyle name="Note 3 4 7 4" xfId="51523"/>
    <cellStyle name="Note 3 4 7 4 2" xfId="51524"/>
    <cellStyle name="Note 3 4 7 5" xfId="51525"/>
    <cellStyle name="Note 3 4 8" xfId="51526"/>
    <cellStyle name="Note 3 4 8 2" xfId="51527"/>
    <cellStyle name="Note 3 4 8 2 2" xfId="51528"/>
    <cellStyle name="Note 3 4 8 2 2 2" xfId="51529"/>
    <cellStyle name="Note 3 4 8 2 3" xfId="51530"/>
    <cellStyle name="Note 3 4 8 3" xfId="51531"/>
    <cellStyle name="Note 3 4 8 3 2" xfId="51532"/>
    <cellStyle name="Note 3 4 8 4" xfId="51533"/>
    <cellStyle name="Note 3 4 9" xfId="51534"/>
    <cellStyle name="Note 3 4 9 2" xfId="51535"/>
    <cellStyle name="Note 3 4 9 2 2" xfId="51536"/>
    <cellStyle name="Note 3 4 9 3" xfId="51537"/>
    <cellStyle name="Note 3 5" xfId="51538"/>
    <cellStyle name="Note 3 5 10" xfId="51539"/>
    <cellStyle name="Note 3 5 10 2" xfId="51540"/>
    <cellStyle name="Note 3 5 11" xfId="51541"/>
    <cellStyle name="Note 3 5 2" xfId="51542"/>
    <cellStyle name="Note 3 5 2 10" xfId="51543"/>
    <cellStyle name="Note 3 5 2 2" xfId="51544"/>
    <cellStyle name="Note 3 5 2 2 2" xfId="51545"/>
    <cellStyle name="Note 3 5 2 2 2 2" xfId="51546"/>
    <cellStyle name="Note 3 5 2 2 2 2 2" xfId="51547"/>
    <cellStyle name="Note 3 5 2 2 2 2 2 2" xfId="51548"/>
    <cellStyle name="Note 3 5 2 2 2 2 3" xfId="51549"/>
    <cellStyle name="Note 3 5 2 2 2 3" xfId="51550"/>
    <cellStyle name="Note 3 5 2 2 2 3 2" xfId="51551"/>
    <cellStyle name="Note 3 5 2 2 2 4" xfId="51552"/>
    <cellStyle name="Note 3 5 2 2 3" xfId="51553"/>
    <cellStyle name="Note 3 5 2 2 3 2" xfId="51554"/>
    <cellStyle name="Note 3 5 2 2 3 2 2" xfId="51555"/>
    <cellStyle name="Note 3 5 2 2 3 3" xfId="51556"/>
    <cellStyle name="Note 3 5 2 2 4" xfId="51557"/>
    <cellStyle name="Note 3 5 2 2 4 2" xfId="51558"/>
    <cellStyle name="Note 3 5 2 2 5" xfId="51559"/>
    <cellStyle name="Note 3 5 2 3" xfId="51560"/>
    <cellStyle name="Note 3 5 2 3 2" xfId="51561"/>
    <cellStyle name="Note 3 5 2 3 2 2" xfId="51562"/>
    <cellStyle name="Note 3 5 2 3 2 2 2" xfId="51563"/>
    <cellStyle name="Note 3 5 2 3 2 2 2 2" xfId="51564"/>
    <cellStyle name="Note 3 5 2 3 2 2 3" xfId="51565"/>
    <cellStyle name="Note 3 5 2 3 2 3" xfId="51566"/>
    <cellStyle name="Note 3 5 2 3 2 3 2" xfId="51567"/>
    <cellStyle name="Note 3 5 2 3 2 4" xfId="51568"/>
    <cellStyle name="Note 3 5 2 3 3" xfId="51569"/>
    <cellStyle name="Note 3 5 2 3 3 2" xfId="51570"/>
    <cellStyle name="Note 3 5 2 3 3 2 2" xfId="51571"/>
    <cellStyle name="Note 3 5 2 3 3 3" xfId="51572"/>
    <cellStyle name="Note 3 5 2 3 4" xfId="51573"/>
    <cellStyle name="Note 3 5 2 3 4 2" xfId="51574"/>
    <cellStyle name="Note 3 5 2 3 5" xfId="51575"/>
    <cellStyle name="Note 3 5 2 4" xfId="51576"/>
    <cellStyle name="Note 3 5 2 4 2" xfId="51577"/>
    <cellStyle name="Note 3 5 2 4 2 2" xfId="51578"/>
    <cellStyle name="Note 3 5 2 4 2 2 2" xfId="51579"/>
    <cellStyle name="Note 3 5 2 4 2 2 2 2" xfId="51580"/>
    <cellStyle name="Note 3 5 2 4 2 2 3" xfId="51581"/>
    <cellStyle name="Note 3 5 2 4 2 3" xfId="51582"/>
    <cellStyle name="Note 3 5 2 4 2 3 2" xfId="51583"/>
    <cellStyle name="Note 3 5 2 4 2 4" xfId="51584"/>
    <cellStyle name="Note 3 5 2 4 3" xfId="51585"/>
    <cellStyle name="Note 3 5 2 4 3 2" xfId="51586"/>
    <cellStyle name="Note 3 5 2 4 3 2 2" xfId="51587"/>
    <cellStyle name="Note 3 5 2 4 3 3" xfId="51588"/>
    <cellStyle name="Note 3 5 2 4 4" xfId="51589"/>
    <cellStyle name="Note 3 5 2 4 4 2" xfId="51590"/>
    <cellStyle name="Note 3 5 2 4 5" xfId="51591"/>
    <cellStyle name="Note 3 5 2 5" xfId="51592"/>
    <cellStyle name="Note 3 5 2 5 2" xfId="51593"/>
    <cellStyle name="Note 3 5 2 5 2 2" xfId="51594"/>
    <cellStyle name="Note 3 5 2 5 2 2 2" xfId="51595"/>
    <cellStyle name="Note 3 5 2 5 2 2 2 2" xfId="51596"/>
    <cellStyle name="Note 3 5 2 5 2 2 3" xfId="51597"/>
    <cellStyle name="Note 3 5 2 5 2 3" xfId="51598"/>
    <cellStyle name="Note 3 5 2 5 2 3 2" xfId="51599"/>
    <cellStyle name="Note 3 5 2 5 2 4" xfId="51600"/>
    <cellStyle name="Note 3 5 2 5 3" xfId="51601"/>
    <cellStyle name="Note 3 5 2 5 3 2" xfId="51602"/>
    <cellStyle name="Note 3 5 2 5 3 2 2" xfId="51603"/>
    <cellStyle name="Note 3 5 2 5 3 3" xfId="51604"/>
    <cellStyle name="Note 3 5 2 5 4" xfId="51605"/>
    <cellStyle name="Note 3 5 2 5 4 2" xfId="51606"/>
    <cellStyle name="Note 3 5 2 5 5" xfId="51607"/>
    <cellStyle name="Note 3 5 2 6" xfId="51608"/>
    <cellStyle name="Note 3 5 2 6 2" xfId="51609"/>
    <cellStyle name="Note 3 5 2 6 2 2" xfId="51610"/>
    <cellStyle name="Note 3 5 2 6 2 2 2" xfId="51611"/>
    <cellStyle name="Note 3 5 2 6 2 2 2 2" xfId="51612"/>
    <cellStyle name="Note 3 5 2 6 2 2 3" xfId="51613"/>
    <cellStyle name="Note 3 5 2 6 2 3" xfId="51614"/>
    <cellStyle name="Note 3 5 2 6 2 3 2" xfId="51615"/>
    <cellStyle name="Note 3 5 2 6 2 4" xfId="51616"/>
    <cellStyle name="Note 3 5 2 6 3" xfId="51617"/>
    <cellStyle name="Note 3 5 2 6 3 2" xfId="51618"/>
    <cellStyle name="Note 3 5 2 6 3 2 2" xfId="51619"/>
    <cellStyle name="Note 3 5 2 6 3 3" xfId="51620"/>
    <cellStyle name="Note 3 5 2 6 4" xfId="51621"/>
    <cellStyle name="Note 3 5 2 6 4 2" xfId="51622"/>
    <cellStyle name="Note 3 5 2 6 5" xfId="51623"/>
    <cellStyle name="Note 3 5 2 7" xfId="51624"/>
    <cellStyle name="Note 3 5 2 7 2" xfId="51625"/>
    <cellStyle name="Note 3 5 2 7 2 2" xfId="51626"/>
    <cellStyle name="Note 3 5 2 7 2 2 2" xfId="51627"/>
    <cellStyle name="Note 3 5 2 7 2 3" xfId="51628"/>
    <cellStyle name="Note 3 5 2 7 3" xfId="51629"/>
    <cellStyle name="Note 3 5 2 7 3 2" xfId="51630"/>
    <cellStyle name="Note 3 5 2 7 4" xfId="51631"/>
    <cellStyle name="Note 3 5 2 8" xfId="51632"/>
    <cellStyle name="Note 3 5 2 8 2" xfId="51633"/>
    <cellStyle name="Note 3 5 2 8 2 2" xfId="51634"/>
    <cellStyle name="Note 3 5 2 8 3" xfId="51635"/>
    <cellStyle name="Note 3 5 2 9" xfId="51636"/>
    <cellStyle name="Note 3 5 2 9 2" xfId="51637"/>
    <cellStyle name="Note 3 5 3" xfId="51638"/>
    <cellStyle name="Note 3 5 3 2" xfId="51639"/>
    <cellStyle name="Note 3 5 3 2 2" xfId="51640"/>
    <cellStyle name="Note 3 5 3 2 2 2" xfId="51641"/>
    <cellStyle name="Note 3 5 3 2 2 2 2" xfId="51642"/>
    <cellStyle name="Note 3 5 3 2 2 3" xfId="51643"/>
    <cellStyle name="Note 3 5 3 2 3" xfId="51644"/>
    <cellStyle name="Note 3 5 3 2 3 2" xfId="51645"/>
    <cellStyle name="Note 3 5 3 2 4" xfId="51646"/>
    <cellStyle name="Note 3 5 3 3" xfId="51647"/>
    <cellStyle name="Note 3 5 3 3 2" xfId="51648"/>
    <cellStyle name="Note 3 5 3 3 2 2" xfId="51649"/>
    <cellStyle name="Note 3 5 3 3 3" xfId="51650"/>
    <cellStyle name="Note 3 5 3 4" xfId="51651"/>
    <cellStyle name="Note 3 5 3 4 2" xfId="51652"/>
    <cellStyle name="Note 3 5 3 5" xfId="51653"/>
    <cellStyle name="Note 3 5 4" xfId="51654"/>
    <cellStyle name="Note 3 5 4 2" xfId="51655"/>
    <cellStyle name="Note 3 5 4 2 2" xfId="51656"/>
    <cellStyle name="Note 3 5 4 2 2 2" xfId="51657"/>
    <cellStyle name="Note 3 5 4 2 2 2 2" xfId="51658"/>
    <cellStyle name="Note 3 5 4 2 2 3" xfId="51659"/>
    <cellStyle name="Note 3 5 4 2 3" xfId="51660"/>
    <cellStyle name="Note 3 5 4 2 3 2" xfId="51661"/>
    <cellStyle name="Note 3 5 4 2 4" xfId="51662"/>
    <cellStyle name="Note 3 5 4 3" xfId="51663"/>
    <cellStyle name="Note 3 5 4 3 2" xfId="51664"/>
    <cellStyle name="Note 3 5 4 3 2 2" xfId="51665"/>
    <cellStyle name="Note 3 5 4 3 3" xfId="51666"/>
    <cellStyle name="Note 3 5 4 4" xfId="51667"/>
    <cellStyle name="Note 3 5 4 4 2" xfId="51668"/>
    <cellStyle name="Note 3 5 4 5" xfId="51669"/>
    <cellStyle name="Note 3 5 5" xfId="51670"/>
    <cellStyle name="Note 3 5 5 2" xfId="51671"/>
    <cellStyle name="Note 3 5 5 2 2" xfId="51672"/>
    <cellStyle name="Note 3 5 5 2 2 2" xfId="51673"/>
    <cellStyle name="Note 3 5 5 2 2 2 2" xfId="51674"/>
    <cellStyle name="Note 3 5 5 2 2 3" xfId="51675"/>
    <cellStyle name="Note 3 5 5 2 3" xfId="51676"/>
    <cellStyle name="Note 3 5 5 2 3 2" xfId="51677"/>
    <cellStyle name="Note 3 5 5 2 4" xfId="51678"/>
    <cellStyle name="Note 3 5 5 3" xfId="51679"/>
    <cellStyle name="Note 3 5 5 3 2" xfId="51680"/>
    <cellStyle name="Note 3 5 5 3 2 2" xfId="51681"/>
    <cellStyle name="Note 3 5 5 3 3" xfId="51682"/>
    <cellStyle name="Note 3 5 5 4" xfId="51683"/>
    <cellStyle name="Note 3 5 5 4 2" xfId="51684"/>
    <cellStyle name="Note 3 5 5 5" xfId="51685"/>
    <cellStyle name="Note 3 5 6" xfId="51686"/>
    <cellStyle name="Note 3 5 6 2" xfId="51687"/>
    <cellStyle name="Note 3 5 6 2 2" xfId="51688"/>
    <cellStyle name="Note 3 5 6 2 2 2" xfId="51689"/>
    <cellStyle name="Note 3 5 6 2 2 2 2" xfId="51690"/>
    <cellStyle name="Note 3 5 6 2 2 3" xfId="51691"/>
    <cellStyle name="Note 3 5 6 2 3" xfId="51692"/>
    <cellStyle name="Note 3 5 6 2 3 2" xfId="51693"/>
    <cellStyle name="Note 3 5 6 2 4" xfId="51694"/>
    <cellStyle name="Note 3 5 6 3" xfId="51695"/>
    <cellStyle name="Note 3 5 6 3 2" xfId="51696"/>
    <cellStyle name="Note 3 5 6 3 2 2" xfId="51697"/>
    <cellStyle name="Note 3 5 6 3 3" xfId="51698"/>
    <cellStyle name="Note 3 5 6 4" xfId="51699"/>
    <cellStyle name="Note 3 5 6 4 2" xfId="51700"/>
    <cellStyle name="Note 3 5 6 5" xfId="51701"/>
    <cellStyle name="Note 3 5 7" xfId="51702"/>
    <cellStyle name="Note 3 5 7 2" xfId="51703"/>
    <cellStyle name="Note 3 5 7 2 2" xfId="51704"/>
    <cellStyle name="Note 3 5 7 2 2 2" xfId="51705"/>
    <cellStyle name="Note 3 5 7 2 2 2 2" xfId="51706"/>
    <cellStyle name="Note 3 5 7 2 2 3" xfId="51707"/>
    <cellStyle name="Note 3 5 7 2 3" xfId="51708"/>
    <cellStyle name="Note 3 5 7 2 3 2" xfId="51709"/>
    <cellStyle name="Note 3 5 7 2 4" xfId="51710"/>
    <cellStyle name="Note 3 5 7 3" xfId="51711"/>
    <cellStyle name="Note 3 5 7 3 2" xfId="51712"/>
    <cellStyle name="Note 3 5 7 3 2 2" xfId="51713"/>
    <cellStyle name="Note 3 5 7 3 3" xfId="51714"/>
    <cellStyle name="Note 3 5 7 4" xfId="51715"/>
    <cellStyle name="Note 3 5 7 4 2" xfId="51716"/>
    <cellStyle name="Note 3 5 7 5" xfId="51717"/>
    <cellStyle name="Note 3 5 8" xfId="51718"/>
    <cellStyle name="Note 3 5 8 2" xfId="51719"/>
    <cellStyle name="Note 3 5 8 2 2" xfId="51720"/>
    <cellStyle name="Note 3 5 8 2 2 2" xfId="51721"/>
    <cellStyle name="Note 3 5 8 2 3" xfId="51722"/>
    <cellStyle name="Note 3 5 8 3" xfId="51723"/>
    <cellStyle name="Note 3 5 8 3 2" xfId="51724"/>
    <cellStyle name="Note 3 5 8 4" xfId="51725"/>
    <cellStyle name="Note 3 5 9" xfId="51726"/>
    <cellStyle name="Note 3 5 9 2" xfId="51727"/>
    <cellStyle name="Note 3 5 9 2 2" xfId="51728"/>
    <cellStyle name="Note 3 5 9 3" xfId="51729"/>
    <cellStyle name="Note 3 6" xfId="51730"/>
    <cellStyle name="Note 3 6 10" xfId="51731"/>
    <cellStyle name="Note 3 6 10 2" xfId="51732"/>
    <cellStyle name="Note 3 6 11" xfId="51733"/>
    <cellStyle name="Note 3 6 2" xfId="51734"/>
    <cellStyle name="Note 3 6 2 10" xfId="51735"/>
    <cellStyle name="Note 3 6 2 2" xfId="51736"/>
    <cellStyle name="Note 3 6 2 2 2" xfId="51737"/>
    <cellStyle name="Note 3 6 2 2 2 2" xfId="51738"/>
    <cellStyle name="Note 3 6 2 2 2 2 2" xfId="51739"/>
    <cellStyle name="Note 3 6 2 2 2 2 2 2" xfId="51740"/>
    <cellStyle name="Note 3 6 2 2 2 2 3" xfId="51741"/>
    <cellStyle name="Note 3 6 2 2 2 3" xfId="51742"/>
    <cellStyle name="Note 3 6 2 2 2 3 2" xfId="51743"/>
    <cellStyle name="Note 3 6 2 2 2 4" xfId="51744"/>
    <cellStyle name="Note 3 6 2 2 3" xfId="51745"/>
    <cellStyle name="Note 3 6 2 2 3 2" xfId="51746"/>
    <cellStyle name="Note 3 6 2 2 3 2 2" xfId="51747"/>
    <cellStyle name="Note 3 6 2 2 3 3" xfId="51748"/>
    <cellStyle name="Note 3 6 2 2 4" xfId="51749"/>
    <cellStyle name="Note 3 6 2 2 4 2" xfId="51750"/>
    <cellStyle name="Note 3 6 2 2 5" xfId="51751"/>
    <cellStyle name="Note 3 6 2 3" xfId="51752"/>
    <cellStyle name="Note 3 6 2 3 2" xfId="51753"/>
    <cellStyle name="Note 3 6 2 3 2 2" xfId="51754"/>
    <cellStyle name="Note 3 6 2 3 2 2 2" xfId="51755"/>
    <cellStyle name="Note 3 6 2 3 2 2 2 2" xfId="51756"/>
    <cellStyle name="Note 3 6 2 3 2 2 3" xfId="51757"/>
    <cellStyle name="Note 3 6 2 3 2 3" xfId="51758"/>
    <cellStyle name="Note 3 6 2 3 2 3 2" xfId="51759"/>
    <cellStyle name="Note 3 6 2 3 2 4" xfId="51760"/>
    <cellStyle name="Note 3 6 2 3 3" xfId="51761"/>
    <cellStyle name="Note 3 6 2 3 3 2" xfId="51762"/>
    <cellStyle name="Note 3 6 2 3 3 2 2" xfId="51763"/>
    <cellStyle name="Note 3 6 2 3 3 3" xfId="51764"/>
    <cellStyle name="Note 3 6 2 3 4" xfId="51765"/>
    <cellStyle name="Note 3 6 2 3 4 2" xfId="51766"/>
    <cellStyle name="Note 3 6 2 3 5" xfId="51767"/>
    <cellStyle name="Note 3 6 2 4" xfId="51768"/>
    <cellStyle name="Note 3 6 2 4 2" xfId="51769"/>
    <cellStyle name="Note 3 6 2 4 2 2" xfId="51770"/>
    <cellStyle name="Note 3 6 2 4 2 2 2" xfId="51771"/>
    <cellStyle name="Note 3 6 2 4 2 2 2 2" xfId="51772"/>
    <cellStyle name="Note 3 6 2 4 2 2 3" xfId="51773"/>
    <cellStyle name="Note 3 6 2 4 2 3" xfId="51774"/>
    <cellStyle name="Note 3 6 2 4 2 3 2" xfId="51775"/>
    <cellStyle name="Note 3 6 2 4 2 4" xfId="51776"/>
    <cellStyle name="Note 3 6 2 4 3" xfId="51777"/>
    <cellStyle name="Note 3 6 2 4 3 2" xfId="51778"/>
    <cellStyle name="Note 3 6 2 4 3 2 2" xfId="51779"/>
    <cellStyle name="Note 3 6 2 4 3 3" xfId="51780"/>
    <cellStyle name="Note 3 6 2 4 4" xfId="51781"/>
    <cellStyle name="Note 3 6 2 4 4 2" xfId="51782"/>
    <cellStyle name="Note 3 6 2 4 5" xfId="51783"/>
    <cellStyle name="Note 3 6 2 5" xfId="51784"/>
    <cellStyle name="Note 3 6 2 5 2" xfId="51785"/>
    <cellStyle name="Note 3 6 2 5 2 2" xfId="51786"/>
    <cellStyle name="Note 3 6 2 5 2 2 2" xfId="51787"/>
    <cellStyle name="Note 3 6 2 5 2 2 2 2" xfId="51788"/>
    <cellStyle name="Note 3 6 2 5 2 2 3" xfId="51789"/>
    <cellStyle name="Note 3 6 2 5 2 3" xfId="51790"/>
    <cellStyle name="Note 3 6 2 5 2 3 2" xfId="51791"/>
    <cellStyle name="Note 3 6 2 5 2 4" xfId="51792"/>
    <cellStyle name="Note 3 6 2 5 3" xfId="51793"/>
    <cellStyle name="Note 3 6 2 5 3 2" xfId="51794"/>
    <cellStyle name="Note 3 6 2 5 3 2 2" xfId="51795"/>
    <cellStyle name="Note 3 6 2 5 3 3" xfId="51796"/>
    <cellStyle name="Note 3 6 2 5 4" xfId="51797"/>
    <cellStyle name="Note 3 6 2 5 4 2" xfId="51798"/>
    <cellStyle name="Note 3 6 2 5 5" xfId="51799"/>
    <cellStyle name="Note 3 6 2 6" xfId="51800"/>
    <cellStyle name="Note 3 6 2 6 2" xfId="51801"/>
    <cellStyle name="Note 3 6 2 6 2 2" xfId="51802"/>
    <cellStyle name="Note 3 6 2 6 2 2 2" xfId="51803"/>
    <cellStyle name="Note 3 6 2 6 2 2 2 2" xfId="51804"/>
    <cellStyle name="Note 3 6 2 6 2 2 3" xfId="51805"/>
    <cellStyle name="Note 3 6 2 6 2 3" xfId="51806"/>
    <cellStyle name="Note 3 6 2 6 2 3 2" xfId="51807"/>
    <cellStyle name="Note 3 6 2 6 2 4" xfId="51808"/>
    <cellStyle name="Note 3 6 2 6 3" xfId="51809"/>
    <cellStyle name="Note 3 6 2 6 3 2" xfId="51810"/>
    <cellStyle name="Note 3 6 2 6 3 2 2" xfId="51811"/>
    <cellStyle name="Note 3 6 2 6 3 3" xfId="51812"/>
    <cellStyle name="Note 3 6 2 6 4" xfId="51813"/>
    <cellStyle name="Note 3 6 2 6 4 2" xfId="51814"/>
    <cellStyle name="Note 3 6 2 6 5" xfId="51815"/>
    <cellStyle name="Note 3 6 2 7" xfId="51816"/>
    <cellStyle name="Note 3 6 2 7 2" xfId="51817"/>
    <cellStyle name="Note 3 6 2 7 2 2" xfId="51818"/>
    <cellStyle name="Note 3 6 2 7 2 2 2" xfId="51819"/>
    <cellStyle name="Note 3 6 2 7 2 3" xfId="51820"/>
    <cellStyle name="Note 3 6 2 7 3" xfId="51821"/>
    <cellStyle name="Note 3 6 2 7 3 2" xfId="51822"/>
    <cellStyle name="Note 3 6 2 7 4" xfId="51823"/>
    <cellStyle name="Note 3 6 2 8" xfId="51824"/>
    <cellStyle name="Note 3 6 2 8 2" xfId="51825"/>
    <cellStyle name="Note 3 6 2 8 2 2" xfId="51826"/>
    <cellStyle name="Note 3 6 2 8 3" xfId="51827"/>
    <cellStyle name="Note 3 6 2 9" xfId="51828"/>
    <cellStyle name="Note 3 6 2 9 2" xfId="51829"/>
    <cellStyle name="Note 3 6 3" xfId="51830"/>
    <cellStyle name="Note 3 6 3 2" xfId="51831"/>
    <cellStyle name="Note 3 6 3 2 2" xfId="51832"/>
    <cellStyle name="Note 3 6 3 2 2 2" xfId="51833"/>
    <cellStyle name="Note 3 6 3 2 2 2 2" xfId="51834"/>
    <cellStyle name="Note 3 6 3 2 2 3" xfId="51835"/>
    <cellStyle name="Note 3 6 3 2 3" xfId="51836"/>
    <cellStyle name="Note 3 6 3 2 3 2" xfId="51837"/>
    <cellStyle name="Note 3 6 3 2 4" xfId="51838"/>
    <cellStyle name="Note 3 6 3 3" xfId="51839"/>
    <cellStyle name="Note 3 6 3 3 2" xfId="51840"/>
    <cellStyle name="Note 3 6 3 3 2 2" xfId="51841"/>
    <cellStyle name="Note 3 6 3 3 3" xfId="51842"/>
    <cellStyle name="Note 3 6 3 4" xfId="51843"/>
    <cellStyle name="Note 3 6 3 4 2" xfId="51844"/>
    <cellStyle name="Note 3 6 3 5" xfId="51845"/>
    <cellStyle name="Note 3 6 4" xfId="51846"/>
    <cellStyle name="Note 3 6 4 2" xfId="51847"/>
    <cellStyle name="Note 3 6 4 2 2" xfId="51848"/>
    <cellStyle name="Note 3 6 4 2 2 2" xfId="51849"/>
    <cellStyle name="Note 3 6 4 2 2 2 2" xfId="51850"/>
    <cellStyle name="Note 3 6 4 2 2 3" xfId="51851"/>
    <cellStyle name="Note 3 6 4 2 3" xfId="51852"/>
    <cellStyle name="Note 3 6 4 2 3 2" xfId="51853"/>
    <cellStyle name="Note 3 6 4 2 4" xfId="51854"/>
    <cellStyle name="Note 3 6 4 3" xfId="51855"/>
    <cellStyle name="Note 3 6 4 3 2" xfId="51856"/>
    <cellStyle name="Note 3 6 4 3 2 2" xfId="51857"/>
    <cellStyle name="Note 3 6 4 3 3" xfId="51858"/>
    <cellStyle name="Note 3 6 4 4" xfId="51859"/>
    <cellStyle name="Note 3 6 4 4 2" xfId="51860"/>
    <cellStyle name="Note 3 6 4 5" xfId="51861"/>
    <cellStyle name="Note 3 6 5" xfId="51862"/>
    <cellStyle name="Note 3 6 5 2" xfId="51863"/>
    <cellStyle name="Note 3 6 5 2 2" xfId="51864"/>
    <cellStyle name="Note 3 6 5 2 2 2" xfId="51865"/>
    <cellStyle name="Note 3 6 5 2 2 2 2" xfId="51866"/>
    <cellStyle name="Note 3 6 5 2 2 3" xfId="51867"/>
    <cellStyle name="Note 3 6 5 2 3" xfId="51868"/>
    <cellStyle name="Note 3 6 5 2 3 2" xfId="51869"/>
    <cellStyle name="Note 3 6 5 2 4" xfId="51870"/>
    <cellStyle name="Note 3 6 5 3" xfId="51871"/>
    <cellStyle name="Note 3 6 5 3 2" xfId="51872"/>
    <cellStyle name="Note 3 6 5 3 2 2" xfId="51873"/>
    <cellStyle name="Note 3 6 5 3 3" xfId="51874"/>
    <cellStyle name="Note 3 6 5 4" xfId="51875"/>
    <cellStyle name="Note 3 6 5 4 2" xfId="51876"/>
    <cellStyle name="Note 3 6 5 5" xfId="51877"/>
    <cellStyle name="Note 3 6 6" xfId="51878"/>
    <cellStyle name="Note 3 6 6 2" xfId="51879"/>
    <cellStyle name="Note 3 6 6 2 2" xfId="51880"/>
    <cellStyle name="Note 3 6 6 2 2 2" xfId="51881"/>
    <cellStyle name="Note 3 6 6 2 2 2 2" xfId="51882"/>
    <cellStyle name="Note 3 6 6 2 2 3" xfId="51883"/>
    <cellStyle name="Note 3 6 6 2 3" xfId="51884"/>
    <cellStyle name="Note 3 6 6 2 3 2" xfId="51885"/>
    <cellStyle name="Note 3 6 6 2 4" xfId="51886"/>
    <cellStyle name="Note 3 6 6 3" xfId="51887"/>
    <cellStyle name="Note 3 6 6 3 2" xfId="51888"/>
    <cellStyle name="Note 3 6 6 3 2 2" xfId="51889"/>
    <cellStyle name="Note 3 6 6 3 3" xfId="51890"/>
    <cellStyle name="Note 3 6 6 4" xfId="51891"/>
    <cellStyle name="Note 3 6 6 4 2" xfId="51892"/>
    <cellStyle name="Note 3 6 6 5" xfId="51893"/>
    <cellStyle name="Note 3 6 7" xfId="51894"/>
    <cellStyle name="Note 3 6 7 2" xfId="51895"/>
    <cellStyle name="Note 3 6 7 2 2" xfId="51896"/>
    <cellStyle name="Note 3 6 7 2 2 2" xfId="51897"/>
    <cellStyle name="Note 3 6 7 2 2 2 2" xfId="51898"/>
    <cellStyle name="Note 3 6 7 2 2 3" xfId="51899"/>
    <cellStyle name="Note 3 6 7 2 3" xfId="51900"/>
    <cellStyle name="Note 3 6 7 2 3 2" xfId="51901"/>
    <cellStyle name="Note 3 6 7 2 4" xfId="51902"/>
    <cellStyle name="Note 3 6 7 3" xfId="51903"/>
    <cellStyle name="Note 3 6 7 3 2" xfId="51904"/>
    <cellStyle name="Note 3 6 7 3 2 2" xfId="51905"/>
    <cellStyle name="Note 3 6 7 3 3" xfId="51906"/>
    <cellStyle name="Note 3 6 7 4" xfId="51907"/>
    <cellStyle name="Note 3 6 7 4 2" xfId="51908"/>
    <cellStyle name="Note 3 6 7 5" xfId="51909"/>
    <cellStyle name="Note 3 6 8" xfId="51910"/>
    <cellStyle name="Note 3 6 8 2" xfId="51911"/>
    <cellStyle name="Note 3 6 8 2 2" xfId="51912"/>
    <cellStyle name="Note 3 6 8 2 2 2" xfId="51913"/>
    <cellStyle name="Note 3 6 8 2 3" xfId="51914"/>
    <cellStyle name="Note 3 6 8 3" xfId="51915"/>
    <cellStyle name="Note 3 6 8 3 2" xfId="51916"/>
    <cellStyle name="Note 3 6 8 4" xfId="51917"/>
    <cellStyle name="Note 3 6 9" xfId="51918"/>
    <cellStyle name="Note 3 6 9 2" xfId="51919"/>
    <cellStyle name="Note 3 6 9 2 2" xfId="51920"/>
    <cellStyle name="Note 3 6 9 3" xfId="51921"/>
    <cellStyle name="Note 3 7" xfId="51922"/>
    <cellStyle name="Note 3 7 10" xfId="51923"/>
    <cellStyle name="Note 3 7 10 2" xfId="51924"/>
    <cellStyle name="Note 3 7 11" xfId="51925"/>
    <cellStyle name="Note 3 7 2" xfId="51926"/>
    <cellStyle name="Note 3 7 2 10" xfId="51927"/>
    <cellStyle name="Note 3 7 2 2" xfId="51928"/>
    <cellStyle name="Note 3 7 2 2 2" xfId="51929"/>
    <cellStyle name="Note 3 7 2 2 2 2" xfId="51930"/>
    <cellStyle name="Note 3 7 2 2 2 2 2" xfId="51931"/>
    <cellStyle name="Note 3 7 2 2 2 2 2 2" xfId="51932"/>
    <cellStyle name="Note 3 7 2 2 2 2 3" xfId="51933"/>
    <cellStyle name="Note 3 7 2 2 2 3" xfId="51934"/>
    <cellStyle name="Note 3 7 2 2 2 3 2" xfId="51935"/>
    <cellStyle name="Note 3 7 2 2 2 4" xfId="51936"/>
    <cellStyle name="Note 3 7 2 2 3" xfId="51937"/>
    <cellStyle name="Note 3 7 2 2 3 2" xfId="51938"/>
    <cellStyle name="Note 3 7 2 2 3 2 2" xfId="51939"/>
    <cellStyle name="Note 3 7 2 2 3 3" xfId="51940"/>
    <cellStyle name="Note 3 7 2 2 4" xfId="51941"/>
    <cellStyle name="Note 3 7 2 2 4 2" xfId="51942"/>
    <cellStyle name="Note 3 7 2 2 5" xfId="51943"/>
    <cellStyle name="Note 3 7 2 3" xfId="51944"/>
    <cellStyle name="Note 3 7 2 3 2" xfId="51945"/>
    <cellStyle name="Note 3 7 2 3 2 2" xfId="51946"/>
    <cellStyle name="Note 3 7 2 3 2 2 2" xfId="51947"/>
    <cellStyle name="Note 3 7 2 3 2 2 2 2" xfId="51948"/>
    <cellStyle name="Note 3 7 2 3 2 2 3" xfId="51949"/>
    <cellStyle name="Note 3 7 2 3 2 3" xfId="51950"/>
    <cellStyle name="Note 3 7 2 3 2 3 2" xfId="51951"/>
    <cellStyle name="Note 3 7 2 3 2 4" xfId="51952"/>
    <cellStyle name="Note 3 7 2 3 3" xfId="51953"/>
    <cellStyle name="Note 3 7 2 3 3 2" xfId="51954"/>
    <cellStyle name="Note 3 7 2 3 3 2 2" xfId="51955"/>
    <cellStyle name="Note 3 7 2 3 3 3" xfId="51956"/>
    <cellStyle name="Note 3 7 2 3 4" xfId="51957"/>
    <cellStyle name="Note 3 7 2 3 4 2" xfId="51958"/>
    <cellStyle name="Note 3 7 2 3 5" xfId="51959"/>
    <cellStyle name="Note 3 7 2 4" xfId="51960"/>
    <cellStyle name="Note 3 7 2 4 2" xfId="51961"/>
    <cellStyle name="Note 3 7 2 4 2 2" xfId="51962"/>
    <cellStyle name="Note 3 7 2 4 2 2 2" xfId="51963"/>
    <cellStyle name="Note 3 7 2 4 2 2 2 2" xfId="51964"/>
    <cellStyle name="Note 3 7 2 4 2 2 3" xfId="51965"/>
    <cellStyle name="Note 3 7 2 4 2 3" xfId="51966"/>
    <cellStyle name="Note 3 7 2 4 2 3 2" xfId="51967"/>
    <cellStyle name="Note 3 7 2 4 2 4" xfId="51968"/>
    <cellStyle name="Note 3 7 2 4 3" xfId="51969"/>
    <cellStyle name="Note 3 7 2 4 3 2" xfId="51970"/>
    <cellStyle name="Note 3 7 2 4 3 2 2" xfId="51971"/>
    <cellStyle name="Note 3 7 2 4 3 3" xfId="51972"/>
    <cellStyle name="Note 3 7 2 4 4" xfId="51973"/>
    <cellStyle name="Note 3 7 2 4 4 2" xfId="51974"/>
    <cellStyle name="Note 3 7 2 4 5" xfId="51975"/>
    <cellStyle name="Note 3 7 2 5" xfId="51976"/>
    <cellStyle name="Note 3 7 2 5 2" xfId="51977"/>
    <cellStyle name="Note 3 7 2 5 2 2" xfId="51978"/>
    <cellStyle name="Note 3 7 2 5 2 2 2" xfId="51979"/>
    <cellStyle name="Note 3 7 2 5 2 2 2 2" xfId="51980"/>
    <cellStyle name="Note 3 7 2 5 2 2 3" xfId="51981"/>
    <cellStyle name="Note 3 7 2 5 2 3" xfId="51982"/>
    <cellStyle name="Note 3 7 2 5 2 3 2" xfId="51983"/>
    <cellStyle name="Note 3 7 2 5 2 4" xfId="51984"/>
    <cellStyle name="Note 3 7 2 5 3" xfId="51985"/>
    <cellStyle name="Note 3 7 2 5 3 2" xfId="51986"/>
    <cellStyle name="Note 3 7 2 5 3 2 2" xfId="51987"/>
    <cellStyle name="Note 3 7 2 5 3 3" xfId="51988"/>
    <cellStyle name="Note 3 7 2 5 4" xfId="51989"/>
    <cellStyle name="Note 3 7 2 5 4 2" xfId="51990"/>
    <cellStyle name="Note 3 7 2 5 5" xfId="51991"/>
    <cellStyle name="Note 3 7 2 6" xfId="51992"/>
    <cellStyle name="Note 3 7 2 6 2" xfId="51993"/>
    <cellStyle name="Note 3 7 2 6 2 2" xfId="51994"/>
    <cellStyle name="Note 3 7 2 6 2 2 2" xfId="51995"/>
    <cellStyle name="Note 3 7 2 6 2 2 2 2" xfId="51996"/>
    <cellStyle name="Note 3 7 2 6 2 2 3" xfId="51997"/>
    <cellStyle name="Note 3 7 2 6 2 3" xfId="51998"/>
    <cellStyle name="Note 3 7 2 6 2 3 2" xfId="51999"/>
    <cellStyle name="Note 3 7 2 6 2 4" xfId="52000"/>
    <cellStyle name="Note 3 7 2 6 3" xfId="52001"/>
    <cellStyle name="Note 3 7 2 6 3 2" xfId="52002"/>
    <cellStyle name="Note 3 7 2 6 3 2 2" xfId="52003"/>
    <cellStyle name="Note 3 7 2 6 3 3" xfId="52004"/>
    <cellStyle name="Note 3 7 2 6 4" xfId="52005"/>
    <cellStyle name="Note 3 7 2 6 4 2" xfId="52006"/>
    <cellStyle name="Note 3 7 2 6 5" xfId="52007"/>
    <cellStyle name="Note 3 7 2 7" xfId="52008"/>
    <cellStyle name="Note 3 7 2 7 2" xfId="52009"/>
    <cellStyle name="Note 3 7 2 7 2 2" xfId="52010"/>
    <cellStyle name="Note 3 7 2 7 2 2 2" xfId="52011"/>
    <cellStyle name="Note 3 7 2 7 2 3" xfId="52012"/>
    <cellStyle name="Note 3 7 2 7 3" xfId="52013"/>
    <cellStyle name="Note 3 7 2 7 3 2" xfId="52014"/>
    <cellStyle name="Note 3 7 2 7 4" xfId="52015"/>
    <cellStyle name="Note 3 7 2 8" xfId="52016"/>
    <cellStyle name="Note 3 7 2 8 2" xfId="52017"/>
    <cellStyle name="Note 3 7 2 8 2 2" xfId="52018"/>
    <cellStyle name="Note 3 7 2 8 3" xfId="52019"/>
    <cellStyle name="Note 3 7 2 9" xfId="52020"/>
    <cellStyle name="Note 3 7 2 9 2" xfId="52021"/>
    <cellStyle name="Note 3 7 3" xfId="52022"/>
    <cellStyle name="Note 3 7 3 2" xfId="52023"/>
    <cellStyle name="Note 3 7 3 2 2" xfId="52024"/>
    <cellStyle name="Note 3 7 3 2 2 2" xfId="52025"/>
    <cellStyle name="Note 3 7 3 2 2 2 2" xfId="52026"/>
    <cellStyle name="Note 3 7 3 2 2 3" xfId="52027"/>
    <cellStyle name="Note 3 7 3 2 3" xfId="52028"/>
    <cellStyle name="Note 3 7 3 2 3 2" xfId="52029"/>
    <cellStyle name="Note 3 7 3 2 4" xfId="52030"/>
    <cellStyle name="Note 3 7 3 3" xfId="52031"/>
    <cellStyle name="Note 3 7 3 3 2" xfId="52032"/>
    <cellStyle name="Note 3 7 3 3 2 2" xfId="52033"/>
    <cellStyle name="Note 3 7 3 3 3" xfId="52034"/>
    <cellStyle name="Note 3 7 3 4" xfId="52035"/>
    <cellStyle name="Note 3 7 3 4 2" xfId="52036"/>
    <cellStyle name="Note 3 7 3 5" xfId="52037"/>
    <cellStyle name="Note 3 7 4" xfId="52038"/>
    <cellStyle name="Note 3 7 4 2" xfId="52039"/>
    <cellStyle name="Note 3 7 4 2 2" xfId="52040"/>
    <cellStyle name="Note 3 7 4 2 2 2" xfId="52041"/>
    <cellStyle name="Note 3 7 4 2 2 2 2" xfId="52042"/>
    <cellStyle name="Note 3 7 4 2 2 3" xfId="52043"/>
    <cellStyle name="Note 3 7 4 2 3" xfId="52044"/>
    <cellStyle name="Note 3 7 4 2 3 2" xfId="52045"/>
    <cellStyle name="Note 3 7 4 2 4" xfId="52046"/>
    <cellStyle name="Note 3 7 4 3" xfId="52047"/>
    <cellStyle name="Note 3 7 4 3 2" xfId="52048"/>
    <cellStyle name="Note 3 7 4 3 2 2" xfId="52049"/>
    <cellStyle name="Note 3 7 4 3 3" xfId="52050"/>
    <cellStyle name="Note 3 7 4 4" xfId="52051"/>
    <cellStyle name="Note 3 7 4 4 2" xfId="52052"/>
    <cellStyle name="Note 3 7 4 5" xfId="52053"/>
    <cellStyle name="Note 3 7 5" xfId="52054"/>
    <cellStyle name="Note 3 7 5 2" xfId="52055"/>
    <cellStyle name="Note 3 7 5 2 2" xfId="52056"/>
    <cellStyle name="Note 3 7 5 2 2 2" xfId="52057"/>
    <cellStyle name="Note 3 7 5 2 2 2 2" xfId="52058"/>
    <cellStyle name="Note 3 7 5 2 2 3" xfId="52059"/>
    <cellStyle name="Note 3 7 5 2 3" xfId="52060"/>
    <cellStyle name="Note 3 7 5 2 3 2" xfId="52061"/>
    <cellStyle name="Note 3 7 5 2 4" xfId="52062"/>
    <cellStyle name="Note 3 7 5 3" xfId="52063"/>
    <cellStyle name="Note 3 7 5 3 2" xfId="52064"/>
    <cellStyle name="Note 3 7 5 3 2 2" xfId="52065"/>
    <cellStyle name="Note 3 7 5 3 3" xfId="52066"/>
    <cellStyle name="Note 3 7 5 4" xfId="52067"/>
    <cellStyle name="Note 3 7 5 4 2" xfId="52068"/>
    <cellStyle name="Note 3 7 5 5" xfId="52069"/>
    <cellStyle name="Note 3 7 6" xfId="52070"/>
    <cellStyle name="Note 3 7 6 2" xfId="52071"/>
    <cellStyle name="Note 3 7 6 2 2" xfId="52072"/>
    <cellStyle name="Note 3 7 6 2 2 2" xfId="52073"/>
    <cellStyle name="Note 3 7 6 2 2 2 2" xfId="52074"/>
    <cellStyle name="Note 3 7 6 2 2 3" xfId="52075"/>
    <cellStyle name="Note 3 7 6 2 3" xfId="52076"/>
    <cellStyle name="Note 3 7 6 2 3 2" xfId="52077"/>
    <cellStyle name="Note 3 7 6 2 4" xfId="52078"/>
    <cellStyle name="Note 3 7 6 3" xfId="52079"/>
    <cellStyle name="Note 3 7 6 3 2" xfId="52080"/>
    <cellStyle name="Note 3 7 6 3 2 2" xfId="52081"/>
    <cellStyle name="Note 3 7 6 3 3" xfId="52082"/>
    <cellStyle name="Note 3 7 6 4" xfId="52083"/>
    <cellStyle name="Note 3 7 6 4 2" xfId="52084"/>
    <cellStyle name="Note 3 7 6 5" xfId="52085"/>
    <cellStyle name="Note 3 7 7" xfId="52086"/>
    <cellStyle name="Note 3 7 7 2" xfId="52087"/>
    <cellStyle name="Note 3 7 7 2 2" xfId="52088"/>
    <cellStyle name="Note 3 7 7 2 2 2" xfId="52089"/>
    <cellStyle name="Note 3 7 7 2 2 2 2" xfId="52090"/>
    <cellStyle name="Note 3 7 7 2 2 3" xfId="52091"/>
    <cellStyle name="Note 3 7 7 2 3" xfId="52092"/>
    <cellStyle name="Note 3 7 7 2 3 2" xfId="52093"/>
    <cellStyle name="Note 3 7 7 2 4" xfId="52094"/>
    <cellStyle name="Note 3 7 7 3" xfId="52095"/>
    <cellStyle name="Note 3 7 7 3 2" xfId="52096"/>
    <cellStyle name="Note 3 7 7 3 2 2" xfId="52097"/>
    <cellStyle name="Note 3 7 7 3 3" xfId="52098"/>
    <cellStyle name="Note 3 7 7 4" xfId="52099"/>
    <cellStyle name="Note 3 7 7 4 2" xfId="52100"/>
    <cellStyle name="Note 3 7 7 5" xfId="52101"/>
    <cellStyle name="Note 3 7 8" xfId="52102"/>
    <cellStyle name="Note 3 7 8 2" xfId="52103"/>
    <cellStyle name="Note 3 7 8 2 2" xfId="52104"/>
    <cellStyle name="Note 3 7 8 2 2 2" xfId="52105"/>
    <cellStyle name="Note 3 7 8 2 3" xfId="52106"/>
    <cellStyle name="Note 3 7 8 3" xfId="52107"/>
    <cellStyle name="Note 3 7 8 3 2" xfId="52108"/>
    <cellStyle name="Note 3 7 8 4" xfId="52109"/>
    <cellStyle name="Note 3 7 9" xfId="52110"/>
    <cellStyle name="Note 3 7 9 2" xfId="52111"/>
    <cellStyle name="Note 3 7 9 2 2" xfId="52112"/>
    <cellStyle name="Note 3 7 9 3" xfId="52113"/>
    <cellStyle name="Note 3 8" xfId="52114"/>
    <cellStyle name="Note 3 8 10" xfId="52115"/>
    <cellStyle name="Note 3 8 10 2" xfId="52116"/>
    <cellStyle name="Note 3 8 11" xfId="52117"/>
    <cellStyle name="Note 3 8 2" xfId="52118"/>
    <cellStyle name="Note 3 8 2 10" xfId="52119"/>
    <cellStyle name="Note 3 8 2 2" xfId="52120"/>
    <cellStyle name="Note 3 8 2 2 2" xfId="52121"/>
    <cellStyle name="Note 3 8 2 2 2 2" xfId="52122"/>
    <cellStyle name="Note 3 8 2 2 2 2 2" xfId="52123"/>
    <cellStyle name="Note 3 8 2 2 2 2 2 2" xfId="52124"/>
    <cellStyle name="Note 3 8 2 2 2 2 3" xfId="52125"/>
    <cellStyle name="Note 3 8 2 2 2 3" xfId="52126"/>
    <cellStyle name="Note 3 8 2 2 2 3 2" xfId="52127"/>
    <cellStyle name="Note 3 8 2 2 2 4" xfId="52128"/>
    <cellStyle name="Note 3 8 2 2 3" xfId="52129"/>
    <cellStyle name="Note 3 8 2 2 3 2" xfId="52130"/>
    <cellStyle name="Note 3 8 2 2 3 2 2" xfId="52131"/>
    <cellStyle name="Note 3 8 2 2 3 3" xfId="52132"/>
    <cellStyle name="Note 3 8 2 2 4" xfId="52133"/>
    <cellStyle name="Note 3 8 2 2 4 2" xfId="52134"/>
    <cellStyle name="Note 3 8 2 2 5" xfId="52135"/>
    <cellStyle name="Note 3 8 2 3" xfId="52136"/>
    <cellStyle name="Note 3 8 2 3 2" xfId="52137"/>
    <cellStyle name="Note 3 8 2 3 2 2" xfId="52138"/>
    <cellStyle name="Note 3 8 2 3 2 2 2" xfId="52139"/>
    <cellStyle name="Note 3 8 2 3 2 2 2 2" xfId="52140"/>
    <cellStyle name="Note 3 8 2 3 2 2 3" xfId="52141"/>
    <cellStyle name="Note 3 8 2 3 2 3" xfId="52142"/>
    <cellStyle name="Note 3 8 2 3 2 3 2" xfId="52143"/>
    <cellStyle name="Note 3 8 2 3 2 4" xfId="52144"/>
    <cellStyle name="Note 3 8 2 3 3" xfId="52145"/>
    <cellStyle name="Note 3 8 2 3 3 2" xfId="52146"/>
    <cellStyle name="Note 3 8 2 3 3 2 2" xfId="52147"/>
    <cellStyle name="Note 3 8 2 3 3 3" xfId="52148"/>
    <cellStyle name="Note 3 8 2 3 4" xfId="52149"/>
    <cellStyle name="Note 3 8 2 3 4 2" xfId="52150"/>
    <cellStyle name="Note 3 8 2 3 5" xfId="52151"/>
    <cellStyle name="Note 3 8 2 4" xfId="52152"/>
    <cellStyle name="Note 3 8 2 4 2" xfId="52153"/>
    <cellStyle name="Note 3 8 2 4 2 2" xfId="52154"/>
    <cellStyle name="Note 3 8 2 4 2 2 2" xfId="52155"/>
    <cellStyle name="Note 3 8 2 4 2 2 2 2" xfId="52156"/>
    <cellStyle name="Note 3 8 2 4 2 2 3" xfId="52157"/>
    <cellStyle name="Note 3 8 2 4 2 3" xfId="52158"/>
    <cellStyle name="Note 3 8 2 4 2 3 2" xfId="52159"/>
    <cellStyle name="Note 3 8 2 4 2 4" xfId="52160"/>
    <cellStyle name="Note 3 8 2 4 3" xfId="52161"/>
    <cellStyle name="Note 3 8 2 4 3 2" xfId="52162"/>
    <cellStyle name="Note 3 8 2 4 3 2 2" xfId="52163"/>
    <cellStyle name="Note 3 8 2 4 3 3" xfId="52164"/>
    <cellStyle name="Note 3 8 2 4 4" xfId="52165"/>
    <cellStyle name="Note 3 8 2 4 4 2" xfId="52166"/>
    <cellStyle name="Note 3 8 2 4 5" xfId="52167"/>
    <cellStyle name="Note 3 8 2 5" xfId="52168"/>
    <cellStyle name="Note 3 8 2 5 2" xfId="52169"/>
    <cellStyle name="Note 3 8 2 5 2 2" xfId="52170"/>
    <cellStyle name="Note 3 8 2 5 2 2 2" xfId="52171"/>
    <cellStyle name="Note 3 8 2 5 2 2 2 2" xfId="52172"/>
    <cellStyle name="Note 3 8 2 5 2 2 3" xfId="52173"/>
    <cellStyle name="Note 3 8 2 5 2 3" xfId="52174"/>
    <cellStyle name="Note 3 8 2 5 2 3 2" xfId="52175"/>
    <cellStyle name="Note 3 8 2 5 2 4" xfId="52176"/>
    <cellStyle name="Note 3 8 2 5 3" xfId="52177"/>
    <cellStyle name="Note 3 8 2 5 3 2" xfId="52178"/>
    <cellStyle name="Note 3 8 2 5 3 2 2" xfId="52179"/>
    <cellStyle name="Note 3 8 2 5 3 3" xfId="52180"/>
    <cellStyle name="Note 3 8 2 5 4" xfId="52181"/>
    <cellStyle name="Note 3 8 2 5 4 2" xfId="52182"/>
    <cellStyle name="Note 3 8 2 5 5" xfId="52183"/>
    <cellStyle name="Note 3 8 2 6" xfId="52184"/>
    <cellStyle name="Note 3 8 2 6 2" xfId="52185"/>
    <cellStyle name="Note 3 8 2 6 2 2" xfId="52186"/>
    <cellStyle name="Note 3 8 2 6 2 2 2" xfId="52187"/>
    <cellStyle name="Note 3 8 2 6 2 2 2 2" xfId="52188"/>
    <cellStyle name="Note 3 8 2 6 2 2 3" xfId="52189"/>
    <cellStyle name="Note 3 8 2 6 2 3" xfId="52190"/>
    <cellStyle name="Note 3 8 2 6 2 3 2" xfId="52191"/>
    <cellStyle name="Note 3 8 2 6 2 4" xfId="52192"/>
    <cellStyle name="Note 3 8 2 6 3" xfId="52193"/>
    <cellStyle name="Note 3 8 2 6 3 2" xfId="52194"/>
    <cellStyle name="Note 3 8 2 6 3 2 2" xfId="52195"/>
    <cellStyle name="Note 3 8 2 6 3 3" xfId="52196"/>
    <cellStyle name="Note 3 8 2 6 4" xfId="52197"/>
    <cellStyle name="Note 3 8 2 6 4 2" xfId="52198"/>
    <cellStyle name="Note 3 8 2 6 5" xfId="52199"/>
    <cellStyle name="Note 3 8 2 7" xfId="52200"/>
    <cellStyle name="Note 3 8 2 7 2" xfId="52201"/>
    <cellStyle name="Note 3 8 2 7 2 2" xfId="52202"/>
    <cellStyle name="Note 3 8 2 7 2 2 2" xfId="52203"/>
    <cellStyle name="Note 3 8 2 7 2 3" xfId="52204"/>
    <cellStyle name="Note 3 8 2 7 3" xfId="52205"/>
    <cellStyle name="Note 3 8 2 7 3 2" xfId="52206"/>
    <cellStyle name="Note 3 8 2 7 4" xfId="52207"/>
    <cellStyle name="Note 3 8 2 8" xfId="52208"/>
    <cellStyle name="Note 3 8 2 8 2" xfId="52209"/>
    <cellStyle name="Note 3 8 2 8 2 2" xfId="52210"/>
    <cellStyle name="Note 3 8 2 8 3" xfId="52211"/>
    <cellStyle name="Note 3 8 2 9" xfId="52212"/>
    <cellStyle name="Note 3 8 2 9 2" xfId="52213"/>
    <cellStyle name="Note 3 8 3" xfId="52214"/>
    <cellStyle name="Note 3 8 3 2" xfId="52215"/>
    <cellStyle name="Note 3 8 3 2 2" xfId="52216"/>
    <cellStyle name="Note 3 8 3 2 2 2" xfId="52217"/>
    <cellStyle name="Note 3 8 3 2 2 2 2" xfId="52218"/>
    <cellStyle name="Note 3 8 3 2 2 3" xfId="52219"/>
    <cellStyle name="Note 3 8 3 2 3" xfId="52220"/>
    <cellStyle name="Note 3 8 3 2 3 2" xfId="52221"/>
    <cellStyle name="Note 3 8 3 2 4" xfId="52222"/>
    <cellStyle name="Note 3 8 3 3" xfId="52223"/>
    <cellStyle name="Note 3 8 3 3 2" xfId="52224"/>
    <cellStyle name="Note 3 8 3 3 2 2" xfId="52225"/>
    <cellStyle name="Note 3 8 3 3 3" xfId="52226"/>
    <cellStyle name="Note 3 8 3 4" xfId="52227"/>
    <cellStyle name="Note 3 8 3 4 2" xfId="52228"/>
    <cellStyle name="Note 3 8 3 5" xfId="52229"/>
    <cellStyle name="Note 3 8 4" xfId="52230"/>
    <cellStyle name="Note 3 8 4 2" xfId="52231"/>
    <cellStyle name="Note 3 8 4 2 2" xfId="52232"/>
    <cellStyle name="Note 3 8 4 2 2 2" xfId="52233"/>
    <cellStyle name="Note 3 8 4 2 2 2 2" xfId="52234"/>
    <cellStyle name="Note 3 8 4 2 2 3" xfId="52235"/>
    <cellStyle name="Note 3 8 4 2 3" xfId="52236"/>
    <cellStyle name="Note 3 8 4 2 3 2" xfId="52237"/>
    <cellStyle name="Note 3 8 4 2 4" xfId="52238"/>
    <cellStyle name="Note 3 8 4 3" xfId="52239"/>
    <cellStyle name="Note 3 8 4 3 2" xfId="52240"/>
    <cellStyle name="Note 3 8 4 3 2 2" xfId="52241"/>
    <cellStyle name="Note 3 8 4 3 3" xfId="52242"/>
    <cellStyle name="Note 3 8 4 4" xfId="52243"/>
    <cellStyle name="Note 3 8 4 4 2" xfId="52244"/>
    <cellStyle name="Note 3 8 4 5" xfId="52245"/>
    <cellStyle name="Note 3 8 5" xfId="52246"/>
    <cellStyle name="Note 3 8 5 2" xfId="52247"/>
    <cellStyle name="Note 3 8 5 2 2" xfId="52248"/>
    <cellStyle name="Note 3 8 5 2 2 2" xfId="52249"/>
    <cellStyle name="Note 3 8 5 2 2 2 2" xfId="52250"/>
    <cellStyle name="Note 3 8 5 2 2 3" xfId="52251"/>
    <cellStyle name="Note 3 8 5 2 3" xfId="52252"/>
    <cellStyle name="Note 3 8 5 2 3 2" xfId="52253"/>
    <cellStyle name="Note 3 8 5 2 4" xfId="52254"/>
    <cellStyle name="Note 3 8 5 3" xfId="52255"/>
    <cellStyle name="Note 3 8 5 3 2" xfId="52256"/>
    <cellStyle name="Note 3 8 5 3 2 2" xfId="52257"/>
    <cellStyle name="Note 3 8 5 3 3" xfId="52258"/>
    <cellStyle name="Note 3 8 5 4" xfId="52259"/>
    <cellStyle name="Note 3 8 5 4 2" xfId="52260"/>
    <cellStyle name="Note 3 8 5 5" xfId="52261"/>
    <cellStyle name="Note 3 8 6" xfId="52262"/>
    <cellStyle name="Note 3 8 6 2" xfId="52263"/>
    <cellStyle name="Note 3 8 6 2 2" xfId="52264"/>
    <cellStyle name="Note 3 8 6 2 2 2" xfId="52265"/>
    <cellStyle name="Note 3 8 6 2 2 2 2" xfId="52266"/>
    <cellStyle name="Note 3 8 6 2 2 3" xfId="52267"/>
    <cellStyle name="Note 3 8 6 2 3" xfId="52268"/>
    <cellStyle name="Note 3 8 6 2 3 2" xfId="52269"/>
    <cellStyle name="Note 3 8 6 2 4" xfId="52270"/>
    <cellStyle name="Note 3 8 6 3" xfId="52271"/>
    <cellStyle name="Note 3 8 6 3 2" xfId="52272"/>
    <cellStyle name="Note 3 8 6 3 2 2" xfId="52273"/>
    <cellStyle name="Note 3 8 6 3 3" xfId="52274"/>
    <cellStyle name="Note 3 8 6 4" xfId="52275"/>
    <cellStyle name="Note 3 8 6 4 2" xfId="52276"/>
    <cellStyle name="Note 3 8 6 5" xfId="52277"/>
    <cellStyle name="Note 3 8 7" xfId="52278"/>
    <cellStyle name="Note 3 8 7 2" xfId="52279"/>
    <cellStyle name="Note 3 8 7 2 2" xfId="52280"/>
    <cellStyle name="Note 3 8 7 2 2 2" xfId="52281"/>
    <cellStyle name="Note 3 8 7 2 2 2 2" xfId="52282"/>
    <cellStyle name="Note 3 8 7 2 2 3" xfId="52283"/>
    <cellStyle name="Note 3 8 7 2 3" xfId="52284"/>
    <cellStyle name="Note 3 8 7 2 3 2" xfId="52285"/>
    <cellStyle name="Note 3 8 7 2 4" xfId="52286"/>
    <cellStyle name="Note 3 8 7 3" xfId="52287"/>
    <cellStyle name="Note 3 8 7 3 2" xfId="52288"/>
    <cellStyle name="Note 3 8 7 3 2 2" xfId="52289"/>
    <cellStyle name="Note 3 8 7 3 3" xfId="52290"/>
    <cellStyle name="Note 3 8 7 4" xfId="52291"/>
    <cellStyle name="Note 3 8 7 4 2" xfId="52292"/>
    <cellStyle name="Note 3 8 7 5" xfId="52293"/>
    <cellStyle name="Note 3 8 8" xfId="52294"/>
    <cellStyle name="Note 3 8 8 2" xfId="52295"/>
    <cellStyle name="Note 3 8 8 2 2" xfId="52296"/>
    <cellStyle name="Note 3 8 8 2 2 2" xfId="52297"/>
    <cellStyle name="Note 3 8 8 2 3" xfId="52298"/>
    <cellStyle name="Note 3 8 8 3" xfId="52299"/>
    <cellStyle name="Note 3 8 8 3 2" xfId="52300"/>
    <cellStyle name="Note 3 8 8 4" xfId="52301"/>
    <cellStyle name="Note 3 8 9" xfId="52302"/>
    <cellStyle name="Note 3 8 9 2" xfId="52303"/>
    <cellStyle name="Note 3 8 9 2 2" xfId="52304"/>
    <cellStyle name="Note 3 8 9 3" xfId="52305"/>
    <cellStyle name="Note 3 9" xfId="52306"/>
    <cellStyle name="Note 3 9 10" xfId="52307"/>
    <cellStyle name="Note 3 9 10 2" xfId="52308"/>
    <cellStyle name="Note 3 9 11" xfId="52309"/>
    <cellStyle name="Note 3 9 2" xfId="52310"/>
    <cellStyle name="Note 3 9 2 10" xfId="52311"/>
    <cellStyle name="Note 3 9 2 2" xfId="52312"/>
    <cellStyle name="Note 3 9 2 2 2" xfId="52313"/>
    <cellStyle name="Note 3 9 2 2 2 2" xfId="52314"/>
    <cellStyle name="Note 3 9 2 2 2 2 2" xfId="52315"/>
    <cellStyle name="Note 3 9 2 2 2 2 2 2" xfId="52316"/>
    <cellStyle name="Note 3 9 2 2 2 2 3" xfId="52317"/>
    <cellStyle name="Note 3 9 2 2 2 3" xfId="52318"/>
    <cellStyle name="Note 3 9 2 2 2 3 2" xfId="52319"/>
    <cellStyle name="Note 3 9 2 2 2 4" xfId="52320"/>
    <cellStyle name="Note 3 9 2 2 3" xfId="52321"/>
    <cellStyle name="Note 3 9 2 2 3 2" xfId="52322"/>
    <cellStyle name="Note 3 9 2 2 3 2 2" xfId="52323"/>
    <cellStyle name="Note 3 9 2 2 3 3" xfId="52324"/>
    <cellStyle name="Note 3 9 2 2 4" xfId="52325"/>
    <cellStyle name="Note 3 9 2 2 4 2" xfId="52326"/>
    <cellStyle name="Note 3 9 2 2 5" xfId="52327"/>
    <cellStyle name="Note 3 9 2 3" xfId="52328"/>
    <cellStyle name="Note 3 9 2 3 2" xfId="52329"/>
    <cellStyle name="Note 3 9 2 3 2 2" xfId="52330"/>
    <cellStyle name="Note 3 9 2 3 2 2 2" xfId="52331"/>
    <cellStyle name="Note 3 9 2 3 2 2 2 2" xfId="52332"/>
    <cellStyle name="Note 3 9 2 3 2 2 3" xfId="52333"/>
    <cellStyle name="Note 3 9 2 3 2 3" xfId="52334"/>
    <cellStyle name="Note 3 9 2 3 2 3 2" xfId="52335"/>
    <cellStyle name="Note 3 9 2 3 2 4" xfId="52336"/>
    <cellStyle name="Note 3 9 2 3 3" xfId="52337"/>
    <cellStyle name="Note 3 9 2 3 3 2" xfId="52338"/>
    <cellStyle name="Note 3 9 2 3 3 2 2" xfId="52339"/>
    <cellStyle name="Note 3 9 2 3 3 3" xfId="52340"/>
    <cellStyle name="Note 3 9 2 3 4" xfId="52341"/>
    <cellStyle name="Note 3 9 2 3 4 2" xfId="52342"/>
    <cellStyle name="Note 3 9 2 3 5" xfId="52343"/>
    <cellStyle name="Note 3 9 2 4" xfId="52344"/>
    <cellStyle name="Note 3 9 2 4 2" xfId="52345"/>
    <cellStyle name="Note 3 9 2 4 2 2" xfId="52346"/>
    <cellStyle name="Note 3 9 2 4 2 2 2" xfId="52347"/>
    <cellStyle name="Note 3 9 2 4 2 2 2 2" xfId="52348"/>
    <cellStyle name="Note 3 9 2 4 2 2 3" xfId="52349"/>
    <cellStyle name="Note 3 9 2 4 2 3" xfId="52350"/>
    <cellStyle name="Note 3 9 2 4 2 3 2" xfId="52351"/>
    <cellStyle name="Note 3 9 2 4 2 4" xfId="52352"/>
    <cellStyle name="Note 3 9 2 4 3" xfId="52353"/>
    <cellStyle name="Note 3 9 2 4 3 2" xfId="52354"/>
    <cellStyle name="Note 3 9 2 4 3 2 2" xfId="52355"/>
    <cellStyle name="Note 3 9 2 4 3 3" xfId="52356"/>
    <cellStyle name="Note 3 9 2 4 4" xfId="52357"/>
    <cellStyle name="Note 3 9 2 4 4 2" xfId="52358"/>
    <cellStyle name="Note 3 9 2 4 5" xfId="52359"/>
    <cellStyle name="Note 3 9 2 5" xfId="52360"/>
    <cellStyle name="Note 3 9 2 5 2" xfId="52361"/>
    <cellStyle name="Note 3 9 2 5 2 2" xfId="52362"/>
    <cellStyle name="Note 3 9 2 5 2 2 2" xfId="52363"/>
    <cellStyle name="Note 3 9 2 5 2 2 2 2" xfId="52364"/>
    <cellStyle name="Note 3 9 2 5 2 2 3" xfId="52365"/>
    <cellStyle name="Note 3 9 2 5 2 3" xfId="52366"/>
    <cellStyle name="Note 3 9 2 5 2 3 2" xfId="52367"/>
    <cellStyle name="Note 3 9 2 5 2 4" xfId="52368"/>
    <cellStyle name="Note 3 9 2 5 3" xfId="52369"/>
    <cellStyle name="Note 3 9 2 5 3 2" xfId="52370"/>
    <cellStyle name="Note 3 9 2 5 3 2 2" xfId="52371"/>
    <cellStyle name="Note 3 9 2 5 3 3" xfId="52372"/>
    <cellStyle name="Note 3 9 2 5 4" xfId="52373"/>
    <cellStyle name="Note 3 9 2 5 4 2" xfId="52374"/>
    <cellStyle name="Note 3 9 2 5 5" xfId="52375"/>
    <cellStyle name="Note 3 9 2 6" xfId="52376"/>
    <cellStyle name="Note 3 9 2 6 2" xfId="52377"/>
    <cellStyle name="Note 3 9 2 6 2 2" xfId="52378"/>
    <cellStyle name="Note 3 9 2 6 2 2 2" xfId="52379"/>
    <cellStyle name="Note 3 9 2 6 2 2 2 2" xfId="52380"/>
    <cellStyle name="Note 3 9 2 6 2 2 3" xfId="52381"/>
    <cellStyle name="Note 3 9 2 6 2 3" xfId="52382"/>
    <cellStyle name="Note 3 9 2 6 2 3 2" xfId="52383"/>
    <cellStyle name="Note 3 9 2 6 2 4" xfId="52384"/>
    <cellStyle name="Note 3 9 2 6 3" xfId="52385"/>
    <cellStyle name="Note 3 9 2 6 3 2" xfId="52386"/>
    <cellStyle name="Note 3 9 2 6 3 2 2" xfId="52387"/>
    <cellStyle name="Note 3 9 2 6 3 3" xfId="52388"/>
    <cellStyle name="Note 3 9 2 6 4" xfId="52389"/>
    <cellStyle name="Note 3 9 2 6 4 2" xfId="52390"/>
    <cellStyle name="Note 3 9 2 6 5" xfId="52391"/>
    <cellStyle name="Note 3 9 2 7" xfId="52392"/>
    <cellStyle name="Note 3 9 2 7 2" xfId="52393"/>
    <cellStyle name="Note 3 9 2 7 2 2" xfId="52394"/>
    <cellStyle name="Note 3 9 2 7 2 2 2" xfId="52395"/>
    <cellStyle name="Note 3 9 2 7 2 3" xfId="52396"/>
    <cellStyle name="Note 3 9 2 7 3" xfId="52397"/>
    <cellStyle name="Note 3 9 2 7 3 2" xfId="52398"/>
    <cellStyle name="Note 3 9 2 7 4" xfId="52399"/>
    <cellStyle name="Note 3 9 2 8" xfId="52400"/>
    <cellStyle name="Note 3 9 2 8 2" xfId="52401"/>
    <cellStyle name="Note 3 9 2 8 2 2" xfId="52402"/>
    <cellStyle name="Note 3 9 2 8 3" xfId="52403"/>
    <cellStyle name="Note 3 9 2 9" xfId="52404"/>
    <cellStyle name="Note 3 9 2 9 2" xfId="52405"/>
    <cellStyle name="Note 3 9 3" xfId="52406"/>
    <cellStyle name="Note 3 9 3 2" xfId="52407"/>
    <cellStyle name="Note 3 9 3 2 2" xfId="52408"/>
    <cellStyle name="Note 3 9 3 2 2 2" xfId="52409"/>
    <cellStyle name="Note 3 9 3 2 2 2 2" xfId="52410"/>
    <cellStyle name="Note 3 9 3 2 2 3" xfId="52411"/>
    <cellStyle name="Note 3 9 3 2 3" xfId="52412"/>
    <cellStyle name="Note 3 9 3 2 3 2" xfId="52413"/>
    <cellStyle name="Note 3 9 3 2 4" xfId="52414"/>
    <cellStyle name="Note 3 9 3 3" xfId="52415"/>
    <cellStyle name="Note 3 9 3 3 2" xfId="52416"/>
    <cellStyle name="Note 3 9 3 3 2 2" xfId="52417"/>
    <cellStyle name="Note 3 9 3 3 3" xfId="52418"/>
    <cellStyle name="Note 3 9 3 4" xfId="52419"/>
    <cellStyle name="Note 3 9 3 4 2" xfId="52420"/>
    <cellStyle name="Note 3 9 3 5" xfId="52421"/>
    <cellStyle name="Note 3 9 4" xfId="52422"/>
    <cellStyle name="Note 3 9 4 2" xfId="52423"/>
    <cellStyle name="Note 3 9 4 2 2" xfId="52424"/>
    <cellStyle name="Note 3 9 4 2 2 2" xfId="52425"/>
    <cellStyle name="Note 3 9 4 2 2 2 2" xfId="52426"/>
    <cellStyle name="Note 3 9 4 2 2 3" xfId="52427"/>
    <cellStyle name="Note 3 9 4 2 3" xfId="52428"/>
    <cellStyle name="Note 3 9 4 2 3 2" xfId="52429"/>
    <cellStyle name="Note 3 9 4 2 4" xfId="52430"/>
    <cellStyle name="Note 3 9 4 3" xfId="52431"/>
    <cellStyle name="Note 3 9 4 3 2" xfId="52432"/>
    <cellStyle name="Note 3 9 4 3 2 2" xfId="52433"/>
    <cellStyle name="Note 3 9 4 3 3" xfId="52434"/>
    <cellStyle name="Note 3 9 4 4" xfId="52435"/>
    <cellStyle name="Note 3 9 4 4 2" xfId="52436"/>
    <cellStyle name="Note 3 9 4 5" xfId="52437"/>
    <cellStyle name="Note 3 9 5" xfId="52438"/>
    <cellStyle name="Note 3 9 5 2" xfId="52439"/>
    <cellStyle name="Note 3 9 5 2 2" xfId="52440"/>
    <cellStyle name="Note 3 9 5 2 2 2" xfId="52441"/>
    <cellStyle name="Note 3 9 5 2 2 2 2" xfId="52442"/>
    <cellStyle name="Note 3 9 5 2 2 3" xfId="52443"/>
    <cellStyle name="Note 3 9 5 2 3" xfId="52444"/>
    <cellStyle name="Note 3 9 5 2 3 2" xfId="52445"/>
    <cellStyle name="Note 3 9 5 2 4" xfId="52446"/>
    <cellStyle name="Note 3 9 5 3" xfId="52447"/>
    <cellStyle name="Note 3 9 5 3 2" xfId="52448"/>
    <cellStyle name="Note 3 9 5 3 2 2" xfId="52449"/>
    <cellStyle name="Note 3 9 5 3 3" xfId="52450"/>
    <cellStyle name="Note 3 9 5 4" xfId="52451"/>
    <cellStyle name="Note 3 9 5 4 2" xfId="52452"/>
    <cellStyle name="Note 3 9 5 5" xfId="52453"/>
    <cellStyle name="Note 3 9 6" xfId="52454"/>
    <cellStyle name="Note 3 9 6 2" xfId="52455"/>
    <cellStyle name="Note 3 9 6 2 2" xfId="52456"/>
    <cellStyle name="Note 3 9 6 2 2 2" xfId="52457"/>
    <cellStyle name="Note 3 9 6 2 2 2 2" xfId="52458"/>
    <cellStyle name="Note 3 9 6 2 2 3" xfId="52459"/>
    <cellStyle name="Note 3 9 6 2 3" xfId="52460"/>
    <cellStyle name="Note 3 9 6 2 3 2" xfId="52461"/>
    <cellStyle name="Note 3 9 6 2 4" xfId="52462"/>
    <cellStyle name="Note 3 9 6 3" xfId="52463"/>
    <cellStyle name="Note 3 9 6 3 2" xfId="52464"/>
    <cellStyle name="Note 3 9 6 3 2 2" xfId="52465"/>
    <cellStyle name="Note 3 9 6 3 3" xfId="52466"/>
    <cellStyle name="Note 3 9 6 4" xfId="52467"/>
    <cellStyle name="Note 3 9 6 4 2" xfId="52468"/>
    <cellStyle name="Note 3 9 6 5" xfId="52469"/>
    <cellStyle name="Note 3 9 7" xfId="52470"/>
    <cellStyle name="Note 3 9 7 2" xfId="52471"/>
    <cellStyle name="Note 3 9 7 2 2" xfId="52472"/>
    <cellStyle name="Note 3 9 7 2 2 2" xfId="52473"/>
    <cellStyle name="Note 3 9 7 2 2 2 2" xfId="52474"/>
    <cellStyle name="Note 3 9 7 2 2 3" xfId="52475"/>
    <cellStyle name="Note 3 9 7 2 3" xfId="52476"/>
    <cellStyle name="Note 3 9 7 2 3 2" xfId="52477"/>
    <cellStyle name="Note 3 9 7 2 4" xfId="52478"/>
    <cellStyle name="Note 3 9 7 3" xfId="52479"/>
    <cellStyle name="Note 3 9 7 3 2" xfId="52480"/>
    <cellStyle name="Note 3 9 7 3 2 2" xfId="52481"/>
    <cellStyle name="Note 3 9 7 3 3" xfId="52482"/>
    <cellStyle name="Note 3 9 7 4" xfId="52483"/>
    <cellStyle name="Note 3 9 7 4 2" xfId="52484"/>
    <cellStyle name="Note 3 9 7 5" xfId="52485"/>
    <cellStyle name="Note 3 9 8" xfId="52486"/>
    <cellStyle name="Note 3 9 8 2" xfId="52487"/>
    <cellStyle name="Note 3 9 8 2 2" xfId="52488"/>
    <cellStyle name="Note 3 9 8 2 2 2" xfId="52489"/>
    <cellStyle name="Note 3 9 8 2 3" xfId="52490"/>
    <cellStyle name="Note 3 9 8 3" xfId="52491"/>
    <cellStyle name="Note 3 9 8 3 2" xfId="52492"/>
    <cellStyle name="Note 3 9 8 4" xfId="52493"/>
    <cellStyle name="Note 3 9 9" xfId="52494"/>
    <cellStyle name="Note 3 9 9 2" xfId="52495"/>
    <cellStyle name="Note 3 9 9 2 2" xfId="52496"/>
    <cellStyle name="Note 3 9 9 3" xfId="52497"/>
    <cellStyle name="Note 4" xfId="52498"/>
    <cellStyle name="Note 4 10" xfId="52499"/>
    <cellStyle name="Note 4 10 2" xfId="52500"/>
    <cellStyle name="Note 4 11" xfId="52501"/>
    <cellStyle name="Note 4 2" xfId="52502"/>
    <cellStyle name="Note 4 2 10" xfId="52503"/>
    <cellStyle name="Note 4 2 2" xfId="52504"/>
    <cellStyle name="Note 4 2 2 2" xfId="52505"/>
    <cellStyle name="Note 4 2 2 2 2" xfId="52506"/>
    <cellStyle name="Note 4 2 2 2 2 2" xfId="52507"/>
    <cellStyle name="Note 4 2 2 2 2 2 2" xfId="52508"/>
    <cellStyle name="Note 4 2 2 2 2 3" xfId="52509"/>
    <cellStyle name="Note 4 2 2 2 3" xfId="52510"/>
    <cellStyle name="Note 4 2 2 2 3 2" xfId="52511"/>
    <cellStyle name="Note 4 2 2 2 4" xfId="52512"/>
    <cellStyle name="Note 4 2 2 3" xfId="52513"/>
    <cellStyle name="Note 4 2 2 3 2" xfId="52514"/>
    <cellStyle name="Note 4 2 2 3 2 2" xfId="52515"/>
    <cellStyle name="Note 4 2 2 3 3" xfId="52516"/>
    <cellStyle name="Note 4 2 2 4" xfId="52517"/>
    <cellStyle name="Note 4 2 2 4 2" xfId="52518"/>
    <cellStyle name="Note 4 2 2 5" xfId="52519"/>
    <cellStyle name="Note 4 2 3" xfId="52520"/>
    <cellStyle name="Note 4 2 3 2" xfId="52521"/>
    <cellStyle name="Note 4 2 3 2 2" xfId="52522"/>
    <cellStyle name="Note 4 2 3 2 2 2" xfId="52523"/>
    <cellStyle name="Note 4 2 3 2 2 2 2" xfId="52524"/>
    <cellStyle name="Note 4 2 3 2 2 3" xfId="52525"/>
    <cellStyle name="Note 4 2 3 2 3" xfId="52526"/>
    <cellStyle name="Note 4 2 3 2 3 2" xfId="52527"/>
    <cellStyle name="Note 4 2 3 2 4" xfId="52528"/>
    <cellStyle name="Note 4 2 3 3" xfId="52529"/>
    <cellStyle name="Note 4 2 3 3 2" xfId="52530"/>
    <cellStyle name="Note 4 2 3 3 2 2" xfId="52531"/>
    <cellStyle name="Note 4 2 3 3 3" xfId="52532"/>
    <cellStyle name="Note 4 2 3 4" xfId="52533"/>
    <cellStyle name="Note 4 2 3 4 2" xfId="52534"/>
    <cellStyle name="Note 4 2 3 5" xfId="52535"/>
    <cellStyle name="Note 4 2 4" xfId="52536"/>
    <cellStyle name="Note 4 2 4 2" xfId="52537"/>
    <cellStyle name="Note 4 2 4 2 2" xfId="52538"/>
    <cellStyle name="Note 4 2 4 2 2 2" xfId="52539"/>
    <cellStyle name="Note 4 2 4 2 2 2 2" xfId="52540"/>
    <cellStyle name="Note 4 2 4 2 2 3" xfId="52541"/>
    <cellStyle name="Note 4 2 4 2 3" xfId="52542"/>
    <cellStyle name="Note 4 2 4 2 3 2" xfId="52543"/>
    <cellStyle name="Note 4 2 4 2 4" xfId="52544"/>
    <cellStyle name="Note 4 2 4 3" xfId="52545"/>
    <cellStyle name="Note 4 2 4 3 2" xfId="52546"/>
    <cellStyle name="Note 4 2 4 3 2 2" xfId="52547"/>
    <cellStyle name="Note 4 2 4 3 3" xfId="52548"/>
    <cellStyle name="Note 4 2 4 4" xfId="52549"/>
    <cellStyle name="Note 4 2 4 4 2" xfId="52550"/>
    <cellStyle name="Note 4 2 4 5" xfId="52551"/>
    <cellStyle name="Note 4 2 5" xfId="52552"/>
    <cellStyle name="Note 4 2 5 2" xfId="52553"/>
    <cellStyle name="Note 4 2 5 2 2" xfId="52554"/>
    <cellStyle name="Note 4 2 5 2 2 2" xfId="52555"/>
    <cellStyle name="Note 4 2 5 2 2 2 2" xfId="52556"/>
    <cellStyle name="Note 4 2 5 2 2 3" xfId="52557"/>
    <cellStyle name="Note 4 2 5 2 3" xfId="52558"/>
    <cellStyle name="Note 4 2 5 2 3 2" xfId="52559"/>
    <cellStyle name="Note 4 2 5 2 4" xfId="52560"/>
    <cellStyle name="Note 4 2 5 3" xfId="52561"/>
    <cellStyle name="Note 4 2 5 3 2" xfId="52562"/>
    <cellStyle name="Note 4 2 5 3 2 2" xfId="52563"/>
    <cellStyle name="Note 4 2 5 3 3" xfId="52564"/>
    <cellStyle name="Note 4 2 5 4" xfId="52565"/>
    <cellStyle name="Note 4 2 5 4 2" xfId="52566"/>
    <cellStyle name="Note 4 2 5 5" xfId="52567"/>
    <cellStyle name="Note 4 2 6" xfId="52568"/>
    <cellStyle name="Note 4 2 6 2" xfId="52569"/>
    <cellStyle name="Note 4 2 6 2 2" xfId="52570"/>
    <cellStyle name="Note 4 2 6 2 2 2" xfId="52571"/>
    <cellStyle name="Note 4 2 6 2 2 2 2" xfId="52572"/>
    <cellStyle name="Note 4 2 6 2 2 3" xfId="52573"/>
    <cellStyle name="Note 4 2 6 2 3" xfId="52574"/>
    <cellStyle name="Note 4 2 6 2 3 2" xfId="52575"/>
    <cellStyle name="Note 4 2 6 2 4" xfId="52576"/>
    <cellStyle name="Note 4 2 6 3" xfId="52577"/>
    <cellStyle name="Note 4 2 6 3 2" xfId="52578"/>
    <cellStyle name="Note 4 2 6 3 2 2" xfId="52579"/>
    <cellStyle name="Note 4 2 6 3 3" xfId="52580"/>
    <cellStyle name="Note 4 2 6 4" xfId="52581"/>
    <cellStyle name="Note 4 2 6 4 2" xfId="52582"/>
    <cellStyle name="Note 4 2 6 5" xfId="52583"/>
    <cellStyle name="Note 4 2 7" xfId="52584"/>
    <cellStyle name="Note 4 2 7 2" xfId="52585"/>
    <cellStyle name="Note 4 2 7 2 2" xfId="52586"/>
    <cellStyle name="Note 4 2 7 2 2 2" xfId="52587"/>
    <cellStyle name="Note 4 2 7 2 3" xfId="52588"/>
    <cellStyle name="Note 4 2 7 3" xfId="52589"/>
    <cellStyle name="Note 4 2 7 3 2" xfId="52590"/>
    <cellStyle name="Note 4 2 7 4" xfId="52591"/>
    <cellStyle name="Note 4 2 8" xfId="52592"/>
    <cellStyle name="Note 4 2 8 2" xfId="52593"/>
    <cellStyle name="Note 4 2 8 2 2" xfId="52594"/>
    <cellStyle name="Note 4 2 8 3" xfId="52595"/>
    <cellStyle name="Note 4 2 9" xfId="52596"/>
    <cellStyle name="Note 4 2 9 2" xfId="52597"/>
    <cellStyle name="Note 4 3" xfId="52598"/>
    <cellStyle name="Note 4 3 2" xfId="52599"/>
    <cellStyle name="Note 4 3 2 2" xfId="52600"/>
    <cellStyle name="Note 4 3 2 2 2" xfId="52601"/>
    <cellStyle name="Note 4 3 2 2 2 2" xfId="52602"/>
    <cellStyle name="Note 4 3 2 2 3" xfId="52603"/>
    <cellStyle name="Note 4 3 2 3" xfId="52604"/>
    <cellStyle name="Note 4 3 2 3 2" xfId="52605"/>
    <cellStyle name="Note 4 3 2 4" xfId="52606"/>
    <cellStyle name="Note 4 3 3" xfId="52607"/>
    <cellStyle name="Note 4 3 3 2" xfId="52608"/>
    <cellStyle name="Note 4 3 3 2 2" xfId="52609"/>
    <cellStyle name="Note 4 3 3 3" xfId="52610"/>
    <cellStyle name="Note 4 3 4" xfId="52611"/>
    <cellStyle name="Note 4 3 4 2" xfId="52612"/>
    <cellStyle name="Note 4 3 5" xfId="52613"/>
    <cellStyle name="Note 4 4" xfId="52614"/>
    <cellStyle name="Note 4 4 2" xfId="52615"/>
    <cellStyle name="Note 4 4 2 2" xfId="52616"/>
    <cellStyle name="Note 4 4 2 2 2" xfId="52617"/>
    <cellStyle name="Note 4 4 2 2 2 2" xfId="52618"/>
    <cellStyle name="Note 4 4 2 2 3" xfId="52619"/>
    <cellStyle name="Note 4 4 2 3" xfId="52620"/>
    <cellStyle name="Note 4 4 2 3 2" xfId="52621"/>
    <cellStyle name="Note 4 4 2 4" xfId="52622"/>
    <cellStyle name="Note 4 4 3" xfId="52623"/>
    <cellStyle name="Note 4 4 3 2" xfId="52624"/>
    <cellStyle name="Note 4 4 3 2 2" xfId="52625"/>
    <cellStyle name="Note 4 4 3 3" xfId="52626"/>
    <cellStyle name="Note 4 4 4" xfId="52627"/>
    <cellStyle name="Note 4 4 4 2" xfId="52628"/>
    <cellStyle name="Note 4 4 5" xfId="52629"/>
    <cellStyle name="Note 4 5" xfId="52630"/>
    <cellStyle name="Note 4 5 2" xfId="52631"/>
    <cellStyle name="Note 4 5 2 2" xfId="52632"/>
    <cellStyle name="Note 4 5 2 2 2" xfId="52633"/>
    <cellStyle name="Note 4 5 2 2 2 2" xfId="52634"/>
    <cellStyle name="Note 4 5 2 2 3" xfId="52635"/>
    <cellStyle name="Note 4 5 2 3" xfId="52636"/>
    <cellStyle name="Note 4 5 2 3 2" xfId="52637"/>
    <cellStyle name="Note 4 5 2 4" xfId="52638"/>
    <cellStyle name="Note 4 5 3" xfId="52639"/>
    <cellStyle name="Note 4 5 3 2" xfId="52640"/>
    <cellStyle name="Note 4 5 3 2 2" xfId="52641"/>
    <cellStyle name="Note 4 5 3 3" xfId="52642"/>
    <cellStyle name="Note 4 5 4" xfId="52643"/>
    <cellStyle name="Note 4 5 4 2" xfId="52644"/>
    <cellStyle name="Note 4 5 5" xfId="52645"/>
    <cellStyle name="Note 4 6" xfId="52646"/>
    <cellStyle name="Note 4 6 2" xfId="52647"/>
    <cellStyle name="Note 4 6 2 2" xfId="52648"/>
    <cellStyle name="Note 4 6 2 2 2" xfId="52649"/>
    <cellStyle name="Note 4 6 2 2 2 2" xfId="52650"/>
    <cellStyle name="Note 4 6 2 2 3" xfId="52651"/>
    <cellStyle name="Note 4 6 2 3" xfId="52652"/>
    <cellStyle name="Note 4 6 2 3 2" xfId="52653"/>
    <cellStyle name="Note 4 6 2 4" xfId="52654"/>
    <cellStyle name="Note 4 6 3" xfId="52655"/>
    <cellStyle name="Note 4 6 3 2" xfId="52656"/>
    <cellStyle name="Note 4 6 3 2 2" xfId="52657"/>
    <cellStyle name="Note 4 6 3 3" xfId="52658"/>
    <cellStyle name="Note 4 6 4" xfId="52659"/>
    <cellStyle name="Note 4 6 4 2" xfId="52660"/>
    <cellStyle name="Note 4 6 5" xfId="52661"/>
    <cellStyle name="Note 4 7" xfId="52662"/>
    <cellStyle name="Note 4 7 2" xfId="52663"/>
    <cellStyle name="Note 4 7 2 2" xfId="52664"/>
    <cellStyle name="Note 4 7 2 2 2" xfId="52665"/>
    <cellStyle name="Note 4 7 2 2 2 2" xfId="52666"/>
    <cellStyle name="Note 4 7 2 2 3" xfId="52667"/>
    <cellStyle name="Note 4 7 2 3" xfId="52668"/>
    <cellStyle name="Note 4 7 2 3 2" xfId="52669"/>
    <cellStyle name="Note 4 7 2 4" xfId="52670"/>
    <cellStyle name="Note 4 7 3" xfId="52671"/>
    <cellStyle name="Note 4 7 3 2" xfId="52672"/>
    <cellStyle name="Note 4 7 3 2 2" xfId="52673"/>
    <cellStyle name="Note 4 7 3 3" xfId="52674"/>
    <cellStyle name="Note 4 7 4" xfId="52675"/>
    <cellStyle name="Note 4 7 4 2" xfId="52676"/>
    <cellStyle name="Note 4 7 5" xfId="52677"/>
    <cellStyle name="Note 4 8" xfId="52678"/>
    <cellStyle name="Note 4 8 2" xfId="52679"/>
    <cellStyle name="Note 4 8 2 2" xfId="52680"/>
    <cellStyle name="Note 4 8 2 2 2" xfId="52681"/>
    <cellStyle name="Note 4 8 2 3" xfId="52682"/>
    <cellStyle name="Note 4 8 3" xfId="52683"/>
    <cellStyle name="Note 4 8 3 2" xfId="52684"/>
    <cellStyle name="Note 4 8 4" xfId="52685"/>
    <cellStyle name="Note 4 9" xfId="52686"/>
    <cellStyle name="Note 4 9 2" xfId="52687"/>
    <cellStyle name="Note 4 9 2 2" xfId="52688"/>
    <cellStyle name="Note 4 9 3" xfId="52689"/>
    <cellStyle name="Note 5" xfId="52690"/>
    <cellStyle name="Note 5 10" xfId="52691"/>
    <cellStyle name="Note 5 2" xfId="52692"/>
    <cellStyle name="Note 5 2 2" xfId="52693"/>
    <cellStyle name="Note 5 2 2 2" xfId="52694"/>
    <cellStyle name="Note 5 2 2 2 2" xfId="52695"/>
    <cellStyle name="Note 5 2 2 2 2 2" xfId="52696"/>
    <cellStyle name="Note 5 2 2 2 3" xfId="52697"/>
    <cellStyle name="Note 5 2 2 3" xfId="52698"/>
    <cellStyle name="Note 5 2 2 3 2" xfId="52699"/>
    <cellStyle name="Note 5 2 2 4" xfId="52700"/>
    <cellStyle name="Note 5 2 3" xfId="52701"/>
    <cellStyle name="Note 5 2 3 2" xfId="52702"/>
    <cellStyle name="Note 5 2 3 2 2" xfId="52703"/>
    <cellStyle name="Note 5 2 3 3" xfId="52704"/>
    <cellStyle name="Note 5 2 4" xfId="52705"/>
    <cellStyle name="Note 5 2 4 2" xfId="52706"/>
    <cellStyle name="Note 5 2 5" xfId="52707"/>
    <cellStyle name="Note 5 3" xfId="52708"/>
    <cellStyle name="Note 5 3 2" xfId="52709"/>
    <cellStyle name="Note 5 3 2 2" xfId="52710"/>
    <cellStyle name="Note 5 3 2 2 2" xfId="52711"/>
    <cellStyle name="Note 5 3 2 2 2 2" xfId="52712"/>
    <cellStyle name="Note 5 3 2 2 3" xfId="52713"/>
    <cellStyle name="Note 5 3 2 3" xfId="52714"/>
    <cellStyle name="Note 5 3 2 3 2" xfId="52715"/>
    <cellStyle name="Note 5 3 2 4" xfId="52716"/>
    <cellStyle name="Note 5 3 3" xfId="52717"/>
    <cellStyle name="Note 5 3 3 2" xfId="52718"/>
    <cellStyle name="Note 5 3 3 2 2" xfId="52719"/>
    <cellStyle name="Note 5 3 3 3" xfId="52720"/>
    <cellStyle name="Note 5 3 4" xfId="52721"/>
    <cellStyle name="Note 5 3 4 2" xfId="52722"/>
    <cellStyle name="Note 5 3 5" xfId="52723"/>
    <cellStyle name="Note 5 4" xfId="52724"/>
    <cellStyle name="Note 5 4 2" xfId="52725"/>
    <cellStyle name="Note 5 4 2 2" xfId="52726"/>
    <cellStyle name="Note 5 4 2 2 2" xfId="52727"/>
    <cellStyle name="Note 5 4 2 2 2 2" xfId="52728"/>
    <cellStyle name="Note 5 4 2 2 3" xfId="52729"/>
    <cellStyle name="Note 5 4 2 3" xfId="52730"/>
    <cellStyle name="Note 5 4 2 3 2" xfId="52731"/>
    <cellStyle name="Note 5 4 2 4" xfId="52732"/>
    <cellStyle name="Note 5 4 3" xfId="52733"/>
    <cellStyle name="Note 5 4 3 2" xfId="52734"/>
    <cellStyle name="Note 5 4 3 2 2" xfId="52735"/>
    <cellStyle name="Note 5 4 3 3" xfId="52736"/>
    <cellStyle name="Note 5 4 4" xfId="52737"/>
    <cellStyle name="Note 5 4 4 2" xfId="52738"/>
    <cellStyle name="Note 5 4 5" xfId="52739"/>
    <cellStyle name="Note 5 5" xfId="52740"/>
    <cellStyle name="Note 5 5 2" xfId="52741"/>
    <cellStyle name="Note 5 5 2 2" xfId="52742"/>
    <cellStyle name="Note 5 5 2 2 2" xfId="52743"/>
    <cellStyle name="Note 5 5 2 2 2 2" xfId="52744"/>
    <cellStyle name="Note 5 5 2 2 3" xfId="52745"/>
    <cellStyle name="Note 5 5 2 3" xfId="52746"/>
    <cellStyle name="Note 5 5 2 3 2" xfId="52747"/>
    <cellStyle name="Note 5 5 2 4" xfId="52748"/>
    <cellStyle name="Note 5 5 3" xfId="52749"/>
    <cellStyle name="Note 5 5 3 2" xfId="52750"/>
    <cellStyle name="Note 5 5 3 2 2" xfId="52751"/>
    <cellStyle name="Note 5 5 3 3" xfId="52752"/>
    <cellStyle name="Note 5 5 4" xfId="52753"/>
    <cellStyle name="Note 5 5 4 2" xfId="52754"/>
    <cellStyle name="Note 5 5 5" xfId="52755"/>
    <cellStyle name="Note 5 6" xfId="52756"/>
    <cellStyle name="Note 5 6 2" xfId="52757"/>
    <cellStyle name="Note 5 6 2 2" xfId="52758"/>
    <cellStyle name="Note 5 6 2 2 2" xfId="52759"/>
    <cellStyle name="Note 5 6 2 2 2 2" xfId="52760"/>
    <cellStyle name="Note 5 6 2 2 3" xfId="52761"/>
    <cellStyle name="Note 5 6 2 3" xfId="52762"/>
    <cellStyle name="Note 5 6 2 3 2" xfId="52763"/>
    <cellStyle name="Note 5 6 2 4" xfId="52764"/>
    <cellStyle name="Note 5 6 3" xfId="52765"/>
    <cellStyle name="Note 5 6 3 2" xfId="52766"/>
    <cellStyle name="Note 5 6 3 2 2" xfId="52767"/>
    <cellStyle name="Note 5 6 3 3" xfId="52768"/>
    <cellStyle name="Note 5 6 4" xfId="52769"/>
    <cellStyle name="Note 5 6 4 2" xfId="52770"/>
    <cellStyle name="Note 5 6 5" xfId="52771"/>
    <cellStyle name="Note 5 7" xfId="52772"/>
    <cellStyle name="Note 5 7 2" xfId="52773"/>
    <cellStyle name="Note 5 7 2 2" xfId="52774"/>
    <cellStyle name="Note 5 7 2 2 2" xfId="52775"/>
    <cellStyle name="Note 5 7 2 3" xfId="52776"/>
    <cellStyle name="Note 5 7 3" xfId="52777"/>
    <cellStyle name="Note 5 7 3 2" xfId="52778"/>
    <cellStyle name="Note 5 7 4" xfId="52779"/>
    <cellStyle name="Note 5 8" xfId="52780"/>
    <cellStyle name="Note 5 8 2" xfId="52781"/>
    <cellStyle name="Note 5 8 2 2" xfId="52782"/>
    <cellStyle name="Note 5 8 3" xfId="52783"/>
    <cellStyle name="Note 5 9" xfId="52784"/>
    <cellStyle name="Note 5 9 2" xfId="52785"/>
    <cellStyle name="Note 6" xfId="52786"/>
    <cellStyle name="Note 6 2" xfId="52787"/>
    <cellStyle name="Note 6 2 2" xfId="52788"/>
    <cellStyle name="Note 6 2 2 2" xfId="52789"/>
    <cellStyle name="Note 6 2 2 2 2" xfId="52790"/>
    <cellStyle name="Note 6 2 2 3" xfId="52791"/>
    <cellStyle name="Note 6 2 3" xfId="52792"/>
    <cellStyle name="Note 6 2 3 2" xfId="52793"/>
    <cellStyle name="Note 6 2 4" xfId="52794"/>
    <cellStyle name="Note 6 3" xfId="52795"/>
    <cellStyle name="Note 6 3 2" xfId="52796"/>
    <cellStyle name="Note 6 3 2 2" xfId="52797"/>
    <cellStyle name="Note 6 3 3" xfId="52798"/>
    <cellStyle name="Note 6 4" xfId="52799"/>
    <cellStyle name="Note 6 4 2" xfId="52800"/>
    <cellStyle name="Note 6 5" xfId="52801"/>
    <cellStyle name="Note 7" xfId="52802"/>
    <cellStyle name="Note 7 2" xfId="52803"/>
    <cellStyle name="Note 7 2 2" xfId="52804"/>
    <cellStyle name="Note 7 2 2 2" xfId="52805"/>
    <cellStyle name="Note 7 2 2 2 2" xfId="52806"/>
    <cellStyle name="Note 7 2 2 3" xfId="52807"/>
    <cellStyle name="Note 7 2 3" xfId="52808"/>
    <cellStyle name="Note 7 2 3 2" xfId="52809"/>
    <cellStyle name="Note 7 2 4" xfId="52810"/>
    <cellStyle name="Note 7 3" xfId="52811"/>
    <cellStyle name="Note 7 3 2" xfId="52812"/>
    <cellStyle name="Note 7 3 2 2" xfId="52813"/>
    <cellStyle name="Note 7 3 3" xfId="52814"/>
    <cellStyle name="Note 7 4" xfId="52815"/>
    <cellStyle name="Note 7 4 2" xfId="52816"/>
    <cellStyle name="Note 7 5" xfId="52817"/>
    <cellStyle name="Output" xfId="52840" builtinId="21" customBuiltin="1"/>
    <cellStyle name="Percent" xfId="1" builtinId="5"/>
    <cellStyle name="Percent 2" xfId="52818"/>
    <cellStyle name="Percent 2 2" xfId="52819"/>
    <cellStyle name="Percent 2 2 2" xfId="52820"/>
    <cellStyle name="Percent 2 3" xfId="52821"/>
    <cellStyle name="Percent 2 3 2" xfId="52822"/>
    <cellStyle name="Percent 2 4" xfId="52823"/>
    <cellStyle name="Percent 2 4 2" xfId="52824"/>
    <cellStyle name="Percent 3" xfId="52825"/>
    <cellStyle name="Percent 4" xfId="52826"/>
    <cellStyle name="Percent 4 2" xfId="52827"/>
    <cellStyle name="Percent 5" xfId="52828"/>
    <cellStyle name="Percent 6" xfId="52829"/>
    <cellStyle name="Title" xfId="52831" builtinId="15" customBuiltin="1"/>
    <cellStyle name="Total" xfId="52847" builtinId="25" customBuiltin="1"/>
    <cellStyle name="Warning Text" xfId="52844" builtinId="11" customBuiltin="1"/>
  </cellStyles>
  <dxfs count="7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3" formatCode="0%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4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externalLink" Target="externalLinks/externalLink2.xml"/><Relationship Id="rId63" Type="http://schemas.microsoft.com/office/2006/relationships/vbaProject" Target="vbaProject.bin"/><Relationship Id="rId7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chartsheet" Target="chartsheets/sheet3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worksheet" Target="worksheets/sheet48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4.xml"/><Relationship Id="rId14" Type="http://schemas.openxmlformats.org/officeDocument/2006/relationships/worksheet" Target="worksheets/sheet10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7.xml"/><Relationship Id="rId51" Type="http://schemas.openxmlformats.org/officeDocument/2006/relationships/worksheet" Target="worksheets/sheet4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59" Type="http://schemas.openxmlformats.org/officeDocument/2006/relationships/styles" Target="styles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externalLink" Target="externalLinks/externalLink1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hartsheet" Target="chartsheets/sheet5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openxmlformats.org/officeDocument/2006/relationships/theme" Target="theme/theme1.xml"/><Relationship Id="rId10" Type="http://schemas.openxmlformats.org/officeDocument/2006/relationships/worksheet" Target="worksheets/sheet8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worksheet" Target="worksheets/sheet47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2990250F-508D-4D26-88B9-F2415BC9F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B1A678-9BFD-4C8A-BECF-AEB6988A0B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E4B812-BA8C-486D-AA07-C889AD8293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91684C-69F5-4881-9777-0479E97D1B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8C4B68-2419-460B-A378-A7A6FAE8F7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316FBF-A43D-4A25-85F9-E0D6C67A4E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54BE02-C224-4A31-9E48-15C3F1DEBC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237202-19B8-424E-80A6-A3A42DDADD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8603C7-ECE1-41E7-941D-24452AF74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E6AFB3-7B59-4E0B-9834-C09AEB6DAA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BC3200-3BA9-4DC1-B5FB-4BD68F1BF6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84B062-62E0-48ED-96B8-159524675E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35DE68-CC0C-4135-8DA6-1A7FB01F09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60491D-A4BB-4952-A57B-2F941538C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5E74A1-1788-461E-A57D-979906BFD0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F9DE2D-28EB-4AC6-BB7B-F610A5A24F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B2918B-1297-4F85-8473-608B3E2B04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785AA3-DFCB-4374-A8AB-8B71776063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CC33AE-1EC6-4049-BF98-A9BCEA9E49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D5F151-B801-49EC-9385-8A8F5099AA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2498F3-A3F3-4C86-8FCF-FF70D7C54D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9FF49B-1F86-4390-B519-F6E0916DE5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67337</c:v>
                </c:pt>
                <c:pt idx="1">
                  <c:v>59677</c:v>
                </c:pt>
                <c:pt idx="2">
                  <c:v>63067</c:v>
                </c:pt>
                <c:pt idx="3">
                  <c:v>54384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100409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161762</c:v>
                </c:pt>
                <c:pt idx="13">
                  <c:v>138713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34407</c:v>
                </c:pt>
                <c:pt idx="21">
                  <c:v>44431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5040"/>
        <c:axId val="148297216"/>
        <c:extLst/>
      </c:scatterChart>
      <c:valAx>
        <c:axId val="148295040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97216"/>
        <c:crosses val="autoZero"/>
        <c:crossBetween val="midCat"/>
      </c:valAx>
      <c:valAx>
        <c:axId val="14829721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95040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PM Counts - 4 directions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worksheet!$T$4:$T$760</c:f>
              <c:numCache>
                <c:formatCode>General</c:formatCode>
                <c:ptCount val="757"/>
                <c:pt idx="0">
                  <c:v>14405</c:v>
                </c:pt>
                <c:pt idx="2">
                  <c:v>8857</c:v>
                </c:pt>
                <c:pt idx="3">
                  <c:v>6812</c:v>
                </c:pt>
                <c:pt idx="4">
                  <c:v>9658</c:v>
                </c:pt>
                <c:pt idx="5">
                  <c:v>7848</c:v>
                </c:pt>
                <c:pt idx="6">
                  <c:v>9271</c:v>
                </c:pt>
                <c:pt idx="7">
                  <c:v>8031</c:v>
                </c:pt>
                <c:pt idx="8">
                  <c:v>9947</c:v>
                </c:pt>
                <c:pt idx="9">
                  <c:v>9971</c:v>
                </c:pt>
                <c:pt idx="11">
                  <c:v>9553</c:v>
                </c:pt>
                <c:pt idx="12">
                  <c:v>8158</c:v>
                </c:pt>
                <c:pt idx="14">
                  <c:v>24337</c:v>
                </c:pt>
                <c:pt idx="16">
                  <c:v>8034</c:v>
                </c:pt>
                <c:pt idx="18">
                  <c:v>28594</c:v>
                </c:pt>
                <c:pt idx="19">
                  <c:v>25479</c:v>
                </c:pt>
                <c:pt idx="20">
                  <c:v>19188</c:v>
                </c:pt>
                <c:pt idx="23">
                  <c:v>36352</c:v>
                </c:pt>
                <c:pt idx="25">
                  <c:v>11504</c:v>
                </c:pt>
                <c:pt idx="26">
                  <c:v>22142</c:v>
                </c:pt>
                <c:pt idx="29">
                  <c:v>4186</c:v>
                </c:pt>
                <c:pt idx="30">
                  <c:v>25100</c:v>
                </c:pt>
                <c:pt idx="31">
                  <c:v>20344</c:v>
                </c:pt>
                <c:pt idx="32">
                  <c:v>20930</c:v>
                </c:pt>
                <c:pt idx="35">
                  <c:v>3303</c:v>
                </c:pt>
                <c:pt idx="36">
                  <c:v>6647</c:v>
                </c:pt>
                <c:pt idx="37">
                  <c:v>10163</c:v>
                </c:pt>
                <c:pt idx="38">
                  <c:v>15546</c:v>
                </c:pt>
                <c:pt idx="39">
                  <c:v>12495</c:v>
                </c:pt>
                <c:pt idx="40">
                  <c:v>15375</c:v>
                </c:pt>
                <c:pt idx="41">
                  <c:v>17130</c:v>
                </c:pt>
                <c:pt idx="42">
                  <c:v>21748</c:v>
                </c:pt>
                <c:pt idx="43">
                  <c:v>24359</c:v>
                </c:pt>
                <c:pt idx="44">
                  <c:v>13364</c:v>
                </c:pt>
                <c:pt idx="45">
                  <c:v>23486</c:v>
                </c:pt>
                <c:pt idx="46">
                  <c:v>20143</c:v>
                </c:pt>
                <c:pt idx="47">
                  <c:v>26470</c:v>
                </c:pt>
                <c:pt idx="48">
                  <c:v>18438</c:v>
                </c:pt>
                <c:pt idx="49">
                  <c:v>22257</c:v>
                </c:pt>
                <c:pt idx="50">
                  <c:v>16337</c:v>
                </c:pt>
                <c:pt idx="51">
                  <c:v>13944</c:v>
                </c:pt>
                <c:pt idx="52">
                  <c:v>15765</c:v>
                </c:pt>
                <c:pt idx="53">
                  <c:v>18283</c:v>
                </c:pt>
                <c:pt idx="54">
                  <c:v>18002</c:v>
                </c:pt>
                <c:pt idx="55">
                  <c:v>16381</c:v>
                </c:pt>
                <c:pt idx="56">
                  <c:v>15252</c:v>
                </c:pt>
                <c:pt idx="57">
                  <c:v>14910</c:v>
                </c:pt>
                <c:pt idx="58">
                  <c:v>16603</c:v>
                </c:pt>
                <c:pt idx="59">
                  <c:v>17573</c:v>
                </c:pt>
                <c:pt idx="88">
                  <c:v>5367</c:v>
                </c:pt>
                <c:pt idx="91">
                  <c:v>16682</c:v>
                </c:pt>
                <c:pt idx="94">
                  <c:v>25764</c:v>
                </c:pt>
                <c:pt idx="95">
                  <c:v>21677</c:v>
                </c:pt>
                <c:pt idx="96">
                  <c:v>17236</c:v>
                </c:pt>
                <c:pt idx="97">
                  <c:v>12679</c:v>
                </c:pt>
                <c:pt idx="98">
                  <c:v>10284</c:v>
                </c:pt>
                <c:pt idx="99">
                  <c:v>10208</c:v>
                </c:pt>
                <c:pt idx="127">
                  <c:v>24173</c:v>
                </c:pt>
                <c:pt idx="128">
                  <c:v>18707</c:v>
                </c:pt>
                <c:pt idx="135">
                  <c:v>15363</c:v>
                </c:pt>
                <c:pt idx="136">
                  <c:v>22959</c:v>
                </c:pt>
                <c:pt idx="138">
                  <c:v>18096</c:v>
                </c:pt>
                <c:pt idx="141">
                  <c:v>31840</c:v>
                </c:pt>
                <c:pt idx="143">
                  <c:v>28063</c:v>
                </c:pt>
                <c:pt idx="148">
                  <c:v>20409</c:v>
                </c:pt>
                <c:pt idx="150">
                  <c:v>19583</c:v>
                </c:pt>
                <c:pt idx="160">
                  <c:v>18088</c:v>
                </c:pt>
                <c:pt idx="162">
                  <c:v>14799</c:v>
                </c:pt>
                <c:pt idx="165">
                  <c:v>20164</c:v>
                </c:pt>
                <c:pt idx="168">
                  <c:v>18184</c:v>
                </c:pt>
                <c:pt idx="175">
                  <c:v>10194</c:v>
                </c:pt>
                <c:pt idx="179">
                  <c:v>3009</c:v>
                </c:pt>
                <c:pt idx="181">
                  <c:v>21823</c:v>
                </c:pt>
                <c:pt idx="183">
                  <c:v>17693</c:v>
                </c:pt>
                <c:pt idx="185">
                  <c:v>19558</c:v>
                </c:pt>
                <c:pt idx="186">
                  <c:v>16940</c:v>
                </c:pt>
                <c:pt idx="188">
                  <c:v>19575</c:v>
                </c:pt>
                <c:pt idx="189">
                  <c:v>1769</c:v>
                </c:pt>
                <c:pt idx="191">
                  <c:v>1877</c:v>
                </c:pt>
                <c:pt idx="194">
                  <c:v>2321</c:v>
                </c:pt>
                <c:pt idx="195">
                  <c:v>5329</c:v>
                </c:pt>
                <c:pt idx="196">
                  <c:v>21633</c:v>
                </c:pt>
                <c:pt idx="200">
                  <c:v>6959</c:v>
                </c:pt>
                <c:pt idx="204">
                  <c:v>15151</c:v>
                </c:pt>
                <c:pt idx="208">
                  <c:v>3276</c:v>
                </c:pt>
                <c:pt idx="209">
                  <c:v>3565</c:v>
                </c:pt>
                <c:pt idx="212">
                  <c:v>11072</c:v>
                </c:pt>
                <c:pt idx="213">
                  <c:v>27642</c:v>
                </c:pt>
                <c:pt idx="215">
                  <c:v>21758</c:v>
                </c:pt>
                <c:pt idx="217">
                  <c:v>19134</c:v>
                </c:pt>
                <c:pt idx="240">
                  <c:v>8272</c:v>
                </c:pt>
                <c:pt idx="241">
                  <c:v>20112</c:v>
                </c:pt>
                <c:pt idx="242">
                  <c:v>15197</c:v>
                </c:pt>
                <c:pt idx="245">
                  <c:v>19486</c:v>
                </c:pt>
                <c:pt idx="246">
                  <c:v>13075</c:v>
                </c:pt>
                <c:pt idx="248">
                  <c:v>14218</c:v>
                </c:pt>
                <c:pt idx="250">
                  <c:v>19328</c:v>
                </c:pt>
                <c:pt idx="252">
                  <c:v>23051</c:v>
                </c:pt>
                <c:pt idx="259">
                  <c:v>23458</c:v>
                </c:pt>
                <c:pt idx="264">
                  <c:v>21239</c:v>
                </c:pt>
                <c:pt idx="270">
                  <c:v>22650</c:v>
                </c:pt>
                <c:pt idx="271">
                  <c:v>26201</c:v>
                </c:pt>
                <c:pt idx="273">
                  <c:v>11690</c:v>
                </c:pt>
                <c:pt idx="274">
                  <c:v>13046</c:v>
                </c:pt>
                <c:pt idx="276">
                  <c:v>18732</c:v>
                </c:pt>
                <c:pt idx="277">
                  <c:v>20084</c:v>
                </c:pt>
                <c:pt idx="279">
                  <c:v>11594</c:v>
                </c:pt>
                <c:pt idx="280">
                  <c:v>23882</c:v>
                </c:pt>
                <c:pt idx="281">
                  <c:v>21038</c:v>
                </c:pt>
                <c:pt idx="283">
                  <c:v>22879</c:v>
                </c:pt>
                <c:pt idx="287">
                  <c:v>22187</c:v>
                </c:pt>
                <c:pt idx="291">
                  <c:v>26077</c:v>
                </c:pt>
                <c:pt idx="292">
                  <c:v>27093</c:v>
                </c:pt>
                <c:pt idx="293">
                  <c:v>26992</c:v>
                </c:pt>
                <c:pt idx="294">
                  <c:v>26769</c:v>
                </c:pt>
                <c:pt idx="296">
                  <c:v>24137</c:v>
                </c:pt>
                <c:pt idx="300">
                  <c:v>28364</c:v>
                </c:pt>
                <c:pt idx="302">
                  <c:v>26402</c:v>
                </c:pt>
                <c:pt idx="304">
                  <c:v>20207</c:v>
                </c:pt>
                <c:pt idx="305">
                  <c:v>19682</c:v>
                </c:pt>
                <c:pt idx="313">
                  <c:v>7304</c:v>
                </c:pt>
                <c:pt idx="316">
                  <c:v>13753</c:v>
                </c:pt>
                <c:pt idx="318">
                  <c:v>18033</c:v>
                </c:pt>
                <c:pt idx="320">
                  <c:v>7722</c:v>
                </c:pt>
                <c:pt idx="322">
                  <c:v>18001</c:v>
                </c:pt>
                <c:pt idx="324">
                  <c:v>31407</c:v>
                </c:pt>
                <c:pt idx="325">
                  <c:v>30988</c:v>
                </c:pt>
                <c:pt idx="326">
                  <c:v>35698</c:v>
                </c:pt>
                <c:pt idx="328">
                  <c:v>32601</c:v>
                </c:pt>
                <c:pt idx="330">
                  <c:v>32473</c:v>
                </c:pt>
                <c:pt idx="331">
                  <c:v>30190</c:v>
                </c:pt>
                <c:pt idx="337">
                  <c:v>28826</c:v>
                </c:pt>
                <c:pt idx="340">
                  <c:v>33562</c:v>
                </c:pt>
                <c:pt idx="344">
                  <c:v>15069</c:v>
                </c:pt>
                <c:pt idx="346">
                  <c:v>13386</c:v>
                </c:pt>
                <c:pt idx="347">
                  <c:v>15159</c:v>
                </c:pt>
                <c:pt idx="349">
                  <c:v>13509</c:v>
                </c:pt>
                <c:pt idx="351">
                  <c:v>15648</c:v>
                </c:pt>
                <c:pt idx="353">
                  <c:v>28908</c:v>
                </c:pt>
                <c:pt idx="354">
                  <c:v>17983</c:v>
                </c:pt>
                <c:pt idx="357">
                  <c:v>19955</c:v>
                </c:pt>
                <c:pt idx="358">
                  <c:v>15340</c:v>
                </c:pt>
                <c:pt idx="362">
                  <c:v>21001</c:v>
                </c:pt>
                <c:pt idx="374">
                  <c:v>15413</c:v>
                </c:pt>
                <c:pt idx="376">
                  <c:v>23080</c:v>
                </c:pt>
                <c:pt idx="379">
                  <c:v>21966</c:v>
                </c:pt>
                <c:pt idx="388">
                  <c:v>13736</c:v>
                </c:pt>
                <c:pt idx="391">
                  <c:v>22459</c:v>
                </c:pt>
                <c:pt idx="393">
                  <c:v>13015</c:v>
                </c:pt>
                <c:pt idx="396">
                  <c:v>21321</c:v>
                </c:pt>
                <c:pt idx="397">
                  <c:v>13149</c:v>
                </c:pt>
                <c:pt idx="398">
                  <c:v>13795</c:v>
                </c:pt>
                <c:pt idx="399">
                  <c:v>16609</c:v>
                </c:pt>
                <c:pt idx="403">
                  <c:v>16031</c:v>
                </c:pt>
                <c:pt idx="405">
                  <c:v>22564</c:v>
                </c:pt>
                <c:pt idx="406">
                  <c:v>21530</c:v>
                </c:pt>
                <c:pt idx="407">
                  <c:v>22460</c:v>
                </c:pt>
                <c:pt idx="430">
                  <c:v>16271</c:v>
                </c:pt>
                <c:pt idx="434">
                  <c:v>17640</c:v>
                </c:pt>
                <c:pt idx="436">
                  <c:v>13335</c:v>
                </c:pt>
                <c:pt idx="437">
                  <c:v>19491</c:v>
                </c:pt>
                <c:pt idx="438">
                  <c:v>13222</c:v>
                </c:pt>
                <c:pt idx="439">
                  <c:v>16004</c:v>
                </c:pt>
                <c:pt idx="440">
                  <c:v>18567</c:v>
                </c:pt>
                <c:pt idx="441">
                  <c:v>18612</c:v>
                </c:pt>
                <c:pt idx="442">
                  <c:v>17424</c:v>
                </c:pt>
                <c:pt idx="443">
                  <c:v>16826</c:v>
                </c:pt>
                <c:pt idx="444">
                  <c:v>17572</c:v>
                </c:pt>
                <c:pt idx="456">
                  <c:v>19548</c:v>
                </c:pt>
                <c:pt idx="457">
                  <c:v>17603</c:v>
                </c:pt>
                <c:pt idx="458">
                  <c:v>14457</c:v>
                </c:pt>
                <c:pt idx="459">
                  <c:v>22990</c:v>
                </c:pt>
                <c:pt idx="460">
                  <c:v>12241</c:v>
                </c:pt>
                <c:pt idx="467">
                  <c:v>3507</c:v>
                </c:pt>
                <c:pt idx="468">
                  <c:v>13565</c:v>
                </c:pt>
                <c:pt idx="470">
                  <c:v>14712</c:v>
                </c:pt>
                <c:pt idx="471">
                  <c:v>12590</c:v>
                </c:pt>
                <c:pt idx="473">
                  <c:v>17202</c:v>
                </c:pt>
                <c:pt idx="475">
                  <c:v>8924</c:v>
                </c:pt>
                <c:pt idx="476">
                  <c:v>10052</c:v>
                </c:pt>
                <c:pt idx="481">
                  <c:v>12061</c:v>
                </c:pt>
                <c:pt idx="486">
                  <c:v>3346</c:v>
                </c:pt>
                <c:pt idx="487">
                  <c:v>29575</c:v>
                </c:pt>
                <c:pt idx="489">
                  <c:v>3058</c:v>
                </c:pt>
                <c:pt idx="490">
                  <c:v>2637</c:v>
                </c:pt>
                <c:pt idx="491">
                  <c:v>19331</c:v>
                </c:pt>
                <c:pt idx="494">
                  <c:v>22833</c:v>
                </c:pt>
                <c:pt idx="496">
                  <c:v>19336</c:v>
                </c:pt>
                <c:pt idx="499">
                  <c:v>19035</c:v>
                </c:pt>
                <c:pt idx="500">
                  <c:v>20329</c:v>
                </c:pt>
                <c:pt idx="501">
                  <c:v>21979</c:v>
                </c:pt>
                <c:pt idx="502">
                  <c:v>19631</c:v>
                </c:pt>
                <c:pt idx="503">
                  <c:v>24326</c:v>
                </c:pt>
                <c:pt idx="507">
                  <c:v>19555</c:v>
                </c:pt>
                <c:pt idx="509">
                  <c:v>21260</c:v>
                </c:pt>
                <c:pt idx="510">
                  <c:v>16973</c:v>
                </c:pt>
                <c:pt idx="513">
                  <c:v>3094</c:v>
                </c:pt>
                <c:pt idx="514">
                  <c:v>17365</c:v>
                </c:pt>
                <c:pt idx="515">
                  <c:v>14601</c:v>
                </c:pt>
                <c:pt idx="517">
                  <c:v>20545</c:v>
                </c:pt>
                <c:pt idx="519">
                  <c:v>19536</c:v>
                </c:pt>
                <c:pt idx="521">
                  <c:v>14064</c:v>
                </c:pt>
                <c:pt idx="523">
                  <c:v>17544</c:v>
                </c:pt>
                <c:pt idx="532">
                  <c:v>20665</c:v>
                </c:pt>
                <c:pt idx="535">
                  <c:v>12094</c:v>
                </c:pt>
                <c:pt idx="543">
                  <c:v>15852</c:v>
                </c:pt>
                <c:pt idx="544">
                  <c:v>11331</c:v>
                </c:pt>
                <c:pt idx="551">
                  <c:v>3216</c:v>
                </c:pt>
                <c:pt idx="561">
                  <c:v>17494</c:v>
                </c:pt>
                <c:pt idx="563">
                  <c:v>17981</c:v>
                </c:pt>
                <c:pt idx="565">
                  <c:v>25692</c:v>
                </c:pt>
                <c:pt idx="566">
                  <c:v>24518</c:v>
                </c:pt>
                <c:pt idx="571">
                  <c:v>6313</c:v>
                </c:pt>
                <c:pt idx="572">
                  <c:v>6417</c:v>
                </c:pt>
                <c:pt idx="574">
                  <c:v>4161</c:v>
                </c:pt>
                <c:pt idx="575">
                  <c:v>4940</c:v>
                </c:pt>
                <c:pt idx="578">
                  <c:v>9582</c:v>
                </c:pt>
                <c:pt idx="579">
                  <c:v>15901</c:v>
                </c:pt>
                <c:pt idx="581">
                  <c:v>15095</c:v>
                </c:pt>
                <c:pt idx="582">
                  <c:v>13340</c:v>
                </c:pt>
                <c:pt idx="583">
                  <c:v>16048</c:v>
                </c:pt>
                <c:pt idx="584">
                  <c:v>13856</c:v>
                </c:pt>
                <c:pt idx="585">
                  <c:v>16098</c:v>
                </c:pt>
                <c:pt idx="587">
                  <c:v>16472</c:v>
                </c:pt>
                <c:pt idx="588">
                  <c:v>16589</c:v>
                </c:pt>
                <c:pt idx="589">
                  <c:v>16211</c:v>
                </c:pt>
                <c:pt idx="643">
                  <c:v>11005</c:v>
                </c:pt>
                <c:pt idx="646">
                  <c:v>15508</c:v>
                </c:pt>
                <c:pt idx="647">
                  <c:v>16392</c:v>
                </c:pt>
                <c:pt idx="648">
                  <c:v>13004</c:v>
                </c:pt>
                <c:pt idx="655">
                  <c:v>25689</c:v>
                </c:pt>
                <c:pt idx="666">
                  <c:v>13780</c:v>
                </c:pt>
                <c:pt idx="669">
                  <c:v>15393</c:v>
                </c:pt>
                <c:pt idx="670">
                  <c:v>13528</c:v>
                </c:pt>
                <c:pt idx="672">
                  <c:v>18512</c:v>
                </c:pt>
                <c:pt idx="673">
                  <c:v>13512</c:v>
                </c:pt>
                <c:pt idx="676">
                  <c:v>10271</c:v>
                </c:pt>
                <c:pt idx="679">
                  <c:v>29565</c:v>
                </c:pt>
                <c:pt idx="684">
                  <c:v>3622</c:v>
                </c:pt>
                <c:pt idx="685">
                  <c:v>8862</c:v>
                </c:pt>
                <c:pt idx="688">
                  <c:v>9161</c:v>
                </c:pt>
                <c:pt idx="689">
                  <c:v>11629</c:v>
                </c:pt>
                <c:pt idx="691">
                  <c:v>6963</c:v>
                </c:pt>
                <c:pt idx="692">
                  <c:v>6914</c:v>
                </c:pt>
                <c:pt idx="726">
                  <c:v>16511</c:v>
                </c:pt>
                <c:pt idx="727">
                  <c:v>6574</c:v>
                </c:pt>
                <c:pt idx="729">
                  <c:v>4350</c:v>
                </c:pt>
                <c:pt idx="730">
                  <c:v>2778</c:v>
                </c:pt>
                <c:pt idx="732">
                  <c:v>2629</c:v>
                </c:pt>
                <c:pt idx="733">
                  <c:v>2521</c:v>
                </c:pt>
                <c:pt idx="738">
                  <c:v>17069</c:v>
                </c:pt>
                <c:pt idx="743">
                  <c:v>21648</c:v>
                </c:pt>
                <c:pt idx="745">
                  <c:v>16768</c:v>
                </c:pt>
                <c:pt idx="746">
                  <c:v>22881</c:v>
                </c:pt>
                <c:pt idx="747">
                  <c:v>13499</c:v>
                </c:pt>
                <c:pt idx="750">
                  <c:v>21359</c:v>
                </c:pt>
                <c:pt idx="752">
                  <c:v>28835</c:v>
                </c:pt>
                <c:pt idx="753">
                  <c:v>29783</c:v>
                </c:pt>
              </c:numCache>
            </c:numRef>
          </c:xVal>
          <c:yVal>
            <c:numRef>
              <c:f>worksheet!$U$4:$U$760</c:f>
              <c:numCache>
                <c:formatCode>General</c:formatCode>
                <c:ptCount val="757"/>
                <c:pt idx="0">
                  <c:v>21330.474609000001</c:v>
                </c:pt>
                <c:pt idx="2">
                  <c:v>9682.6972659999992</c:v>
                </c:pt>
                <c:pt idx="3">
                  <c:v>9642.2431639999995</c:v>
                </c:pt>
                <c:pt idx="4">
                  <c:v>9682.6972659999992</c:v>
                </c:pt>
                <c:pt idx="5">
                  <c:v>8813.7617190000001</c:v>
                </c:pt>
                <c:pt idx="6">
                  <c:v>8230.4082030000009</c:v>
                </c:pt>
                <c:pt idx="7">
                  <c:v>11116.642578000001</c:v>
                </c:pt>
                <c:pt idx="8">
                  <c:v>10056.764648</c:v>
                </c:pt>
                <c:pt idx="9">
                  <c:v>8831.734375</c:v>
                </c:pt>
                <c:pt idx="11">
                  <c:v>9763.4189449999994</c:v>
                </c:pt>
                <c:pt idx="12">
                  <c:v>9136.4882809999999</c:v>
                </c:pt>
                <c:pt idx="14">
                  <c:v>30733.279297000001</c:v>
                </c:pt>
                <c:pt idx="16">
                  <c:v>9712.640625</c:v>
                </c:pt>
                <c:pt idx="18">
                  <c:v>34795.949219000002</c:v>
                </c:pt>
                <c:pt idx="19">
                  <c:v>30023.519531000002</c:v>
                </c:pt>
                <c:pt idx="20">
                  <c:v>17664.904297000001</c:v>
                </c:pt>
                <c:pt idx="23">
                  <c:v>45436.929687999997</c:v>
                </c:pt>
                <c:pt idx="25">
                  <c:v>20098.789062</c:v>
                </c:pt>
                <c:pt idx="26">
                  <c:v>28702.935547000001</c:v>
                </c:pt>
                <c:pt idx="29">
                  <c:v>4319.5708009999998</c:v>
                </c:pt>
                <c:pt idx="30">
                  <c:v>28008.777343999998</c:v>
                </c:pt>
                <c:pt idx="31">
                  <c:v>27788.960938</c:v>
                </c:pt>
                <c:pt idx="32">
                  <c:v>26519.716797000001</c:v>
                </c:pt>
                <c:pt idx="35">
                  <c:v>4544.6948240000002</c:v>
                </c:pt>
                <c:pt idx="36">
                  <c:v>6969.0131840000004</c:v>
                </c:pt>
                <c:pt idx="37">
                  <c:v>6142.1508789999998</c:v>
                </c:pt>
                <c:pt idx="38">
                  <c:v>13926.9375</c:v>
                </c:pt>
                <c:pt idx="39">
                  <c:v>12750.075194999999</c:v>
                </c:pt>
                <c:pt idx="40">
                  <c:v>15148.833984000001</c:v>
                </c:pt>
                <c:pt idx="41">
                  <c:v>17950.041015999999</c:v>
                </c:pt>
                <c:pt idx="42">
                  <c:v>22324.302734000001</c:v>
                </c:pt>
                <c:pt idx="43">
                  <c:v>24022.767577999999</c:v>
                </c:pt>
                <c:pt idx="44">
                  <c:v>15648.295898</c:v>
                </c:pt>
                <c:pt idx="45">
                  <c:v>22947.023438</c:v>
                </c:pt>
                <c:pt idx="46">
                  <c:v>22242.964843999998</c:v>
                </c:pt>
                <c:pt idx="47">
                  <c:v>32537.75</c:v>
                </c:pt>
                <c:pt idx="48">
                  <c:v>22874.732422000001</c:v>
                </c:pt>
                <c:pt idx="49">
                  <c:v>23706.666015999999</c:v>
                </c:pt>
                <c:pt idx="50">
                  <c:v>18197.052734000001</c:v>
                </c:pt>
                <c:pt idx="51">
                  <c:v>14083.180664</c:v>
                </c:pt>
                <c:pt idx="52">
                  <c:v>16937.144531000002</c:v>
                </c:pt>
                <c:pt idx="53">
                  <c:v>18960.5625</c:v>
                </c:pt>
                <c:pt idx="54">
                  <c:v>23431.509765999999</c:v>
                </c:pt>
                <c:pt idx="55">
                  <c:v>21650.863281000002</c:v>
                </c:pt>
                <c:pt idx="56">
                  <c:v>20242.072265999999</c:v>
                </c:pt>
                <c:pt idx="57">
                  <c:v>20545.136718999998</c:v>
                </c:pt>
                <c:pt idx="58">
                  <c:v>24893.716797000001</c:v>
                </c:pt>
                <c:pt idx="59">
                  <c:v>20602.693359000001</c:v>
                </c:pt>
                <c:pt idx="88">
                  <c:v>8373.4824219999991</c:v>
                </c:pt>
                <c:pt idx="91">
                  <c:v>18735.220702999999</c:v>
                </c:pt>
                <c:pt idx="94">
                  <c:v>30967.765625</c:v>
                </c:pt>
                <c:pt idx="95">
                  <c:v>33521.027344000002</c:v>
                </c:pt>
                <c:pt idx="96">
                  <c:v>16837.259765999999</c:v>
                </c:pt>
                <c:pt idx="97">
                  <c:v>14145.576171999999</c:v>
                </c:pt>
                <c:pt idx="98">
                  <c:v>11759.694336</c:v>
                </c:pt>
                <c:pt idx="99">
                  <c:v>10858.965819999999</c:v>
                </c:pt>
                <c:pt idx="127">
                  <c:v>29920.449218999998</c:v>
                </c:pt>
                <c:pt idx="128">
                  <c:v>29446.910156000002</c:v>
                </c:pt>
                <c:pt idx="135">
                  <c:v>17086.748047000001</c:v>
                </c:pt>
                <c:pt idx="136">
                  <c:v>24965.744140999999</c:v>
                </c:pt>
                <c:pt idx="138">
                  <c:v>27119.654297000001</c:v>
                </c:pt>
                <c:pt idx="141">
                  <c:v>36329.992187999997</c:v>
                </c:pt>
                <c:pt idx="143">
                  <c:v>33639.695312000003</c:v>
                </c:pt>
                <c:pt idx="148">
                  <c:v>25375.207031000002</c:v>
                </c:pt>
                <c:pt idx="150">
                  <c:v>22534.066406000002</c:v>
                </c:pt>
                <c:pt idx="160">
                  <c:v>23667.734375</c:v>
                </c:pt>
                <c:pt idx="162">
                  <c:v>18744.759765999999</c:v>
                </c:pt>
                <c:pt idx="165">
                  <c:v>24511.71875</c:v>
                </c:pt>
                <c:pt idx="168">
                  <c:v>21536.648438</c:v>
                </c:pt>
                <c:pt idx="175">
                  <c:v>11192.773438</c:v>
                </c:pt>
                <c:pt idx="179">
                  <c:v>2621.8789059999999</c:v>
                </c:pt>
                <c:pt idx="181">
                  <c:v>27071.931640999999</c:v>
                </c:pt>
                <c:pt idx="183">
                  <c:v>23501.767577999999</c:v>
                </c:pt>
                <c:pt idx="185">
                  <c:v>25353</c:v>
                </c:pt>
                <c:pt idx="186">
                  <c:v>21240.037109000001</c:v>
                </c:pt>
                <c:pt idx="188">
                  <c:v>23909.515625</c:v>
                </c:pt>
                <c:pt idx="189">
                  <c:v>1920.259155</c:v>
                </c:pt>
                <c:pt idx="191">
                  <c:v>1609.3594969999999</c:v>
                </c:pt>
                <c:pt idx="194">
                  <c:v>1899.404419</c:v>
                </c:pt>
                <c:pt idx="195">
                  <c:v>5462.951172</c:v>
                </c:pt>
                <c:pt idx="196">
                  <c:v>37820.757812000003</c:v>
                </c:pt>
                <c:pt idx="200">
                  <c:v>3575.4819339999999</c:v>
                </c:pt>
                <c:pt idx="204">
                  <c:v>18448.203125</c:v>
                </c:pt>
                <c:pt idx="208">
                  <c:v>2716.0551759999998</c:v>
                </c:pt>
                <c:pt idx="209">
                  <c:v>3221.8562010000001</c:v>
                </c:pt>
                <c:pt idx="212">
                  <c:v>13115.177734000001</c:v>
                </c:pt>
                <c:pt idx="213">
                  <c:v>33039.964844000002</c:v>
                </c:pt>
                <c:pt idx="215">
                  <c:v>20985.71875</c:v>
                </c:pt>
                <c:pt idx="217">
                  <c:v>20273.744140999999</c:v>
                </c:pt>
                <c:pt idx="240">
                  <c:v>8672.8232420000004</c:v>
                </c:pt>
                <c:pt idx="241">
                  <c:v>23732.277343999998</c:v>
                </c:pt>
                <c:pt idx="242">
                  <c:v>19397.427734000001</c:v>
                </c:pt>
                <c:pt idx="245">
                  <c:v>23833.796875</c:v>
                </c:pt>
                <c:pt idx="246">
                  <c:v>17324.595702999999</c:v>
                </c:pt>
                <c:pt idx="248">
                  <c:v>18711.841797000001</c:v>
                </c:pt>
                <c:pt idx="250">
                  <c:v>24837.267577999999</c:v>
                </c:pt>
                <c:pt idx="252">
                  <c:v>26965.445312</c:v>
                </c:pt>
                <c:pt idx="259">
                  <c:v>27735.917968999998</c:v>
                </c:pt>
                <c:pt idx="264">
                  <c:v>29044.328125</c:v>
                </c:pt>
                <c:pt idx="270">
                  <c:v>26809.587890999999</c:v>
                </c:pt>
                <c:pt idx="271">
                  <c:v>29579.943359000001</c:v>
                </c:pt>
                <c:pt idx="273">
                  <c:v>14824.036133</c:v>
                </c:pt>
                <c:pt idx="274">
                  <c:v>12374.019531</c:v>
                </c:pt>
                <c:pt idx="276">
                  <c:v>25315.132812</c:v>
                </c:pt>
                <c:pt idx="277">
                  <c:v>27984.470702999999</c:v>
                </c:pt>
                <c:pt idx="279">
                  <c:v>13124.444336</c:v>
                </c:pt>
                <c:pt idx="280">
                  <c:v>33316.832030999998</c:v>
                </c:pt>
                <c:pt idx="281">
                  <c:v>30674.664062</c:v>
                </c:pt>
                <c:pt idx="283">
                  <c:v>29582.496093999998</c:v>
                </c:pt>
                <c:pt idx="287">
                  <c:v>33322.902344000002</c:v>
                </c:pt>
                <c:pt idx="291">
                  <c:v>32117.257812</c:v>
                </c:pt>
                <c:pt idx="292">
                  <c:v>32644.353515999999</c:v>
                </c:pt>
                <c:pt idx="293">
                  <c:v>29717.554688</c:v>
                </c:pt>
                <c:pt idx="294">
                  <c:v>32120.431640999999</c:v>
                </c:pt>
                <c:pt idx="296">
                  <c:v>31013.923827999999</c:v>
                </c:pt>
                <c:pt idx="300">
                  <c:v>34559.582030999998</c:v>
                </c:pt>
                <c:pt idx="302">
                  <c:v>32506.59375</c:v>
                </c:pt>
                <c:pt idx="304">
                  <c:v>30935.710938</c:v>
                </c:pt>
                <c:pt idx="305">
                  <c:v>30474.693359000001</c:v>
                </c:pt>
                <c:pt idx="313">
                  <c:v>11540.101562</c:v>
                </c:pt>
                <c:pt idx="316">
                  <c:v>34674.292969000002</c:v>
                </c:pt>
                <c:pt idx="318">
                  <c:v>31562.857422000001</c:v>
                </c:pt>
                <c:pt idx="320">
                  <c:v>15294.254883</c:v>
                </c:pt>
                <c:pt idx="322">
                  <c:v>19797.003906000002</c:v>
                </c:pt>
                <c:pt idx="324">
                  <c:v>43489.957030999998</c:v>
                </c:pt>
                <c:pt idx="325">
                  <c:v>39695.21875</c:v>
                </c:pt>
                <c:pt idx="326">
                  <c:v>42583.855469000002</c:v>
                </c:pt>
                <c:pt idx="328">
                  <c:v>40934.28125</c:v>
                </c:pt>
                <c:pt idx="330">
                  <c:v>39932.179687999997</c:v>
                </c:pt>
                <c:pt idx="331">
                  <c:v>44996.722655999998</c:v>
                </c:pt>
                <c:pt idx="337">
                  <c:v>33945.460937999997</c:v>
                </c:pt>
                <c:pt idx="340">
                  <c:v>44456.273437999997</c:v>
                </c:pt>
                <c:pt idx="344">
                  <c:v>18539.802734000001</c:v>
                </c:pt>
                <c:pt idx="346">
                  <c:v>19409.296875</c:v>
                </c:pt>
                <c:pt idx="347">
                  <c:v>15634.189453000001</c:v>
                </c:pt>
                <c:pt idx="349">
                  <c:v>22865.240234000001</c:v>
                </c:pt>
                <c:pt idx="351">
                  <c:v>25737.396484000001</c:v>
                </c:pt>
                <c:pt idx="353">
                  <c:v>25285.912109000001</c:v>
                </c:pt>
                <c:pt idx="354">
                  <c:v>31245.378906000002</c:v>
                </c:pt>
                <c:pt idx="357">
                  <c:v>21461.546875</c:v>
                </c:pt>
                <c:pt idx="358">
                  <c:v>21932.765625</c:v>
                </c:pt>
                <c:pt idx="362">
                  <c:v>23101.960938</c:v>
                </c:pt>
                <c:pt idx="374">
                  <c:v>18458.734375</c:v>
                </c:pt>
                <c:pt idx="376">
                  <c:v>28339.908202999999</c:v>
                </c:pt>
                <c:pt idx="379">
                  <c:v>29934.923827999999</c:v>
                </c:pt>
                <c:pt idx="388">
                  <c:v>14083.180664</c:v>
                </c:pt>
                <c:pt idx="391">
                  <c:v>25766.71875</c:v>
                </c:pt>
                <c:pt idx="393">
                  <c:v>15635.049805000001</c:v>
                </c:pt>
                <c:pt idx="396">
                  <c:v>30691.626952999999</c:v>
                </c:pt>
                <c:pt idx="397">
                  <c:v>18554.042968999998</c:v>
                </c:pt>
                <c:pt idx="398">
                  <c:v>17869.894531000002</c:v>
                </c:pt>
                <c:pt idx="399">
                  <c:v>20433.730468999998</c:v>
                </c:pt>
                <c:pt idx="403">
                  <c:v>15686.220703000001</c:v>
                </c:pt>
                <c:pt idx="405">
                  <c:v>30655.644531000002</c:v>
                </c:pt>
                <c:pt idx="406">
                  <c:v>28770.027343999998</c:v>
                </c:pt>
                <c:pt idx="407">
                  <c:v>30049.851562</c:v>
                </c:pt>
                <c:pt idx="430">
                  <c:v>21360.294922000001</c:v>
                </c:pt>
                <c:pt idx="434">
                  <c:v>23573.1875</c:v>
                </c:pt>
                <c:pt idx="436">
                  <c:v>10422.435546999999</c:v>
                </c:pt>
                <c:pt idx="437">
                  <c:v>26961.078125</c:v>
                </c:pt>
                <c:pt idx="438">
                  <c:v>17586.066406000002</c:v>
                </c:pt>
                <c:pt idx="439">
                  <c:v>18888.876952999999</c:v>
                </c:pt>
                <c:pt idx="440">
                  <c:v>24870.359375</c:v>
                </c:pt>
                <c:pt idx="441">
                  <c:v>20102.849609000001</c:v>
                </c:pt>
                <c:pt idx="442">
                  <c:v>18593.142577999999</c:v>
                </c:pt>
                <c:pt idx="443">
                  <c:v>16188.6875</c:v>
                </c:pt>
                <c:pt idx="444">
                  <c:v>20442.128906000002</c:v>
                </c:pt>
                <c:pt idx="456">
                  <c:v>23349.59375</c:v>
                </c:pt>
                <c:pt idx="457">
                  <c:v>20558.769531000002</c:v>
                </c:pt>
                <c:pt idx="458">
                  <c:v>20713.548827999999</c:v>
                </c:pt>
                <c:pt idx="459">
                  <c:v>25049.494140999999</c:v>
                </c:pt>
                <c:pt idx="460">
                  <c:v>14790.169921999999</c:v>
                </c:pt>
                <c:pt idx="467">
                  <c:v>6483.7470700000003</c:v>
                </c:pt>
                <c:pt idx="468">
                  <c:v>17710.476562</c:v>
                </c:pt>
                <c:pt idx="470">
                  <c:v>29994.886718999998</c:v>
                </c:pt>
                <c:pt idx="471">
                  <c:v>16646.431640999999</c:v>
                </c:pt>
                <c:pt idx="473">
                  <c:v>19608.105468999998</c:v>
                </c:pt>
                <c:pt idx="475">
                  <c:v>9327.5654300000006</c:v>
                </c:pt>
                <c:pt idx="476">
                  <c:v>10056.764648</c:v>
                </c:pt>
                <c:pt idx="481">
                  <c:v>19374.949218999998</c:v>
                </c:pt>
                <c:pt idx="486">
                  <c:v>4319.5708009999998</c:v>
                </c:pt>
                <c:pt idx="487">
                  <c:v>38712.15625</c:v>
                </c:pt>
                <c:pt idx="489">
                  <c:v>6483.7470700000003</c:v>
                </c:pt>
                <c:pt idx="490">
                  <c:v>4525.5776370000003</c:v>
                </c:pt>
                <c:pt idx="491">
                  <c:v>33859.6875</c:v>
                </c:pt>
                <c:pt idx="494">
                  <c:v>30507.140625</c:v>
                </c:pt>
                <c:pt idx="496">
                  <c:v>20734.320312</c:v>
                </c:pt>
                <c:pt idx="499">
                  <c:v>33521.027344000002</c:v>
                </c:pt>
                <c:pt idx="500">
                  <c:v>29805.939452999999</c:v>
                </c:pt>
                <c:pt idx="501">
                  <c:v>29582.496093999998</c:v>
                </c:pt>
                <c:pt idx="502">
                  <c:v>26676.529297000001</c:v>
                </c:pt>
                <c:pt idx="503">
                  <c:v>27735.917968999998</c:v>
                </c:pt>
                <c:pt idx="507">
                  <c:v>16794.769531000002</c:v>
                </c:pt>
                <c:pt idx="509">
                  <c:v>24569.109375</c:v>
                </c:pt>
                <c:pt idx="510">
                  <c:v>24211.787109000001</c:v>
                </c:pt>
                <c:pt idx="513">
                  <c:v>1684.1098629999999</c:v>
                </c:pt>
                <c:pt idx="514">
                  <c:v>17158.490234000001</c:v>
                </c:pt>
                <c:pt idx="515">
                  <c:v>18797.330077999999</c:v>
                </c:pt>
                <c:pt idx="517">
                  <c:v>19877.898438</c:v>
                </c:pt>
                <c:pt idx="519">
                  <c:v>18405.800781000002</c:v>
                </c:pt>
                <c:pt idx="521">
                  <c:v>18164.095702999999</c:v>
                </c:pt>
                <c:pt idx="523">
                  <c:v>17436.033202999999</c:v>
                </c:pt>
                <c:pt idx="532">
                  <c:v>20315.898438</c:v>
                </c:pt>
                <c:pt idx="535">
                  <c:v>14625.247069999999</c:v>
                </c:pt>
                <c:pt idx="543">
                  <c:v>21529.166015999999</c:v>
                </c:pt>
                <c:pt idx="544">
                  <c:v>14624.066406</c:v>
                </c:pt>
                <c:pt idx="551">
                  <c:v>1747.1206050000001</c:v>
                </c:pt>
                <c:pt idx="561">
                  <c:v>23526.082031000002</c:v>
                </c:pt>
                <c:pt idx="563">
                  <c:v>23077.027343999998</c:v>
                </c:pt>
                <c:pt idx="565">
                  <c:v>29806.384765999999</c:v>
                </c:pt>
                <c:pt idx="566">
                  <c:v>24912.363281000002</c:v>
                </c:pt>
                <c:pt idx="571">
                  <c:v>4346.4350590000004</c:v>
                </c:pt>
                <c:pt idx="572">
                  <c:v>4644.5898440000001</c:v>
                </c:pt>
                <c:pt idx="574">
                  <c:v>3249.4638669999999</c:v>
                </c:pt>
                <c:pt idx="575">
                  <c:v>3501.806885</c:v>
                </c:pt>
                <c:pt idx="578">
                  <c:v>8579.2246090000008</c:v>
                </c:pt>
                <c:pt idx="579">
                  <c:v>15074.466796999999</c:v>
                </c:pt>
                <c:pt idx="581">
                  <c:v>14822.768555000001</c:v>
                </c:pt>
                <c:pt idx="582">
                  <c:v>15181.166015999999</c:v>
                </c:pt>
                <c:pt idx="583">
                  <c:v>17924.015625</c:v>
                </c:pt>
                <c:pt idx="584">
                  <c:v>16651.548827999999</c:v>
                </c:pt>
                <c:pt idx="585">
                  <c:v>18884.558593999998</c:v>
                </c:pt>
                <c:pt idx="587">
                  <c:v>19877.478515999999</c:v>
                </c:pt>
                <c:pt idx="588">
                  <c:v>20735.953125</c:v>
                </c:pt>
                <c:pt idx="589">
                  <c:v>15642.276367</c:v>
                </c:pt>
                <c:pt idx="643">
                  <c:v>14461.248046999999</c:v>
                </c:pt>
                <c:pt idx="646">
                  <c:v>20113.472656000002</c:v>
                </c:pt>
                <c:pt idx="647">
                  <c:v>20515.982422000001</c:v>
                </c:pt>
                <c:pt idx="648">
                  <c:v>17549.816406000002</c:v>
                </c:pt>
                <c:pt idx="655">
                  <c:v>27098.158202999999</c:v>
                </c:pt>
                <c:pt idx="666">
                  <c:v>20966.109375</c:v>
                </c:pt>
                <c:pt idx="669">
                  <c:v>20088.693359000001</c:v>
                </c:pt>
                <c:pt idx="670">
                  <c:v>22583.847656000002</c:v>
                </c:pt>
                <c:pt idx="672">
                  <c:v>26484.007812</c:v>
                </c:pt>
                <c:pt idx="673">
                  <c:v>20065.240234000001</c:v>
                </c:pt>
                <c:pt idx="676">
                  <c:v>18226.771484000001</c:v>
                </c:pt>
                <c:pt idx="679">
                  <c:v>38480.796875</c:v>
                </c:pt>
                <c:pt idx="684">
                  <c:v>4722.7475590000004</c:v>
                </c:pt>
                <c:pt idx="685">
                  <c:v>9140.53125</c:v>
                </c:pt>
                <c:pt idx="688">
                  <c:v>9474.3300780000009</c:v>
                </c:pt>
                <c:pt idx="689">
                  <c:v>10271.800781</c:v>
                </c:pt>
                <c:pt idx="691">
                  <c:v>6347.7446289999998</c:v>
                </c:pt>
                <c:pt idx="692">
                  <c:v>6347.7446289999998</c:v>
                </c:pt>
                <c:pt idx="726">
                  <c:v>20386.878906000002</c:v>
                </c:pt>
                <c:pt idx="727">
                  <c:v>6289.7080079999996</c:v>
                </c:pt>
                <c:pt idx="729">
                  <c:v>5962.09375</c:v>
                </c:pt>
                <c:pt idx="730">
                  <c:v>3106.874268</c:v>
                </c:pt>
                <c:pt idx="732">
                  <c:v>4525.5776370000003</c:v>
                </c:pt>
                <c:pt idx="733">
                  <c:v>6483.7470700000003</c:v>
                </c:pt>
                <c:pt idx="738">
                  <c:v>18601.316406000002</c:v>
                </c:pt>
                <c:pt idx="743">
                  <c:v>20985.71875</c:v>
                </c:pt>
                <c:pt idx="745">
                  <c:v>26549.888672000001</c:v>
                </c:pt>
                <c:pt idx="746">
                  <c:v>23477.322265999999</c:v>
                </c:pt>
                <c:pt idx="747">
                  <c:v>13115.177734000001</c:v>
                </c:pt>
                <c:pt idx="750">
                  <c:v>24508.279297000001</c:v>
                </c:pt>
                <c:pt idx="752">
                  <c:v>33523.140625</c:v>
                </c:pt>
                <c:pt idx="753">
                  <c:v>33736.074219000002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62-4C84-A4CC-2B027AC6A079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worksheet!$V$4:$V$760</c:f>
              <c:numCache>
                <c:formatCode>General</c:formatCode>
                <c:ptCount val="757"/>
                <c:pt idx="13">
                  <c:v>2933</c:v>
                </c:pt>
                <c:pt idx="15">
                  <c:v>5214</c:v>
                </c:pt>
                <c:pt idx="17">
                  <c:v>5376</c:v>
                </c:pt>
                <c:pt idx="21">
                  <c:v>18692</c:v>
                </c:pt>
                <c:pt idx="22">
                  <c:v>23334</c:v>
                </c:pt>
                <c:pt idx="24">
                  <c:v>14033</c:v>
                </c:pt>
                <c:pt idx="27">
                  <c:v>19711</c:v>
                </c:pt>
                <c:pt idx="28">
                  <c:v>21001</c:v>
                </c:pt>
                <c:pt idx="33">
                  <c:v>17352</c:v>
                </c:pt>
                <c:pt idx="34">
                  <c:v>18707</c:v>
                </c:pt>
                <c:pt idx="60">
                  <c:v>19295</c:v>
                </c:pt>
                <c:pt idx="61">
                  <c:v>20237</c:v>
                </c:pt>
                <c:pt idx="62">
                  <c:v>20101</c:v>
                </c:pt>
                <c:pt idx="63">
                  <c:v>23020</c:v>
                </c:pt>
                <c:pt idx="64">
                  <c:v>18107</c:v>
                </c:pt>
                <c:pt idx="65">
                  <c:v>18499</c:v>
                </c:pt>
                <c:pt idx="66">
                  <c:v>29959</c:v>
                </c:pt>
                <c:pt idx="67">
                  <c:v>29030</c:v>
                </c:pt>
                <c:pt idx="68">
                  <c:v>30741</c:v>
                </c:pt>
                <c:pt idx="69">
                  <c:v>27068</c:v>
                </c:pt>
                <c:pt idx="70">
                  <c:v>29038</c:v>
                </c:pt>
                <c:pt idx="71">
                  <c:v>28272</c:v>
                </c:pt>
                <c:pt idx="72">
                  <c:v>23425</c:v>
                </c:pt>
                <c:pt idx="73">
                  <c:v>32716</c:v>
                </c:pt>
                <c:pt idx="74">
                  <c:v>21789</c:v>
                </c:pt>
                <c:pt idx="75">
                  <c:v>19717</c:v>
                </c:pt>
                <c:pt idx="76">
                  <c:v>32011</c:v>
                </c:pt>
                <c:pt idx="77">
                  <c:v>27118</c:v>
                </c:pt>
                <c:pt idx="78">
                  <c:v>31203</c:v>
                </c:pt>
                <c:pt idx="79">
                  <c:v>35806</c:v>
                </c:pt>
                <c:pt idx="80">
                  <c:v>30376</c:v>
                </c:pt>
                <c:pt idx="81">
                  <c:v>26224</c:v>
                </c:pt>
                <c:pt idx="82">
                  <c:v>16630</c:v>
                </c:pt>
                <c:pt idx="83">
                  <c:v>17965</c:v>
                </c:pt>
                <c:pt idx="84">
                  <c:v>13679</c:v>
                </c:pt>
                <c:pt idx="85">
                  <c:v>14280</c:v>
                </c:pt>
                <c:pt idx="86">
                  <c:v>12542</c:v>
                </c:pt>
                <c:pt idx="87">
                  <c:v>6694</c:v>
                </c:pt>
                <c:pt idx="89">
                  <c:v>17864</c:v>
                </c:pt>
                <c:pt idx="90">
                  <c:v>18732</c:v>
                </c:pt>
                <c:pt idx="93">
                  <c:v>21475</c:v>
                </c:pt>
                <c:pt idx="100">
                  <c:v>14935</c:v>
                </c:pt>
                <c:pt idx="101">
                  <c:v>14060</c:v>
                </c:pt>
                <c:pt idx="102">
                  <c:v>17739</c:v>
                </c:pt>
                <c:pt idx="114">
                  <c:v>11465</c:v>
                </c:pt>
                <c:pt idx="129">
                  <c:v>19695</c:v>
                </c:pt>
                <c:pt idx="130">
                  <c:v>16669</c:v>
                </c:pt>
                <c:pt idx="131">
                  <c:v>19924</c:v>
                </c:pt>
                <c:pt idx="132">
                  <c:v>20249</c:v>
                </c:pt>
                <c:pt idx="133">
                  <c:v>21678</c:v>
                </c:pt>
                <c:pt idx="134">
                  <c:v>21493</c:v>
                </c:pt>
                <c:pt idx="137">
                  <c:v>28959</c:v>
                </c:pt>
                <c:pt idx="139">
                  <c:v>25382</c:v>
                </c:pt>
                <c:pt idx="140">
                  <c:v>16116</c:v>
                </c:pt>
                <c:pt idx="142">
                  <c:v>22985</c:v>
                </c:pt>
                <c:pt idx="144">
                  <c:v>20830</c:v>
                </c:pt>
                <c:pt idx="145">
                  <c:v>30102</c:v>
                </c:pt>
                <c:pt idx="146">
                  <c:v>11716</c:v>
                </c:pt>
                <c:pt idx="147">
                  <c:v>23317</c:v>
                </c:pt>
                <c:pt idx="149">
                  <c:v>18036</c:v>
                </c:pt>
                <c:pt idx="159">
                  <c:v>22727</c:v>
                </c:pt>
                <c:pt idx="161">
                  <c:v>14572</c:v>
                </c:pt>
                <c:pt idx="163">
                  <c:v>25927</c:v>
                </c:pt>
                <c:pt idx="164">
                  <c:v>21035</c:v>
                </c:pt>
                <c:pt idx="166">
                  <c:v>16611</c:v>
                </c:pt>
                <c:pt idx="167">
                  <c:v>21780</c:v>
                </c:pt>
                <c:pt idx="169">
                  <c:v>5914</c:v>
                </c:pt>
                <c:pt idx="170">
                  <c:v>20249</c:v>
                </c:pt>
                <c:pt idx="171">
                  <c:v>21835</c:v>
                </c:pt>
                <c:pt idx="174">
                  <c:v>8372</c:v>
                </c:pt>
                <c:pt idx="177">
                  <c:v>18998</c:v>
                </c:pt>
                <c:pt idx="178">
                  <c:v>4233</c:v>
                </c:pt>
                <c:pt idx="180">
                  <c:v>14135</c:v>
                </c:pt>
                <c:pt idx="182">
                  <c:v>29803</c:v>
                </c:pt>
                <c:pt idx="184">
                  <c:v>26697</c:v>
                </c:pt>
                <c:pt idx="187">
                  <c:v>26635</c:v>
                </c:pt>
                <c:pt idx="190">
                  <c:v>757</c:v>
                </c:pt>
                <c:pt idx="192">
                  <c:v>1552</c:v>
                </c:pt>
                <c:pt idx="193">
                  <c:v>2769</c:v>
                </c:pt>
                <c:pt idx="206">
                  <c:v>20215</c:v>
                </c:pt>
                <c:pt idx="210">
                  <c:v>16943</c:v>
                </c:pt>
                <c:pt idx="211">
                  <c:v>20233</c:v>
                </c:pt>
                <c:pt idx="214">
                  <c:v>21606</c:v>
                </c:pt>
                <c:pt idx="216">
                  <c:v>21092</c:v>
                </c:pt>
                <c:pt idx="247">
                  <c:v>21728</c:v>
                </c:pt>
                <c:pt idx="249">
                  <c:v>9705</c:v>
                </c:pt>
                <c:pt idx="251">
                  <c:v>20955</c:v>
                </c:pt>
                <c:pt idx="257">
                  <c:v>16727</c:v>
                </c:pt>
                <c:pt idx="258">
                  <c:v>18413</c:v>
                </c:pt>
                <c:pt idx="265">
                  <c:v>18909</c:v>
                </c:pt>
                <c:pt idx="266">
                  <c:v>16666</c:v>
                </c:pt>
                <c:pt idx="267">
                  <c:v>19255</c:v>
                </c:pt>
                <c:pt idx="268">
                  <c:v>22193</c:v>
                </c:pt>
                <c:pt idx="269">
                  <c:v>19724</c:v>
                </c:pt>
                <c:pt idx="272">
                  <c:v>13580</c:v>
                </c:pt>
                <c:pt idx="275">
                  <c:v>16127</c:v>
                </c:pt>
                <c:pt idx="278">
                  <c:v>19768</c:v>
                </c:pt>
                <c:pt idx="282">
                  <c:v>21292</c:v>
                </c:pt>
                <c:pt idx="284">
                  <c:v>20582</c:v>
                </c:pt>
                <c:pt idx="285">
                  <c:v>20568</c:v>
                </c:pt>
                <c:pt idx="286">
                  <c:v>19999</c:v>
                </c:pt>
                <c:pt idx="288">
                  <c:v>22251</c:v>
                </c:pt>
                <c:pt idx="289">
                  <c:v>24283</c:v>
                </c:pt>
                <c:pt idx="290">
                  <c:v>21264</c:v>
                </c:pt>
                <c:pt idx="295">
                  <c:v>22442</c:v>
                </c:pt>
                <c:pt idx="297">
                  <c:v>21029</c:v>
                </c:pt>
                <c:pt idx="298">
                  <c:v>24646</c:v>
                </c:pt>
                <c:pt idx="299">
                  <c:v>21294</c:v>
                </c:pt>
                <c:pt idx="301">
                  <c:v>27852</c:v>
                </c:pt>
                <c:pt idx="303">
                  <c:v>24049</c:v>
                </c:pt>
                <c:pt idx="314">
                  <c:v>22898</c:v>
                </c:pt>
                <c:pt idx="315">
                  <c:v>19130</c:v>
                </c:pt>
                <c:pt idx="317">
                  <c:v>14023</c:v>
                </c:pt>
                <c:pt idx="319">
                  <c:v>14198</c:v>
                </c:pt>
                <c:pt idx="321">
                  <c:v>14999</c:v>
                </c:pt>
                <c:pt idx="323">
                  <c:v>31601</c:v>
                </c:pt>
                <c:pt idx="327">
                  <c:v>28355</c:v>
                </c:pt>
                <c:pt idx="329">
                  <c:v>29905</c:v>
                </c:pt>
                <c:pt idx="332">
                  <c:v>29788</c:v>
                </c:pt>
                <c:pt idx="333">
                  <c:v>28889</c:v>
                </c:pt>
                <c:pt idx="334">
                  <c:v>30700</c:v>
                </c:pt>
                <c:pt idx="335">
                  <c:v>28943</c:v>
                </c:pt>
                <c:pt idx="336">
                  <c:v>22950</c:v>
                </c:pt>
                <c:pt idx="338">
                  <c:v>35147</c:v>
                </c:pt>
                <c:pt idx="339">
                  <c:v>24886</c:v>
                </c:pt>
                <c:pt idx="341">
                  <c:v>11431</c:v>
                </c:pt>
                <c:pt idx="345">
                  <c:v>18571</c:v>
                </c:pt>
                <c:pt idx="348">
                  <c:v>18571</c:v>
                </c:pt>
                <c:pt idx="350">
                  <c:v>19570</c:v>
                </c:pt>
                <c:pt idx="355">
                  <c:v>21049</c:v>
                </c:pt>
                <c:pt idx="356">
                  <c:v>19875</c:v>
                </c:pt>
                <c:pt idx="373">
                  <c:v>23134</c:v>
                </c:pt>
                <c:pt idx="375">
                  <c:v>17086</c:v>
                </c:pt>
                <c:pt idx="377">
                  <c:v>19872</c:v>
                </c:pt>
                <c:pt idx="378">
                  <c:v>28304</c:v>
                </c:pt>
                <c:pt idx="389">
                  <c:v>17883</c:v>
                </c:pt>
                <c:pt idx="390">
                  <c:v>13241</c:v>
                </c:pt>
                <c:pt idx="392">
                  <c:v>10840</c:v>
                </c:pt>
                <c:pt idx="401">
                  <c:v>20825</c:v>
                </c:pt>
                <c:pt idx="402">
                  <c:v>25016</c:v>
                </c:pt>
                <c:pt idx="404">
                  <c:v>20948</c:v>
                </c:pt>
                <c:pt idx="428">
                  <c:v>30787</c:v>
                </c:pt>
                <c:pt idx="429">
                  <c:v>21357</c:v>
                </c:pt>
                <c:pt idx="431">
                  <c:v>17524</c:v>
                </c:pt>
                <c:pt idx="435">
                  <c:v>20069</c:v>
                </c:pt>
                <c:pt idx="445">
                  <c:v>23832</c:v>
                </c:pt>
                <c:pt idx="446">
                  <c:v>24040</c:v>
                </c:pt>
                <c:pt idx="447">
                  <c:v>13655</c:v>
                </c:pt>
                <c:pt idx="448">
                  <c:v>14247</c:v>
                </c:pt>
                <c:pt idx="449">
                  <c:v>19374</c:v>
                </c:pt>
                <c:pt idx="450">
                  <c:v>20981</c:v>
                </c:pt>
                <c:pt idx="451">
                  <c:v>19188</c:v>
                </c:pt>
                <c:pt idx="461">
                  <c:v>15531</c:v>
                </c:pt>
                <c:pt idx="462">
                  <c:v>21829</c:v>
                </c:pt>
                <c:pt idx="463">
                  <c:v>27045</c:v>
                </c:pt>
                <c:pt idx="464">
                  <c:v>27413</c:v>
                </c:pt>
                <c:pt idx="465">
                  <c:v>11803</c:v>
                </c:pt>
                <c:pt idx="469">
                  <c:v>26889</c:v>
                </c:pt>
                <c:pt idx="472">
                  <c:v>17403</c:v>
                </c:pt>
                <c:pt idx="474">
                  <c:v>13241</c:v>
                </c:pt>
                <c:pt idx="477">
                  <c:v>4115</c:v>
                </c:pt>
                <c:pt idx="478">
                  <c:v>5183</c:v>
                </c:pt>
                <c:pt idx="484">
                  <c:v>14690</c:v>
                </c:pt>
                <c:pt idx="485">
                  <c:v>20288</c:v>
                </c:pt>
                <c:pt idx="488">
                  <c:v>21723</c:v>
                </c:pt>
                <c:pt idx="492">
                  <c:v>8561</c:v>
                </c:pt>
                <c:pt idx="493">
                  <c:v>2864</c:v>
                </c:pt>
                <c:pt idx="497">
                  <c:v>26378</c:v>
                </c:pt>
                <c:pt idx="498">
                  <c:v>27538</c:v>
                </c:pt>
                <c:pt idx="504">
                  <c:v>19014</c:v>
                </c:pt>
                <c:pt idx="505">
                  <c:v>17492</c:v>
                </c:pt>
                <c:pt idx="506">
                  <c:v>14449</c:v>
                </c:pt>
                <c:pt idx="508">
                  <c:v>10880</c:v>
                </c:pt>
                <c:pt idx="511">
                  <c:v>16818</c:v>
                </c:pt>
                <c:pt idx="512">
                  <c:v>19445</c:v>
                </c:pt>
                <c:pt idx="516">
                  <c:v>10056</c:v>
                </c:pt>
                <c:pt idx="518">
                  <c:v>8921</c:v>
                </c:pt>
                <c:pt idx="520">
                  <c:v>9672</c:v>
                </c:pt>
                <c:pt idx="522">
                  <c:v>7434</c:v>
                </c:pt>
                <c:pt idx="524">
                  <c:v>7958</c:v>
                </c:pt>
                <c:pt idx="531">
                  <c:v>11506</c:v>
                </c:pt>
                <c:pt idx="536">
                  <c:v>12732</c:v>
                </c:pt>
                <c:pt idx="545">
                  <c:v>12591</c:v>
                </c:pt>
                <c:pt idx="560">
                  <c:v>17560</c:v>
                </c:pt>
                <c:pt idx="562">
                  <c:v>18771</c:v>
                </c:pt>
                <c:pt idx="564">
                  <c:v>26226</c:v>
                </c:pt>
                <c:pt idx="567">
                  <c:v>25401</c:v>
                </c:pt>
                <c:pt idx="570">
                  <c:v>11501</c:v>
                </c:pt>
                <c:pt idx="573">
                  <c:v>11019</c:v>
                </c:pt>
                <c:pt idx="576">
                  <c:v>9158</c:v>
                </c:pt>
                <c:pt idx="577">
                  <c:v>16668</c:v>
                </c:pt>
                <c:pt idx="580">
                  <c:v>24174</c:v>
                </c:pt>
                <c:pt idx="586">
                  <c:v>20376</c:v>
                </c:pt>
                <c:pt idx="640">
                  <c:v>16528</c:v>
                </c:pt>
                <c:pt idx="644">
                  <c:v>19293</c:v>
                </c:pt>
                <c:pt idx="645">
                  <c:v>18019</c:v>
                </c:pt>
                <c:pt idx="649">
                  <c:v>15983</c:v>
                </c:pt>
                <c:pt idx="653">
                  <c:v>12337</c:v>
                </c:pt>
                <c:pt idx="654">
                  <c:v>18744</c:v>
                </c:pt>
                <c:pt idx="667">
                  <c:v>22365</c:v>
                </c:pt>
                <c:pt idx="668">
                  <c:v>25627</c:v>
                </c:pt>
                <c:pt idx="671">
                  <c:v>23110</c:v>
                </c:pt>
                <c:pt idx="674">
                  <c:v>20217</c:v>
                </c:pt>
                <c:pt idx="675">
                  <c:v>9432</c:v>
                </c:pt>
                <c:pt idx="677">
                  <c:v>12370</c:v>
                </c:pt>
                <c:pt idx="678">
                  <c:v>24549</c:v>
                </c:pt>
                <c:pt idx="682">
                  <c:v>10958</c:v>
                </c:pt>
                <c:pt idx="686">
                  <c:v>5438</c:v>
                </c:pt>
                <c:pt idx="687">
                  <c:v>11022</c:v>
                </c:pt>
                <c:pt idx="690">
                  <c:v>12576</c:v>
                </c:pt>
                <c:pt idx="693">
                  <c:v>7791</c:v>
                </c:pt>
                <c:pt idx="694">
                  <c:v>10546</c:v>
                </c:pt>
                <c:pt idx="728">
                  <c:v>3405</c:v>
                </c:pt>
                <c:pt idx="731">
                  <c:v>2838</c:v>
                </c:pt>
                <c:pt idx="734">
                  <c:v>2478</c:v>
                </c:pt>
                <c:pt idx="735">
                  <c:v>2260</c:v>
                </c:pt>
                <c:pt idx="736">
                  <c:v>2152</c:v>
                </c:pt>
                <c:pt idx="737">
                  <c:v>2055</c:v>
                </c:pt>
                <c:pt idx="740">
                  <c:v>18486</c:v>
                </c:pt>
                <c:pt idx="741">
                  <c:v>5332</c:v>
                </c:pt>
                <c:pt idx="744">
                  <c:v>27665</c:v>
                </c:pt>
                <c:pt idx="748">
                  <c:v>21898</c:v>
                </c:pt>
                <c:pt idx="749">
                  <c:v>12404</c:v>
                </c:pt>
                <c:pt idx="751">
                  <c:v>5672</c:v>
                </c:pt>
                <c:pt idx="754">
                  <c:v>21409</c:v>
                </c:pt>
                <c:pt idx="755">
                  <c:v>21420</c:v>
                </c:pt>
              </c:numCache>
            </c:numRef>
          </c:xVal>
          <c:yVal>
            <c:numRef>
              <c:f>worksheet!$W$4:$W$760</c:f>
              <c:numCache>
                <c:formatCode>General</c:formatCode>
                <c:ptCount val="757"/>
                <c:pt idx="13">
                  <c:v>2260.2270509999998</c:v>
                </c:pt>
                <c:pt idx="15">
                  <c:v>4912.2539059999999</c:v>
                </c:pt>
                <c:pt idx="17">
                  <c:v>4118.1098629999997</c:v>
                </c:pt>
                <c:pt idx="21">
                  <c:v>20140.960938</c:v>
                </c:pt>
                <c:pt idx="22">
                  <c:v>20131.929688</c:v>
                </c:pt>
                <c:pt idx="24">
                  <c:v>15734.662109000001</c:v>
                </c:pt>
                <c:pt idx="27">
                  <c:v>18388.466797000001</c:v>
                </c:pt>
                <c:pt idx="28">
                  <c:v>20615.837890999999</c:v>
                </c:pt>
                <c:pt idx="33">
                  <c:v>16250.509765999999</c:v>
                </c:pt>
                <c:pt idx="34">
                  <c:v>17459.945312</c:v>
                </c:pt>
                <c:pt idx="60">
                  <c:v>26809.523438</c:v>
                </c:pt>
                <c:pt idx="61">
                  <c:v>30883.025390999999</c:v>
                </c:pt>
                <c:pt idx="62">
                  <c:v>26490.0625</c:v>
                </c:pt>
                <c:pt idx="63">
                  <c:v>31576.833984000001</c:v>
                </c:pt>
                <c:pt idx="64">
                  <c:v>24890.080077999999</c:v>
                </c:pt>
                <c:pt idx="65">
                  <c:v>34519.601562000003</c:v>
                </c:pt>
                <c:pt idx="66">
                  <c:v>37906.003905999998</c:v>
                </c:pt>
                <c:pt idx="67">
                  <c:v>36127.359375</c:v>
                </c:pt>
                <c:pt idx="68">
                  <c:v>37786.039062000003</c:v>
                </c:pt>
                <c:pt idx="69">
                  <c:v>24104.873047000001</c:v>
                </c:pt>
                <c:pt idx="70">
                  <c:v>33287.972655999998</c:v>
                </c:pt>
                <c:pt idx="71">
                  <c:v>33477.5625</c:v>
                </c:pt>
                <c:pt idx="72">
                  <c:v>26420.966797000001</c:v>
                </c:pt>
                <c:pt idx="73">
                  <c:v>39846.75</c:v>
                </c:pt>
                <c:pt idx="74">
                  <c:v>28762.302734000001</c:v>
                </c:pt>
                <c:pt idx="75">
                  <c:v>26552.71875</c:v>
                </c:pt>
                <c:pt idx="76">
                  <c:v>35267.824219000002</c:v>
                </c:pt>
                <c:pt idx="77">
                  <c:v>30525.400390999999</c:v>
                </c:pt>
                <c:pt idx="78">
                  <c:v>32409.998047000001</c:v>
                </c:pt>
                <c:pt idx="79">
                  <c:v>32834.386719000002</c:v>
                </c:pt>
                <c:pt idx="80">
                  <c:v>30056.591797000001</c:v>
                </c:pt>
                <c:pt idx="81">
                  <c:v>25396.898438</c:v>
                </c:pt>
                <c:pt idx="82">
                  <c:v>16984.791015999999</c:v>
                </c:pt>
                <c:pt idx="83">
                  <c:v>17630.005859000001</c:v>
                </c:pt>
                <c:pt idx="84">
                  <c:v>15539.817383</c:v>
                </c:pt>
                <c:pt idx="85">
                  <c:v>18086.373047000001</c:v>
                </c:pt>
                <c:pt idx="86">
                  <c:v>8546.2949219999991</c:v>
                </c:pt>
                <c:pt idx="87">
                  <c:v>6825.9545900000003</c:v>
                </c:pt>
                <c:pt idx="89">
                  <c:v>17153.404297000001</c:v>
                </c:pt>
                <c:pt idx="90">
                  <c:v>19867.166015999999</c:v>
                </c:pt>
                <c:pt idx="93">
                  <c:v>29358.111327999999</c:v>
                </c:pt>
                <c:pt idx="100">
                  <c:v>15151.928711</c:v>
                </c:pt>
                <c:pt idx="101">
                  <c:v>12828.628906</c:v>
                </c:pt>
                <c:pt idx="102">
                  <c:v>13165.798828000001</c:v>
                </c:pt>
                <c:pt idx="114">
                  <c:v>10731.844727</c:v>
                </c:pt>
                <c:pt idx="129">
                  <c:v>20268.236327999999</c:v>
                </c:pt>
                <c:pt idx="130">
                  <c:v>19867.166015999999</c:v>
                </c:pt>
                <c:pt idx="131">
                  <c:v>18653.888672000001</c:v>
                </c:pt>
                <c:pt idx="132">
                  <c:v>20102.951172000001</c:v>
                </c:pt>
                <c:pt idx="133">
                  <c:v>22955.121093999998</c:v>
                </c:pt>
                <c:pt idx="134">
                  <c:v>20347.445312</c:v>
                </c:pt>
                <c:pt idx="137">
                  <c:v>24334.28125</c:v>
                </c:pt>
                <c:pt idx="139">
                  <c:v>24434.988281000002</c:v>
                </c:pt>
                <c:pt idx="140">
                  <c:v>19336.683593999998</c:v>
                </c:pt>
                <c:pt idx="142">
                  <c:v>26946.195312</c:v>
                </c:pt>
                <c:pt idx="144">
                  <c:v>21752.992188</c:v>
                </c:pt>
                <c:pt idx="145">
                  <c:v>29478.955077999999</c:v>
                </c:pt>
                <c:pt idx="146">
                  <c:v>24601.699218999998</c:v>
                </c:pt>
                <c:pt idx="147">
                  <c:v>19762.931640999999</c:v>
                </c:pt>
                <c:pt idx="149">
                  <c:v>15473.75</c:v>
                </c:pt>
                <c:pt idx="159">
                  <c:v>22699.681640999999</c:v>
                </c:pt>
                <c:pt idx="161">
                  <c:v>23445.865234000001</c:v>
                </c:pt>
                <c:pt idx="163">
                  <c:v>30509.046875</c:v>
                </c:pt>
                <c:pt idx="164">
                  <c:v>23700.261718999998</c:v>
                </c:pt>
                <c:pt idx="166">
                  <c:v>22213.375</c:v>
                </c:pt>
                <c:pt idx="167">
                  <c:v>25798.265625</c:v>
                </c:pt>
                <c:pt idx="169">
                  <c:v>6356.9423829999996</c:v>
                </c:pt>
                <c:pt idx="170">
                  <c:v>20102.951172000001</c:v>
                </c:pt>
                <c:pt idx="171">
                  <c:v>20324.855468999998</c:v>
                </c:pt>
                <c:pt idx="174">
                  <c:v>8746.6435550000006</c:v>
                </c:pt>
                <c:pt idx="177">
                  <c:v>21269.275390999999</c:v>
                </c:pt>
                <c:pt idx="178">
                  <c:v>4199.8891599999997</c:v>
                </c:pt>
                <c:pt idx="180">
                  <c:v>17301.013672000001</c:v>
                </c:pt>
                <c:pt idx="182">
                  <c:v>35017.234375</c:v>
                </c:pt>
                <c:pt idx="184">
                  <c:v>30784.339843999998</c:v>
                </c:pt>
                <c:pt idx="187">
                  <c:v>32959.472655999998</c:v>
                </c:pt>
                <c:pt idx="190">
                  <c:v>1180.147461</c:v>
                </c:pt>
                <c:pt idx="192">
                  <c:v>1915.2257079999999</c:v>
                </c:pt>
                <c:pt idx="193">
                  <c:v>3155.4753420000002</c:v>
                </c:pt>
                <c:pt idx="206">
                  <c:v>21269.275390999999</c:v>
                </c:pt>
                <c:pt idx="210">
                  <c:v>14929.143555000001</c:v>
                </c:pt>
                <c:pt idx="211">
                  <c:v>17562.330077999999</c:v>
                </c:pt>
                <c:pt idx="214">
                  <c:v>22186.445312</c:v>
                </c:pt>
                <c:pt idx="216">
                  <c:v>22514.90625</c:v>
                </c:pt>
                <c:pt idx="247">
                  <c:v>21101.384765999999</c:v>
                </c:pt>
                <c:pt idx="249">
                  <c:v>7908.3774409999996</c:v>
                </c:pt>
                <c:pt idx="251">
                  <c:v>19640.533202999999</c:v>
                </c:pt>
                <c:pt idx="257">
                  <c:v>17223.634765999999</c:v>
                </c:pt>
                <c:pt idx="258">
                  <c:v>18015.130859000001</c:v>
                </c:pt>
                <c:pt idx="265">
                  <c:v>22804.449218999998</c:v>
                </c:pt>
                <c:pt idx="266">
                  <c:v>21718.832031000002</c:v>
                </c:pt>
                <c:pt idx="267">
                  <c:v>21684.171875</c:v>
                </c:pt>
                <c:pt idx="268">
                  <c:v>25555.226562</c:v>
                </c:pt>
                <c:pt idx="269">
                  <c:v>22115.740234000001</c:v>
                </c:pt>
                <c:pt idx="272">
                  <c:v>17803.623047000001</c:v>
                </c:pt>
                <c:pt idx="275">
                  <c:v>16280.399414</c:v>
                </c:pt>
                <c:pt idx="278">
                  <c:v>19295.306640999999</c:v>
                </c:pt>
                <c:pt idx="282">
                  <c:v>19964.664062</c:v>
                </c:pt>
                <c:pt idx="284">
                  <c:v>19064.914062</c:v>
                </c:pt>
                <c:pt idx="285">
                  <c:v>19428.822265999999</c:v>
                </c:pt>
                <c:pt idx="286">
                  <c:v>20684.109375</c:v>
                </c:pt>
                <c:pt idx="288">
                  <c:v>23280.683593999998</c:v>
                </c:pt>
                <c:pt idx="289">
                  <c:v>20878.109375</c:v>
                </c:pt>
                <c:pt idx="290">
                  <c:v>18697.166015999999</c:v>
                </c:pt>
                <c:pt idx="295">
                  <c:v>22404.412109000001</c:v>
                </c:pt>
                <c:pt idx="297">
                  <c:v>20416.167968999998</c:v>
                </c:pt>
                <c:pt idx="298">
                  <c:v>21767.917968999998</c:v>
                </c:pt>
                <c:pt idx="299">
                  <c:v>20548.189452999999</c:v>
                </c:pt>
                <c:pt idx="301">
                  <c:v>23023.044922000001</c:v>
                </c:pt>
                <c:pt idx="303">
                  <c:v>20931.857422000001</c:v>
                </c:pt>
                <c:pt idx="314">
                  <c:v>23011.384765999999</c:v>
                </c:pt>
                <c:pt idx="315">
                  <c:v>20670.119140999999</c:v>
                </c:pt>
                <c:pt idx="317">
                  <c:v>19650.345702999999</c:v>
                </c:pt>
                <c:pt idx="319">
                  <c:v>13394.523438</c:v>
                </c:pt>
                <c:pt idx="321">
                  <c:v>14800.663086</c:v>
                </c:pt>
                <c:pt idx="323">
                  <c:v>26727.076172000001</c:v>
                </c:pt>
                <c:pt idx="327">
                  <c:v>27969.427734000001</c:v>
                </c:pt>
                <c:pt idx="329">
                  <c:v>28587.242188</c:v>
                </c:pt>
                <c:pt idx="332">
                  <c:v>30836.078125</c:v>
                </c:pt>
                <c:pt idx="333">
                  <c:v>32198.744140999999</c:v>
                </c:pt>
                <c:pt idx="334">
                  <c:v>33734.023437999997</c:v>
                </c:pt>
                <c:pt idx="335">
                  <c:v>34108.730469000002</c:v>
                </c:pt>
                <c:pt idx="336">
                  <c:v>21245.775390999999</c:v>
                </c:pt>
                <c:pt idx="338">
                  <c:v>23679.675781000002</c:v>
                </c:pt>
                <c:pt idx="339">
                  <c:v>20698.996093999998</c:v>
                </c:pt>
                <c:pt idx="341">
                  <c:v>12578.014648</c:v>
                </c:pt>
                <c:pt idx="345">
                  <c:v>23333.398438</c:v>
                </c:pt>
                <c:pt idx="348">
                  <c:v>21410.935547000001</c:v>
                </c:pt>
                <c:pt idx="350">
                  <c:v>26757.148438</c:v>
                </c:pt>
                <c:pt idx="355">
                  <c:v>28499.787109000001</c:v>
                </c:pt>
                <c:pt idx="356">
                  <c:v>24547.953125</c:v>
                </c:pt>
                <c:pt idx="373">
                  <c:v>24033.806640999999</c:v>
                </c:pt>
                <c:pt idx="375">
                  <c:v>21550.384765999999</c:v>
                </c:pt>
                <c:pt idx="377">
                  <c:v>21519.048827999999</c:v>
                </c:pt>
                <c:pt idx="378">
                  <c:v>31958.804688</c:v>
                </c:pt>
                <c:pt idx="389">
                  <c:v>16453.330077999999</c:v>
                </c:pt>
                <c:pt idx="390">
                  <c:v>10274.478515999999</c:v>
                </c:pt>
                <c:pt idx="392">
                  <c:v>11890.033203000001</c:v>
                </c:pt>
                <c:pt idx="401">
                  <c:v>13179.798828000001</c:v>
                </c:pt>
                <c:pt idx="402">
                  <c:v>15696.981444999999</c:v>
                </c:pt>
                <c:pt idx="404">
                  <c:v>20066.865234000001</c:v>
                </c:pt>
                <c:pt idx="428">
                  <c:v>34693.183594000002</c:v>
                </c:pt>
                <c:pt idx="429">
                  <c:v>27787.896484000001</c:v>
                </c:pt>
                <c:pt idx="431">
                  <c:v>19930.167968999998</c:v>
                </c:pt>
                <c:pt idx="435">
                  <c:v>20716.410156000002</c:v>
                </c:pt>
                <c:pt idx="445">
                  <c:v>23282.759765999999</c:v>
                </c:pt>
                <c:pt idx="446">
                  <c:v>23875.779297000001</c:v>
                </c:pt>
                <c:pt idx="447">
                  <c:v>19312.359375</c:v>
                </c:pt>
                <c:pt idx="448">
                  <c:v>20951.939452999999</c:v>
                </c:pt>
                <c:pt idx="449">
                  <c:v>25383.552734000001</c:v>
                </c:pt>
                <c:pt idx="450">
                  <c:v>28713.763672000001</c:v>
                </c:pt>
                <c:pt idx="451">
                  <c:v>27141.736327999999</c:v>
                </c:pt>
                <c:pt idx="461">
                  <c:v>16690.216797000001</c:v>
                </c:pt>
                <c:pt idx="462">
                  <c:v>26535.144531000002</c:v>
                </c:pt>
                <c:pt idx="463">
                  <c:v>28318.865234000001</c:v>
                </c:pt>
                <c:pt idx="464">
                  <c:v>30701.773438</c:v>
                </c:pt>
                <c:pt idx="465">
                  <c:v>12370.199219</c:v>
                </c:pt>
                <c:pt idx="469">
                  <c:v>23564.941406000002</c:v>
                </c:pt>
                <c:pt idx="472">
                  <c:v>24890.080077999999</c:v>
                </c:pt>
                <c:pt idx="474">
                  <c:v>10274.478515999999</c:v>
                </c:pt>
                <c:pt idx="477">
                  <c:v>3654.3554690000001</c:v>
                </c:pt>
                <c:pt idx="478">
                  <c:v>5428.9711909999996</c:v>
                </c:pt>
                <c:pt idx="484">
                  <c:v>21097.476562</c:v>
                </c:pt>
                <c:pt idx="485">
                  <c:v>31391.683593999998</c:v>
                </c:pt>
                <c:pt idx="488">
                  <c:v>24406.072265999999</c:v>
                </c:pt>
                <c:pt idx="492">
                  <c:v>7642.4145509999998</c:v>
                </c:pt>
                <c:pt idx="493">
                  <c:v>2576.515625</c:v>
                </c:pt>
                <c:pt idx="497">
                  <c:v>26429.449218999998</c:v>
                </c:pt>
                <c:pt idx="498">
                  <c:v>26429.449218999998</c:v>
                </c:pt>
                <c:pt idx="504">
                  <c:v>18670.767577999999</c:v>
                </c:pt>
                <c:pt idx="505">
                  <c:v>17459.945312</c:v>
                </c:pt>
                <c:pt idx="506">
                  <c:v>12647.763671999999</c:v>
                </c:pt>
                <c:pt idx="508">
                  <c:v>12195.829102</c:v>
                </c:pt>
                <c:pt idx="511">
                  <c:v>23914.396484000001</c:v>
                </c:pt>
                <c:pt idx="512">
                  <c:v>24528.134765999999</c:v>
                </c:pt>
                <c:pt idx="516">
                  <c:v>13632.411133</c:v>
                </c:pt>
                <c:pt idx="518">
                  <c:v>10564.071289</c:v>
                </c:pt>
                <c:pt idx="520">
                  <c:v>10145.104492</c:v>
                </c:pt>
                <c:pt idx="522">
                  <c:v>14480.724609000001</c:v>
                </c:pt>
                <c:pt idx="524">
                  <c:v>14727.751953000001</c:v>
                </c:pt>
                <c:pt idx="531">
                  <c:v>13605.152344</c:v>
                </c:pt>
                <c:pt idx="536">
                  <c:v>12921.991211</c:v>
                </c:pt>
                <c:pt idx="545">
                  <c:v>12921.695312</c:v>
                </c:pt>
                <c:pt idx="560">
                  <c:v>22787.998047000001</c:v>
                </c:pt>
                <c:pt idx="562">
                  <c:v>30405.193359000001</c:v>
                </c:pt>
                <c:pt idx="564">
                  <c:v>29831.550781000002</c:v>
                </c:pt>
                <c:pt idx="567">
                  <c:v>31763.394531000002</c:v>
                </c:pt>
                <c:pt idx="570">
                  <c:v>6869.3139650000003</c:v>
                </c:pt>
                <c:pt idx="573">
                  <c:v>6683.8979490000002</c:v>
                </c:pt>
                <c:pt idx="576">
                  <c:v>5251.6083980000003</c:v>
                </c:pt>
                <c:pt idx="577">
                  <c:v>13641.490234000001</c:v>
                </c:pt>
                <c:pt idx="580">
                  <c:v>19633.830077999999</c:v>
                </c:pt>
                <c:pt idx="586">
                  <c:v>23565.056640999999</c:v>
                </c:pt>
                <c:pt idx="640">
                  <c:v>16870.421875</c:v>
                </c:pt>
                <c:pt idx="644">
                  <c:v>18208.244140999999</c:v>
                </c:pt>
                <c:pt idx="645">
                  <c:v>17498.544922000001</c:v>
                </c:pt>
                <c:pt idx="649">
                  <c:v>15723.182617</c:v>
                </c:pt>
                <c:pt idx="653">
                  <c:v>10345.674805000001</c:v>
                </c:pt>
                <c:pt idx="654">
                  <c:v>21829.029297000001</c:v>
                </c:pt>
                <c:pt idx="667">
                  <c:v>28445.037109000001</c:v>
                </c:pt>
                <c:pt idx="668">
                  <c:v>29174.890625</c:v>
                </c:pt>
                <c:pt idx="671">
                  <c:v>31971.744140999999</c:v>
                </c:pt>
                <c:pt idx="674">
                  <c:v>28089.830077999999</c:v>
                </c:pt>
                <c:pt idx="675">
                  <c:v>12409.535156</c:v>
                </c:pt>
                <c:pt idx="677">
                  <c:v>14624.327148</c:v>
                </c:pt>
                <c:pt idx="678">
                  <c:v>23598.720702999999</c:v>
                </c:pt>
                <c:pt idx="682">
                  <c:v>19602.171875</c:v>
                </c:pt>
                <c:pt idx="686">
                  <c:v>4813.5258789999998</c:v>
                </c:pt>
                <c:pt idx="687">
                  <c:v>10223.458008</c:v>
                </c:pt>
                <c:pt idx="690">
                  <c:v>10987.779296999999</c:v>
                </c:pt>
                <c:pt idx="693">
                  <c:v>5423.7290039999998</c:v>
                </c:pt>
                <c:pt idx="694">
                  <c:v>8111.9604490000002</c:v>
                </c:pt>
                <c:pt idx="728">
                  <c:v>2672.876221</c:v>
                </c:pt>
                <c:pt idx="731">
                  <c:v>2136.1215820000002</c:v>
                </c:pt>
                <c:pt idx="734">
                  <c:v>2686.0783689999998</c:v>
                </c:pt>
                <c:pt idx="735">
                  <c:v>2686.0783689999998</c:v>
                </c:pt>
                <c:pt idx="736">
                  <c:v>2686.0783689999998</c:v>
                </c:pt>
                <c:pt idx="737">
                  <c:v>2686.0783689999998</c:v>
                </c:pt>
                <c:pt idx="740">
                  <c:v>21332.662109000001</c:v>
                </c:pt>
                <c:pt idx="741">
                  <c:v>5855.5986329999996</c:v>
                </c:pt>
                <c:pt idx="744">
                  <c:v>26810.771484000001</c:v>
                </c:pt>
                <c:pt idx="748">
                  <c:v>21091.041015999999</c:v>
                </c:pt>
                <c:pt idx="749">
                  <c:v>12606.211914</c:v>
                </c:pt>
                <c:pt idx="751">
                  <c:v>3941.8483890000002</c:v>
                </c:pt>
                <c:pt idx="754">
                  <c:v>22075.931640999999</c:v>
                </c:pt>
                <c:pt idx="755">
                  <c:v>19453.318359000001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62-4C84-A4CC-2B027AC6A079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worksheet!$X$4:$X$760</c:f>
              <c:numCache>
                <c:formatCode>General</c:formatCode>
                <c:ptCount val="757"/>
                <c:pt idx="1">
                  <c:v>5669</c:v>
                </c:pt>
                <c:pt idx="10">
                  <c:v>15802</c:v>
                </c:pt>
                <c:pt idx="92">
                  <c:v>17701</c:v>
                </c:pt>
                <c:pt idx="107">
                  <c:v>6513</c:v>
                </c:pt>
                <c:pt idx="111">
                  <c:v>8295</c:v>
                </c:pt>
                <c:pt idx="112">
                  <c:v>6773</c:v>
                </c:pt>
                <c:pt idx="113">
                  <c:v>7326</c:v>
                </c:pt>
                <c:pt idx="119">
                  <c:v>15330</c:v>
                </c:pt>
                <c:pt idx="120">
                  <c:v>17628</c:v>
                </c:pt>
                <c:pt idx="121">
                  <c:v>16187</c:v>
                </c:pt>
                <c:pt idx="122">
                  <c:v>17762</c:v>
                </c:pt>
                <c:pt idx="123">
                  <c:v>15856</c:v>
                </c:pt>
                <c:pt idx="124">
                  <c:v>7547</c:v>
                </c:pt>
                <c:pt idx="125">
                  <c:v>3809</c:v>
                </c:pt>
                <c:pt idx="126">
                  <c:v>6492</c:v>
                </c:pt>
                <c:pt idx="154">
                  <c:v>12472</c:v>
                </c:pt>
                <c:pt idx="155">
                  <c:v>14936</c:v>
                </c:pt>
                <c:pt idx="173">
                  <c:v>8018</c:v>
                </c:pt>
                <c:pt idx="176">
                  <c:v>6056</c:v>
                </c:pt>
                <c:pt idx="198">
                  <c:v>9515</c:v>
                </c:pt>
                <c:pt idx="202">
                  <c:v>6715</c:v>
                </c:pt>
                <c:pt idx="203">
                  <c:v>3469</c:v>
                </c:pt>
                <c:pt idx="218">
                  <c:v>20299</c:v>
                </c:pt>
                <c:pt idx="219">
                  <c:v>24409</c:v>
                </c:pt>
                <c:pt idx="220">
                  <c:v>24409</c:v>
                </c:pt>
                <c:pt idx="221">
                  <c:v>15627</c:v>
                </c:pt>
                <c:pt idx="222">
                  <c:v>17634</c:v>
                </c:pt>
                <c:pt idx="224">
                  <c:v>21986</c:v>
                </c:pt>
                <c:pt idx="228">
                  <c:v>19260</c:v>
                </c:pt>
                <c:pt idx="230">
                  <c:v>6954</c:v>
                </c:pt>
                <c:pt idx="231">
                  <c:v>14191</c:v>
                </c:pt>
                <c:pt idx="233">
                  <c:v>11783</c:v>
                </c:pt>
                <c:pt idx="234">
                  <c:v>7477</c:v>
                </c:pt>
                <c:pt idx="236">
                  <c:v>21553</c:v>
                </c:pt>
                <c:pt idx="237">
                  <c:v>27071</c:v>
                </c:pt>
                <c:pt idx="239">
                  <c:v>11961</c:v>
                </c:pt>
                <c:pt idx="244">
                  <c:v>8306</c:v>
                </c:pt>
                <c:pt idx="253">
                  <c:v>11402</c:v>
                </c:pt>
                <c:pt idx="254">
                  <c:v>15506</c:v>
                </c:pt>
                <c:pt idx="255">
                  <c:v>11913</c:v>
                </c:pt>
                <c:pt idx="256">
                  <c:v>13748</c:v>
                </c:pt>
                <c:pt idx="260">
                  <c:v>8363</c:v>
                </c:pt>
                <c:pt idx="261">
                  <c:v>18328</c:v>
                </c:pt>
                <c:pt idx="306">
                  <c:v>15144</c:v>
                </c:pt>
                <c:pt idx="308">
                  <c:v>13595</c:v>
                </c:pt>
                <c:pt idx="311">
                  <c:v>12547</c:v>
                </c:pt>
                <c:pt idx="312">
                  <c:v>13806</c:v>
                </c:pt>
                <c:pt idx="352">
                  <c:v>10718</c:v>
                </c:pt>
                <c:pt idx="359">
                  <c:v>7702</c:v>
                </c:pt>
                <c:pt idx="361">
                  <c:v>7448</c:v>
                </c:pt>
                <c:pt idx="363">
                  <c:v>22829</c:v>
                </c:pt>
                <c:pt idx="364">
                  <c:v>24478</c:v>
                </c:pt>
                <c:pt idx="366">
                  <c:v>22466</c:v>
                </c:pt>
                <c:pt idx="367">
                  <c:v>22776</c:v>
                </c:pt>
                <c:pt idx="369">
                  <c:v>18472</c:v>
                </c:pt>
                <c:pt idx="371">
                  <c:v>18996</c:v>
                </c:pt>
                <c:pt idx="381">
                  <c:v>13758</c:v>
                </c:pt>
                <c:pt idx="383">
                  <c:v>12035</c:v>
                </c:pt>
                <c:pt idx="384">
                  <c:v>12035</c:v>
                </c:pt>
                <c:pt idx="386">
                  <c:v>11230</c:v>
                </c:pt>
                <c:pt idx="387">
                  <c:v>4738</c:v>
                </c:pt>
                <c:pt idx="394">
                  <c:v>25919</c:v>
                </c:pt>
                <c:pt idx="409">
                  <c:v>5806</c:v>
                </c:pt>
                <c:pt idx="410">
                  <c:v>7385</c:v>
                </c:pt>
                <c:pt idx="412">
                  <c:v>5505</c:v>
                </c:pt>
                <c:pt idx="414">
                  <c:v>5886</c:v>
                </c:pt>
                <c:pt idx="415">
                  <c:v>5188</c:v>
                </c:pt>
                <c:pt idx="416">
                  <c:v>5917</c:v>
                </c:pt>
                <c:pt idx="418">
                  <c:v>18053</c:v>
                </c:pt>
                <c:pt idx="420">
                  <c:v>13498</c:v>
                </c:pt>
                <c:pt idx="424">
                  <c:v>15169</c:v>
                </c:pt>
                <c:pt idx="425">
                  <c:v>12863</c:v>
                </c:pt>
                <c:pt idx="453">
                  <c:v>10019</c:v>
                </c:pt>
                <c:pt idx="454">
                  <c:v>18455</c:v>
                </c:pt>
                <c:pt idx="455">
                  <c:v>16431</c:v>
                </c:pt>
                <c:pt idx="466">
                  <c:v>5453</c:v>
                </c:pt>
                <c:pt idx="479">
                  <c:v>4828</c:v>
                </c:pt>
                <c:pt idx="480">
                  <c:v>14890</c:v>
                </c:pt>
                <c:pt idx="482">
                  <c:v>6082</c:v>
                </c:pt>
                <c:pt idx="483">
                  <c:v>11348</c:v>
                </c:pt>
                <c:pt idx="495">
                  <c:v>7928</c:v>
                </c:pt>
                <c:pt idx="525">
                  <c:v>8170</c:v>
                </c:pt>
                <c:pt idx="527">
                  <c:v>8710</c:v>
                </c:pt>
                <c:pt idx="530">
                  <c:v>12472</c:v>
                </c:pt>
                <c:pt idx="538">
                  <c:v>1614</c:v>
                </c:pt>
                <c:pt idx="539">
                  <c:v>13713</c:v>
                </c:pt>
                <c:pt idx="546">
                  <c:v>20372</c:v>
                </c:pt>
                <c:pt idx="550">
                  <c:v>14485</c:v>
                </c:pt>
                <c:pt idx="552">
                  <c:v>7444</c:v>
                </c:pt>
                <c:pt idx="553">
                  <c:v>12493</c:v>
                </c:pt>
                <c:pt idx="555">
                  <c:v>8477</c:v>
                </c:pt>
                <c:pt idx="556">
                  <c:v>6293</c:v>
                </c:pt>
                <c:pt idx="558">
                  <c:v>9861</c:v>
                </c:pt>
                <c:pt idx="559">
                  <c:v>9980</c:v>
                </c:pt>
                <c:pt idx="569">
                  <c:v>7458</c:v>
                </c:pt>
                <c:pt idx="590">
                  <c:v>10619</c:v>
                </c:pt>
                <c:pt idx="592">
                  <c:v>13093</c:v>
                </c:pt>
                <c:pt idx="593">
                  <c:v>14242</c:v>
                </c:pt>
                <c:pt idx="595">
                  <c:v>15038</c:v>
                </c:pt>
                <c:pt idx="597">
                  <c:v>12928</c:v>
                </c:pt>
                <c:pt idx="598">
                  <c:v>10717</c:v>
                </c:pt>
                <c:pt idx="600">
                  <c:v>10717</c:v>
                </c:pt>
                <c:pt idx="601">
                  <c:v>13497</c:v>
                </c:pt>
                <c:pt idx="604">
                  <c:v>17488</c:v>
                </c:pt>
                <c:pt idx="605">
                  <c:v>19080</c:v>
                </c:pt>
                <c:pt idx="607">
                  <c:v>16883</c:v>
                </c:pt>
                <c:pt idx="609">
                  <c:v>20572</c:v>
                </c:pt>
                <c:pt idx="610">
                  <c:v>9963</c:v>
                </c:pt>
                <c:pt idx="612">
                  <c:v>12056</c:v>
                </c:pt>
                <c:pt idx="615">
                  <c:v>12716</c:v>
                </c:pt>
                <c:pt idx="616">
                  <c:v>8290</c:v>
                </c:pt>
                <c:pt idx="617">
                  <c:v>9769</c:v>
                </c:pt>
                <c:pt idx="618">
                  <c:v>9769</c:v>
                </c:pt>
                <c:pt idx="620">
                  <c:v>7575</c:v>
                </c:pt>
                <c:pt idx="622">
                  <c:v>7200</c:v>
                </c:pt>
                <c:pt idx="624">
                  <c:v>4867</c:v>
                </c:pt>
                <c:pt idx="626">
                  <c:v>5692</c:v>
                </c:pt>
                <c:pt idx="628">
                  <c:v>2191</c:v>
                </c:pt>
                <c:pt idx="630">
                  <c:v>1811</c:v>
                </c:pt>
                <c:pt idx="632">
                  <c:v>7981</c:v>
                </c:pt>
                <c:pt idx="633">
                  <c:v>10361</c:v>
                </c:pt>
                <c:pt idx="635">
                  <c:v>8745</c:v>
                </c:pt>
                <c:pt idx="638">
                  <c:v>11849</c:v>
                </c:pt>
                <c:pt idx="639">
                  <c:v>19074</c:v>
                </c:pt>
                <c:pt idx="650">
                  <c:v>11696</c:v>
                </c:pt>
                <c:pt idx="652">
                  <c:v>11514</c:v>
                </c:pt>
                <c:pt idx="657">
                  <c:v>8745</c:v>
                </c:pt>
                <c:pt idx="660">
                  <c:v>8766</c:v>
                </c:pt>
                <c:pt idx="661">
                  <c:v>6569</c:v>
                </c:pt>
                <c:pt idx="662">
                  <c:v>13756</c:v>
                </c:pt>
                <c:pt idx="664">
                  <c:v>15465</c:v>
                </c:pt>
                <c:pt idx="680">
                  <c:v>14491</c:v>
                </c:pt>
                <c:pt idx="681">
                  <c:v>9018</c:v>
                </c:pt>
                <c:pt idx="695">
                  <c:v>14371</c:v>
                </c:pt>
                <c:pt idx="699">
                  <c:v>15747</c:v>
                </c:pt>
                <c:pt idx="701">
                  <c:v>15038</c:v>
                </c:pt>
                <c:pt idx="703">
                  <c:v>18588</c:v>
                </c:pt>
                <c:pt idx="704">
                  <c:v>9141</c:v>
                </c:pt>
                <c:pt idx="706">
                  <c:v>12622</c:v>
                </c:pt>
                <c:pt idx="707">
                  <c:v>11868</c:v>
                </c:pt>
                <c:pt idx="709">
                  <c:v>22199</c:v>
                </c:pt>
                <c:pt idx="710">
                  <c:v>22199</c:v>
                </c:pt>
                <c:pt idx="712">
                  <c:v>22801</c:v>
                </c:pt>
                <c:pt idx="713">
                  <c:v>21943</c:v>
                </c:pt>
                <c:pt idx="714">
                  <c:v>18221</c:v>
                </c:pt>
                <c:pt idx="716">
                  <c:v>5378</c:v>
                </c:pt>
                <c:pt idx="717">
                  <c:v>5024</c:v>
                </c:pt>
                <c:pt idx="720">
                  <c:v>4831</c:v>
                </c:pt>
                <c:pt idx="721">
                  <c:v>4856</c:v>
                </c:pt>
                <c:pt idx="724">
                  <c:v>16131</c:v>
                </c:pt>
                <c:pt idx="739">
                  <c:v>16167</c:v>
                </c:pt>
              </c:numCache>
            </c:numRef>
          </c:xVal>
          <c:yVal>
            <c:numRef>
              <c:f>worksheet!$Y$4:$Y$760</c:f>
              <c:numCache>
                <c:formatCode>General</c:formatCode>
                <c:ptCount val="757"/>
                <c:pt idx="1">
                  <c:v>7121.3784180000002</c:v>
                </c:pt>
                <c:pt idx="10">
                  <c:v>19872.023438</c:v>
                </c:pt>
                <c:pt idx="92">
                  <c:v>21085.214843999998</c:v>
                </c:pt>
                <c:pt idx="107">
                  <c:v>11044.945312</c:v>
                </c:pt>
                <c:pt idx="111">
                  <c:v>9277.9501949999994</c:v>
                </c:pt>
                <c:pt idx="112">
                  <c:v>7423.748047</c:v>
                </c:pt>
                <c:pt idx="113">
                  <c:v>8740.6875</c:v>
                </c:pt>
                <c:pt idx="119">
                  <c:v>20062.041015999999</c:v>
                </c:pt>
                <c:pt idx="120">
                  <c:v>21649.298827999999</c:v>
                </c:pt>
                <c:pt idx="121">
                  <c:v>20437.679688</c:v>
                </c:pt>
                <c:pt idx="122">
                  <c:v>18103.460938</c:v>
                </c:pt>
                <c:pt idx="123">
                  <c:v>15585.291992</c:v>
                </c:pt>
                <c:pt idx="124">
                  <c:v>13229.370117</c:v>
                </c:pt>
                <c:pt idx="125">
                  <c:v>1783.061279</c:v>
                </c:pt>
                <c:pt idx="126">
                  <c:v>7865.9296880000002</c:v>
                </c:pt>
                <c:pt idx="154">
                  <c:v>13471.100586</c:v>
                </c:pt>
                <c:pt idx="155">
                  <c:v>17853.105468999998</c:v>
                </c:pt>
                <c:pt idx="173">
                  <c:v>14314.711914</c:v>
                </c:pt>
                <c:pt idx="176">
                  <c:v>9656.4921880000002</c:v>
                </c:pt>
                <c:pt idx="198">
                  <c:v>10515.410156</c:v>
                </c:pt>
                <c:pt idx="202">
                  <c:v>3780.9726559999999</c:v>
                </c:pt>
                <c:pt idx="203">
                  <c:v>1967.7967530000001</c:v>
                </c:pt>
                <c:pt idx="218">
                  <c:v>16957.322265999999</c:v>
                </c:pt>
                <c:pt idx="219">
                  <c:v>22095.4375</c:v>
                </c:pt>
                <c:pt idx="220">
                  <c:v>19137.306640999999</c:v>
                </c:pt>
                <c:pt idx="221">
                  <c:v>13016.474609000001</c:v>
                </c:pt>
                <c:pt idx="222">
                  <c:v>15905.451171999999</c:v>
                </c:pt>
                <c:pt idx="224">
                  <c:v>27040.994140999999</c:v>
                </c:pt>
                <c:pt idx="228">
                  <c:v>19057.802734000001</c:v>
                </c:pt>
                <c:pt idx="230">
                  <c:v>7475.0463870000003</c:v>
                </c:pt>
                <c:pt idx="231">
                  <c:v>17090.572265999999</c:v>
                </c:pt>
                <c:pt idx="233">
                  <c:v>13876.410156</c:v>
                </c:pt>
                <c:pt idx="234">
                  <c:v>11403.620117</c:v>
                </c:pt>
                <c:pt idx="236">
                  <c:v>21119.693359000001</c:v>
                </c:pt>
                <c:pt idx="237">
                  <c:v>24171.101562</c:v>
                </c:pt>
                <c:pt idx="239">
                  <c:v>11659.515625</c:v>
                </c:pt>
                <c:pt idx="244">
                  <c:v>8477.9013670000004</c:v>
                </c:pt>
                <c:pt idx="253">
                  <c:v>12113.695312</c:v>
                </c:pt>
                <c:pt idx="254">
                  <c:v>14225.608398</c:v>
                </c:pt>
                <c:pt idx="255">
                  <c:v>11507.895508</c:v>
                </c:pt>
                <c:pt idx="256">
                  <c:v>12686.825194999999</c:v>
                </c:pt>
                <c:pt idx="260">
                  <c:v>9939.8212889999995</c:v>
                </c:pt>
                <c:pt idx="261">
                  <c:v>22530.097656000002</c:v>
                </c:pt>
                <c:pt idx="306">
                  <c:v>11792.741211</c:v>
                </c:pt>
                <c:pt idx="308">
                  <c:v>10434.219727</c:v>
                </c:pt>
                <c:pt idx="311">
                  <c:v>9904.4990230000003</c:v>
                </c:pt>
                <c:pt idx="312">
                  <c:v>12125.403319999999</c:v>
                </c:pt>
                <c:pt idx="352">
                  <c:v>12089.399414</c:v>
                </c:pt>
                <c:pt idx="359">
                  <c:v>13229.370117</c:v>
                </c:pt>
                <c:pt idx="361">
                  <c:v>11403.620117</c:v>
                </c:pt>
                <c:pt idx="363">
                  <c:v>22000.673827999999</c:v>
                </c:pt>
                <c:pt idx="364">
                  <c:v>24292.134765999999</c:v>
                </c:pt>
                <c:pt idx="366">
                  <c:v>22167.529297000001</c:v>
                </c:pt>
                <c:pt idx="367">
                  <c:v>23376.226562</c:v>
                </c:pt>
                <c:pt idx="369">
                  <c:v>19621.810547000001</c:v>
                </c:pt>
                <c:pt idx="371">
                  <c:v>21832.712890999999</c:v>
                </c:pt>
                <c:pt idx="381">
                  <c:v>14145.419921999999</c:v>
                </c:pt>
                <c:pt idx="383">
                  <c:v>12521.715819999999</c:v>
                </c:pt>
                <c:pt idx="384">
                  <c:v>12742.094727</c:v>
                </c:pt>
                <c:pt idx="386">
                  <c:v>11834.413086</c:v>
                </c:pt>
                <c:pt idx="387">
                  <c:v>5167.0859380000002</c:v>
                </c:pt>
                <c:pt idx="394">
                  <c:v>22583.816406000002</c:v>
                </c:pt>
                <c:pt idx="409">
                  <c:v>7528.3403319999998</c:v>
                </c:pt>
                <c:pt idx="410">
                  <c:v>9097.2070309999999</c:v>
                </c:pt>
                <c:pt idx="412">
                  <c:v>6504.1083980000003</c:v>
                </c:pt>
                <c:pt idx="414">
                  <c:v>8087.0600590000004</c:v>
                </c:pt>
                <c:pt idx="415">
                  <c:v>7528.3403319999998</c:v>
                </c:pt>
                <c:pt idx="416">
                  <c:v>6405.9536129999997</c:v>
                </c:pt>
                <c:pt idx="418">
                  <c:v>16431.582031000002</c:v>
                </c:pt>
                <c:pt idx="420">
                  <c:v>16431.582031000002</c:v>
                </c:pt>
                <c:pt idx="424">
                  <c:v>14407.948242</c:v>
                </c:pt>
                <c:pt idx="425">
                  <c:v>12627.659180000001</c:v>
                </c:pt>
                <c:pt idx="453">
                  <c:v>8359.4755860000005</c:v>
                </c:pt>
                <c:pt idx="454">
                  <c:v>17801.740234000001</c:v>
                </c:pt>
                <c:pt idx="455">
                  <c:v>14669.231444999999</c:v>
                </c:pt>
                <c:pt idx="466">
                  <c:v>8255.8037110000005</c:v>
                </c:pt>
                <c:pt idx="479">
                  <c:v>4749.0805659999996</c:v>
                </c:pt>
                <c:pt idx="480">
                  <c:v>22982.552734000001</c:v>
                </c:pt>
                <c:pt idx="482">
                  <c:v>7529.5283200000003</c:v>
                </c:pt>
                <c:pt idx="483">
                  <c:v>13876.410156</c:v>
                </c:pt>
                <c:pt idx="495">
                  <c:v>14314.711914</c:v>
                </c:pt>
                <c:pt idx="525">
                  <c:v>8879.09375</c:v>
                </c:pt>
                <c:pt idx="527">
                  <c:v>9422.9111329999996</c:v>
                </c:pt>
                <c:pt idx="530">
                  <c:v>13471.100586</c:v>
                </c:pt>
                <c:pt idx="538">
                  <c:v>634.33215299999995</c:v>
                </c:pt>
                <c:pt idx="539">
                  <c:v>12539.163086</c:v>
                </c:pt>
                <c:pt idx="546">
                  <c:v>20587.421875</c:v>
                </c:pt>
                <c:pt idx="550">
                  <c:v>15504.049805000001</c:v>
                </c:pt>
                <c:pt idx="552">
                  <c:v>7584.6748049999997</c:v>
                </c:pt>
                <c:pt idx="553">
                  <c:v>9526.1855469999991</c:v>
                </c:pt>
                <c:pt idx="555">
                  <c:v>7753.8090819999998</c:v>
                </c:pt>
                <c:pt idx="556">
                  <c:v>6076.7934569999998</c:v>
                </c:pt>
                <c:pt idx="558">
                  <c:v>9526.1855469999991</c:v>
                </c:pt>
                <c:pt idx="559">
                  <c:v>9390.5439449999994</c:v>
                </c:pt>
                <c:pt idx="569">
                  <c:v>6313.6069340000004</c:v>
                </c:pt>
                <c:pt idx="590">
                  <c:v>9153.0332030000009</c:v>
                </c:pt>
                <c:pt idx="592">
                  <c:v>15519.583008</c:v>
                </c:pt>
                <c:pt idx="593">
                  <c:v>14042.169921999999</c:v>
                </c:pt>
                <c:pt idx="595">
                  <c:v>14596.053711</c:v>
                </c:pt>
                <c:pt idx="597">
                  <c:v>13342.835938</c:v>
                </c:pt>
                <c:pt idx="598">
                  <c:v>15583.491211</c:v>
                </c:pt>
                <c:pt idx="600">
                  <c:v>13709.029296999999</c:v>
                </c:pt>
                <c:pt idx="601">
                  <c:v>12899.105469</c:v>
                </c:pt>
                <c:pt idx="604">
                  <c:v>17249.841797000001</c:v>
                </c:pt>
                <c:pt idx="605">
                  <c:v>18654.271484000001</c:v>
                </c:pt>
                <c:pt idx="607">
                  <c:v>16713.119140999999</c:v>
                </c:pt>
                <c:pt idx="609">
                  <c:v>17376.572265999999</c:v>
                </c:pt>
                <c:pt idx="610">
                  <c:v>11731.357421999999</c:v>
                </c:pt>
                <c:pt idx="612">
                  <c:v>9588.1044920000004</c:v>
                </c:pt>
                <c:pt idx="615">
                  <c:v>10108.418944999999</c:v>
                </c:pt>
                <c:pt idx="616">
                  <c:v>7187.8037109999996</c:v>
                </c:pt>
                <c:pt idx="617">
                  <c:v>8561.9775389999995</c:v>
                </c:pt>
                <c:pt idx="618">
                  <c:v>8561.9775389999995</c:v>
                </c:pt>
                <c:pt idx="620">
                  <c:v>6631.8139650000003</c:v>
                </c:pt>
                <c:pt idx="622">
                  <c:v>5587.0834960000002</c:v>
                </c:pt>
                <c:pt idx="624">
                  <c:v>3941.7145999999998</c:v>
                </c:pt>
                <c:pt idx="626">
                  <c:v>4961.3872069999998</c:v>
                </c:pt>
                <c:pt idx="628">
                  <c:v>1243.587524</c:v>
                </c:pt>
                <c:pt idx="630">
                  <c:v>847.37536599999999</c:v>
                </c:pt>
                <c:pt idx="632">
                  <c:v>8158.8969729999999</c:v>
                </c:pt>
                <c:pt idx="633">
                  <c:v>9955.1308590000008</c:v>
                </c:pt>
                <c:pt idx="635">
                  <c:v>7643.7426759999998</c:v>
                </c:pt>
                <c:pt idx="638">
                  <c:v>10692.170898</c:v>
                </c:pt>
                <c:pt idx="639">
                  <c:v>16358.929688</c:v>
                </c:pt>
                <c:pt idx="650">
                  <c:v>11245.690430000001</c:v>
                </c:pt>
                <c:pt idx="652">
                  <c:v>11301.975586</c:v>
                </c:pt>
                <c:pt idx="657">
                  <c:v>7643.7426759999998</c:v>
                </c:pt>
                <c:pt idx="660">
                  <c:v>6945.7744140000004</c:v>
                </c:pt>
                <c:pt idx="661">
                  <c:v>5456.6054690000001</c:v>
                </c:pt>
                <c:pt idx="662">
                  <c:v>10629.482421999999</c:v>
                </c:pt>
                <c:pt idx="664">
                  <c:v>11886.195312</c:v>
                </c:pt>
                <c:pt idx="680">
                  <c:v>14762.392578000001</c:v>
                </c:pt>
                <c:pt idx="681">
                  <c:v>8092.0366210000002</c:v>
                </c:pt>
                <c:pt idx="695">
                  <c:v>15430.521484000001</c:v>
                </c:pt>
                <c:pt idx="699">
                  <c:v>17249.279297000001</c:v>
                </c:pt>
                <c:pt idx="701">
                  <c:v>16941.630859000001</c:v>
                </c:pt>
                <c:pt idx="703">
                  <c:v>18551.257812</c:v>
                </c:pt>
                <c:pt idx="704">
                  <c:v>11687.135742</c:v>
                </c:pt>
                <c:pt idx="706">
                  <c:v>13892.342773</c:v>
                </c:pt>
                <c:pt idx="707">
                  <c:v>12675.560546999999</c:v>
                </c:pt>
                <c:pt idx="709">
                  <c:v>21972.509765999999</c:v>
                </c:pt>
                <c:pt idx="710">
                  <c:v>21304.689452999999</c:v>
                </c:pt>
                <c:pt idx="712">
                  <c:v>23623.019531000002</c:v>
                </c:pt>
                <c:pt idx="713">
                  <c:v>21921.298827999999</c:v>
                </c:pt>
                <c:pt idx="714">
                  <c:v>12230.083008</c:v>
                </c:pt>
                <c:pt idx="716">
                  <c:v>3744.255615</c:v>
                </c:pt>
                <c:pt idx="717">
                  <c:v>6414.8808589999999</c:v>
                </c:pt>
                <c:pt idx="720">
                  <c:v>6530.1904299999997</c:v>
                </c:pt>
                <c:pt idx="721">
                  <c:v>6530.1904299999997</c:v>
                </c:pt>
                <c:pt idx="724">
                  <c:v>18936.142577999999</c:v>
                </c:pt>
                <c:pt idx="739">
                  <c:v>20594.105468999998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62-4C84-A4CC-2B027AC6A079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worksheet!$Z$4:$Z$760</c:f>
              <c:numCache>
                <c:formatCode>General</c:formatCode>
                <c:ptCount val="757"/>
                <c:pt idx="103">
                  <c:v>17410</c:v>
                </c:pt>
                <c:pt idx="104">
                  <c:v>12887</c:v>
                </c:pt>
                <c:pt idx="105">
                  <c:v>15528</c:v>
                </c:pt>
                <c:pt idx="106">
                  <c:v>16404</c:v>
                </c:pt>
                <c:pt idx="108">
                  <c:v>12664</c:v>
                </c:pt>
                <c:pt idx="109">
                  <c:v>13722</c:v>
                </c:pt>
                <c:pt idx="110">
                  <c:v>11173</c:v>
                </c:pt>
                <c:pt idx="115">
                  <c:v>17040</c:v>
                </c:pt>
                <c:pt idx="116">
                  <c:v>11425</c:v>
                </c:pt>
                <c:pt idx="117">
                  <c:v>13522</c:v>
                </c:pt>
                <c:pt idx="118">
                  <c:v>18047</c:v>
                </c:pt>
                <c:pt idx="151">
                  <c:v>18241</c:v>
                </c:pt>
                <c:pt idx="152">
                  <c:v>13469</c:v>
                </c:pt>
                <c:pt idx="153">
                  <c:v>13844</c:v>
                </c:pt>
                <c:pt idx="156">
                  <c:v>11323</c:v>
                </c:pt>
                <c:pt idx="157">
                  <c:v>13576</c:v>
                </c:pt>
                <c:pt idx="158">
                  <c:v>15772</c:v>
                </c:pt>
                <c:pt idx="172">
                  <c:v>16332</c:v>
                </c:pt>
                <c:pt idx="197">
                  <c:v>7641</c:v>
                </c:pt>
                <c:pt idx="199">
                  <c:v>3466</c:v>
                </c:pt>
                <c:pt idx="201">
                  <c:v>5920</c:v>
                </c:pt>
                <c:pt idx="205">
                  <c:v>8226</c:v>
                </c:pt>
                <c:pt idx="207">
                  <c:v>20208</c:v>
                </c:pt>
                <c:pt idx="223">
                  <c:v>32396</c:v>
                </c:pt>
                <c:pt idx="225">
                  <c:v>28522</c:v>
                </c:pt>
                <c:pt idx="226">
                  <c:v>24705</c:v>
                </c:pt>
                <c:pt idx="227">
                  <c:v>21546</c:v>
                </c:pt>
                <c:pt idx="229">
                  <c:v>11876</c:v>
                </c:pt>
                <c:pt idx="232">
                  <c:v>15241</c:v>
                </c:pt>
                <c:pt idx="235">
                  <c:v>14494</c:v>
                </c:pt>
                <c:pt idx="238">
                  <c:v>31372</c:v>
                </c:pt>
                <c:pt idx="243">
                  <c:v>9505</c:v>
                </c:pt>
                <c:pt idx="262">
                  <c:v>21956</c:v>
                </c:pt>
                <c:pt idx="263">
                  <c:v>10358</c:v>
                </c:pt>
                <c:pt idx="307">
                  <c:v>17321</c:v>
                </c:pt>
                <c:pt idx="309">
                  <c:v>15033</c:v>
                </c:pt>
                <c:pt idx="310">
                  <c:v>15541</c:v>
                </c:pt>
                <c:pt idx="342">
                  <c:v>20885</c:v>
                </c:pt>
                <c:pt idx="343">
                  <c:v>32175</c:v>
                </c:pt>
                <c:pt idx="360">
                  <c:v>14034</c:v>
                </c:pt>
                <c:pt idx="365">
                  <c:v>32759</c:v>
                </c:pt>
                <c:pt idx="368">
                  <c:v>31197</c:v>
                </c:pt>
                <c:pt idx="370">
                  <c:v>29007</c:v>
                </c:pt>
                <c:pt idx="372">
                  <c:v>28021</c:v>
                </c:pt>
                <c:pt idx="380">
                  <c:v>25413</c:v>
                </c:pt>
                <c:pt idx="382">
                  <c:v>23078</c:v>
                </c:pt>
                <c:pt idx="385">
                  <c:v>21430</c:v>
                </c:pt>
                <c:pt idx="395">
                  <c:v>22510</c:v>
                </c:pt>
                <c:pt idx="400">
                  <c:v>10773</c:v>
                </c:pt>
                <c:pt idx="408">
                  <c:v>12710</c:v>
                </c:pt>
                <c:pt idx="411">
                  <c:v>12737</c:v>
                </c:pt>
                <c:pt idx="413">
                  <c:v>13298</c:v>
                </c:pt>
                <c:pt idx="417">
                  <c:v>12653</c:v>
                </c:pt>
                <c:pt idx="419">
                  <c:v>14152</c:v>
                </c:pt>
                <c:pt idx="421">
                  <c:v>15361</c:v>
                </c:pt>
                <c:pt idx="422">
                  <c:v>18307</c:v>
                </c:pt>
                <c:pt idx="423">
                  <c:v>10219</c:v>
                </c:pt>
                <c:pt idx="426">
                  <c:v>16661</c:v>
                </c:pt>
                <c:pt idx="427">
                  <c:v>13311</c:v>
                </c:pt>
                <c:pt idx="432">
                  <c:v>14757</c:v>
                </c:pt>
                <c:pt idx="433">
                  <c:v>11206</c:v>
                </c:pt>
                <c:pt idx="452">
                  <c:v>23483</c:v>
                </c:pt>
                <c:pt idx="526">
                  <c:v>12478</c:v>
                </c:pt>
                <c:pt idx="528">
                  <c:v>13752</c:v>
                </c:pt>
                <c:pt idx="529">
                  <c:v>11810</c:v>
                </c:pt>
                <c:pt idx="533">
                  <c:v>11784</c:v>
                </c:pt>
                <c:pt idx="534">
                  <c:v>13771</c:v>
                </c:pt>
                <c:pt idx="537">
                  <c:v>1608</c:v>
                </c:pt>
                <c:pt idx="540">
                  <c:v>16132</c:v>
                </c:pt>
                <c:pt idx="541">
                  <c:v>25270</c:v>
                </c:pt>
                <c:pt idx="542">
                  <c:v>25476</c:v>
                </c:pt>
                <c:pt idx="547">
                  <c:v>22897</c:v>
                </c:pt>
                <c:pt idx="548">
                  <c:v>25270</c:v>
                </c:pt>
                <c:pt idx="549">
                  <c:v>19235</c:v>
                </c:pt>
                <c:pt idx="554">
                  <c:v>7398</c:v>
                </c:pt>
                <c:pt idx="557">
                  <c:v>7486</c:v>
                </c:pt>
                <c:pt idx="568">
                  <c:v>8022</c:v>
                </c:pt>
                <c:pt idx="591">
                  <c:v>15496</c:v>
                </c:pt>
                <c:pt idx="594">
                  <c:v>18924</c:v>
                </c:pt>
                <c:pt idx="596">
                  <c:v>21485</c:v>
                </c:pt>
                <c:pt idx="599">
                  <c:v>21715</c:v>
                </c:pt>
                <c:pt idx="602">
                  <c:v>12709</c:v>
                </c:pt>
                <c:pt idx="603">
                  <c:v>23330</c:v>
                </c:pt>
                <c:pt idx="606">
                  <c:v>24159</c:v>
                </c:pt>
                <c:pt idx="608">
                  <c:v>26961</c:v>
                </c:pt>
                <c:pt idx="611">
                  <c:v>16047</c:v>
                </c:pt>
                <c:pt idx="613">
                  <c:v>15932</c:v>
                </c:pt>
                <c:pt idx="614">
                  <c:v>16600</c:v>
                </c:pt>
                <c:pt idx="619">
                  <c:v>13517</c:v>
                </c:pt>
                <c:pt idx="621">
                  <c:v>8493</c:v>
                </c:pt>
                <c:pt idx="623">
                  <c:v>10341</c:v>
                </c:pt>
                <c:pt idx="625">
                  <c:v>7863</c:v>
                </c:pt>
                <c:pt idx="627">
                  <c:v>8246</c:v>
                </c:pt>
                <c:pt idx="629">
                  <c:v>1915</c:v>
                </c:pt>
                <c:pt idx="631">
                  <c:v>9591</c:v>
                </c:pt>
                <c:pt idx="634">
                  <c:v>10970</c:v>
                </c:pt>
                <c:pt idx="636">
                  <c:v>11477</c:v>
                </c:pt>
                <c:pt idx="637">
                  <c:v>21198</c:v>
                </c:pt>
                <c:pt idx="641">
                  <c:v>4715</c:v>
                </c:pt>
                <c:pt idx="642">
                  <c:v>12559</c:v>
                </c:pt>
                <c:pt idx="651">
                  <c:v>15065</c:v>
                </c:pt>
                <c:pt idx="656">
                  <c:v>8655</c:v>
                </c:pt>
                <c:pt idx="658">
                  <c:v>10967</c:v>
                </c:pt>
                <c:pt idx="659">
                  <c:v>8529</c:v>
                </c:pt>
                <c:pt idx="663">
                  <c:v>18999</c:v>
                </c:pt>
                <c:pt idx="665">
                  <c:v>16037</c:v>
                </c:pt>
                <c:pt idx="683">
                  <c:v>6136</c:v>
                </c:pt>
                <c:pt idx="696">
                  <c:v>27341</c:v>
                </c:pt>
                <c:pt idx="697">
                  <c:v>21170</c:v>
                </c:pt>
                <c:pt idx="698">
                  <c:v>27704</c:v>
                </c:pt>
                <c:pt idx="700">
                  <c:v>26851</c:v>
                </c:pt>
                <c:pt idx="702">
                  <c:v>29831</c:v>
                </c:pt>
                <c:pt idx="705">
                  <c:v>17407</c:v>
                </c:pt>
                <c:pt idx="708">
                  <c:v>20068</c:v>
                </c:pt>
                <c:pt idx="711">
                  <c:v>25023</c:v>
                </c:pt>
                <c:pt idx="715">
                  <c:v>30291</c:v>
                </c:pt>
                <c:pt idx="718">
                  <c:v>10644</c:v>
                </c:pt>
                <c:pt idx="719">
                  <c:v>11369</c:v>
                </c:pt>
                <c:pt idx="722">
                  <c:v>10972</c:v>
                </c:pt>
                <c:pt idx="723">
                  <c:v>12174</c:v>
                </c:pt>
                <c:pt idx="725">
                  <c:v>2708</c:v>
                </c:pt>
                <c:pt idx="742">
                  <c:v>12855</c:v>
                </c:pt>
                <c:pt idx="756">
                  <c:v>25356</c:v>
                </c:pt>
              </c:numCache>
            </c:numRef>
          </c:xVal>
          <c:yVal>
            <c:numRef>
              <c:f>worksheet!$AA$4:$AA$760</c:f>
              <c:numCache>
                <c:formatCode>General</c:formatCode>
                <c:ptCount val="757"/>
                <c:pt idx="103">
                  <c:v>20860.212890999999</c:v>
                </c:pt>
                <c:pt idx="104">
                  <c:v>15300.839844</c:v>
                </c:pt>
                <c:pt idx="105">
                  <c:v>17831.539062</c:v>
                </c:pt>
                <c:pt idx="106">
                  <c:v>17831.539062</c:v>
                </c:pt>
                <c:pt idx="108">
                  <c:v>12700.825194999999</c:v>
                </c:pt>
                <c:pt idx="109">
                  <c:v>14583.092773</c:v>
                </c:pt>
                <c:pt idx="110">
                  <c:v>9782.2451170000004</c:v>
                </c:pt>
                <c:pt idx="115">
                  <c:v>20860.212890999999</c:v>
                </c:pt>
                <c:pt idx="116">
                  <c:v>12476.134765999999</c:v>
                </c:pt>
                <c:pt idx="117">
                  <c:v>14044.342773</c:v>
                </c:pt>
                <c:pt idx="118">
                  <c:v>20493.337890999999</c:v>
                </c:pt>
                <c:pt idx="151">
                  <c:v>16805.021484000001</c:v>
                </c:pt>
                <c:pt idx="152">
                  <c:v>13243.988281</c:v>
                </c:pt>
                <c:pt idx="153">
                  <c:v>15029.502930000001</c:v>
                </c:pt>
                <c:pt idx="156">
                  <c:v>13894.675781</c:v>
                </c:pt>
                <c:pt idx="157">
                  <c:v>17164.515625</c:v>
                </c:pt>
                <c:pt idx="158">
                  <c:v>20939.974609000001</c:v>
                </c:pt>
                <c:pt idx="172">
                  <c:v>21258.558593999998</c:v>
                </c:pt>
                <c:pt idx="197">
                  <c:v>11025.977539</c:v>
                </c:pt>
                <c:pt idx="199">
                  <c:v>4057.8901369999999</c:v>
                </c:pt>
                <c:pt idx="201">
                  <c:v>8493.9511719999991</c:v>
                </c:pt>
                <c:pt idx="205">
                  <c:v>10117.319336</c:v>
                </c:pt>
                <c:pt idx="207">
                  <c:v>19733.259765999999</c:v>
                </c:pt>
                <c:pt idx="223">
                  <c:v>35032.519530999998</c:v>
                </c:pt>
                <c:pt idx="225">
                  <c:v>32062.892577999999</c:v>
                </c:pt>
                <c:pt idx="226">
                  <c:v>23383.609375</c:v>
                </c:pt>
                <c:pt idx="227">
                  <c:v>21720.689452999999</c:v>
                </c:pt>
                <c:pt idx="229">
                  <c:v>14191.337890999999</c:v>
                </c:pt>
                <c:pt idx="232">
                  <c:v>19357.279297000001</c:v>
                </c:pt>
                <c:pt idx="235">
                  <c:v>17693.544922000001</c:v>
                </c:pt>
                <c:pt idx="238">
                  <c:v>32211.630859000001</c:v>
                </c:pt>
                <c:pt idx="243">
                  <c:v>8538.0449219999991</c:v>
                </c:pt>
                <c:pt idx="262">
                  <c:v>22969.519531000002</c:v>
                </c:pt>
                <c:pt idx="263">
                  <c:v>10515.212890999999</c:v>
                </c:pt>
                <c:pt idx="307">
                  <c:v>17350.5</c:v>
                </c:pt>
                <c:pt idx="309">
                  <c:v>15216.630859000001</c:v>
                </c:pt>
                <c:pt idx="310">
                  <c:v>15781.353515999999</c:v>
                </c:pt>
                <c:pt idx="342">
                  <c:v>20818.507812</c:v>
                </c:pt>
                <c:pt idx="343">
                  <c:v>36448.117187999997</c:v>
                </c:pt>
                <c:pt idx="360">
                  <c:v>17307.417968999998</c:v>
                </c:pt>
                <c:pt idx="365">
                  <c:v>39223.183594000002</c:v>
                </c:pt>
                <c:pt idx="368">
                  <c:v>37989.25</c:v>
                </c:pt>
                <c:pt idx="370">
                  <c:v>29659.685547000001</c:v>
                </c:pt>
                <c:pt idx="372">
                  <c:v>32558.337890999999</c:v>
                </c:pt>
                <c:pt idx="380">
                  <c:v>26780.556640999999</c:v>
                </c:pt>
                <c:pt idx="382">
                  <c:v>25083.037109000001</c:v>
                </c:pt>
                <c:pt idx="385">
                  <c:v>24066.369140999999</c:v>
                </c:pt>
                <c:pt idx="395">
                  <c:v>24158.677734000001</c:v>
                </c:pt>
                <c:pt idx="400">
                  <c:v>10832.131836</c:v>
                </c:pt>
                <c:pt idx="408">
                  <c:v>12247.650390999999</c:v>
                </c:pt>
                <c:pt idx="411">
                  <c:v>12556.775390999999</c:v>
                </c:pt>
                <c:pt idx="413">
                  <c:v>14247.068359000001</c:v>
                </c:pt>
                <c:pt idx="417">
                  <c:v>12247.650390999999</c:v>
                </c:pt>
                <c:pt idx="419">
                  <c:v>18340.689452999999</c:v>
                </c:pt>
                <c:pt idx="421">
                  <c:v>19198.648438</c:v>
                </c:pt>
                <c:pt idx="422">
                  <c:v>16772.240234000001</c:v>
                </c:pt>
                <c:pt idx="423">
                  <c:v>9648.4882809999999</c:v>
                </c:pt>
                <c:pt idx="426">
                  <c:v>15961.9375</c:v>
                </c:pt>
                <c:pt idx="427">
                  <c:v>13378.260742</c:v>
                </c:pt>
                <c:pt idx="432">
                  <c:v>17693.544922000001</c:v>
                </c:pt>
                <c:pt idx="433">
                  <c:v>16209.459961</c:v>
                </c:pt>
                <c:pt idx="452">
                  <c:v>23689.3125</c:v>
                </c:pt>
                <c:pt idx="526">
                  <c:v>14889.771484000001</c:v>
                </c:pt>
                <c:pt idx="528">
                  <c:v>14316.778319999999</c:v>
                </c:pt>
                <c:pt idx="529">
                  <c:v>13279.395508</c:v>
                </c:pt>
                <c:pt idx="533">
                  <c:v>14180.369140999999</c:v>
                </c:pt>
                <c:pt idx="534">
                  <c:v>14967.219727</c:v>
                </c:pt>
                <c:pt idx="537">
                  <c:v>1830.634888</c:v>
                </c:pt>
                <c:pt idx="540">
                  <c:v>16100.902344</c:v>
                </c:pt>
                <c:pt idx="541">
                  <c:v>24938.472656000002</c:v>
                </c:pt>
                <c:pt idx="542">
                  <c:v>28146.46875</c:v>
                </c:pt>
                <c:pt idx="547">
                  <c:v>25837.550781000002</c:v>
                </c:pt>
                <c:pt idx="548">
                  <c:v>28146.46875</c:v>
                </c:pt>
                <c:pt idx="549">
                  <c:v>20099.919922000001</c:v>
                </c:pt>
                <c:pt idx="554">
                  <c:v>9694.3769530000009</c:v>
                </c:pt>
                <c:pt idx="557">
                  <c:v>9806.2080079999996</c:v>
                </c:pt>
                <c:pt idx="568">
                  <c:v>6988.6923829999996</c:v>
                </c:pt>
                <c:pt idx="591">
                  <c:v>16487.349609000001</c:v>
                </c:pt>
                <c:pt idx="594">
                  <c:v>19294.236327999999</c:v>
                </c:pt>
                <c:pt idx="596">
                  <c:v>22162.855468999998</c:v>
                </c:pt>
                <c:pt idx="599">
                  <c:v>21784.257812</c:v>
                </c:pt>
                <c:pt idx="602">
                  <c:v>12505.868164</c:v>
                </c:pt>
                <c:pt idx="603">
                  <c:v>22810.544922000001</c:v>
                </c:pt>
                <c:pt idx="606">
                  <c:v>25169.216797000001</c:v>
                </c:pt>
                <c:pt idx="608">
                  <c:v>25857.818359000001</c:v>
                </c:pt>
                <c:pt idx="611">
                  <c:v>17381.960938</c:v>
                </c:pt>
                <c:pt idx="613">
                  <c:v>14283.464844</c:v>
                </c:pt>
                <c:pt idx="614">
                  <c:v>15158.868164</c:v>
                </c:pt>
                <c:pt idx="619">
                  <c:v>13287.690430000001</c:v>
                </c:pt>
                <c:pt idx="621">
                  <c:v>9066.1757809999999</c:v>
                </c:pt>
                <c:pt idx="623">
                  <c:v>9256.09375</c:v>
                </c:pt>
                <c:pt idx="625">
                  <c:v>8833.3300780000009</c:v>
                </c:pt>
                <c:pt idx="627">
                  <c:v>8869.7636719999991</c:v>
                </c:pt>
                <c:pt idx="629">
                  <c:v>2320.1208499999998</c:v>
                </c:pt>
                <c:pt idx="631">
                  <c:v>9401.4326170000004</c:v>
                </c:pt>
                <c:pt idx="634">
                  <c:v>11307.59375</c:v>
                </c:pt>
                <c:pt idx="636">
                  <c:v>12497.608398</c:v>
                </c:pt>
                <c:pt idx="637">
                  <c:v>24746.496093999998</c:v>
                </c:pt>
                <c:pt idx="641">
                  <c:v>7030.4902339999999</c:v>
                </c:pt>
                <c:pt idx="642">
                  <c:v>10440.34375</c:v>
                </c:pt>
                <c:pt idx="651">
                  <c:v>14981.489258</c:v>
                </c:pt>
                <c:pt idx="656">
                  <c:v>7749.8647460000002</c:v>
                </c:pt>
                <c:pt idx="658">
                  <c:v>10658.822265999999</c:v>
                </c:pt>
                <c:pt idx="659">
                  <c:v>11264.482421999999</c:v>
                </c:pt>
                <c:pt idx="663">
                  <c:v>18615.066406000002</c:v>
                </c:pt>
                <c:pt idx="665">
                  <c:v>16295.623046999999</c:v>
                </c:pt>
                <c:pt idx="683">
                  <c:v>12705.788086</c:v>
                </c:pt>
                <c:pt idx="696">
                  <c:v>27589.865234000001</c:v>
                </c:pt>
                <c:pt idx="697">
                  <c:v>24804.322265999999</c:v>
                </c:pt>
                <c:pt idx="698">
                  <c:v>29407.886718999998</c:v>
                </c:pt>
                <c:pt idx="700">
                  <c:v>28426.685547000001</c:v>
                </c:pt>
                <c:pt idx="702">
                  <c:v>32788.738280999998</c:v>
                </c:pt>
                <c:pt idx="705">
                  <c:v>19735.253906000002</c:v>
                </c:pt>
                <c:pt idx="708">
                  <c:v>20736.330077999999</c:v>
                </c:pt>
                <c:pt idx="711">
                  <c:v>26247.490234000001</c:v>
                </c:pt>
                <c:pt idx="715">
                  <c:v>32088.878906000002</c:v>
                </c:pt>
                <c:pt idx="718">
                  <c:v>12655.594727</c:v>
                </c:pt>
                <c:pt idx="719">
                  <c:v>11474.403319999999</c:v>
                </c:pt>
                <c:pt idx="722">
                  <c:v>10239.106444999999</c:v>
                </c:pt>
                <c:pt idx="723">
                  <c:v>15430.165039</c:v>
                </c:pt>
                <c:pt idx="725">
                  <c:v>3218.482422</c:v>
                </c:pt>
                <c:pt idx="742">
                  <c:v>17839.464843999998</c:v>
                </c:pt>
                <c:pt idx="756">
                  <c:v>26780.556640999999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762-4C84-A4CC-2B027AC6A079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762-4C84-A4CC-2B027AC6A079}"/>
              </c:ext>
            </c:extLst>
          </c:dPt>
          <c:xVal>
            <c:numLit>
              <c:formatCode>General</c:formatCode>
              <c:ptCount val="2"/>
              <c:pt idx="0">
                <c:v>0</c:v>
              </c:pt>
              <c:pt idx="1">
                <c:v>40000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D762-4C84-A4CC-2B027AC6A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52352"/>
        <c:axId val="98058624"/>
        <c:extLst/>
      </c:scatterChart>
      <c:valAx>
        <c:axId val="98052352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58624"/>
        <c:crosses val="autoZero"/>
        <c:crossBetween val="midCat"/>
        <c:majorUnit val="10000"/>
      </c:valAx>
      <c:valAx>
        <c:axId val="980586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52352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NB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I_5_NB!$H$2:$H$95</c:f>
              <c:numCache>
                <c:formatCode>0</c:formatCode>
                <c:ptCount val="94"/>
                <c:pt idx="0">
                  <c:v>6959</c:v>
                </c:pt>
                <c:pt idx="1">
                  <c:v>3216</c:v>
                </c:pt>
                <c:pt idx="2">
                  <c:v>3094</c:v>
                </c:pt>
                <c:pt idx="3">
                  <c:v>4940</c:v>
                </c:pt>
                <c:pt idx="4">
                  <c:v>4161</c:v>
                </c:pt>
                <c:pt idx="5">
                  <c:v>6313</c:v>
                </c:pt>
                <c:pt idx="6">
                  <c:v>6417</c:v>
                </c:pt>
                <c:pt idx="7">
                  <c:v>13335</c:v>
                </c:pt>
                <c:pt idx="8">
                  <c:v>9582</c:v>
                </c:pt>
                <c:pt idx="9">
                  <c:v>15901</c:v>
                </c:pt>
                <c:pt idx="10">
                  <c:v>15095</c:v>
                </c:pt>
                <c:pt idx="11">
                  <c:v>13340</c:v>
                </c:pt>
                <c:pt idx="12">
                  <c:v>16048</c:v>
                </c:pt>
                <c:pt idx="13">
                  <c:v>13856</c:v>
                </c:pt>
                <c:pt idx="14">
                  <c:v>16098</c:v>
                </c:pt>
                <c:pt idx="15">
                  <c:v>16472</c:v>
                </c:pt>
                <c:pt idx="16">
                  <c:v>16589</c:v>
                </c:pt>
                <c:pt idx="17">
                  <c:v>16211</c:v>
                </c:pt>
                <c:pt idx="18">
                  <c:v>13780</c:v>
                </c:pt>
                <c:pt idx="19">
                  <c:v>15393</c:v>
                </c:pt>
                <c:pt idx="20">
                  <c:v>13528</c:v>
                </c:pt>
                <c:pt idx="21">
                  <c:v>18512</c:v>
                </c:pt>
                <c:pt idx="22">
                  <c:v>19491</c:v>
                </c:pt>
                <c:pt idx="23">
                  <c:v>13222</c:v>
                </c:pt>
                <c:pt idx="24">
                  <c:v>13512</c:v>
                </c:pt>
                <c:pt idx="25">
                  <c:v>16004</c:v>
                </c:pt>
                <c:pt idx="26">
                  <c:v>17494</c:v>
                </c:pt>
                <c:pt idx="27">
                  <c:v>17981</c:v>
                </c:pt>
                <c:pt idx="28">
                  <c:v>16768</c:v>
                </c:pt>
                <c:pt idx="29">
                  <c:v>25692</c:v>
                </c:pt>
                <c:pt idx="30">
                  <c:v>24518</c:v>
                </c:pt>
                <c:pt idx="31">
                  <c:v>16511</c:v>
                </c:pt>
                <c:pt idx="32">
                  <c:v>17069</c:v>
                </c:pt>
                <c:pt idx="33">
                  <c:v>22881</c:v>
                </c:pt>
                <c:pt idx="34">
                  <c:v>18567</c:v>
                </c:pt>
                <c:pt idx="35">
                  <c:v>18612</c:v>
                </c:pt>
                <c:pt idx="36">
                  <c:v>17424</c:v>
                </c:pt>
                <c:pt idx="37">
                  <c:v>19134</c:v>
                </c:pt>
                <c:pt idx="38">
                  <c:v>21648</c:v>
                </c:pt>
                <c:pt idx="39">
                  <c:v>21758</c:v>
                </c:pt>
                <c:pt idx="40">
                  <c:v>16826</c:v>
                </c:pt>
                <c:pt idx="41">
                  <c:v>21260</c:v>
                </c:pt>
                <c:pt idx="42">
                  <c:v>18096</c:v>
                </c:pt>
                <c:pt idx="43">
                  <c:v>22959</c:v>
                </c:pt>
                <c:pt idx="44">
                  <c:v>17572</c:v>
                </c:pt>
                <c:pt idx="45">
                  <c:v>15363</c:v>
                </c:pt>
                <c:pt idx="46">
                  <c:v>19336</c:v>
                </c:pt>
                <c:pt idx="47">
                  <c:v>14218</c:v>
                </c:pt>
                <c:pt idx="48">
                  <c:v>13075</c:v>
                </c:pt>
                <c:pt idx="49">
                  <c:v>15069</c:v>
                </c:pt>
                <c:pt idx="50">
                  <c:v>13386</c:v>
                </c:pt>
                <c:pt idx="51">
                  <c:v>15159</c:v>
                </c:pt>
                <c:pt idx="52">
                  <c:v>18001</c:v>
                </c:pt>
                <c:pt idx="53">
                  <c:v>18088</c:v>
                </c:pt>
                <c:pt idx="54">
                  <c:v>7722</c:v>
                </c:pt>
                <c:pt idx="55">
                  <c:v>21677</c:v>
                </c:pt>
                <c:pt idx="56">
                  <c:v>19035</c:v>
                </c:pt>
                <c:pt idx="57">
                  <c:v>18033</c:v>
                </c:pt>
                <c:pt idx="58">
                  <c:v>14712</c:v>
                </c:pt>
                <c:pt idx="59">
                  <c:v>13753</c:v>
                </c:pt>
                <c:pt idx="60">
                  <c:v>20207</c:v>
                </c:pt>
                <c:pt idx="61">
                  <c:v>19331</c:v>
                </c:pt>
                <c:pt idx="62">
                  <c:v>19682</c:v>
                </c:pt>
                <c:pt idx="63">
                  <c:v>26077</c:v>
                </c:pt>
                <c:pt idx="64">
                  <c:v>20329</c:v>
                </c:pt>
                <c:pt idx="65">
                  <c:v>21633</c:v>
                </c:pt>
                <c:pt idx="66">
                  <c:v>23882</c:v>
                </c:pt>
                <c:pt idx="67">
                  <c:v>22187</c:v>
                </c:pt>
                <c:pt idx="68">
                  <c:v>22833</c:v>
                </c:pt>
                <c:pt idx="69">
                  <c:v>21979</c:v>
                </c:pt>
                <c:pt idx="70">
                  <c:v>22879</c:v>
                </c:pt>
                <c:pt idx="71">
                  <c:v>21038</c:v>
                </c:pt>
                <c:pt idx="72">
                  <c:v>22142</c:v>
                </c:pt>
                <c:pt idx="73">
                  <c:v>22564</c:v>
                </c:pt>
                <c:pt idx="74">
                  <c:v>21530</c:v>
                </c:pt>
                <c:pt idx="75">
                  <c:v>22460</c:v>
                </c:pt>
                <c:pt idx="76">
                  <c:v>20344</c:v>
                </c:pt>
                <c:pt idx="77">
                  <c:v>18707</c:v>
                </c:pt>
                <c:pt idx="78">
                  <c:v>19631</c:v>
                </c:pt>
                <c:pt idx="79">
                  <c:v>20084</c:v>
                </c:pt>
                <c:pt idx="80">
                  <c:v>18732</c:v>
                </c:pt>
                <c:pt idx="81">
                  <c:v>20930</c:v>
                </c:pt>
                <c:pt idx="82">
                  <c:v>24173</c:v>
                </c:pt>
                <c:pt idx="83">
                  <c:v>24326</c:v>
                </c:pt>
                <c:pt idx="84">
                  <c:v>23458</c:v>
                </c:pt>
                <c:pt idx="85">
                  <c:v>21321</c:v>
                </c:pt>
                <c:pt idx="86">
                  <c:v>23051</c:v>
                </c:pt>
                <c:pt idx="87">
                  <c:v>19328</c:v>
                </c:pt>
                <c:pt idx="88">
                  <c:v>15508</c:v>
                </c:pt>
                <c:pt idx="89">
                  <c:v>16392</c:v>
                </c:pt>
                <c:pt idx="90">
                  <c:v>13004</c:v>
                </c:pt>
                <c:pt idx="91">
                  <c:v>11005</c:v>
                </c:pt>
                <c:pt idx="92">
                  <c:v>11331</c:v>
                </c:pt>
                <c:pt idx="93">
                  <c:v>12094</c:v>
                </c:pt>
              </c:numCache>
            </c:numRef>
          </c:xVal>
          <c:yVal>
            <c:numRef>
              <c:f>I_5_NB!$I$2:$I$95</c:f>
              <c:numCache>
                <c:formatCode>0</c:formatCode>
                <c:ptCount val="94"/>
                <c:pt idx="0">
                  <c:v>3575.4819339999999</c:v>
                </c:pt>
                <c:pt idx="1">
                  <c:v>1747.1206050000001</c:v>
                </c:pt>
                <c:pt idx="2">
                  <c:v>1684.1098629999999</c:v>
                </c:pt>
                <c:pt idx="3">
                  <c:v>3501.806885</c:v>
                </c:pt>
                <c:pt idx="4">
                  <c:v>3249.4638669999999</c:v>
                </c:pt>
                <c:pt idx="5">
                  <c:v>4346.4350590000004</c:v>
                </c:pt>
                <c:pt idx="6">
                  <c:v>4644.5898440000001</c:v>
                </c:pt>
                <c:pt idx="7">
                  <c:v>10422.435546999999</c:v>
                </c:pt>
                <c:pt idx="8">
                  <c:v>8579.2246090000008</c:v>
                </c:pt>
                <c:pt idx="9">
                  <c:v>15074.466796999999</c:v>
                </c:pt>
                <c:pt idx="10">
                  <c:v>14822.768555000001</c:v>
                </c:pt>
                <c:pt idx="11">
                  <c:v>15181.166015999999</c:v>
                </c:pt>
                <c:pt idx="12">
                  <c:v>17924.015625</c:v>
                </c:pt>
                <c:pt idx="13">
                  <c:v>16651.548827999999</c:v>
                </c:pt>
                <c:pt idx="14">
                  <c:v>18884.558593999998</c:v>
                </c:pt>
                <c:pt idx="15">
                  <c:v>19877.478515999999</c:v>
                </c:pt>
                <c:pt idx="16">
                  <c:v>20735.953125</c:v>
                </c:pt>
                <c:pt idx="17">
                  <c:v>15642.276367</c:v>
                </c:pt>
                <c:pt idx="18">
                  <c:v>20966.109375</c:v>
                </c:pt>
                <c:pt idx="19">
                  <c:v>20088.693359000001</c:v>
                </c:pt>
                <c:pt idx="20">
                  <c:v>22583.847656000002</c:v>
                </c:pt>
                <c:pt idx="21">
                  <c:v>26484.007812</c:v>
                </c:pt>
                <c:pt idx="22">
                  <c:v>26961.078125</c:v>
                </c:pt>
                <c:pt idx="23">
                  <c:v>17586.066406000002</c:v>
                </c:pt>
                <c:pt idx="24">
                  <c:v>20065.240234000001</c:v>
                </c:pt>
                <c:pt idx="25">
                  <c:v>18888.876952999999</c:v>
                </c:pt>
                <c:pt idx="26">
                  <c:v>23526.082031000002</c:v>
                </c:pt>
                <c:pt idx="27">
                  <c:v>23077.027343999998</c:v>
                </c:pt>
                <c:pt idx="28">
                  <c:v>26549.888672000001</c:v>
                </c:pt>
                <c:pt idx="29">
                  <c:v>29806.384765999999</c:v>
                </c:pt>
                <c:pt idx="30">
                  <c:v>24912.363281000002</c:v>
                </c:pt>
                <c:pt idx="31">
                  <c:v>20386.878906000002</c:v>
                </c:pt>
                <c:pt idx="32">
                  <c:v>18601.316406000002</c:v>
                </c:pt>
                <c:pt idx="33">
                  <c:v>23477.322265999999</c:v>
                </c:pt>
                <c:pt idx="34">
                  <c:v>24870.359375</c:v>
                </c:pt>
                <c:pt idx="35">
                  <c:v>20102.849609000001</c:v>
                </c:pt>
                <c:pt idx="36">
                  <c:v>18593.142577999999</c:v>
                </c:pt>
                <c:pt idx="37">
                  <c:v>20273.744140999999</c:v>
                </c:pt>
                <c:pt idx="38">
                  <c:v>20985.71875</c:v>
                </c:pt>
                <c:pt idx="39">
                  <c:v>20985.71875</c:v>
                </c:pt>
                <c:pt idx="40">
                  <c:v>16188.6875</c:v>
                </c:pt>
                <c:pt idx="41">
                  <c:v>24569.109375</c:v>
                </c:pt>
                <c:pt idx="42">
                  <c:v>27119.654297000001</c:v>
                </c:pt>
                <c:pt idx="43">
                  <c:v>24965.744140999999</c:v>
                </c:pt>
                <c:pt idx="44">
                  <c:v>20442.128906000002</c:v>
                </c:pt>
                <c:pt idx="45">
                  <c:v>17086.748047000001</c:v>
                </c:pt>
                <c:pt idx="46">
                  <c:v>20734.320312</c:v>
                </c:pt>
                <c:pt idx="47">
                  <c:v>18711.841797000001</c:v>
                </c:pt>
                <c:pt idx="48">
                  <c:v>17324.595702999999</c:v>
                </c:pt>
                <c:pt idx="49">
                  <c:v>18539.802734000001</c:v>
                </c:pt>
                <c:pt idx="50">
                  <c:v>19409.296875</c:v>
                </c:pt>
                <c:pt idx="51">
                  <c:v>15634.189453000001</c:v>
                </c:pt>
                <c:pt idx="52">
                  <c:v>19797.003906000002</c:v>
                </c:pt>
                <c:pt idx="53">
                  <c:v>23667.734375</c:v>
                </c:pt>
                <c:pt idx="54">
                  <c:v>15294.254883</c:v>
                </c:pt>
                <c:pt idx="55">
                  <c:v>33521.027344000002</c:v>
                </c:pt>
                <c:pt idx="56">
                  <c:v>33521.027344000002</c:v>
                </c:pt>
                <c:pt idx="57">
                  <c:v>31562.857422000001</c:v>
                </c:pt>
                <c:pt idx="58">
                  <c:v>29994.886718999998</c:v>
                </c:pt>
                <c:pt idx="59">
                  <c:v>34674.292969000002</c:v>
                </c:pt>
                <c:pt idx="60">
                  <c:v>30935.710938</c:v>
                </c:pt>
                <c:pt idx="61">
                  <c:v>33859.6875</c:v>
                </c:pt>
                <c:pt idx="62">
                  <c:v>30474.693359000001</c:v>
                </c:pt>
                <c:pt idx="63">
                  <c:v>32117.257812</c:v>
                </c:pt>
                <c:pt idx="64">
                  <c:v>29805.939452999999</c:v>
                </c:pt>
                <c:pt idx="65">
                  <c:v>37820.757812000003</c:v>
                </c:pt>
                <c:pt idx="66">
                  <c:v>33316.832030999998</c:v>
                </c:pt>
                <c:pt idx="67">
                  <c:v>33322.902344000002</c:v>
                </c:pt>
                <c:pt idx="68">
                  <c:v>30507.140625</c:v>
                </c:pt>
                <c:pt idx="69">
                  <c:v>29582.496093999998</c:v>
                </c:pt>
                <c:pt idx="70">
                  <c:v>29582.496093999998</c:v>
                </c:pt>
                <c:pt idx="71">
                  <c:v>30674.664062</c:v>
                </c:pt>
                <c:pt idx="72">
                  <c:v>28702.935547000001</c:v>
                </c:pt>
                <c:pt idx="73">
                  <c:v>30655.644531000002</c:v>
                </c:pt>
                <c:pt idx="74">
                  <c:v>28770.027343999998</c:v>
                </c:pt>
                <c:pt idx="75">
                  <c:v>30049.851562</c:v>
                </c:pt>
                <c:pt idx="76">
                  <c:v>27788.960938</c:v>
                </c:pt>
                <c:pt idx="77">
                  <c:v>29446.910156000002</c:v>
                </c:pt>
                <c:pt idx="78">
                  <c:v>26676.529297000001</c:v>
                </c:pt>
                <c:pt idx="79">
                  <c:v>27984.470702999999</c:v>
                </c:pt>
                <c:pt idx="80">
                  <c:v>25315.132812</c:v>
                </c:pt>
                <c:pt idx="81">
                  <c:v>26519.716797000001</c:v>
                </c:pt>
                <c:pt idx="82">
                  <c:v>29920.449218999998</c:v>
                </c:pt>
                <c:pt idx="83">
                  <c:v>27735.917968999998</c:v>
                </c:pt>
                <c:pt idx="84">
                  <c:v>27735.917968999998</c:v>
                </c:pt>
                <c:pt idx="85">
                  <c:v>30691.626952999999</c:v>
                </c:pt>
                <c:pt idx="86">
                  <c:v>26965.445312</c:v>
                </c:pt>
                <c:pt idx="87">
                  <c:v>24837.267577999999</c:v>
                </c:pt>
                <c:pt idx="88">
                  <c:v>20113.472656000002</c:v>
                </c:pt>
                <c:pt idx="89">
                  <c:v>20515.982422000001</c:v>
                </c:pt>
                <c:pt idx="90">
                  <c:v>17549.816406000002</c:v>
                </c:pt>
                <c:pt idx="91">
                  <c:v>14461.248046999999</c:v>
                </c:pt>
                <c:pt idx="92">
                  <c:v>14624.066406</c:v>
                </c:pt>
                <c:pt idx="93">
                  <c:v>14625.247069999999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I_15_NB!$H$2:$H$63</c:f>
              <c:numCache>
                <c:formatCode>0</c:formatCode>
                <c:ptCount val="62"/>
                <c:pt idx="0">
                  <c:v>13149</c:v>
                </c:pt>
                <c:pt idx="1">
                  <c:v>13795</c:v>
                </c:pt>
                <c:pt idx="2">
                  <c:v>15197</c:v>
                </c:pt>
                <c:pt idx="3">
                  <c:v>16609</c:v>
                </c:pt>
                <c:pt idx="4">
                  <c:v>14799</c:v>
                </c:pt>
                <c:pt idx="5">
                  <c:v>20164</c:v>
                </c:pt>
                <c:pt idx="6">
                  <c:v>15852</c:v>
                </c:pt>
                <c:pt idx="7">
                  <c:v>18184</c:v>
                </c:pt>
                <c:pt idx="8">
                  <c:v>17236</c:v>
                </c:pt>
                <c:pt idx="9">
                  <c:v>16271</c:v>
                </c:pt>
                <c:pt idx="10">
                  <c:v>21966</c:v>
                </c:pt>
                <c:pt idx="11">
                  <c:v>17640</c:v>
                </c:pt>
                <c:pt idx="12">
                  <c:v>21823</c:v>
                </c:pt>
                <c:pt idx="13">
                  <c:v>17693</c:v>
                </c:pt>
                <c:pt idx="14">
                  <c:v>19558</c:v>
                </c:pt>
                <c:pt idx="15">
                  <c:v>16940</c:v>
                </c:pt>
                <c:pt idx="16">
                  <c:v>19575</c:v>
                </c:pt>
                <c:pt idx="17">
                  <c:v>15340</c:v>
                </c:pt>
                <c:pt idx="18">
                  <c:v>17202</c:v>
                </c:pt>
                <c:pt idx="19">
                  <c:v>17983</c:v>
                </c:pt>
                <c:pt idx="20">
                  <c:v>28908</c:v>
                </c:pt>
                <c:pt idx="21">
                  <c:v>36352</c:v>
                </c:pt>
                <c:pt idx="22">
                  <c:v>33562</c:v>
                </c:pt>
                <c:pt idx="23">
                  <c:v>30190</c:v>
                </c:pt>
                <c:pt idx="24">
                  <c:v>32473</c:v>
                </c:pt>
                <c:pt idx="25">
                  <c:v>32601</c:v>
                </c:pt>
                <c:pt idx="26">
                  <c:v>35698</c:v>
                </c:pt>
                <c:pt idx="27">
                  <c:v>29575</c:v>
                </c:pt>
                <c:pt idx="28">
                  <c:v>29565</c:v>
                </c:pt>
                <c:pt idx="29">
                  <c:v>31407</c:v>
                </c:pt>
                <c:pt idx="30">
                  <c:v>30988</c:v>
                </c:pt>
                <c:pt idx="31">
                  <c:v>27642</c:v>
                </c:pt>
                <c:pt idx="32">
                  <c:v>28826</c:v>
                </c:pt>
                <c:pt idx="33">
                  <c:v>25764</c:v>
                </c:pt>
                <c:pt idx="34">
                  <c:v>26402</c:v>
                </c:pt>
                <c:pt idx="35">
                  <c:v>28364</c:v>
                </c:pt>
                <c:pt idx="36">
                  <c:v>24337</c:v>
                </c:pt>
                <c:pt idx="37">
                  <c:v>28835</c:v>
                </c:pt>
                <c:pt idx="38">
                  <c:v>24137</c:v>
                </c:pt>
                <c:pt idx="39">
                  <c:v>27093</c:v>
                </c:pt>
                <c:pt idx="40">
                  <c:v>26992</c:v>
                </c:pt>
                <c:pt idx="41">
                  <c:v>26769</c:v>
                </c:pt>
                <c:pt idx="42">
                  <c:v>29783</c:v>
                </c:pt>
                <c:pt idx="43">
                  <c:v>28594</c:v>
                </c:pt>
                <c:pt idx="44">
                  <c:v>28063</c:v>
                </c:pt>
                <c:pt idx="45">
                  <c:v>31840</c:v>
                </c:pt>
                <c:pt idx="46">
                  <c:v>26470</c:v>
                </c:pt>
                <c:pt idx="47">
                  <c:v>22650</c:v>
                </c:pt>
                <c:pt idx="48">
                  <c:v>26201</c:v>
                </c:pt>
                <c:pt idx="49">
                  <c:v>25479</c:v>
                </c:pt>
                <c:pt idx="50">
                  <c:v>25100</c:v>
                </c:pt>
                <c:pt idx="51">
                  <c:v>21239</c:v>
                </c:pt>
                <c:pt idx="52">
                  <c:v>25689</c:v>
                </c:pt>
                <c:pt idx="53">
                  <c:v>19188</c:v>
                </c:pt>
                <c:pt idx="54">
                  <c:v>17365</c:v>
                </c:pt>
                <c:pt idx="55">
                  <c:v>19536</c:v>
                </c:pt>
                <c:pt idx="56">
                  <c:v>20545</c:v>
                </c:pt>
                <c:pt idx="57">
                  <c:v>14601</c:v>
                </c:pt>
                <c:pt idx="58">
                  <c:v>20665</c:v>
                </c:pt>
                <c:pt idx="59">
                  <c:v>19555</c:v>
                </c:pt>
                <c:pt idx="60">
                  <c:v>14064</c:v>
                </c:pt>
                <c:pt idx="61">
                  <c:v>17544</c:v>
                </c:pt>
              </c:numCache>
            </c:numRef>
          </c:xVal>
          <c:yVal>
            <c:numRef>
              <c:f>I_15_NB!$I$2:$I$63</c:f>
              <c:numCache>
                <c:formatCode>General</c:formatCode>
                <c:ptCount val="62"/>
                <c:pt idx="0">
                  <c:v>18554.042968999998</c:v>
                </c:pt>
                <c:pt idx="1">
                  <c:v>17869.894531000002</c:v>
                </c:pt>
                <c:pt idx="2">
                  <c:v>19397.427734000001</c:v>
                </c:pt>
                <c:pt idx="3">
                  <c:v>20433.730468999998</c:v>
                </c:pt>
                <c:pt idx="4">
                  <c:v>18744.759765999999</c:v>
                </c:pt>
                <c:pt idx="5">
                  <c:v>24511.71875</c:v>
                </c:pt>
                <c:pt idx="6">
                  <c:v>21529.166015999999</c:v>
                </c:pt>
                <c:pt idx="7">
                  <c:v>21536.648438</c:v>
                </c:pt>
                <c:pt idx="8">
                  <c:v>16837.259765999999</c:v>
                </c:pt>
                <c:pt idx="9">
                  <c:v>21360.294922000001</c:v>
                </c:pt>
                <c:pt idx="10">
                  <c:v>29934.923827999999</c:v>
                </c:pt>
                <c:pt idx="11">
                  <c:v>23573.1875</c:v>
                </c:pt>
                <c:pt idx="12">
                  <c:v>27071.931640999999</c:v>
                </c:pt>
                <c:pt idx="13">
                  <c:v>23501.767577999999</c:v>
                </c:pt>
                <c:pt idx="14">
                  <c:v>25353</c:v>
                </c:pt>
                <c:pt idx="15">
                  <c:v>21240.037109000001</c:v>
                </c:pt>
                <c:pt idx="16">
                  <c:v>23909.515625</c:v>
                </c:pt>
                <c:pt idx="17">
                  <c:v>21932.765625</c:v>
                </c:pt>
                <c:pt idx="18">
                  <c:v>19608.105468999998</c:v>
                </c:pt>
                <c:pt idx="19">
                  <c:v>31245.378906000002</c:v>
                </c:pt>
                <c:pt idx="20">
                  <c:v>25285.912109000001</c:v>
                </c:pt>
                <c:pt idx="21">
                  <c:v>45436.929687999997</c:v>
                </c:pt>
                <c:pt idx="22">
                  <c:v>44456.273437999997</c:v>
                </c:pt>
                <c:pt idx="23">
                  <c:v>44996.722655999998</c:v>
                </c:pt>
                <c:pt idx="24">
                  <c:v>39932.179687999997</c:v>
                </c:pt>
                <c:pt idx="25">
                  <c:v>40934.28125</c:v>
                </c:pt>
                <c:pt idx="26">
                  <c:v>42583.855469000002</c:v>
                </c:pt>
                <c:pt idx="27">
                  <c:v>38712.15625</c:v>
                </c:pt>
                <c:pt idx="28">
                  <c:v>38480.796875</c:v>
                </c:pt>
                <c:pt idx="29">
                  <c:v>43489.957030999998</c:v>
                </c:pt>
                <c:pt idx="30">
                  <c:v>39695.21875</c:v>
                </c:pt>
                <c:pt idx="31">
                  <c:v>33039.964844000002</c:v>
                </c:pt>
                <c:pt idx="32">
                  <c:v>33945.460937999997</c:v>
                </c:pt>
                <c:pt idx="33">
                  <c:v>30967.765625</c:v>
                </c:pt>
                <c:pt idx="34">
                  <c:v>32506.59375</c:v>
                </c:pt>
                <c:pt idx="35">
                  <c:v>34559.582030999998</c:v>
                </c:pt>
                <c:pt idx="36">
                  <c:v>30733.279297000001</c:v>
                </c:pt>
                <c:pt idx="37">
                  <c:v>33523.140625</c:v>
                </c:pt>
                <c:pt idx="38">
                  <c:v>31013.923827999999</c:v>
                </c:pt>
                <c:pt idx="39">
                  <c:v>32644.353515999999</c:v>
                </c:pt>
                <c:pt idx="40">
                  <c:v>29717.554688</c:v>
                </c:pt>
                <c:pt idx="41">
                  <c:v>32120.431640999999</c:v>
                </c:pt>
                <c:pt idx="42">
                  <c:v>33736.074219000002</c:v>
                </c:pt>
                <c:pt idx="43">
                  <c:v>34795.949219000002</c:v>
                </c:pt>
                <c:pt idx="44">
                  <c:v>33639.695312000003</c:v>
                </c:pt>
                <c:pt idx="45">
                  <c:v>36329.992187999997</c:v>
                </c:pt>
                <c:pt idx="46">
                  <c:v>32537.75</c:v>
                </c:pt>
                <c:pt idx="47">
                  <c:v>26809.587890999999</c:v>
                </c:pt>
                <c:pt idx="48">
                  <c:v>29579.943359000001</c:v>
                </c:pt>
                <c:pt idx="49">
                  <c:v>30023.519531000002</c:v>
                </c:pt>
                <c:pt idx="50">
                  <c:v>28008.777343999998</c:v>
                </c:pt>
                <c:pt idx="51">
                  <c:v>29044.328125</c:v>
                </c:pt>
                <c:pt idx="52">
                  <c:v>27098.158202999999</c:v>
                </c:pt>
                <c:pt idx="53">
                  <c:v>17664.904297000001</c:v>
                </c:pt>
                <c:pt idx="54">
                  <c:v>17158.490234000001</c:v>
                </c:pt>
                <c:pt idx="55">
                  <c:v>18405.800781000002</c:v>
                </c:pt>
                <c:pt idx="56">
                  <c:v>19877.898438</c:v>
                </c:pt>
                <c:pt idx="57">
                  <c:v>18797.330077999999</c:v>
                </c:pt>
                <c:pt idx="58">
                  <c:v>20315.898438</c:v>
                </c:pt>
                <c:pt idx="59">
                  <c:v>16794.769531000002</c:v>
                </c:pt>
                <c:pt idx="60">
                  <c:v>18164.095702999999</c:v>
                </c:pt>
                <c:pt idx="61">
                  <c:v>17436.033202999999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I_805_NB!$H$2:$H$43</c:f>
              <c:numCache>
                <c:formatCode>0</c:formatCode>
                <c:ptCount val="42"/>
                <c:pt idx="0">
                  <c:v>3303</c:v>
                </c:pt>
                <c:pt idx="1">
                  <c:v>6647</c:v>
                </c:pt>
                <c:pt idx="2">
                  <c:v>10163</c:v>
                </c:pt>
                <c:pt idx="3">
                  <c:v>15546</c:v>
                </c:pt>
                <c:pt idx="4">
                  <c:v>12495</c:v>
                </c:pt>
                <c:pt idx="5">
                  <c:v>16031</c:v>
                </c:pt>
                <c:pt idx="6">
                  <c:v>15375</c:v>
                </c:pt>
                <c:pt idx="7">
                  <c:v>17130</c:v>
                </c:pt>
                <c:pt idx="8">
                  <c:v>13565</c:v>
                </c:pt>
                <c:pt idx="9">
                  <c:v>21748</c:v>
                </c:pt>
                <c:pt idx="10">
                  <c:v>24359</c:v>
                </c:pt>
                <c:pt idx="11">
                  <c:v>13364</c:v>
                </c:pt>
                <c:pt idx="12">
                  <c:v>19548</c:v>
                </c:pt>
                <c:pt idx="13">
                  <c:v>17603</c:v>
                </c:pt>
                <c:pt idx="14">
                  <c:v>23486</c:v>
                </c:pt>
                <c:pt idx="15">
                  <c:v>20143</c:v>
                </c:pt>
                <c:pt idx="16">
                  <c:v>14457</c:v>
                </c:pt>
                <c:pt idx="17">
                  <c:v>18438</c:v>
                </c:pt>
                <c:pt idx="18">
                  <c:v>22257</c:v>
                </c:pt>
                <c:pt idx="19">
                  <c:v>16682</c:v>
                </c:pt>
                <c:pt idx="20">
                  <c:v>16337</c:v>
                </c:pt>
                <c:pt idx="21">
                  <c:v>22990</c:v>
                </c:pt>
                <c:pt idx="22">
                  <c:v>13736</c:v>
                </c:pt>
                <c:pt idx="23">
                  <c:v>13944</c:v>
                </c:pt>
                <c:pt idx="24">
                  <c:v>15765</c:v>
                </c:pt>
                <c:pt idx="25">
                  <c:v>18283</c:v>
                </c:pt>
                <c:pt idx="26">
                  <c:v>12241</c:v>
                </c:pt>
                <c:pt idx="27">
                  <c:v>18002</c:v>
                </c:pt>
                <c:pt idx="28">
                  <c:v>16381</c:v>
                </c:pt>
                <c:pt idx="29">
                  <c:v>15252</c:v>
                </c:pt>
                <c:pt idx="30">
                  <c:v>12590</c:v>
                </c:pt>
                <c:pt idx="31">
                  <c:v>14910</c:v>
                </c:pt>
                <c:pt idx="32">
                  <c:v>16603</c:v>
                </c:pt>
                <c:pt idx="33">
                  <c:v>17573</c:v>
                </c:pt>
                <c:pt idx="34">
                  <c:v>14405</c:v>
                </c:pt>
                <c:pt idx="35">
                  <c:v>15648</c:v>
                </c:pt>
                <c:pt idx="36">
                  <c:v>13509</c:v>
                </c:pt>
                <c:pt idx="37">
                  <c:v>12061</c:v>
                </c:pt>
                <c:pt idx="38">
                  <c:v>16973</c:v>
                </c:pt>
                <c:pt idx="39">
                  <c:v>11504</c:v>
                </c:pt>
                <c:pt idx="40">
                  <c:v>21359</c:v>
                </c:pt>
                <c:pt idx="41">
                  <c:v>10271</c:v>
                </c:pt>
              </c:numCache>
            </c:numRef>
          </c:xVal>
          <c:yVal>
            <c:numRef>
              <c:f>I_805_NB!$I$2:$I$43</c:f>
              <c:numCache>
                <c:formatCode>General</c:formatCode>
                <c:ptCount val="42"/>
                <c:pt idx="0">
                  <c:v>4544.6948240000002</c:v>
                </c:pt>
                <c:pt idx="1">
                  <c:v>6969.0131840000004</c:v>
                </c:pt>
                <c:pt idx="2">
                  <c:v>6142.1508789999998</c:v>
                </c:pt>
                <c:pt idx="3">
                  <c:v>13926.9375</c:v>
                </c:pt>
                <c:pt idx="4">
                  <c:v>12750.075194999999</c:v>
                </c:pt>
                <c:pt idx="5">
                  <c:v>15686.220703000001</c:v>
                </c:pt>
                <c:pt idx="6">
                  <c:v>15148.833984000001</c:v>
                </c:pt>
                <c:pt idx="7">
                  <c:v>17950.041015999999</c:v>
                </c:pt>
                <c:pt idx="8">
                  <c:v>17710.476562</c:v>
                </c:pt>
                <c:pt idx="9">
                  <c:v>22324.302734000001</c:v>
                </c:pt>
                <c:pt idx="10">
                  <c:v>24022.767577999999</c:v>
                </c:pt>
                <c:pt idx="11">
                  <c:v>15648.295898</c:v>
                </c:pt>
                <c:pt idx="12">
                  <c:v>23349.59375</c:v>
                </c:pt>
                <c:pt idx="13">
                  <c:v>20558.769531000002</c:v>
                </c:pt>
                <c:pt idx="14">
                  <c:v>22947.023438</c:v>
                </c:pt>
                <c:pt idx="15">
                  <c:v>22242.964843999998</c:v>
                </c:pt>
                <c:pt idx="16">
                  <c:v>20713.548827999999</c:v>
                </c:pt>
                <c:pt idx="17">
                  <c:v>22874.732422000001</c:v>
                </c:pt>
                <c:pt idx="18">
                  <c:v>23706.666015999999</c:v>
                </c:pt>
                <c:pt idx="19">
                  <c:v>18735.220702999999</c:v>
                </c:pt>
                <c:pt idx="20">
                  <c:v>18197.052734000001</c:v>
                </c:pt>
                <c:pt idx="21">
                  <c:v>25049.494140999999</c:v>
                </c:pt>
                <c:pt idx="22">
                  <c:v>14083.180664</c:v>
                </c:pt>
                <c:pt idx="23">
                  <c:v>14083.180664</c:v>
                </c:pt>
                <c:pt idx="24">
                  <c:v>16937.144531000002</c:v>
                </c:pt>
                <c:pt idx="25">
                  <c:v>18960.5625</c:v>
                </c:pt>
                <c:pt idx="26">
                  <c:v>14790.169921999999</c:v>
                </c:pt>
                <c:pt idx="27">
                  <c:v>23431.509765999999</c:v>
                </c:pt>
                <c:pt idx="28">
                  <c:v>21650.863281000002</c:v>
                </c:pt>
                <c:pt idx="29">
                  <c:v>20242.072265999999</c:v>
                </c:pt>
                <c:pt idx="30">
                  <c:v>16646.431640999999</c:v>
                </c:pt>
                <c:pt idx="31">
                  <c:v>20545.136718999998</c:v>
                </c:pt>
                <c:pt idx="32">
                  <c:v>24893.716797000001</c:v>
                </c:pt>
                <c:pt idx="33">
                  <c:v>20602.693359000001</c:v>
                </c:pt>
                <c:pt idx="34">
                  <c:v>21330.474609000001</c:v>
                </c:pt>
                <c:pt idx="35">
                  <c:v>25737.396484000001</c:v>
                </c:pt>
                <c:pt idx="36">
                  <c:v>22865.240234000001</c:v>
                </c:pt>
                <c:pt idx="37">
                  <c:v>19374.949218999998</c:v>
                </c:pt>
                <c:pt idx="38">
                  <c:v>24211.787109000001</c:v>
                </c:pt>
                <c:pt idx="39">
                  <c:v>20098.789062</c:v>
                </c:pt>
                <c:pt idx="40">
                  <c:v>24508.279297000001</c:v>
                </c:pt>
                <c:pt idx="41">
                  <c:v>18226.771484000001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SR_163_NB!$H$2:$H$11</c:f>
              <c:numCache>
                <c:formatCode>0</c:formatCode>
                <c:ptCount val="10"/>
                <c:pt idx="0">
                  <c:v>11594</c:v>
                </c:pt>
                <c:pt idx="1">
                  <c:v>13015</c:v>
                </c:pt>
                <c:pt idx="2">
                  <c:v>22459</c:v>
                </c:pt>
                <c:pt idx="3">
                  <c:v>23080</c:v>
                </c:pt>
                <c:pt idx="4">
                  <c:v>15413</c:v>
                </c:pt>
                <c:pt idx="5">
                  <c:v>20409</c:v>
                </c:pt>
                <c:pt idx="6">
                  <c:v>19583</c:v>
                </c:pt>
                <c:pt idx="7">
                  <c:v>21001</c:v>
                </c:pt>
                <c:pt idx="8">
                  <c:v>19955</c:v>
                </c:pt>
                <c:pt idx="9">
                  <c:v>19486</c:v>
                </c:pt>
              </c:numCache>
            </c:numRef>
          </c:xVal>
          <c:yVal>
            <c:numRef>
              <c:f>SR_163_NB!$I$2:$I$11</c:f>
              <c:numCache>
                <c:formatCode>0</c:formatCode>
                <c:ptCount val="10"/>
                <c:pt idx="0">
                  <c:v>13124.444336</c:v>
                </c:pt>
                <c:pt idx="1">
                  <c:v>15635.049805000001</c:v>
                </c:pt>
                <c:pt idx="2">
                  <c:v>25766.71875</c:v>
                </c:pt>
                <c:pt idx="3">
                  <c:v>28339.908202999999</c:v>
                </c:pt>
                <c:pt idx="4">
                  <c:v>18458.734375</c:v>
                </c:pt>
                <c:pt idx="5">
                  <c:v>25375.207031000002</c:v>
                </c:pt>
                <c:pt idx="6">
                  <c:v>22534.066406000002</c:v>
                </c:pt>
                <c:pt idx="7">
                  <c:v>23101.960938</c:v>
                </c:pt>
                <c:pt idx="8">
                  <c:v>21461.546875</c:v>
                </c:pt>
                <c:pt idx="9">
                  <c:v>23833.796875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SR_125_NB!$H$2:$H$21</c:f>
              <c:numCache>
                <c:formatCode>0</c:formatCode>
                <c:ptCount val="20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10284</c:v>
                </c:pt>
                <c:pt idx="8">
                  <c:v>10208</c:v>
                </c:pt>
                <c:pt idx="9">
                  <c:v>11072</c:v>
                </c:pt>
                <c:pt idx="10">
                  <c:v>13499</c:v>
                </c:pt>
                <c:pt idx="11">
                  <c:v>15151</c:v>
                </c:pt>
                <c:pt idx="12">
                  <c:v>20112</c:v>
                </c:pt>
                <c:pt idx="13">
                  <c:v>8272</c:v>
                </c:pt>
                <c:pt idx="14">
                  <c:v>9161</c:v>
                </c:pt>
                <c:pt idx="15">
                  <c:v>11629</c:v>
                </c:pt>
                <c:pt idx="16">
                  <c:v>6963</c:v>
                </c:pt>
                <c:pt idx="17">
                  <c:v>6914</c:v>
                </c:pt>
                <c:pt idx="18">
                  <c:v>8862</c:v>
                </c:pt>
                <c:pt idx="19">
                  <c:v>3622</c:v>
                </c:pt>
              </c:numCache>
            </c:numRef>
          </c:xVal>
          <c:yVal>
            <c:numRef>
              <c:f>SR_125_NB!$I$2:$I$21</c:f>
              <c:numCache>
                <c:formatCode>0</c:formatCode>
                <c:ptCount val="20"/>
                <c:pt idx="0">
                  <c:v>1920.259155</c:v>
                </c:pt>
                <c:pt idx="1">
                  <c:v>1609.3594969999999</c:v>
                </c:pt>
                <c:pt idx="2">
                  <c:v>1899.404419</c:v>
                </c:pt>
                <c:pt idx="3">
                  <c:v>2621.8789059999999</c:v>
                </c:pt>
                <c:pt idx="4">
                  <c:v>2716.0551759999998</c:v>
                </c:pt>
                <c:pt idx="5">
                  <c:v>3221.8562010000001</c:v>
                </c:pt>
                <c:pt idx="6">
                  <c:v>14145.576171999999</c:v>
                </c:pt>
                <c:pt idx="7">
                  <c:v>11759.694336</c:v>
                </c:pt>
                <c:pt idx="8">
                  <c:v>10858.965819999999</c:v>
                </c:pt>
                <c:pt idx="9">
                  <c:v>13115.177734000001</c:v>
                </c:pt>
                <c:pt idx="10">
                  <c:v>13115.177734000001</c:v>
                </c:pt>
                <c:pt idx="11">
                  <c:v>18448.203125</c:v>
                </c:pt>
                <c:pt idx="12">
                  <c:v>23732.277343999998</c:v>
                </c:pt>
                <c:pt idx="13">
                  <c:v>8672.8232420000004</c:v>
                </c:pt>
                <c:pt idx="14">
                  <c:v>9474.3300780000009</c:v>
                </c:pt>
                <c:pt idx="15">
                  <c:v>10271.800781</c:v>
                </c:pt>
                <c:pt idx="16">
                  <c:v>6347.7446289999998</c:v>
                </c:pt>
                <c:pt idx="17">
                  <c:v>6347.7446289999998</c:v>
                </c:pt>
                <c:pt idx="18">
                  <c:v>9140.53125</c:v>
                </c:pt>
                <c:pt idx="19">
                  <c:v>4722.7475590000004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12374.019531</c:v>
                </c:pt>
                <c:pt idx="1">
                  <c:v>14824.036133</c:v>
                </c:pt>
                <c:pt idx="2">
                  <c:v>11192.773438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7304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11540.101562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I_15HOV_NB!$H$2:$H$16</c:f>
              <c:numCache>
                <c:formatCode>0</c:formatCode>
                <c:ptCount val="15"/>
                <c:pt idx="0">
                  <c:v>6812</c:v>
                </c:pt>
                <c:pt idx="1">
                  <c:v>8034</c:v>
                </c:pt>
                <c:pt idx="2">
                  <c:v>8924</c:v>
                </c:pt>
                <c:pt idx="3">
                  <c:v>8857</c:v>
                </c:pt>
                <c:pt idx="4">
                  <c:v>9658</c:v>
                </c:pt>
                <c:pt idx="5">
                  <c:v>8158</c:v>
                </c:pt>
                <c:pt idx="6">
                  <c:v>7848</c:v>
                </c:pt>
                <c:pt idx="7">
                  <c:v>9271</c:v>
                </c:pt>
                <c:pt idx="8">
                  <c:v>8031</c:v>
                </c:pt>
                <c:pt idx="9">
                  <c:v>9947</c:v>
                </c:pt>
                <c:pt idx="10">
                  <c:v>10052</c:v>
                </c:pt>
                <c:pt idx="11">
                  <c:v>9971</c:v>
                </c:pt>
                <c:pt idx="12">
                  <c:v>9553</c:v>
                </c:pt>
                <c:pt idx="13">
                  <c:v>6574</c:v>
                </c:pt>
                <c:pt idx="14">
                  <c:v>5329</c:v>
                </c:pt>
              </c:numCache>
            </c:numRef>
          </c:xVal>
          <c:yVal>
            <c:numRef>
              <c:f>I_15HOV_NB!$I$2:$I$16</c:f>
              <c:numCache>
                <c:formatCode>0</c:formatCode>
                <c:ptCount val="15"/>
                <c:pt idx="0">
                  <c:v>9642.2431639999995</c:v>
                </c:pt>
                <c:pt idx="1">
                  <c:v>9712.640625</c:v>
                </c:pt>
                <c:pt idx="2">
                  <c:v>9327.5654300000006</c:v>
                </c:pt>
                <c:pt idx="3">
                  <c:v>9682.6972659999992</c:v>
                </c:pt>
                <c:pt idx="4">
                  <c:v>9682.6972659999992</c:v>
                </c:pt>
                <c:pt idx="5">
                  <c:v>9136.4882809999999</c:v>
                </c:pt>
                <c:pt idx="6">
                  <c:v>8813.7617190000001</c:v>
                </c:pt>
                <c:pt idx="7">
                  <c:v>8230.4082030000009</c:v>
                </c:pt>
                <c:pt idx="8">
                  <c:v>11116.642578000001</c:v>
                </c:pt>
                <c:pt idx="9">
                  <c:v>10056.764648</c:v>
                </c:pt>
                <c:pt idx="10">
                  <c:v>10056.764648</c:v>
                </c:pt>
                <c:pt idx="11">
                  <c:v>8831.734375</c:v>
                </c:pt>
                <c:pt idx="12">
                  <c:v>9763.4189449999994</c:v>
                </c:pt>
                <c:pt idx="13">
                  <c:v>6289.7080079999996</c:v>
                </c:pt>
                <c:pt idx="14">
                  <c:v>5462.951172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I_5HOV_NB!$H$2:$H$6</c:f>
              <c:numCache>
                <c:formatCode>0</c:formatCode>
                <c:ptCount val="5"/>
                <c:pt idx="0">
                  <c:v>2637</c:v>
                </c:pt>
                <c:pt idx="1">
                  <c:v>3507</c:v>
                </c:pt>
                <c:pt idx="2">
                  <c:v>2521</c:v>
                </c:pt>
                <c:pt idx="3">
                  <c:v>3058</c:v>
                </c:pt>
                <c:pt idx="4">
                  <c:v>4350</c:v>
                </c:pt>
              </c:numCache>
            </c:numRef>
          </c:xVal>
          <c:yVal>
            <c:numRef>
              <c:f>I_5HOV_NB!$I$2:$I$6</c:f>
              <c:numCache>
                <c:formatCode>0</c:formatCode>
                <c:ptCount val="5"/>
                <c:pt idx="0">
                  <c:v>4525.5776370000003</c:v>
                </c:pt>
                <c:pt idx="1">
                  <c:v>6483.7470700000003</c:v>
                </c:pt>
                <c:pt idx="2">
                  <c:v>6483.7470700000003</c:v>
                </c:pt>
                <c:pt idx="3">
                  <c:v>6483.7470700000003</c:v>
                </c:pt>
                <c:pt idx="4">
                  <c:v>5962.09375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10"/>
          <c:order val="9"/>
          <c:tx>
            <c:strRef>
              <c:f>'I-5_NB_AUX_LOCAL_ACC'!$B$2</c:f>
              <c:strCache>
                <c:ptCount val="1"/>
                <c:pt idx="0">
                  <c:v>I-5 NB AUX LOCAL 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'I-5_NB_AUX_LOCAL_ACC'!$H$2</c:f>
              <c:numCache>
                <c:formatCode>0</c:formatCode>
                <c:ptCount val="1"/>
                <c:pt idx="0">
                  <c:v>5367</c:v>
                </c:pt>
              </c:numCache>
            </c:numRef>
          </c:xVal>
          <c:yVal>
            <c:numRef>
              <c:f>'I-5_NB_AUX_LOCAL_ACC'!$I$2</c:f>
              <c:numCache>
                <c:formatCode>0</c:formatCode>
                <c:ptCount val="1"/>
                <c:pt idx="0">
                  <c:v>8373.4824219999991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56-4E4E-A6C2-C03ACAD50268}"/>
            </c:ext>
          </c:extLst>
        </c:ser>
        <c:ser>
          <c:idx val="11"/>
          <c:order val="10"/>
          <c:tx>
            <c:strRef>
              <c:f>I_805HOV_NB!$B$2</c:f>
              <c:strCache>
                <c:ptCount val="1"/>
                <c:pt idx="0">
                  <c:v>I-805 HOV NB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I_805HOV_NB!$H$2:$H$5</c:f>
              <c:numCache>
                <c:formatCode>0</c:formatCode>
                <c:ptCount val="4"/>
                <c:pt idx="0">
                  <c:v>2778</c:v>
                </c:pt>
                <c:pt idx="1">
                  <c:v>3346</c:v>
                </c:pt>
                <c:pt idx="2">
                  <c:v>4186</c:v>
                </c:pt>
                <c:pt idx="3">
                  <c:v>2629</c:v>
                </c:pt>
              </c:numCache>
            </c:numRef>
          </c:xVal>
          <c:yVal>
            <c:numRef>
              <c:f>I_805HOV_NB!$I$2:$I$5</c:f>
              <c:numCache>
                <c:formatCode>0</c:formatCode>
                <c:ptCount val="4"/>
                <c:pt idx="0">
                  <c:v>3106.874268</c:v>
                </c:pt>
                <c:pt idx="1">
                  <c:v>4319.5708009999998</c:v>
                </c:pt>
                <c:pt idx="2">
                  <c:v>4319.5708009999998</c:v>
                </c:pt>
                <c:pt idx="3">
                  <c:v>4525.5776370000003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56-4E4E-A6C2-C03ACAD50268}"/>
            </c:ext>
          </c:extLst>
        </c:ser>
        <c:ser>
          <c:idx val="9"/>
          <c:order val="1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34528"/>
        <c:axId val="102557184"/>
        <c:extLst/>
      </c:scatterChart>
      <c:valAx>
        <c:axId val="102534528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57184"/>
        <c:crosses val="autoZero"/>
        <c:crossBetween val="midCat"/>
        <c:majorUnit val="10000"/>
      </c:valAx>
      <c:valAx>
        <c:axId val="1025571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452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SB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I_5_SB!$H$2:$H$75</c:f>
              <c:numCache>
                <c:formatCode>0</c:formatCode>
                <c:ptCount val="74"/>
                <c:pt idx="0">
                  <c:v>12732</c:v>
                </c:pt>
                <c:pt idx="1">
                  <c:v>12591</c:v>
                </c:pt>
                <c:pt idx="2">
                  <c:v>14449</c:v>
                </c:pt>
                <c:pt idx="3">
                  <c:v>15983</c:v>
                </c:pt>
                <c:pt idx="4">
                  <c:v>19293</c:v>
                </c:pt>
                <c:pt idx="5">
                  <c:v>18019</c:v>
                </c:pt>
                <c:pt idx="6">
                  <c:v>19014</c:v>
                </c:pt>
                <c:pt idx="7">
                  <c:v>20955</c:v>
                </c:pt>
                <c:pt idx="8">
                  <c:v>21835</c:v>
                </c:pt>
                <c:pt idx="9">
                  <c:v>18413</c:v>
                </c:pt>
                <c:pt idx="10">
                  <c:v>16727</c:v>
                </c:pt>
                <c:pt idx="11">
                  <c:v>17492</c:v>
                </c:pt>
                <c:pt idx="12">
                  <c:v>18707</c:v>
                </c:pt>
                <c:pt idx="13">
                  <c:v>17352</c:v>
                </c:pt>
                <c:pt idx="14">
                  <c:v>16127</c:v>
                </c:pt>
                <c:pt idx="15">
                  <c:v>19768</c:v>
                </c:pt>
                <c:pt idx="16">
                  <c:v>19695</c:v>
                </c:pt>
                <c:pt idx="17">
                  <c:v>18732</c:v>
                </c:pt>
                <c:pt idx="18">
                  <c:v>16669</c:v>
                </c:pt>
                <c:pt idx="19">
                  <c:v>19924</c:v>
                </c:pt>
                <c:pt idx="20">
                  <c:v>20948</c:v>
                </c:pt>
                <c:pt idx="21">
                  <c:v>19711</c:v>
                </c:pt>
                <c:pt idx="22">
                  <c:v>21292</c:v>
                </c:pt>
                <c:pt idx="23">
                  <c:v>20582</c:v>
                </c:pt>
                <c:pt idx="24">
                  <c:v>20568</c:v>
                </c:pt>
                <c:pt idx="25">
                  <c:v>19999</c:v>
                </c:pt>
                <c:pt idx="26">
                  <c:v>21001</c:v>
                </c:pt>
                <c:pt idx="27">
                  <c:v>22251</c:v>
                </c:pt>
                <c:pt idx="28">
                  <c:v>21264</c:v>
                </c:pt>
                <c:pt idx="29">
                  <c:v>24283</c:v>
                </c:pt>
                <c:pt idx="30">
                  <c:v>19130</c:v>
                </c:pt>
                <c:pt idx="31">
                  <c:v>22898</c:v>
                </c:pt>
                <c:pt idx="32">
                  <c:v>20249</c:v>
                </c:pt>
                <c:pt idx="33">
                  <c:v>20249</c:v>
                </c:pt>
                <c:pt idx="34">
                  <c:v>14572</c:v>
                </c:pt>
                <c:pt idx="35">
                  <c:v>14023</c:v>
                </c:pt>
                <c:pt idx="36">
                  <c:v>18486</c:v>
                </c:pt>
                <c:pt idx="37">
                  <c:v>14198</c:v>
                </c:pt>
                <c:pt idx="38">
                  <c:v>14999</c:v>
                </c:pt>
                <c:pt idx="39">
                  <c:v>14135</c:v>
                </c:pt>
                <c:pt idx="40">
                  <c:v>18571</c:v>
                </c:pt>
                <c:pt idx="41">
                  <c:v>18571</c:v>
                </c:pt>
                <c:pt idx="42">
                  <c:v>21678</c:v>
                </c:pt>
                <c:pt idx="43">
                  <c:v>21728</c:v>
                </c:pt>
                <c:pt idx="44">
                  <c:v>27538</c:v>
                </c:pt>
                <c:pt idx="45">
                  <c:v>26378</c:v>
                </c:pt>
                <c:pt idx="46">
                  <c:v>21493</c:v>
                </c:pt>
                <c:pt idx="47">
                  <c:v>23832</c:v>
                </c:pt>
                <c:pt idx="48">
                  <c:v>28959</c:v>
                </c:pt>
                <c:pt idx="49">
                  <c:v>27665</c:v>
                </c:pt>
                <c:pt idx="50">
                  <c:v>25382</c:v>
                </c:pt>
                <c:pt idx="51">
                  <c:v>24040</c:v>
                </c:pt>
                <c:pt idx="52">
                  <c:v>21606</c:v>
                </c:pt>
                <c:pt idx="53">
                  <c:v>21092</c:v>
                </c:pt>
                <c:pt idx="54">
                  <c:v>13655</c:v>
                </c:pt>
                <c:pt idx="55">
                  <c:v>14247</c:v>
                </c:pt>
                <c:pt idx="56">
                  <c:v>21357</c:v>
                </c:pt>
                <c:pt idx="57">
                  <c:v>19374</c:v>
                </c:pt>
                <c:pt idx="58">
                  <c:v>25401</c:v>
                </c:pt>
                <c:pt idx="59">
                  <c:v>26226</c:v>
                </c:pt>
                <c:pt idx="60">
                  <c:v>20981</c:v>
                </c:pt>
                <c:pt idx="61">
                  <c:v>18771</c:v>
                </c:pt>
                <c:pt idx="62">
                  <c:v>19188</c:v>
                </c:pt>
                <c:pt idx="63">
                  <c:v>20217</c:v>
                </c:pt>
                <c:pt idx="64">
                  <c:v>17560</c:v>
                </c:pt>
                <c:pt idx="65">
                  <c:v>23110</c:v>
                </c:pt>
                <c:pt idx="66">
                  <c:v>25627</c:v>
                </c:pt>
                <c:pt idx="67">
                  <c:v>22365</c:v>
                </c:pt>
                <c:pt idx="68">
                  <c:v>20376</c:v>
                </c:pt>
                <c:pt idx="69">
                  <c:v>24174</c:v>
                </c:pt>
                <c:pt idx="70">
                  <c:v>16668</c:v>
                </c:pt>
                <c:pt idx="71">
                  <c:v>11019</c:v>
                </c:pt>
                <c:pt idx="72">
                  <c:v>11501</c:v>
                </c:pt>
                <c:pt idx="73">
                  <c:v>9158</c:v>
                </c:pt>
              </c:numCache>
            </c:numRef>
          </c:xVal>
          <c:yVal>
            <c:numRef>
              <c:f>I_5_SB!$I$2:$I$75</c:f>
              <c:numCache>
                <c:formatCode>0</c:formatCode>
                <c:ptCount val="74"/>
                <c:pt idx="0">
                  <c:v>12921.991211</c:v>
                </c:pt>
                <c:pt idx="1">
                  <c:v>12921.695312</c:v>
                </c:pt>
                <c:pt idx="2">
                  <c:v>12647.763671999999</c:v>
                </c:pt>
                <c:pt idx="3">
                  <c:v>15723.182617</c:v>
                </c:pt>
                <c:pt idx="4">
                  <c:v>18208.244140999999</c:v>
                </c:pt>
                <c:pt idx="5">
                  <c:v>17498.544922000001</c:v>
                </c:pt>
                <c:pt idx="6">
                  <c:v>18670.767577999999</c:v>
                </c:pt>
                <c:pt idx="7">
                  <c:v>19640.533202999999</c:v>
                </c:pt>
                <c:pt idx="8">
                  <c:v>20324.855468999998</c:v>
                </c:pt>
                <c:pt idx="9">
                  <c:v>18015.130859000001</c:v>
                </c:pt>
                <c:pt idx="10">
                  <c:v>17223.634765999999</c:v>
                </c:pt>
                <c:pt idx="11">
                  <c:v>17459.945312</c:v>
                </c:pt>
                <c:pt idx="12">
                  <c:v>17459.945312</c:v>
                </c:pt>
                <c:pt idx="13">
                  <c:v>16250.509765999999</c:v>
                </c:pt>
                <c:pt idx="14">
                  <c:v>16280.399414</c:v>
                </c:pt>
                <c:pt idx="15">
                  <c:v>19295.306640999999</c:v>
                </c:pt>
                <c:pt idx="16">
                  <c:v>20268.236327999999</c:v>
                </c:pt>
                <c:pt idx="17">
                  <c:v>19867.166015999999</c:v>
                </c:pt>
                <c:pt idx="18">
                  <c:v>19867.166015999999</c:v>
                </c:pt>
                <c:pt idx="19">
                  <c:v>18653.888672000001</c:v>
                </c:pt>
                <c:pt idx="20">
                  <c:v>20066.865234000001</c:v>
                </c:pt>
                <c:pt idx="21">
                  <c:v>18388.466797000001</c:v>
                </c:pt>
                <c:pt idx="22">
                  <c:v>19964.664062</c:v>
                </c:pt>
                <c:pt idx="23">
                  <c:v>19064.914062</c:v>
                </c:pt>
                <c:pt idx="24">
                  <c:v>19428.822265999999</c:v>
                </c:pt>
                <c:pt idx="25">
                  <c:v>20684.109375</c:v>
                </c:pt>
                <c:pt idx="26">
                  <c:v>20615.837890999999</c:v>
                </c:pt>
                <c:pt idx="27">
                  <c:v>23280.683593999998</c:v>
                </c:pt>
                <c:pt idx="28">
                  <c:v>18697.166015999999</c:v>
                </c:pt>
                <c:pt idx="29">
                  <c:v>20878.109375</c:v>
                </c:pt>
                <c:pt idx="30">
                  <c:v>20670.119140999999</c:v>
                </c:pt>
                <c:pt idx="31">
                  <c:v>23011.384765999999</c:v>
                </c:pt>
                <c:pt idx="32">
                  <c:v>20102.951172000001</c:v>
                </c:pt>
                <c:pt idx="33">
                  <c:v>20102.951172000001</c:v>
                </c:pt>
                <c:pt idx="34">
                  <c:v>23445.865234000001</c:v>
                </c:pt>
                <c:pt idx="35">
                  <c:v>19650.345702999999</c:v>
                </c:pt>
                <c:pt idx="36">
                  <c:v>21332.662109000001</c:v>
                </c:pt>
                <c:pt idx="37">
                  <c:v>13394.523438</c:v>
                </c:pt>
                <c:pt idx="38">
                  <c:v>14800.663086</c:v>
                </c:pt>
                <c:pt idx="39">
                  <c:v>17301.013672000001</c:v>
                </c:pt>
                <c:pt idx="40">
                  <c:v>21410.935547000001</c:v>
                </c:pt>
                <c:pt idx="41">
                  <c:v>23333.398438</c:v>
                </c:pt>
                <c:pt idx="42">
                  <c:v>22955.121093999998</c:v>
                </c:pt>
                <c:pt idx="43">
                  <c:v>21101.384765999999</c:v>
                </c:pt>
                <c:pt idx="44">
                  <c:v>26429.449218999998</c:v>
                </c:pt>
                <c:pt idx="45">
                  <c:v>26429.449218999998</c:v>
                </c:pt>
                <c:pt idx="46">
                  <c:v>20347.445312</c:v>
                </c:pt>
                <c:pt idx="47">
                  <c:v>23282.759765999999</c:v>
                </c:pt>
                <c:pt idx="48">
                  <c:v>24334.28125</c:v>
                </c:pt>
                <c:pt idx="49">
                  <c:v>26810.771484000001</c:v>
                </c:pt>
                <c:pt idx="50">
                  <c:v>24434.988281000002</c:v>
                </c:pt>
                <c:pt idx="51">
                  <c:v>23875.779297000001</c:v>
                </c:pt>
                <c:pt idx="52">
                  <c:v>22186.445312</c:v>
                </c:pt>
                <c:pt idx="53">
                  <c:v>22514.90625</c:v>
                </c:pt>
                <c:pt idx="54">
                  <c:v>19312.359375</c:v>
                </c:pt>
                <c:pt idx="55">
                  <c:v>20951.939452999999</c:v>
                </c:pt>
                <c:pt idx="56">
                  <c:v>27787.896484000001</c:v>
                </c:pt>
                <c:pt idx="57">
                  <c:v>25383.552734000001</c:v>
                </c:pt>
                <c:pt idx="58">
                  <c:v>31763.394531000002</c:v>
                </c:pt>
                <c:pt idx="59">
                  <c:v>29831.550781000002</c:v>
                </c:pt>
                <c:pt idx="60">
                  <c:v>28713.763672000001</c:v>
                </c:pt>
                <c:pt idx="61">
                  <c:v>30405.193359000001</c:v>
                </c:pt>
                <c:pt idx="62">
                  <c:v>27141.736327999999</c:v>
                </c:pt>
                <c:pt idx="63">
                  <c:v>28089.830077999999</c:v>
                </c:pt>
                <c:pt idx="64">
                  <c:v>22787.998047000001</c:v>
                </c:pt>
                <c:pt idx="65">
                  <c:v>31971.744140999999</c:v>
                </c:pt>
                <c:pt idx="66">
                  <c:v>29174.890625</c:v>
                </c:pt>
                <c:pt idx="67">
                  <c:v>28445.037109000001</c:v>
                </c:pt>
                <c:pt idx="68">
                  <c:v>23565.056640999999</c:v>
                </c:pt>
                <c:pt idx="69">
                  <c:v>19633.830077999999</c:v>
                </c:pt>
                <c:pt idx="70">
                  <c:v>13641.490234000001</c:v>
                </c:pt>
                <c:pt idx="71">
                  <c:v>6683.8979490000002</c:v>
                </c:pt>
                <c:pt idx="72">
                  <c:v>6869.3139650000003</c:v>
                </c:pt>
                <c:pt idx="73">
                  <c:v>5251.6083980000003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I_15_SB!$H$2:$H$64</c:f>
              <c:numCache>
                <c:formatCode>0</c:formatCode>
                <c:ptCount val="63"/>
                <c:pt idx="0">
                  <c:v>7958</c:v>
                </c:pt>
                <c:pt idx="1">
                  <c:v>7434</c:v>
                </c:pt>
                <c:pt idx="2">
                  <c:v>10880</c:v>
                </c:pt>
                <c:pt idx="3">
                  <c:v>10056</c:v>
                </c:pt>
                <c:pt idx="4">
                  <c:v>11506</c:v>
                </c:pt>
                <c:pt idx="5">
                  <c:v>11431</c:v>
                </c:pt>
                <c:pt idx="6">
                  <c:v>8921</c:v>
                </c:pt>
                <c:pt idx="7">
                  <c:v>9672</c:v>
                </c:pt>
                <c:pt idx="8">
                  <c:v>12337</c:v>
                </c:pt>
                <c:pt idx="9">
                  <c:v>12404</c:v>
                </c:pt>
                <c:pt idx="10">
                  <c:v>18744</c:v>
                </c:pt>
                <c:pt idx="11">
                  <c:v>18909</c:v>
                </c:pt>
                <c:pt idx="12">
                  <c:v>16666</c:v>
                </c:pt>
                <c:pt idx="13">
                  <c:v>19255</c:v>
                </c:pt>
                <c:pt idx="14">
                  <c:v>19724</c:v>
                </c:pt>
                <c:pt idx="15">
                  <c:v>22193</c:v>
                </c:pt>
                <c:pt idx="16">
                  <c:v>19445</c:v>
                </c:pt>
                <c:pt idx="17">
                  <c:v>22985</c:v>
                </c:pt>
                <c:pt idx="18">
                  <c:v>20830</c:v>
                </c:pt>
                <c:pt idx="19">
                  <c:v>21409</c:v>
                </c:pt>
                <c:pt idx="20">
                  <c:v>18692</c:v>
                </c:pt>
                <c:pt idx="21">
                  <c:v>22442</c:v>
                </c:pt>
                <c:pt idx="22">
                  <c:v>21029</c:v>
                </c:pt>
                <c:pt idx="23">
                  <c:v>24646</c:v>
                </c:pt>
                <c:pt idx="24">
                  <c:v>21420</c:v>
                </c:pt>
                <c:pt idx="25">
                  <c:v>21294</c:v>
                </c:pt>
                <c:pt idx="26">
                  <c:v>27852</c:v>
                </c:pt>
                <c:pt idx="27">
                  <c:v>24049</c:v>
                </c:pt>
                <c:pt idx="28">
                  <c:v>35147</c:v>
                </c:pt>
                <c:pt idx="29">
                  <c:v>23334</c:v>
                </c:pt>
                <c:pt idx="30">
                  <c:v>22950</c:v>
                </c:pt>
                <c:pt idx="31">
                  <c:v>24886</c:v>
                </c:pt>
                <c:pt idx="32">
                  <c:v>27068</c:v>
                </c:pt>
                <c:pt idx="33">
                  <c:v>31601</c:v>
                </c:pt>
                <c:pt idx="34">
                  <c:v>24549</c:v>
                </c:pt>
                <c:pt idx="35">
                  <c:v>30102</c:v>
                </c:pt>
                <c:pt idx="36">
                  <c:v>28355</c:v>
                </c:pt>
                <c:pt idx="37">
                  <c:v>29905</c:v>
                </c:pt>
                <c:pt idx="38">
                  <c:v>29788</c:v>
                </c:pt>
                <c:pt idx="39">
                  <c:v>28889</c:v>
                </c:pt>
                <c:pt idx="40">
                  <c:v>30700</c:v>
                </c:pt>
                <c:pt idx="41">
                  <c:v>28943</c:v>
                </c:pt>
                <c:pt idx="42">
                  <c:v>11716</c:v>
                </c:pt>
                <c:pt idx="43">
                  <c:v>10958</c:v>
                </c:pt>
                <c:pt idx="44">
                  <c:v>19875</c:v>
                </c:pt>
                <c:pt idx="45">
                  <c:v>21049</c:v>
                </c:pt>
                <c:pt idx="46">
                  <c:v>26635</c:v>
                </c:pt>
                <c:pt idx="47">
                  <c:v>26697</c:v>
                </c:pt>
                <c:pt idx="48">
                  <c:v>29803</c:v>
                </c:pt>
                <c:pt idx="49">
                  <c:v>28304</c:v>
                </c:pt>
                <c:pt idx="50">
                  <c:v>30787</c:v>
                </c:pt>
                <c:pt idx="51">
                  <c:v>17524</c:v>
                </c:pt>
                <c:pt idx="52">
                  <c:v>25927</c:v>
                </c:pt>
                <c:pt idx="53">
                  <c:v>21780</c:v>
                </c:pt>
                <c:pt idx="54">
                  <c:v>20069</c:v>
                </c:pt>
                <c:pt idx="55">
                  <c:v>16611</c:v>
                </c:pt>
                <c:pt idx="56">
                  <c:v>21035</c:v>
                </c:pt>
                <c:pt idx="57">
                  <c:v>13241</c:v>
                </c:pt>
                <c:pt idx="58">
                  <c:v>13241</c:v>
                </c:pt>
                <c:pt idx="59">
                  <c:v>17883</c:v>
                </c:pt>
                <c:pt idx="60">
                  <c:v>17864</c:v>
                </c:pt>
                <c:pt idx="61">
                  <c:v>16528</c:v>
                </c:pt>
                <c:pt idx="62">
                  <c:v>14033</c:v>
                </c:pt>
              </c:numCache>
            </c:numRef>
          </c:xVal>
          <c:yVal>
            <c:numRef>
              <c:f>I_15_SB!$I$2:$I$64</c:f>
              <c:numCache>
                <c:formatCode>0</c:formatCode>
                <c:ptCount val="63"/>
                <c:pt idx="0">
                  <c:v>14727.751953000001</c:v>
                </c:pt>
                <c:pt idx="1">
                  <c:v>14480.724609000001</c:v>
                </c:pt>
                <c:pt idx="2">
                  <c:v>12195.829102</c:v>
                </c:pt>
                <c:pt idx="3">
                  <c:v>13632.411133</c:v>
                </c:pt>
                <c:pt idx="4">
                  <c:v>13605.152344</c:v>
                </c:pt>
                <c:pt idx="5">
                  <c:v>12578.014648</c:v>
                </c:pt>
                <c:pt idx="6">
                  <c:v>10564.071289</c:v>
                </c:pt>
                <c:pt idx="7">
                  <c:v>10145.104492</c:v>
                </c:pt>
                <c:pt idx="8">
                  <c:v>10345.674805000001</c:v>
                </c:pt>
                <c:pt idx="9">
                  <c:v>12606.211914</c:v>
                </c:pt>
                <c:pt idx="10">
                  <c:v>21829.029297000001</c:v>
                </c:pt>
                <c:pt idx="11">
                  <c:v>22804.449218999998</c:v>
                </c:pt>
                <c:pt idx="12">
                  <c:v>21718.832031000002</c:v>
                </c:pt>
                <c:pt idx="13">
                  <c:v>21684.171875</c:v>
                </c:pt>
                <c:pt idx="14">
                  <c:v>22115.740234000001</c:v>
                </c:pt>
                <c:pt idx="15">
                  <c:v>25555.226562</c:v>
                </c:pt>
                <c:pt idx="16">
                  <c:v>24528.134765999999</c:v>
                </c:pt>
                <c:pt idx="17">
                  <c:v>26946.195312</c:v>
                </c:pt>
                <c:pt idx="18">
                  <c:v>21752.992188</c:v>
                </c:pt>
                <c:pt idx="19">
                  <c:v>22075.931640999999</c:v>
                </c:pt>
                <c:pt idx="20">
                  <c:v>20140.960938</c:v>
                </c:pt>
                <c:pt idx="21">
                  <c:v>22404.412109000001</c:v>
                </c:pt>
                <c:pt idx="22">
                  <c:v>20416.167968999998</c:v>
                </c:pt>
                <c:pt idx="23">
                  <c:v>21767.917968999998</c:v>
                </c:pt>
                <c:pt idx="24">
                  <c:v>19453.318359000001</c:v>
                </c:pt>
                <c:pt idx="25">
                  <c:v>20548.189452999999</c:v>
                </c:pt>
                <c:pt idx="26">
                  <c:v>23023.044922000001</c:v>
                </c:pt>
                <c:pt idx="27">
                  <c:v>20931.857422000001</c:v>
                </c:pt>
                <c:pt idx="28">
                  <c:v>23679.675781000002</c:v>
                </c:pt>
                <c:pt idx="29">
                  <c:v>20131.929688</c:v>
                </c:pt>
                <c:pt idx="30">
                  <c:v>21245.775390999999</c:v>
                </c:pt>
                <c:pt idx="31">
                  <c:v>20698.996093999998</c:v>
                </c:pt>
                <c:pt idx="32">
                  <c:v>24104.873047000001</c:v>
                </c:pt>
                <c:pt idx="33">
                  <c:v>26727.076172000001</c:v>
                </c:pt>
                <c:pt idx="34">
                  <c:v>23598.720702999999</c:v>
                </c:pt>
                <c:pt idx="35">
                  <c:v>29478.955077999999</c:v>
                </c:pt>
                <c:pt idx="36">
                  <c:v>27969.427734000001</c:v>
                </c:pt>
                <c:pt idx="37">
                  <c:v>28587.242188</c:v>
                </c:pt>
                <c:pt idx="38">
                  <c:v>30836.078125</c:v>
                </c:pt>
                <c:pt idx="39">
                  <c:v>32198.744140999999</c:v>
                </c:pt>
                <c:pt idx="40">
                  <c:v>33734.023437999997</c:v>
                </c:pt>
                <c:pt idx="41">
                  <c:v>34108.730469000002</c:v>
                </c:pt>
                <c:pt idx="42">
                  <c:v>24601.699218999998</c:v>
                </c:pt>
                <c:pt idx="43">
                  <c:v>19602.171875</c:v>
                </c:pt>
                <c:pt idx="44">
                  <c:v>24547.953125</c:v>
                </c:pt>
                <c:pt idx="45">
                  <c:v>28499.787109000001</c:v>
                </c:pt>
                <c:pt idx="46">
                  <c:v>32959.472655999998</c:v>
                </c:pt>
                <c:pt idx="47">
                  <c:v>30784.339843999998</c:v>
                </c:pt>
                <c:pt idx="48">
                  <c:v>35017.234375</c:v>
                </c:pt>
                <c:pt idx="49">
                  <c:v>31958.804688</c:v>
                </c:pt>
                <c:pt idx="50">
                  <c:v>34693.183594000002</c:v>
                </c:pt>
                <c:pt idx="51">
                  <c:v>19930.167968999998</c:v>
                </c:pt>
                <c:pt idx="52">
                  <c:v>30509.046875</c:v>
                </c:pt>
                <c:pt idx="53">
                  <c:v>25798.265625</c:v>
                </c:pt>
                <c:pt idx="54">
                  <c:v>20716.410156000002</c:v>
                </c:pt>
                <c:pt idx="55">
                  <c:v>22213.375</c:v>
                </c:pt>
                <c:pt idx="56">
                  <c:v>23700.261718999998</c:v>
                </c:pt>
                <c:pt idx="57">
                  <c:v>10274.478515999999</c:v>
                </c:pt>
                <c:pt idx="58">
                  <c:v>10274.478515999999</c:v>
                </c:pt>
                <c:pt idx="59">
                  <c:v>16453.330077999999</c:v>
                </c:pt>
                <c:pt idx="60">
                  <c:v>17153.404297000001</c:v>
                </c:pt>
                <c:pt idx="61">
                  <c:v>16870.421875</c:v>
                </c:pt>
                <c:pt idx="62">
                  <c:v>15734.662109000001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I_805_SB!$H$2:$H$44</c:f>
              <c:numCache>
                <c:formatCode>0</c:formatCode>
                <c:ptCount val="43"/>
                <c:pt idx="0">
                  <c:v>9432</c:v>
                </c:pt>
                <c:pt idx="1">
                  <c:v>15531</c:v>
                </c:pt>
                <c:pt idx="2">
                  <c:v>12370</c:v>
                </c:pt>
                <c:pt idx="3">
                  <c:v>16116</c:v>
                </c:pt>
                <c:pt idx="4">
                  <c:v>16818</c:v>
                </c:pt>
                <c:pt idx="5">
                  <c:v>14690</c:v>
                </c:pt>
                <c:pt idx="6">
                  <c:v>19570</c:v>
                </c:pt>
                <c:pt idx="7">
                  <c:v>20288</c:v>
                </c:pt>
                <c:pt idx="8">
                  <c:v>19295</c:v>
                </c:pt>
                <c:pt idx="9">
                  <c:v>20237</c:v>
                </c:pt>
                <c:pt idx="10">
                  <c:v>20101</c:v>
                </c:pt>
                <c:pt idx="11">
                  <c:v>23020</c:v>
                </c:pt>
                <c:pt idx="12">
                  <c:v>17403</c:v>
                </c:pt>
                <c:pt idx="13">
                  <c:v>18107</c:v>
                </c:pt>
                <c:pt idx="14">
                  <c:v>18499</c:v>
                </c:pt>
                <c:pt idx="15">
                  <c:v>29959</c:v>
                </c:pt>
                <c:pt idx="16">
                  <c:v>29030</c:v>
                </c:pt>
                <c:pt idx="17">
                  <c:v>30741</c:v>
                </c:pt>
                <c:pt idx="18">
                  <c:v>21829</c:v>
                </c:pt>
                <c:pt idx="19">
                  <c:v>29038</c:v>
                </c:pt>
                <c:pt idx="20">
                  <c:v>28272</c:v>
                </c:pt>
                <c:pt idx="21">
                  <c:v>23425</c:v>
                </c:pt>
                <c:pt idx="22">
                  <c:v>32716</c:v>
                </c:pt>
                <c:pt idx="23">
                  <c:v>21789</c:v>
                </c:pt>
                <c:pt idx="24">
                  <c:v>19717</c:v>
                </c:pt>
                <c:pt idx="25">
                  <c:v>32011</c:v>
                </c:pt>
                <c:pt idx="26">
                  <c:v>21475</c:v>
                </c:pt>
                <c:pt idx="27">
                  <c:v>27118</c:v>
                </c:pt>
                <c:pt idx="28">
                  <c:v>31203</c:v>
                </c:pt>
                <c:pt idx="29">
                  <c:v>27045</c:v>
                </c:pt>
                <c:pt idx="30">
                  <c:v>27413</c:v>
                </c:pt>
                <c:pt idx="31">
                  <c:v>35806</c:v>
                </c:pt>
                <c:pt idx="32">
                  <c:v>30376</c:v>
                </c:pt>
                <c:pt idx="33">
                  <c:v>26889</c:v>
                </c:pt>
                <c:pt idx="34">
                  <c:v>26224</c:v>
                </c:pt>
                <c:pt idx="35">
                  <c:v>16943</c:v>
                </c:pt>
                <c:pt idx="36">
                  <c:v>16630</c:v>
                </c:pt>
                <c:pt idx="37">
                  <c:v>17965</c:v>
                </c:pt>
                <c:pt idx="38">
                  <c:v>13679</c:v>
                </c:pt>
                <c:pt idx="39">
                  <c:v>14280</c:v>
                </c:pt>
                <c:pt idx="40">
                  <c:v>8561</c:v>
                </c:pt>
                <c:pt idx="41">
                  <c:v>12542</c:v>
                </c:pt>
                <c:pt idx="42">
                  <c:v>6694</c:v>
                </c:pt>
              </c:numCache>
            </c:numRef>
          </c:xVal>
          <c:yVal>
            <c:numRef>
              <c:f>I_805_SB!$I$2:$I$44</c:f>
              <c:numCache>
                <c:formatCode>0</c:formatCode>
                <c:ptCount val="43"/>
                <c:pt idx="0">
                  <c:v>12409.535156</c:v>
                </c:pt>
                <c:pt idx="1">
                  <c:v>16690.216797000001</c:v>
                </c:pt>
                <c:pt idx="2">
                  <c:v>14624.327148</c:v>
                </c:pt>
                <c:pt idx="3">
                  <c:v>19336.683593999998</c:v>
                </c:pt>
                <c:pt idx="4">
                  <c:v>23914.396484000001</c:v>
                </c:pt>
                <c:pt idx="5">
                  <c:v>21097.476562</c:v>
                </c:pt>
                <c:pt idx="6">
                  <c:v>26757.148438</c:v>
                </c:pt>
                <c:pt idx="7">
                  <c:v>31391.683593999998</c:v>
                </c:pt>
                <c:pt idx="8">
                  <c:v>26809.523438</c:v>
                </c:pt>
                <c:pt idx="9">
                  <c:v>30883.025390999999</c:v>
                </c:pt>
                <c:pt idx="10">
                  <c:v>26490.0625</c:v>
                </c:pt>
                <c:pt idx="11">
                  <c:v>31576.833984000001</c:v>
                </c:pt>
                <c:pt idx="12">
                  <c:v>24890.080077999999</c:v>
                </c:pt>
                <c:pt idx="13">
                  <c:v>24890.080077999999</c:v>
                </c:pt>
                <c:pt idx="14">
                  <c:v>34519.601562000003</c:v>
                </c:pt>
                <c:pt idx="15">
                  <c:v>37906.003905999998</c:v>
                </c:pt>
                <c:pt idx="16">
                  <c:v>36127.359375</c:v>
                </c:pt>
                <c:pt idx="17">
                  <c:v>37786.039062000003</c:v>
                </c:pt>
                <c:pt idx="18">
                  <c:v>26535.144531000002</c:v>
                </c:pt>
                <c:pt idx="19">
                  <c:v>33287.972655999998</c:v>
                </c:pt>
                <c:pt idx="20">
                  <c:v>33477.5625</c:v>
                </c:pt>
                <c:pt idx="21">
                  <c:v>26420.966797000001</c:v>
                </c:pt>
                <c:pt idx="22">
                  <c:v>39846.75</c:v>
                </c:pt>
                <c:pt idx="23">
                  <c:v>28762.302734000001</c:v>
                </c:pt>
                <c:pt idx="24">
                  <c:v>26552.71875</c:v>
                </c:pt>
                <c:pt idx="25">
                  <c:v>35267.824219000002</c:v>
                </c:pt>
                <c:pt idx="26">
                  <c:v>29358.111327999999</c:v>
                </c:pt>
                <c:pt idx="27">
                  <c:v>30525.400390999999</c:v>
                </c:pt>
                <c:pt idx="28">
                  <c:v>32409.998047000001</c:v>
                </c:pt>
                <c:pt idx="29">
                  <c:v>28318.865234000001</c:v>
                </c:pt>
                <c:pt idx="30">
                  <c:v>30701.773438</c:v>
                </c:pt>
                <c:pt idx="31">
                  <c:v>32834.386719000002</c:v>
                </c:pt>
                <c:pt idx="32">
                  <c:v>30056.591797000001</c:v>
                </c:pt>
                <c:pt idx="33">
                  <c:v>23564.941406000002</c:v>
                </c:pt>
                <c:pt idx="34">
                  <c:v>25396.898438</c:v>
                </c:pt>
                <c:pt idx="35">
                  <c:v>14929.143555000001</c:v>
                </c:pt>
                <c:pt idx="36">
                  <c:v>16984.791015999999</c:v>
                </c:pt>
                <c:pt idx="37">
                  <c:v>17630.005859000001</c:v>
                </c:pt>
                <c:pt idx="38">
                  <c:v>15539.817383</c:v>
                </c:pt>
                <c:pt idx="39">
                  <c:v>18086.373047000001</c:v>
                </c:pt>
                <c:pt idx="40">
                  <c:v>7642.4145509999998</c:v>
                </c:pt>
                <c:pt idx="41">
                  <c:v>8546.2949219999991</c:v>
                </c:pt>
                <c:pt idx="42">
                  <c:v>6825.9545900000003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SR_163_SB!$H$2:$H$14</c:f>
              <c:numCache>
                <c:formatCode>0</c:formatCode>
                <c:ptCount val="12"/>
                <c:pt idx="0">
                  <c:v>17739</c:v>
                </c:pt>
                <c:pt idx="1">
                  <c:v>20825</c:v>
                </c:pt>
                <c:pt idx="2">
                  <c:v>25016</c:v>
                </c:pt>
                <c:pt idx="3">
                  <c:v>23317</c:v>
                </c:pt>
                <c:pt idx="4">
                  <c:v>18036</c:v>
                </c:pt>
                <c:pt idx="5">
                  <c:v>23134</c:v>
                </c:pt>
                <c:pt idx="6">
                  <c:v>21898</c:v>
                </c:pt>
                <c:pt idx="7">
                  <c:v>17086</c:v>
                </c:pt>
                <c:pt idx="8">
                  <c:v>21723</c:v>
                </c:pt>
                <c:pt idx="9">
                  <c:v>19872</c:v>
                </c:pt>
                <c:pt idx="10">
                  <c:v>10840</c:v>
                </c:pt>
                <c:pt idx="11">
                  <c:v>11803</c:v>
                </c:pt>
              </c:numCache>
            </c:numRef>
          </c:xVal>
          <c:yVal>
            <c:numRef>
              <c:f>SR_163_SB!$I$2:$I$14</c:f>
              <c:numCache>
                <c:formatCode>0</c:formatCode>
                <c:ptCount val="12"/>
                <c:pt idx="0">
                  <c:v>13165.798828000001</c:v>
                </c:pt>
                <c:pt idx="1">
                  <c:v>13179.798828000001</c:v>
                </c:pt>
                <c:pt idx="2">
                  <c:v>15696.981444999999</c:v>
                </c:pt>
                <c:pt idx="3">
                  <c:v>19762.931640999999</c:v>
                </c:pt>
                <c:pt idx="4">
                  <c:v>15473.75</c:v>
                </c:pt>
                <c:pt idx="5">
                  <c:v>24033.806640999999</c:v>
                </c:pt>
                <c:pt idx="6">
                  <c:v>21091.041015999999</c:v>
                </c:pt>
                <c:pt idx="7">
                  <c:v>21550.384765999999</c:v>
                </c:pt>
                <c:pt idx="8">
                  <c:v>24406.072265999999</c:v>
                </c:pt>
                <c:pt idx="9">
                  <c:v>21519.048827999999</c:v>
                </c:pt>
                <c:pt idx="10">
                  <c:v>11890.033203000001</c:v>
                </c:pt>
                <c:pt idx="11">
                  <c:v>12370.199219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5438</c:v>
                </c:pt>
                <c:pt idx="1">
                  <c:v>10546</c:v>
                </c:pt>
                <c:pt idx="2">
                  <c:v>7791</c:v>
                </c:pt>
                <c:pt idx="3">
                  <c:v>9705</c:v>
                </c:pt>
                <c:pt idx="4">
                  <c:v>12576</c:v>
                </c:pt>
                <c:pt idx="5">
                  <c:v>11022</c:v>
                </c:pt>
                <c:pt idx="6">
                  <c:v>18998</c:v>
                </c:pt>
                <c:pt idx="7">
                  <c:v>20215</c:v>
                </c:pt>
                <c:pt idx="8">
                  <c:v>20233</c:v>
                </c:pt>
                <c:pt idx="9">
                  <c:v>14935</c:v>
                </c:pt>
                <c:pt idx="10">
                  <c:v>14060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4813.5258789999998</c:v>
                </c:pt>
                <c:pt idx="1">
                  <c:v>8111.9604490000002</c:v>
                </c:pt>
                <c:pt idx="2">
                  <c:v>5423.7290039999998</c:v>
                </c:pt>
                <c:pt idx="3">
                  <c:v>7908.3774409999996</c:v>
                </c:pt>
                <c:pt idx="4">
                  <c:v>10987.779296999999</c:v>
                </c:pt>
                <c:pt idx="5">
                  <c:v>10223.458008</c:v>
                </c:pt>
                <c:pt idx="6">
                  <c:v>21269.275390999999</c:v>
                </c:pt>
                <c:pt idx="7">
                  <c:v>21269.275390999999</c:v>
                </c:pt>
                <c:pt idx="8">
                  <c:v>17562.330077999999</c:v>
                </c:pt>
                <c:pt idx="9">
                  <c:v>15151.928711</c:v>
                </c:pt>
                <c:pt idx="10">
                  <c:v>12828.628906</c:v>
                </c:pt>
                <c:pt idx="11">
                  <c:v>6356.9423829999996</c:v>
                </c:pt>
                <c:pt idx="12">
                  <c:v>5855.5986329999996</c:v>
                </c:pt>
                <c:pt idx="13">
                  <c:v>4199.8891599999997</c:v>
                </c:pt>
                <c:pt idx="14">
                  <c:v>3155.4753420000002</c:v>
                </c:pt>
                <c:pt idx="15">
                  <c:v>1915.2257079999999</c:v>
                </c:pt>
                <c:pt idx="16">
                  <c:v>1180.147461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8746.6435550000006</c:v>
                </c:pt>
                <c:pt idx="1">
                  <c:v>17803.623047000001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11465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10731.844727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I_15HOV_SB!$H$2:$H$9</c:f>
              <c:numCache>
                <c:formatCode>0</c:formatCode>
                <c:ptCount val="8"/>
                <c:pt idx="0">
                  <c:v>2864</c:v>
                </c:pt>
                <c:pt idx="1">
                  <c:v>3405</c:v>
                </c:pt>
                <c:pt idx="2">
                  <c:v>2933</c:v>
                </c:pt>
                <c:pt idx="3">
                  <c:v>4115</c:v>
                </c:pt>
                <c:pt idx="4">
                  <c:v>5672</c:v>
                </c:pt>
                <c:pt idx="5">
                  <c:v>5214</c:v>
                </c:pt>
                <c:pt idx="6">
                  <c:v>5376</c:v>
                </c:pt>
                <c:pt idx="7">
                  <c:v>5183</c:v>
                </c:pt>
              </c:numCache>
            </c:numRef>
          </c:xVal>
          <c:yVal>
            <c:numRef>
              <c:f>I_15HOV_SB!$I$2:$I$9</c:f>
              <c:numCache>
                <c:formatCode>0</c:formatCode>
                <c:ptCount val="8"/>
                <c:pt idx="0">
                  <c:v>2576.515625</c:v>
                </c:pt>
                <c:pt idx="1">
                  <c:v>2672.876221</c:v>
                </c:pt>
                <c:pt idx="2">
                  <c:v>2260.2270509999998</c:v>
                </c:pt>
                <c:pt idx="3">
                  <c:v>3654.3554690000001</c:v>
                </c:pt>
                <c:pt idx="4">
                  <c:v>3941.8483890000002</c:v>
                </c:pt>
                <c:pt idx="5">
                  <c:v>4912.2539059999999</c:v>
                </c:pt>
                <c:pt idx="6">
                  <c:v>4118.1098629999997</c:v>
                </c:pt>
                <c:pt idx="7">
                  <c:v>5428.9711909999996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I_5HOV_SB!$H$2:$H$5</c:f>
              <c:numCache>
                <c:formatCode>0</c:formatCode>
                <c:ptCount val="4"/>
                <c:pt idx="0">
                  <c:v>2055</c:v>
                </c:pt>
                <c:pt idx="1">
                  <c:v>2260</c:v>
                </c:pt>
                <c:pt idx="2">
                  <c:v>2152</c:v>
                </c:pt>
                <c:pt idx="3">
                  <c:v>2478</c:v>
                </c:pt>
              </c:numCache>
            </c:numRef>
          </c:xVal>
          <c:yVal>
            <c:numRef>
              <c:f>I_5HOV_SB!$I$2:$I$5</c:f>
              <c:numCache>
                <c:formatCode>0</c:formatCode>
                <c:ptCount val="4"/>
                <c:pt idx="0">
                  <c:v>2686.0783689999998</c:v>
                </c:pt>
                <c:pt idx="1">
                  <c:v>2686.0783689999998</c:v>
                </c:pt>
                <c:pt idx="2">
                  <c:v>2686.0783689999998</c:v>
                </c:pt>
                <c:pt idx="3">
                  <c:v>2686.0783689999998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10"/>
          <c:order val="9"/>
          <c:tx>
            <c:strRef>
              <c:f>I_805HOV_SB!$B$2</c:f>
              <c:strCache>
                <c:ptCount val="1"/>
                <c:pt idx="0">
                  <c:v>I-805 HOV SB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I_805HOV_SB!$H$2</c:f>
              <c:numCache>
                <c:formatCode>0</c:formatCode>
                <c:ptCount val="1"/>
                <c:pt idx="0">
                  <c:v>2838</c:v>
                </c:pt>
              </c:numCache>
            </c:numRef>
          </c:xVal>
          <c:yVal>
            <c:numRef>
              <c:f>I_805HOV_SB!$I$2</c:f>
              <c:numCache>
                <c:formatCode>0</c:formatCode>
                <c:ptCount val="1"/>
                <c:pt idx="0">
                  <c:v>2136.1215820000002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0D7-4733-90A8-1201F4F79C10}"/>
            </c:ext>
          </c:extLst>
        </c:ser>
        <c:ser>
          <c:idx val="9"/>
          <c:order val="1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8208"/>
        <c:axId val="105040128"/>
        <c:extLst/>
      </c:scatterChart>
      <c:valAx>
        <c:axId val="105038208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0128"/>
        <c:crosses val="autoZero"/>
        <c:crossBetween val="midCat"/>
        <c:majorUnit val="10000"/>
      </c:valAx>
      <c:valAx>
        <c:axId val="1050401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820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1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WB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I_8_WB!$H$2:$H$52</c:f>
              <c:numCache>
                <c:formatCode>0</c:formatCode>
                <c:ptCount val="50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4867</c:v>
                </c:pt>
                <c:pt idx="5">
                  <c:v>7200</c:v>
                </c:pt>
                <c:pt idx="6">
                  <c:v>6569</c:v>
                </c:pt>
                <c:pt idx="7">
                  <c:v>8766</c:v>
                </c:pt>
                <c:pt idx="8">
                  <c:v>7575</c:v>
                </c:pt>
                <c:pt idx="9">
                  <c:v>9769</c:v>
                </c:pt>
                <c:pt idx="10">
                  <c:v>9769</c:v>
                </c:pt>
                <c:pt idx="11">
                  <c:v>8745</c:v>
                </c:pt>
                <c:pt idx="12">
                  <c:v>8745</c:v>
                </c:pt>
                <c:pt idx="13">
                  <c:v>8290</c:v>
                </c:pt>
                <c:pt idx="14">
                  <c:v>12716</c:v>
                </c:pt>
                <c:pt idx="15">
                  <c:v>12056</c:v>
                </c:pt>
                <c:pt idx="16">
                  <c:v>9963</c:v>
                </c:pt>
                <c:pt idx="17">
                  <c:v>10019</c:v>
                </c:pt>
                <c:pt idx="18">
                  <c:v>18455</c:v>
                </c:pt>
                <c:pt idx="19">
                  <c:v>19260</c:v>
                </c:pt>
                <c:pt idx="20">
                  <c:v>21553</c:v>
                </c:pt>
                <c:pt idx="21">
                  <c:v>27071</c:v>
                </c:pt>
                <c:pt idx="22">
                  <c:v>11961</c:v>
                </c:pt>
                <c:pt idx="23">
                  <c:v>11849</c:v>
                </c:pt>
                <c:pt idx="24">
                  <c:v>19074</c:v>
                </c:pt>
                <c:pt idx="25">
                  <c:v>20572</c:v>
                </c:pt>
                <c:pt idx="26">
                  <c:v>16431</c:v>
                </c:pt>
                <c:pt idx="27">
                  <c:v>16883</c:v>
                </c:pt>
                <c:pt idx="28">
                  <c:v>19080</c:v>
                </c:pt>
                <c:pt idx="29">
                  <c:v>17488</c:v>
                </c:pt>
                <c:pt idx="30">
                  <c:v>18996</c:v>
                </c:pt>
                <c:pt idx="31">
                  <c:v>18472</c:v>
                </c:pt>
                <c:pt idx="32">
                  <c:v>22776</c:v>
                </c:pt>
                <c:pt idx="33">
                  <c:v>22466</c:v>
                </c:pt>
                <c:pt idx="34">
                  <c:v>24478</c:v>
                </c:pt>
                <c:pt idx="35">
                  <c:v>22829</c:v>
                </c:pt>
                <c:pt idx="36">
                  <c:v>15169</c:v>
                </c:pt>
                <c:pt idx="37">
                  <c:v>21986</c:v>
                </c:pt>
                <c:pt idx="38">
                  <c:v>17634</c:v>
                </c:pt>
                <c:pt idx="39">
                  <c:v>15627</c:v>
                </c:pt>
                <c:pt idx="40">
                  <c:v>25919</c:v>
                </c:pt>
                <c:pt idx="41">
                  <c:v>24409</c:v>
                </c:pt>
                <c:pt idx="42">
                  <c:v>20299</c:v>
                </c:pt>
                <c:pt idx="43">
                  <c:v>18221</c:v>
                </c:pt>
                <c:pt idx="44">
                  <c:v>21943</c:v>
                </c:pt>
                <c:pt idx="45">
                  <c:v>22801</c:v>
                </c:pt>
                <c:pt idx="46">
                  <c:v>22199</c:v>
                </c:pt>
                <c:pt idx="47">
                  <c:v>22199</c:v>
                </c:pt>
                <c:pt idx="48">
                  <c:v>20372</c:v>
                </c:pt>
                <c:pt idx="49">
                  <c:v>13497</c:v>
                </c:pt>
              </c:numCache>
            </c:numRef>
          </c:xVal>
          <c:yVal>
            <c:numRef>
              <c:f>I_8_WB!$I$2:$I$52</c:f>
              <c:numCache>
                <c:formatCode>0</c:formatCode>
                <c:ptCount val="50"/>
                <c:pt idx="0">
                  <c:v>634.33215299999995</c:v>
                </c:pt>
                <c:pt idx="1">
                  <c:v>847.37536599999999</c:v>
                </c:pt>
                <c:pt idx="2">
                  <c:v>1243.587524</c:v>
                </c:pt>
                <c:pt idx="3">
                  <c:v>4961.3872069999998</c:v>
                </c:pt>
                <c:pt idx="4">
                  <c:v>3941.7145999999998</c:v>
                </c:pt>
                <c:pt idx="5">
                  <c:v>5587.0834960000002</c:v>
                </c:pt>
                <c:pt idx="6">
                  <c:v>5456.6054690000001</c:v>
                </c:pt>
                <c:pt idx="7">
                  <c:v>6945.7744140000004</c:v>
                </c:pt>
                <c:pt idx="8">
                  <c:v>6631.8139650000003</c:v>
                </c:pt>
                <c:pt idx="9">
                  <c:v>8561.9775389999995</c:v>
                </c:pt>
                <c:pt idx="10">
                  <c:v>8561.9775389999995</c:v>
                </c:pt>
                <c:pt idx="11">
                  <c:v>7643.7426759999998</c:v>
                </c:pt>
                <c:pt idx="12">
                  <c:v>7643.7426759999998</c:v>
                </c:pt>
                <c:pt idx="13">
                  <c:v>7187.8037109999996</c:v>
                </c:pt>
                <c:pt idx="14">
                  <c:v>10108.418944999999</c:v>
                </c:pt>
                <c:pt idx="15">
                  <c:v>9588.1044920000004</c:v>
                </c:pt>
                <c:pt idx="16">
                  <c:v>11731.357421999999</c:v>
                </c:pt>
                <c:pt idx="17">
                  <c:v>8359.4755860000005</c:v>
                </c:pt>
                <c:pt idx="18">
                  <c:v>17801.740234000001</c:v>
                </c:pt>
                <c:pt idx="19">
                  <c:v>19057.802734000001</c:v>
                </c:pt>
                <c:pt idx="20">
                  <c:v>21119.693359000001</c:v>
                </c:pt>
                <c:pt idx="21">
                  <c:v>24171.101562</c:v>
                </c:pt>
                <c:pt idx="22">
                  <c:v>11659.515625</c:v>
                </c:pt>
                <c:pt idx="23">
                  <c:v>10692.170898</c:v>
                </c:pt>
                <c:pt idx="24">
                  <c:v>16358.929688</c:v>
                </c:pt>
                <c:pt idx="25">
                  <c:v>17376.572265999999</c:v>
                </c:pt>
                <c:pt idx="26">
                  <c:v>14669.231444999999</c:v>
                </c:pt>
                <c:pt idx="27">
                  <c:v>16713.119140999999</c:v>
                </c:pt>
                <c:pt idx="28">
                  <c:v>18654.271484000001</c:v>
                </c:pt>
                <c:pt idx="29">
                  <c:v>17249.841797000001</c:v>
                </c:pt>
                <c:pt idx="30">
                  <c:v>21832.712890999999</c:v>
                </c:pt>
                <c:pt idx="31">
                  <c:v>19621.810547000001</c:v>
                </c:pt>
                <c:pt idx="32">
                  <c:v>23376.226562</c:v>
                </c:pt>
                <c:pt idx="33">
                  <c:v>22167.529297000001</c:v>
                </c:pt>
                <c:pt idx="34">
                  <c:v>24292.134765999999</c:v>
                </c:pt>
                <c:pt idx="35">
                  <c:v>22000.673827999999</c:v>
                </c:pt>
                <c:pt idx="36">
                  <c:v>14407.948242</c:v>
                </c:pt>
                <c:pt idx="37">
                  <c:v>27040.994140999999</c:v>
                </c:pt>
                <c:pt idx="38">
                  <c:v>15905.451171999999</c:v>
                </c:pt>
                <c:pt idx="39">
                  <c:v>13016.474609000001</c:v>
                </c:pt>
                <c:pt idx="40">
                  <c:v>22583.816406000002</c:v>
                </c:pt>
                <c:pt idx="41">
                  <c:v>19137.306640999999</c:v>
                </c:pt>
                <c:pt idx="42">
                  <c:v>16957.322265999999</c:v>
                </c:pt>
                <c:pt idx="43">
                  <c:v>12230.083008</c:v>
                </c:pt>
                <c:pt idx="44">
                  <c:v>21921.298827999999</c:v>
                </c:pt>
                <c:pt idx="45">
                  <c:v>23623.019531000002</c:v>
                </c:pt>
                <c:pt idx="46">
                  <c:v>21304.689452999999</c:v>
                </c:pt>
                <c:pt idx="47">
                  <c:v>21972.509765999999</c:v>
                </c:pt>
                <c:pt idx="48">
                  <c:v>20587.421875</c:v>
                </c:pt>
                <c:pt idx="49">
                  <c:v>12899.105469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SR_78_WB!$H$2:$H$28</c:f>
              <c:numCache>
                <c:formatCode>0</c:formatCode>
                <c:ptCount val="26"/>
                <c:pt idx="0">
                  <c:v>8363</c:v>
                </c:pt>
                <c:pt idx="1">
                  <c:v>5453</c:v>
                </c:pt>
                <c:pt idx="2">
                  <c:v>18328</c:v>
                </c:pt>
                <c:pt idx="3">
                  <c:v>15330</c:v>
                </c:pt>
                <c:pt idx="4">
                  <c:v>14890</c:v>
                </c:pt>
                <c:pt idx="5">
                  <c:v>17628</c:v>
                </c:pt>
                <c:pt idx="6">
                  <c:v>16167</c:v>
                </c:pt>
                <c:pt idx="7">
                  <c:v>15802</c:v>
                </c:pt>
                <c:pt idx="8">
                  <c:v>16187</c:v>
                </c:pt>
                <c:pt idx="9">
                  <c:v>13498</c:v>
                </c:pt>
                <c:pt idx="10">
                  <c:v>18053</c:v>
                </c:pt>
                <c:pt idx="11">
                  <c:v>16131</c:v>
                </c:pt>
                <c:pt idx="12">
                  <c:v>17701</c:v>
                </c:pt>
                <c:pt idx="13">
                  <c:v>14936</c:v>
                </c:pt>
                <c:pt idx="14">
                  <c:v>17762</c:v>
                </c:pt>
                <c:pt idx="15">
                  <c:v>15856</c:v>
                </c:pt>
                <c:pt idx="16">
                  <c:v>12472</c:v>
                </c:pt>
                <c:pt idx="17">
                  <c:v>12472</c:v>
                </c:pt>
                <c:pt idx="18">
                  <c:v>14491</c:v>
                </c:pt>
                <c:pt idx="19">
                  <c:v>12863</c:v>
                </c:pt>
                <c:pt idx="20">
                  <c:v>11913</c:v>
                </c:pt>
                <c:pt idx="21">
                  <c:v>13748</c:v>
                </c:pt>
                <c:pt idx="22">
                  <c:v>15506</c:v>
                </c:pt>
                <c:pt idx="23">
                  <c:v>11514</c:v>
                </c:pt>
                <c:pt idx="24">
                  <c:v>11696</c:v>
                </c:pt>
                <c:pt idx="25">
                  <c:v>11402</c:v>
                </c:pt>
              </c:numCache>
            </c:numRef>
          </c:xVal>
          <c:yVal>
            <c:numRef>
              <c:f>SR_78_WB!$I$2:$I$28</c:f>
              <c:numCache>
                <c:formatCode>0</c:formatCode>
                <c:ptCount val="26"/>
                <c:pt idx="0">
                  <c:v>9939.8212889999995</c:v>
                </c:pt>
                <c:pt idx="1">
                  <c:v>8255.8037110000005</c:v>
                </c:pt>
                <c:pt idx="2">
                  <c:v>22530.097656000002</c:v>
                </c:pt>
                <c:pt idx="3">
                  <c:v>20062.041015999999</c:v>
                </c:pt>
                <c:pt idx="4">
                  <c:v>22982.552734000001</c:v>
                </c:pt>
                <c:pt idx="5">
                  <c:v>21649.298827999999</c:v>
                </c:pt>
                <c:pt idx="6">
                  <c:v>20594.105468999998</c:v>
                </c:pt>
                <c:pt idx="7">
                  <c:v>19872.023438</c:v>
                </c:pt>
                <c:pt idx="8">
                  <c:v>20437.679688</c:v>
                </c:pt>
                <c:pt idx="9">
                  <c:v>16431.582031000002</c:v>
                </c:pt>
                <c:pt idx="10">
                  <c:v>16431.582031000002</c:v>
                </c:pt>
                <c:pt idx="11">
                  <c:v>18936.142577999999</c:v>
                </c:pt>
                <c:pt idx="12">
                  <c:v>21085.214843999998</c:v>
                </c:pt>
                <c:pt idx="13">
                  <c:v>17853.105468999998</c:v>
                </c:pt>
                <c:pt idx="14">
                  <c:v>18103.460938</c:v>
                </c:pt>
                <c:pt idx="15">
                  <c:v>15585.291992</c:v>
                </c:pt>
                <c:pt idx="16">
                  <c:v>13471.100586</c:v>
                </c:pt>
                <c:pt idx="17">
                  <c:v>13471.100586</c:v>
                </c:pt>
                <c:pt idx="18">
                  <c:v>14762.392578000001</c:v>
                </c:pt>
                <c:pt idx="19">
                  <c:v>12627.659180000001</c:v>
                </c:pt>
                <c:pt idx="20">
                  <c:v>11507.895508</c:v>
                </c:pt>
                <c:pt idx="21">
                  <c:v>12686.825194999999</c:v>
                </c:pt>
                <c:pt idx="22">
                  <c:v>14225.608398</c:v>
                </c:pt>
                <c:pt idx="23">
                  <c:v>11301.975586</c:v>
                </c:pt>
                <c:pt idx="24">
                  <c:v>11245.690430000001</c:v>
                </c:pt>
                <c:pt idx="25">
                  <c:v>12113.695312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SR_52_WB!$H$2:$H$19</c:f>
              <c:numCache>
                <c:formatCode>0</c:formatCode>
                <c:ptCount val="18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6513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8018</c:v>
                </c:pt>
                <c:pt idx="9">
                  <c:v>6082</c:v>
                </c:pt>
                <c:pt idx="10">
                  <c:v>11348</c:v>
                </c:pt>
                <c:pt idx="11">
                  <c:v>11783</c:v>
                </c:pt>
                <c:pt idx="12">
                  <c:v>14191</c:v>
                </c:pt>
                <c:pt idx="13">
                  <c:v>6954</c:v>
                </c:pt>
                <c:pt idx="14">
                  <c:v>10718</c:v>
                </c:pt>
                <c:pt idx="15">
                  <c:v>9018</c:v>
                </c:pt>
                <c:pt idx="16">
                  <c:v>10361</c:v>
                </c:pt>
                <c:pt idx="17">
                  <c:v>7981</c:v>
                </c:pt>
              </c:numCache>
            </c:numRef>
          </c:xVal>
          <c:yVal>
            <c:numRef>
              <c:f>SR_52_WB!$I$2:$I$19</c:f>
              <c:numCache>
                <c:formatCode>0</c:formatCode>
                <c:ptCount val="18"/>
                <c:pt idx="0">
                  <c:v>8879.09375</c:v>
                </c:pt>
                <c:pt idx="1">
                  <c:v>9422.9111329999996</c:v>
                </c:pt>
                <c:pt idx="2">
                  <c:v>11403.620117</c:v>
                </c:pt>
                <c:pt idx="3">
                  <c:v>11403.620117</c:v>
                </c:pt>
                <c:pt idx="4">
                  <c:v>11044.945312</c:v>
                </c:pt>
                <c:pt idx="5">
                  <c:v>13229.370117</c:v>
                </c:pt>
                <c:pt idx="6">
                  <c:v>13229.370117</c:v>
                </c:pt>
                <c:pt idx="7">
                  <c:v>14314.711914</c:v>
                </c:pt>
                <c:pt idx="8">
                  <c:v>14314.711914</c:v>
                </c:pt>
                <c:pt idx="9">
                  <c:v>7529.5283200000003</c:v>
                </c:pt>
                <c:pt idx="10">
                  <c:v>13876.410156</c:v>
                </c:pt>
                <c:pt idx="11">
                  <c:v>13876.410156</c:v>
                </c:pt>
                <c:pt idx="12">
                  <c:v>17090.572265999999</c:v>
                </c:pt>
                <c:pt idx="13">
                  <c:v>7475.0463870000003</c:v>
                </c:pt>
                <c:pt idx="14">
                  <c:v>12089.399414</c:v>
                </c:pt>
                <c:pt idx="15">
                  <c:v>8092.0366210000002</c:v>
                </c:pt>
                <c:pt idx="16">
                  <c:v>9955.1308590000008</c:v>
                </c:pt>
                <c:pt idx="17">
                  <c:v>8158.8969729999999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SR_54_WB!$H$2:$H$8</c:f>
              <c:numCache>
                <c:formatCode>0</c:formatCode>
                <c:ptCount val="7"/>
                <c:pt idx="0">
                  <c:v>13806</c:v>
                </c:pt>
                <c:pt idx="1">
                  <c:v>12547</c:v>
                </c:pt>
                <c:pt idx="2">
                  <c:v>13595</c:v>
                </c:pt>
                <c:pt idx="3">
                  <c:v>15144</c:v>
                </c:pt>
                <c:pt idx="4">
                  <c:v>13756</c:v>
                </c:pt>
                <c:pt idx="5">
                  <c:v>15465</c:v>
                </c:pt>
                <c:pt idx="6">
                  <c:v>10619</c:v>
                </c:pt>
              </c:numCache>
            </c:numRef>
          </c:xVal>
          <c:yVal>
            <c:numRef>
              <c:f>SR_54_WB!$I$2:$I$8</c:f>
              <c:numCache>
                <c:formatCode>0</c:formatCode>
                <c:ptCount val="7"/>
                <c:pt idx="0">
                  <c:v>12125.403319999999</c:v>
                </c:pt>
                <c:pt idx="1">
                  <c:v>9904.4990230000003</c:v>
                </c:pt>
                <c:pt idx="2">
                  <c:v>10434.219727</c:v>
                </c:pt>
                <c:pt idx="3">
                  <c:v>11792.741211</c:v>
                </c:pt>
                <c:pt idx="4">
                  <c:v>10629.482421999999</c:v>
                </c:pt>
                <c:pt idx="5">
                  <c:v>11886.195312</c:v>
                </c:pt>
                <c:pt idx="6">
                  <c:v>9153.0332030000009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SR_56_WB!$H$2:$H$16</c:f>
              <c:numCache>
                <c:formatCode>0</c:formatCode>
                <c:ptCount val="15"/>
                <c:pt idx="0">
                  <c:v>8295</c:v>
                </c:pt>
                <c:pt idx="1">
                  <c:v>6773</c:v>
                </c:pt>
                <c:pt idx="2">
                  <c:v>8306</c:v>
                </c:pt>
                <c:pt idx="3">
                  <c:v>5505</c:v>
                </c:pt>
                <c:pt idx="4">
                  <c:v>7385</c:v>
                </c:pt>
                <c:pt idx="5">
                  <c:v>4831</c:v>
                </c:pt>
                <c:pt idx="6">
                  <c:v>4856</c:v>
                </c:pt>
                <c:pt idx="7">
                  <c:v>5806</c:v>
                </c:pt>
                <c:pt idx="8">
                  <c:v>5188</c:v>
                </c:pt>
                <c:pt idx="9">
                  <c:v>5917</c:v>
                </c:pt>
                <c:pt idx="10">
                  <c:v>5886</c:v>
                </c:pt>
                <c:pt idx="11">
                  <c:v>5024</c:v>
                </c:pt>
                <c:pt idx="12">
                  <c:v>6492</c:v>
                </c:pt>
                <c:pt idx="13">
                  <c:v>5669</c:v>
                </c:pt>
                <c:pt idx="14">
                  <c:v>7326</c:v>
                </c:pt>
              </c:numCache>
            </c:numRef>
          </c:xVal>
          <c:yVal>
            <c:numRef>
              <c:f>SR_56_WB!$I$2:$I$16</c:f>
              <c:numCache>
                <c:formatCode>0</c:formatCode>
                <c:ptCount val="15"/>
                <c:pt idx="0">
                  <c:v>9277.9501949999994</c:v>
                </c:pt>
                <c:pt idx="1">
                  <c:v>7423.748047</c:v>
                </c:pt>
                <c:pt idx="2">
                  <c:v>8477.9013670000004</c:v>
                </c:pt>
                <c:pt idx="3">
                  <c:v>6504.1083980000003</c:v>
                </c:pt>
                <c:pt idx="4">
                  <c:v>9097.2070309999999</c:v>
                </c:pt>
                <c:pt idx="5">
                  <c:v>6530.1904299999997</c:v>
                </c:pt>
                <c:pt idx="6">
                  <c:v>6530.1904299999997</c:v>
                </c:pt>
                <c:pt idx="7">
                  <c:v>7528.3403319999998</c:v>
                </c:pt>
                <c:pt idx="8">
                  <c:v>7528.3403319999998</c:v>
                </c:pt>
                <c:pt idx="9">
                  <c:v>6405.9536129999997</c:v>
                </c:pt>
                <c:pt idx="10">
                  <c:v>8087.0600590000004</c:v>
                </c:pt>
                <c:pt idx="11">
                  <c:v>6414.8808589999999</c:v>
                </c:pt>
                <c:pt idx="12">
                  <c:v>7865.9296880000002</c:v>
                </c:pt>
                <c:pt idx="13">
                  <c:v>7121.3784180000002</c:v>
                </c:pt>
                <c:pt idx="14">
                  <c:v>8740.6875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SR_905_WB!$H$2:$H$14</c:f>
              <c:numCache>
                <c:formatCode>0</c:formatCode>
                <c:ptCount val="13"/>
                <c:pt idx="0">
                  <c:v>3469</c:v>
                </c:pt>
                <c:pt idx="1">
                  <c:v>3809</c:v>
                </c:pt>
                <c:pt idx="2">
                  <c:v>6715</c:v>
                </c:pt>
                <c:pt idx="3">
                  <c:v>5378</c:v>
                </c:pt>
                <c:pt idx="4">
                  <c:v>6293</c:v>
                </c:pt>
                <c:pt idx="5">
                  <c:v>8477</c:v>
                </c:pt>
                <c:pt idx="6">
                  <c:v>7444</c:v>
                </c:pt>
                <c:pt idx="7">
                  <c:v>12493</c:v>
                </c:pt>
                <c:pt idx="8">
                  <c:v>9861</c:v>
                </c:pt>
                <c:pt idx="9">
                  <c:v>9980</c:v>
                </c:pt>
                <c:pt idx="10">
                  <c:v>9515</c:v>
                </c:pt>
                <c:pt idx="11">
                  <c:v>4828</c:v>
                </c:pt>
                <c:pt idx="12">
                  <c:v>7458</c:v>
                </c:pt>
              </c:numCache>
            </c:numRef>
          </c:xVal>
          <c:yVal>
            <c:numRef>
              <c:f>SR_905_WB!$I$2:$I$14</c:f>
              <c:numCache>
                <c:formatCode>0</c:formatCode>
                <c:ptCount val="13"/>
                <c:pt idx="0">
                  <c:v>1967.7967530000001</c:v>
                </c:pt>
                <c:pt idx="1">
                  <c:v>1783.061279</c:v>
                </c:pt>
                <c:pt idx="2">
                  <c:v>3780.9726559999999</c:v>
                </c:pt>
                <c:pt idx="3">
                  <c:v>3744.255615</c:v>
                </c:pt>
                <c:pt idx="4">
                  <c:v>6076.7934569999998</c:v>
                </c:pt>
                <c:pt idx="5">
                  <c:v>7753.8090819999998</c:v>
                </c:pt>
                <c:pt idx="6">
                  <c:v>7584.6748049999997</c:v>
                </c:pt>
                <c:pt idx="7">
                  <c:v>9526.1855469999991</c:v>
                </c:pt>
                <c:pt idx="8">
                  <c:v>9526.1855469999991</c:v>
                </c:pt>
                <c:pt idx="9">
                  <c:v>9390.5439449999994</c:v>
                </c:pt>
                <c:pt idx="10">
                  <c:v>10515.410156</c:v>
                </c:pt>
                <c:pt idx="11">
                  <c:v>4749.0805659999996</c:v>
                </c:pt>
                <c:pt idx="12">
                  <c:v>6313.6069340000004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6056</c:v>
                </c:pt>
                <c:pt idx="1">
                  <c:v>10717</c:v>
                </c:pt>
                <c:pt idx="2">
                  <c:v>10717</c:v>
                </c:pt>
                <c:pt idx="3">
                  <c:v>12928</c:v>
                </c:pt>
                <c:pt idx="4">
                  <c:v>15038</c:v>
                </c:pt>
                <c:pt idx="5">
                  <c:v>14242</c:v>
                </c:pt>
                <c:pt idx="6">
                  <c:v>13093</c:v>
                </c:pt>
                <c:pt idx="7">
                  <c:v>14371</c:v>
                </c:pt>
                <c:pt idx="8">
                  <c:v>15747</c:v>
                </c:pt>
                <c:pt idx="9">
                  <c:v>15038</c:v>
                </c:pt>
                <c:pt idx="10">
                  <c:v>18588</c:v>
                </c:pt>
                <c:pt idx="11">
                  <c:v>9141</c:v>
                </c:pt>
                <c:pt idx="12">
                  <c:v>12622</c:v>
                </c:pt>
                <c:pt idx="13">
                  <c:v>14485</c:v>
                </c:pt>
                <c:pt idx="14">
                  <c:v>11868</c:v>
                </c:pt>
                <c:pt idx="15">
                  <c:v>13758</c:v>
                </c:pt>
                <c:pt idx="16">
                  <c:v>12035</c:v>
                </c:pt>
                <c:pt idx="17">
                  <c:v>12035</c:v>
                </c:pt>
                <c:pt idx="18">
                  <c:v>11230</c:v>
                </c:pt>
                <c:pt idx="19">
                  <c:v>4738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9656.4921880000002</c:v>
                </c:pt>
                <c:pt idx="1">
                  <c:v>13709.029296999999</c:v>
                </c:pt>
                <c:pt idx="2">
                  <c:v>15583.491211</c:v>
                </c:pt>
                <c:pt idx="3">
                  <c:v>13342.835938</c:v>
                </c:pt>
                <c:pt idx="4">
                  <c:v>14596.053711</c:v>
                </c:pt>
                <c:pt idx="5">
                  <c:v>14042.169921999999</c:v>
                </c:pt>
                <c:pt idx="6">
                  <c:v>15519.583008</c:v>
                </c:pt>
                <c:pt idx="7">
                  <c:v>15430.521484000001</c:v>
                </c:pt>
                <c:pt idx="8">
                  <c:v>17249.279297000001</c:v>
                </c:pt>
                <c:pt idx="9">
                  <c:v>16941.630859000001</c:v>
                </c:pt>
                <c:pt idx="10">
                  <c:v>18551.257812</c:v>
                </c:pt>
                <c:pt idx="11">
                  <c:v>11687.135742</c:v>
                </c:pt>
                <c:pt idx="12">
                  <c:v>13892.342773</c:v>
                </c:pt>
                <c:pt idx="13">
                  <c:v>15504.049805000001</c:v>
                </c:pt>
                <c:pt idx="14">
                  <c:v>12675.560546999999</c:v>
                </c:pt>
                <c:pt idx="15">
                  <c:v>14145.419921999999</c:v>
                </c:pt>
                <c:pt idx="16">
                  <c:v>12521.715819999999</c:v>
                </c:pt>
                <c:pt idx="17">
                  <c:v>12742.094727</c:v>
                </c:pt>
                <c:pt idx="18">
                  <c:v>11834.413086</c:v>
                </c:pt>
                <c:pt idx="19">
                  <c:v>5167.0859380000002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80768"/>
        <c:axId val="104907520"/>
        <c:extLst/>
      </c:scatterChart>
      <c:valAx>
        <c:axId val="104880768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07520"/>
        <c:crosses val="autoZero"/>
        <c:crossBetween val="midCat"/>
        <c:majorUnit val="10000"/>
      </c:valAx>
      <c:valAx>
        <c:axId val="104907520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8076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I_8_EB!$H$2:$H$41</c:f>
              <c:numCache>
                <c:formatCode>0</c:formatCode>
                <c:ptCount val="40"/>
                <c:pt idx="0">
                  <c:v>4715</c:v>
                </c:pt>
                <c:pt idx="1">
                  <c:v>12709</c:v>
                </c:pt>
                <c:pt idx="2">
                  <c:v>22897</c:v>
                </c:pt>
                <c:pt idx="3">
                  <c:v>25270</c:v>
                </c:pt>
                <c:pt idx="4">
                  <c:v>25270</c:v>
                </c:pt>
                <c:pt idx="5">
                  <c:v>25476</c:v>
                </c:pt>
                <c:pt idx="6">
                  <c:v>25023</c:v>
                </c:pt>
                <c:pt idx="7">
                  <c:v>30291</c:v>
                </c:pt>
                <c:pt idx="8">
                  <c:v>19235</c:v>
                </c:pt>
                <c:pt idx="9">
                  <c:v>23330</c:v>
                </c:pt>
                <c:pt idx="10">
                  <c:v>32396</c:v>
                </c:pt>
                <c:pt idx="11">
                  <c:v>22510</c:v>
                </c:pt>
                <c:pt idx="12">
                  <c:v>32759</c:v>
                </c:pt>
                <c:pt idx="13">
                  <c:v>32175</c:v>
                </c:pt>
                <c:pt idx="14">
                  <c:v>31197</c:v>
                </c:pt>
                <c:pt idx="15">
                  <c:v>29007</c:v>
                </c:pt>
                <c:pt idx="16">
                  <c:v>28021</c:v>
                </c:pt>
                <c:pt idx="17">
                  <c:v>28522</c:v>
                </c:pt>
                <c:pt idx="18">
                  <c:v>24159</c:v>
                </c:pt>
                <c:pt idx="19">
                  <c:v>23483</c:v>
                </c:pt>
                <c:pt idx="20">
                  <c:v>26961</c:v>
                </c:pt>
                <c:pt idx="21">
                  <c:v>21198</c:v>
                </c:pt>
                <c:pt idx="22">
                  <c:v>31372</c:v>
                </c:pt>
                <c:pt idx="23">
                  <c:v>24705</c:v>
                </c:pt>
                <c:pt idx="24">
                  <c:v>21546</c:v>
                </c:pt>
                <c:pt idx="25">
                  <c:v>20885</c:v>
                </c:pt>
                <c:pt idx="26">
                  <c:v>16047</c:v>
                </c:pt>
                <c:pt idx="27">
                  <c:v>15932</c:v>
                </c:pt>
                <c:pt idx="28">
                  <c:v>16600</c:v>
                </c:pt>
                <c:pt idx="29">
                  <c:v>11477</c:v>
                </c:pt>
                <c:pt idx="30">
                  <c:v>13517</c:v>
                </c:pt>
                <c:pt idx="31">
                  <c:v>10967</c:v>
                </c:pt>
                <c:pt idx="32">
                  <c:v>8529</c:v>
                </c:pt>
                <c:pt idx="33">
                  <c:v>8493</c:v>
                </c:pt>
                <c:pt idx="34">
                  <c:v>10341</c:v>
                </c:pt>
                <c:pt idx="35">
                  <c:v>7863</c:v>
                </c:pt>
                <c:pt idx="36">
                  <c:v>8246</c:v>
                </c:pt>
                <c:pt idx="37">
                  <c:v>2708</c:v>
                </c:pt>
                <c:pt idx="38">
                  <c:v>1915</c:v>
                </c:pt>
                <c:pt idx="39">
                  <c:v>1608</c:v>
                </c:pt>
              </c:numCache>
            </c:numRef>
          </c:xVal>
          <c:yVal>
            <c:numRef>
              <c:f>I_8_EB!$I$2:$I$41</c:f>
              <c:numCache>
                <c:formatCode>0</c:formatCode>
                <c:ptCount val="40"/>
                <c:pt idx="0">
                  <c:v>7030.4902339999999</c:v>
                </c:pt>
                <c:pt idx="1">
                  <c:v>12505.868164</c:v>
                </c:pt>
                <c:pt idx="2">
                  <c:v>25837.550781000002</c:v>
                </c:pt>
                <c:pt idx="3">
                  <c:v>24938.472656000002</c:v>
                </c:pt>
                <c:pt idx="4">
                  <c:v>28146.46875</c:v>
                </c:pt>
                <c:pt idx="5">
                  <c:v>28146.46875</c:v>
                </c:pt>
                <c:pt idx="6">
                  <c:v>26247.490234000001</c:v>
                </c:pt>
                <c:pt idx="7">
                  <c:v>32088.878906000002</c:v>
                </c:pt>
                <c:pt idx="8">
                  <c:v>20099.919922000001</c:v>
                </c:pt>
                <c:pt idx="9">
                  <c:v>22810.544922000001</c:v>
                </c:pt>
                <c:pt idx="10">
                  <c:v>35032.519530999998</c:v>
                </c:pt>
                <c:pt idx="11">
                  <c:v>24158.677734000001</c:v>
                </c:pt>
                <c:pt idx="12">
                  <c:v>39223.183594000002</c:v>
                </c:pt>
                <c:pt idx="13">
                  <c:v>36448.117187999997</c:v>
                </c:pt>
                <c:pt idx="14">
                  <c:v>37989.25</c:v>
                </c:pt>
                <c:pt idx="15">
                  <c:v>29659.685547000001</c:v>
                </c:pt>
                <c:pt idx="16">
                  <c:v>32558.337890999999</c:v>
                </c:pt>
                <c:pt idx="17">
                  <c:v>32062.892577999999</c:v>
                </c:pt>
                <c:pt idx="18">
                  <c:v>25169.216797000001</c:v>
                </c:pt>
                <c:pt idx="19">
                  <c:v>23689.3125</c:v>
                </c:pt>
                <c:pt idx="20">
                  <c:v>25857.818359000001</c:v>
                </c:pt>
                <c:pt idx="21">
                  <c:v>24746.496093999998</c:v>
                </c:pt>
                <c:pt idx="22">
                  <c:v>32211.630859000001</c:v>
                </c:pt>
                <c:pt idx="23">
                  <c:v>23383.609375</c:v>
                </c:pt>
                <c:pt idx="24">
                  <c:v>21720.689452999999</c:v>
                </c:pt>
                <c:pt idx="25">
                  <c:v>20818.507812</c:v>
                </c:pt>
                <c:pt idx="26">
                  <c:v>17381.960938</c:v>
                </c:pt>
                <c:pt idx="27">
                  <c:v>14283.464844</c:v>
                </c:pt>
                <c:pt idx="28">
                  <c:v>15158.868164</c:v>
                </c:pt>
                <c:pt idx="29">
                  <c:v>12497.608398</c:v>
                </c:pt>
                <c:pt idx="30">
                  <c:v>13287.690430000001</c:v>
                </c:pt>
                <c:pt idx="31">
                  <c:v>10658.822265999999</c:v>
                </c:pt>
                <c:pt idx="32">
                  <c:v>11264.482421999999</c:v>
                </c:pt>
                <c:pt idx="33">
                  <c:v>9066.1757809999999</c:v>
                </c:pt>
                <c:pt idx="34">
                  <c:v>9256.09375</c:v>
                </c:pt>
                <c:pt idx="35">
                  <c:v>8833.3300780000009</c:v>
                </c:pt>
                <c:pt idx="36">
                  <c:v>8869.7636719999991</c:v>
                </c:pt>
                <c:pt idx="37">
                  <c:v>3218.482422</c:v>
                </c:pt>
                <c:pt idx="38">
                  <c:v>2320.1208499999998</c:v>
                </c:pt>
                <c:pt idx="39">
                  <c:v>1830.634888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SR_78_EB!$H$2:$H$24</c:f>
              <c:numCache>
                <c:formatCode>0</c:formatCode>
                <c:ptCount val="23"/>
                <c:pt idx="0">
                  <c:v>18307</c:v>
                </c:pt>
                <c:pt idx="1">
                  <c:v>15065</c:v>
                </c:pt>
                <c:pt idx="2">
                  <c:v>16132</c:v>
                </c:pt>
                <c:pt idx="3">
                  <c:v>13752</c:v>
                </c:pt>
                <c:pt idx="4">
                  <c:v>18241</c:v>
                </c:pt>
                <c:pt idx="5">
                  <c:v>13844</c:v>
                </c:pt>
                <c:pt idx="6">
                  <c:v>13469</c:v>
                </c:pt>
                <c:pt idx="7">
                  <c:v>13311</c:v>
                </c:pt>
                <c:pt idx="8">
                  <c:v>16661</c:v>
                </c:pt>
                <c:pt idx="9">
                  <c:v>11425</c:v>
                </c:pt>
                <c:pt idx="10">
                  <c:v>11810</c:v>
                </c:pt>
                <c:pt idx="11">
                  <c:v>13522</c:v>
                </c:pt>
                <c:pt idx="12">
                  <c:v>11323</c:v>
                </c:pt>
                <c:pt idx="13">
                  <c:v>13576</c:v>
                </c:pt>
                <c:pt idx="14">
                  <c:v>12174</c:v>
                </c:pt>
                <c:pt idx="15">
                  <c:v>14152</c:v>
                </c:pt>
                <c:pt idx="16">
                  <c:v>11206</c:v>
                </c:pt>
                <c:pt idx="17">
                  <c:v>12855</c:v>
                </c:pt>
                <c:pt idx="18">
                  <c:v>15361</c:v>
                </c:pt>
                <c:pt idx="19">
                  <c:v>15772</c:v>
                </c:pt>
                <c:pt idx="20">
                  <c:v>18047</c:v>
                </c:pt>
                <c:pt idx="21">
                  <c:v>21956</c:v>
                </c:pt>
                <c:pt idx="22">
                  <c:v>10358</c:v>
                </c:pt>
              </c:numCache>
            </c:numRef>
          </c:xVal>
          <c:yVal>
            <c:numRef>
              <c:f>SR_78_EB!$I$2:$I$24</c:f>
              <c:numCache>
                <c:formatCode>0</c:formatCode>
                <c:ptCount val="23"/>
                <c:pt idx="0">
                  <c:v>16772.240234000001</c:v>
                </c:pt>
                <c:pt idx="1">
                  <c:v>14981.489258</c:v>
                </c:pt>
                <c:pt idx="2">
                  <c:v>16100.902344</c:v>
                </c:pt>
                <c:pt idx="3">
                  <c:v>14316.778319999999</c:v>
                </c:pt>
                <c:pt idx="4">
                  <c:v>16805.021484000001</c:v>
                </c:pt>
                <c:pt idx="5">
                  <c:v>15029.502930000001</c:v>
                </c:pt>
                <c:pt idx="6">
                  <c:v>13243.988281</c:v>
                </c:pt>
                <c:pt idx="7">
                  <c:v>13378.260742</c:v>
                </c:pt>
                <c:pt idx="8">
                  <c:v>15961.9375</c:v>
                </c:pt>
                <c:pt idx="9">
                  <c:v>12476.134765999999</c:v>
                </c:pt>
                <c:pt idx="10">
                  <c:v>13279.395508</c:v>
                </c:pt>
                <c:pt idx="11">
                  <c:v>14044.342773</c:v>
                </c:pt>
                <c:pt idx="12">
                  <c:v>13894.675781</c:v>
                </c:pt>
                <c:pt idx="13">
                  <c:v>17164.515625</c:v>
                </c:pt>
                <c:pt idx="14">
                  <c:v>15430.165039</c:v>
                </c:pt>
                <c:pt idx="15">
                  <c:v>18340.689452999999</c:v>
                </c:pt>
                <c:pt idx="16">
                  <c:v>16209.459961</c:v>
                </c:pt>
                <c:pt idx="17">
                  <c:v>17839.464843999998</c:v>
                </c:pt>
                <c:pt idx="18">
                  <c:v>19198.648438</c:v>
                </c:pt>
                <c:pt idx="19">
                  <c:v>20939.974609000001</c:v>
                </c:pt>
                <c:pt idx="20">
                  <c:v>20493.337890999999</c:v>
                </c:pt>
                <c:pt idx="21">
                  <c:v>22969.519531000002</c:v>
                </c:pt>
                <c:pt idx="22">
                  <c:v>10515.212890999999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SR_52_EB!$H$2:$H$17</c:f>
              <c:numCache>
                <c:formatCode>0</c:formatCode>
                <c:ptCount val="16"/>
                <c:pt idx="0">
                  <c:v>12559</c:v>
                </c:pt>
                <c:pt idx="1">
                  <c:v>9591</c:v>
                </c:pt>
                <c:pt idx="2">
                  <c:v>10970</c:v>
                </c:pt>
                <c:pt idx="3">
                  <c:v>11876</c:v>
                </c:pt>
                <c:pt idx="4">
                  <c:v>15241</c:v>
                </c:pt>
                <c:pt idx="5">
                  <c:v>15528</c:v>
                </c:pt>
                <c:pt idx="6">
                  <c:v>16404</c:v>
                </c:pt>
                <c:pt idx="7">
                  <c:v>6136</c:v>
                </c:pt>
                <c:pt idx="8">
                  <c:v>16332</c:v>
                </c:pt>
                <c:pt idx="9">
                  <c:v>17040</c:v>
                </c:pt>
                <c:pt idx="10">
                  <c:v>17410</c:v>
                </c:pt>
                <c:pt idx="11">
                  <c:v>14034</c:v>
                </c:pt>
                <c:pt idx="12">
                  <c:v>14494</c:v>
                </c:pt>
                <c:pt idx="13">
                  <c:v>14757</c:v>
                </c:pt>
                <c:pt idx="14">
                  <c:v>12887</c:v>
                </c:pt>
                <c:pt idx="15">
                  <c:v>12478</c:v>
                </c:pt>
              </c:numCache>
            </c:numRef>
          </c:xVal>
          <c:yVal>
            <c:numRef>
              <c:f>SR_52_EB!$I$2:$I$17</c:f>
              <c:numCache>
                <c:formatCode>0</c:formatCode>
                <c:ptCount val="16"/>
                <c:pt idx="0">
                  <c:v>10440.34375</c:v>
                </c:pt>
                <c:pt idx="1">
                  <c:v>9401.4326170000004</c:v>
                </c:pt>
                <c:pt idx="2">
                  <c:v>11307.59375</c:v>
                </c:pt>
                <c:pt idx="3">
                  <c:v>14191.337890999999</c:v>
                </c:pt>
                <c:pt idx="4">
                  <c:v>19357.279297000001</c:v>
                </c:pt>
                <c:pt idx="5">
                  <c:v>17831.539062</c:v>
                </c:pt>
                <c:pt idx="6">
                  <c:v>17831.539062</c:v>
                </c:pt>
                <c:pt idx="7">
                  <c:v>12705.788086</c:v>
                </c:pt>
                <c:pt idx="8">
                  <c:v>21258.558593999998</c:v>
                </c:pt>
                <c:pt idx="9">
                  <c:v>20860.212890999999</c:v>
                </c:pt>
                <c:pt idx="10">
                  <c:v>20860.212890999999</c:v>
                </c:pt>
                <c:pt idx="11">
                  <c:v>17307.417968999998</c:v>
                </c:pt>
                <c:pt idx="12">
                  <c:v>17693.544922000001</c:v>
                </c:pt>
                <c:pt idx="13">
                  <c:v>17693.544922000001</c:v>
                </c:pt>
                <c:pt idx="14">
                  <c:v>15300.839844</c:v>
                </c:pt>
                <c:pt idx="15">
                  <c:v>14889.771484000001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SR_54_EB!$H$2:$H$9</c:f>
              <c:numCache>
                <c:formatCode>0</c:formatCode>
                <c:ptCount val="8"/>
                <c:pt idx="0">
                  <c:v>15496</c:v>
                </c:pt>
                <c:pt idx="1">
                  <c:v>18999</c:v>
                </c:pt>
                <c:pt idx="2">
                  <c:v>16037</c:v>
                </c:pt>
                <c:pt idx="3">
                  <c:v>17321</c:v>
                </c:pt>
                <c:pt idx="4">
                  <c:v>15033</c:v>
                </c:pt>
                <c:pt idx="5">
                  <c:v>15541</c:v>
                </c:pt>
                <c:pt idx="6">
                  <c:v>12664</c:v>
                </c:pt>
                <c:pt idx="7">
                  <c:v>13722</c:v>
                </c:pt>
              </c:numCache>
            </c:numRef>
          </c:xVal>
          <c:yVal>
            <c:numRef>
              <c:f>SR_54_EB!$I$2:$I$9</c:f>
              <c:numCache>
                <c:formatCode>0</c:formatCode>
                <c:ptCount val="8"/>
                <c:pt idx="0">
                  <c:v>16487.349609000001</c:v>
                </c:pt>
                <c:pt idx="1">
                  <c:v>18615.066406000002</c:v>
                </c:pt>
                <c:pt idx="2">
                  <c:v>16295.623046999999</c:v>
                </c:pt>
                <c:pt idx="3">
                  <c:v>17350.5</c:v>
                </c:pt>
                <c:pt idx="4">
                  <c:v>15216.630859000001</c:v>
                </c:pt>
                <c:pt idx="5">
                  <c:v>15781.353515999999</c:v>
                </c:pt>
                <c:pt idx="6">
                  <c:v>12700.825194999999</c:v>
                </c:pt>
                <c:pt idx="7">
                  <c:v>14583.092773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SR_56_EB!$H$2:$H$14</c:f>
              <c:numCache>
                <c:formatCode>0</c:formatCode>
                <c:ptCount val="12"/>
                <c:pt idx="0">
                  <c:v>11173</c:v>
                </c:pt>
                <c:pt idx="1">
                  <c:v>11784</c:v>
                </c:pt>
                <c:pt idx="2">
                  <c:v>13771</c:v>
                </c:pt>
                <c:pt idx="3">
                  <c:v>10644</c:v>
                </c:pt>
                <c:pt idx="4">
                  <c:v>13298</c:v>
                </c:pt>
                <c:pt idx="5">
                  <c:v>11369</c:v>
                </c:pt>
                <c:pt idx="6">
                  <c:v>12653</c:v>
                </c:pt>
                <c:pt idx="7">
                  <c:v>12710</c:v>
                </c:pt>
                <c:pt idx="8">
                  <c:v>12737</c:v>
                </c:pt>
                <c:pt idx="9">
                  <c:v>10773</c:v>
                </c:pt>
                <c:pt idx="10">
                  <c:v>9505</c:v>
                </c:pt>
                <c:pt idx="11">
                  <c:v>10219</c:v>
                </c:pt>
              </c:numCache>
            </c:numRef>
          </c:xVal>
          <c:yVal>
            <c:numRef>
              <c:f>SR_56_EB!$I$2:$I$14</c:f>
              <c:numCache>
                <c:formatCode>0</c:formatCode>
                <c:ptCount val="12"/>
                <c:pt idx="0">
                  <c:v>9782.2451170000004</c:v>
                </c:pt>
                <c:pt idx="1">
                  <c:v>14180.369140999999</c:v>
                </c:pt>
                <c:pt idx="2">
                  <c:v>14967.219727</c:v>
                </c:pt>
                <c:pt idx="3">
                  <c:v>12655.594727</c:v>
                </c:pt>
                <c:pt idx="4">
                  <c:v>14247.068359000001</c:v>
                </c:pt>
                <c:pt idx="5">
                  <c:v>11474.403319999999</c:v>
                </c:pt>
                <c:pt idx="6">
                  <c:v>12247.650390999999</c:v>
                </c:pt>
                <c:pt idx="7">
                  <c:v>12247.650390999999</c:v>
                </c:pt>
                <c:pt idx="8">
                  <c:v>12556.775390999999</c:v>
                </c:pt>
                <c:pt idx="9">
                  <c:v>10832.131836</c:v>
                </c:pt>
                <c:pt idx="10">
                  <c:v>8538.0449219999991</c:v>
                </c:pt>
                <c:pt idx="11">
                  <c:v>9648.4882809999999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SR_905_EB!$H$2:$H$7</c:f>
              <c:numCache>
                <c:formatCode>0</c:formatCode>
                <c:ptCount val="6"/>
                <c:pt idx="0">
                  <c:v>8022</c:v>
                </c:pt>
                <c:pt idx="1">
                  <c:v>3466</c:v>
                </c:pt>
                <c:pt idx="2">
                  <c:v>7641</c:v>
                </c:pt>
                <c:pt idx="3">
                  <c:v>7486</c:v>
                </c:pt>
                <c:pt idx="4">
                  <c:v>7398</c:v>
                </c:pt>
                <c:pt idx="5">
                  <c:v>5920</c:v>
                </c:pt>
              </c:numCache>
              <c:extLst xmlns:c15="http://schemas.microsoft.com/office/drawing/2012/chart"/>
            </c:numRef>
          </c:xVal>
          <c:yVal>
            <c:numRef>
              <c:f>SR_905_EB!$I$2:$I$7</c:f>
              <c:numCache>
                <c:formatCode>0</c:formatCode>
                <c:ptCount val="6"/>
                <c:pt idx="0">
                  <c:v>6988.6923829999996</c:v>
                </c:pt>
                <c:pt idx="1">
                  <c:v>4057.8901369999999</c:v>
                </c:pt>
                <c:pt idx="2">
                  <c:v>11025.977539</c:v>
                </c:pt>
                <c:pt idx="3">
                  <c:v>9806.2080079999996</c:v>
                </c:pt>
                <c:pt idx="4">
                  <c:v>9694.3769530000009</c:v>
                </c:pt>
                <c:pt idx="5">
                  <c:v>8493.9511719999991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SR_94_EB!$H$2:$H$18</c:f>
              <c:numCache>
                <c:formatCode>0</c:formatCode>
                <c:ptCount val="17"/>
                <c:pt idx="0">
                  <c:v>21430</c:v>
                </c:pt>
                <c:pt idx="1">
                  <c:v>23078</c:v>
                </c:pt>
                <c:pt idx="2">
                  <c:v>25356</c:v>
                </c:pt>
                <c:pt idx="3">
                  <c:v>25413</c:v>
                </c:pt>
                <c:pt idx="4">
                  <c:v>20068</c:v>
                </c:pt>
                <c:pt idx="5">
                  <c:v>17407</c:v>
                </c:pt>
                <c:pt idx="6">
                  <c:v>29831</c:v>
                </c:pt>
                <c:pt idx="7">
                  <c:v>26851</c:v>
                </c:pt>
                <c:pt idx="8">
                  <c:v>27704</c:v>
                </c:pt>
                <c:pt idx="9">
                  <c:v>27341</c:v>
                </c:pt>
                <c:pt idx="10">
                  <c:v>21170</c:v>
                </c:pt>
                <c:pt idx="11">
                  <c:v>18924</c:v>
                </c:pt>
                <c:pt idx="12">
                  <c:v>21485</c:v>
                </c:pt>
                <c:pt idx="13">
                  <c:v>20208</c:v>
                </c:pt>
                <c:pt idx="14">
                  <c:v>21715</c:v>
                </c:pt>
                <c:pt idx="15">
                  <c:v>8226</c:v>
                </c:pt>
                <c:pt idx="16">
                  <c:v>8655</c:v>
                </c:pt>
              </c:numCache>
            </c:numRef>
          </c:xVal>
          <c:yVal>
            <c:numRef>
              <c:f>SR_94_EB!$I$2:$I$18</c:f>
              <c:numCache>
                <c:formatCode>0</c:formatCode>
                <c:ptCount val="17"/>
                <c:pt idx="0">
                  <c:v>24066.369140999999</c:v>
                </c:pt>
                <c:pt idx="1">
                  <c:v>25083.037109000001</c:v>
                </c:pt>
                <c:pt idx="2">
                  <c:v>26780.556640999999</c:v>
                </c:pt>
                <c:pt idx="3">
                  <c:v>26780.556640999999</c:v>
                </c:pt>
                <c:pt idx="4">
                  <c:v>20736.330077999999</c:v>
                </c:pt>
                <c:pt idx="5">
                  <c:v>19735.253906000002</c:v>
                </c:pt>
                <c:pt idx="6">
                  <c:v>32788.738280999998</c:v>
                </c:pt>
                <c:pt idx="7">
                  <c:v>28426.685547000001</c:v>
                </c:pt>
                <c:pt idx="8">
                  <c:v>29407.886718999998</c:v>
                </c:pt>
                <c:pt idx="9">
                  <c:v>27589.865234000001</c:v>
                </c:pt>
                <c:pt idx="10">
                  <c:v>24804.322265999999</c:v>
                </c:pt>
                <c:pt idx="11">
                  <c:v>19294.236327999999</c:v>
                </c:pt>
                <c:pt idx="12">
                  <c:v>22162.855468999998</c:v>
                </c:pt>
                <c:pt idx="13">
                  <c:v>19733.259765999999</c:v>
                </c:pt>
                <c:pt idx="14">
                  <c:v>21784.257812</c:v>
                </c:pt>
                <c:pt idx="15">
                  <c:v>10117.319336</c:v>
                </c:pt>
                <c:pt idx="16">
                  <c:v>7749.8647460000002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392768"/>
        <c:axId val="105415424"/>
        <c:extLst/>
      </c:scatterChart>
      <c:valAx>
        <c:axId val="105392768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15424"/>
        <c:crosses val="autoZero"/>
        <c:crossBetween val="midCat"/>
        <c:majorUnit val="10000"/>
      </c:valAx>
      <c:valAx>
        <c:axId val="1054154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9276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PM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I_5_NB!$H$2:$H$95</c:f>
              <c:numCache>
                <c:formatCode>0</c:formatCode>
                <c:ptCount val="94"/>
                <c:pt idx="0">
                  <c:v>6959</c:v>
                </c:pt>
                <c:pt idx="1">
                  <c:v>3216</c:v>
                </c:pt>
                <c:pt idx="2">
                  <c:v>3094</c:v>
                </c:pt>
                <c:pt idx="3">
                  <c:v>4940</c:v>
                </c:pt>
                <c:pt idx="4">
                  <c:v>4161</c:v>
                </c:pt>
                <c:pt idx="5">
                  <c:v>6313</c:v>
                </c:pt>
                <c:pt idx="6">
                  <c:v>6417</c:v>
                </c:pt>
                <c:pt idx="7">
                  <c:v>13335</c:v>
                </c:pt>
                <c:pt idx="8">
                  <c:v>9582</c:v>
                </c:pt>
                <c:pt idx="9">
                  <c:v>15901</c:v>
                </c:pt>
                <c:pt idx="10">
                  <c:v>15095</c:v>
                </c:pt>
                <c:pt idx="11">
                  <c:v>13340</c:v>
                </c:pt>
                <c:pt idx="12">
                  <c:v>16048</c:v>
                </c:pt>
                <c:pt idx="13">
                  <c:v>13856</c:v>
                </c:pt>
                <c:pt idx="14">
                  <c:v>16098</c:v>
                </c:pt>
                <c:pt idx="15">
                  <c:v>16472</c:v>
                </c:pt>
                <c:pt idx="16">
                  <c:v>16589</c:v>
                </c:pt>
                <c:pt idx="17">
                  <c:v>16211</c:v>
                </c:pt>
                <c:pt idx="18">
                  <c:v>13780</c:v>
                </c:pt>
                <c:pt idx="19">
                  <c:v>15393</c:v>
                </c:pt>
                <c:pt idx="20">
                  <c:v>13528</c:v>
                </c:pt>
                <c:pt idx="21">
                  <c:v>18512</c:v>
                </c:pt>
                <c:pt idx="22">
                  <c:v>19491</c:v>
                </c:pt>
                <c:pt idx="23">
                  <c:v>13222</c:v>
                </c:pt>
                <c:pt idx="24">
                  <c:v>13512</c:v>
                </c:pt>
                <c:pt idx="25">
                  <c:v>16004</c:v>
                </c:pt>
                <c:pt idx="26">
                  <c:v>17494</c:v>
                </c:pt>
                <c:pt idx="27">
                  <c:v>17981</c:v>
                </c:pt>
                <c:pt idx="28">
                  <c:v>16768</c:v>
                </c:pt>
                <c:pt idx="29">
                  <c:v>25692</c:v>
                </c:pt>
                <c:pt idx="30">
                  <c:v>24518</c:v>
                </c:pt>
                <c:pt idx="31">
                  <c:v>16511</c:v>
                </c:pt>
                <c:pt idx="32">
                  <c:v>17069</c:v>
                </c:pt>
                <c:pt idx="33">
                  <c:v>22881</c:v>
                </c:pt>
                <c:pt idx="34">
                  <c:v>18567</c:v>
                </c:pt>
                <c:pt idx="35">
                  <c:v>18612</c:v>
                </c:pt>
                <c:pt idx="36">
                  <c:v>17424</c:v>
                </c:pt>
                <c:pt idx="37">
                  <c:v>19134</c:v>
                </c:pt>
                <c:pt idx="38">
                  <c:v>21648</c:v>
                </c:pt>
                <c:pt idx="39">
                  <c:v>21758</c:v>
                </c:pt>
                <c:pt idx="40">
                  <c:v>16826</c:v>
                </c:pt>
                <c:pt idx="41">
                  <c:v>21260</c:v>
                </c:pt>
                <c:pt idx="42">
                  <c:v>18096</c:v>
                </c:pt>
                <c:pt idx="43">
                  <c:v>22959</c:v>
                </c:pt>
                <c:pt idx="44">
                  <c:v>17572</c:v>
                </c:pt>
                <c:pt idx="45">
                  <c:v>15363</c:v>
                </c:pt>
                <c:pt idx="46">
                  <c:v>19336</c:v>
                </c:pt>
                <c:pt idx="47">
                  <c:v>14218</c:v>
                </c:pt>
                <c:pt idx="48">
                  <c:v>13075</c:v>
                </c:pt>
                <c:pt idx="49">
                  <c:v>15069</c:v>
                </c:pt>
                <c:pt idx="50">
                  <c:v>13386</c:v>
                </c:pt>
                <c:pt idx="51">
                  <c:v>15159</c:v>
                </c:pt>
                <c:pt idx="52">
                  <c:v>18001</c:v>
                </c:pt>
                <c:pt idx="53">
                  <c:v>18088</c:v>
                </c:pt>
                <c:pt idx="54">
                  <c:v>7722</c:v>
                </c:pt>
                <c:pt idx="55">
                  <c:v>21677</c:v>
                </c:pt>
                <c:pt idx="56">
                  <c:v>19035</c:v>
                </c:pt>
                <c:pt idx="57">
                  <c:v>18033</c:v>
                </c:pt>
                <c:pt idx="58">
                  <c:v>14712</c:v>
                </c:pt>
                <c:pt idx="59">
                  <c:v>13753</c:v>
                </c:pt>
                <c:pt idx="60">
                  <c:v>20207</c:v>
                </c:pt>
                <c:pt idx="61">
                  <c:v>19331</c:v>
                </c:pt>
                <c:pt idx="62">
                  <c:v>19682</c:v>
                </c:pt>
                <c:pt idx="63">
                  <c:v>26077</c:v>
                </c:pt>
                <c:pt idx="64">
                  <c:v>20329</c:v>
                </c:pt>
                <c:pt idx="65">
                  <c:v>21633</c:v>
                </c:pt>
                <c:pt idx="66">
                  <c:v>23882</c:v>
                </c:pt>
                <c:pt idx="67">
                  <c:v>22187</c:v>
                </c:pt>
                <c:pt idx="68">
                  <c:v>22833</c:v>
                </c:pt>
                <c:pt idx="69">
                  <c:v>21979</c:v>
                </c:pt>
                <c:pt idx="70">
                  <c:v>22879</c:v>
                </c:pt>
                <c:pt idx="71">
                  <c:v>21038</c:v>
                </c:pt>
                <c:pt idx="72">
                  <c:v>22142</c:v>
                </c:pt>
                <c:pt idx="73">
                  <c:v>22564</c:v>
                </c:pt>
                <c:pt idx="74">
                  <c:v>21530</c:v>
                </c:pt>
                <c:pt idx="75">
                  <c:v>22460</c:v>
                </c:pt>
                <c:pt idx="76">
                  <c:v>20344</c:v>
                </c:pt>
                <c:pt idx="77">
                  <c:v>18707</c:v>
                </c:pt>
                <c:pt idx="78">
                  <c:v>19631</c:v>
                </c:pt>
                <c:pt idx="79">
                  <c:v>20084</c:v>
                </c:pt>
                <c:pt idx="80">
                  <c:v>18732</c:v>
                </c:pt>
                <c:pt idx="81">
                  <c:v>20930</c:v>
                </c:pt>
                <c:pt idx="82">
                  <c:v>24173</c:v>
                </c:pt>
                <c:pt idx="83">
                  <c:v>24326</c:v>
                </c:pt>
                <c:pt idx="84">
                  <c:v>23458</c:v>
                </c:pt>
                <c:pt idx="85">
                  <c:v>21321</c:v>
                </c:pt>
                <c:pt idx="86">
                  <c:v>23051</c:v>
                </c:pt>
                <c:pt idx="87">
                  <c:v>19328</c:v>
                </c:pt>
                <c:pt idx="88">
                  <c:v>15508</c:v>
                </c:pt>
                <c:pt idx="89">
                  <c:v>16392</c:v>
                </c:pt>
                <c:pt idx="90">
                  <c:v>13004</c:v>
                </c:pt>
                <c:pt idx="91">
                  <c:v>11005</c:v>
                </c:pt>
                <c:pt idx="92">
                  <c:v>11331</c:v>
                </c:pt>
                <c:pt idx="93">
                  <c:v>12094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I_5_NB!$I$2:$I$95</c:f>
              <c:numCache>
                <c:formatCode>0</c:formatCode>
                <c:ptCount val="94"/>
                <c:pt idx="0">
                  <c:v>3575.4819339999999</c:v>
                </c:pt>
                <c:pt idx="1">
                  <c:v>1747.1206050000001</c:v>
                </c:pt>
                <c:pt idx="2">
                  <c:v>1684.1098629999999</c:v>
                </c:pt>
                <c:pt idx="3">
                  <c:v>3501.806885</c:v>
                </c:pt>
                <c:pt idx="4">
                  <c:v>3249.4638669999999</c:v>
                </c:pt>
                <c:pt idx="5">
                  <c:v>4346.4350590000004</c:v>
                </c:pt>
                <c:pt idx="6">
                  <c:v>4644.5898440000001</c:v>
                </c:pt>
                <c:pt idx="7">
                  <c:v>10422.435546999999</c:v>
                </c:pt>
                <c:pt idx="8">
                  <c:v>8579.2246090000008</c:v>
                </c:pt>
                <c:pt idx="9">
                  <c:v>15074.466796999999</c:v>
                </c:pt>
                <c:pt idx="10">
                  <c:v>14822.768555000001</c:v>
                </c:pt>
                <c:pt idx="11">
                  <c:v>15181.166015999999</c:v>
                </c:pt>
                <c:pt idx="12">
                  <c:v>17924.015625</c:v>
                </c:pt>
                <c:pt idx="13">
                  <c:v>16651.548827999999</c:v>
                </c:pt>
                <c:pt idx="14">
                  <c:v>18884.558593999998</c:v>
                </c:pt>
                <c:pt idx="15">
                  <c:v>19877.478515999999</c:v>
                </c:pt>
                <c:pt idx="16">
                  <c:v>20735.953125</c:v>
                </c:pt>
                <c:pt idx="17">
                  <c:v>15642.276367</c:v>
                </c:pt>
                <c:pt idx="18">
                  <c:v>20966.109375</c:v>
                </c:pt>
                <c:pt idx="19">
                  <c:v>20088.693359000001</c:v>
                </c:pt>
                <c:pt idx="20">
                  <c:v>22583.847656000002</c:v>
                </c:pt>
                <c:pt idx="21">
                  <c:v>26484.007812</c:v>
                </c:pt>
                <c:pt idx="22">
                  <c:v>26961.078125</c:v>
                </c:pt>
                <c:pt idx="23">
                  <c:v>17586.066406000002</c:v>
                </c:pt>
                <c:pt idx="24">
                  <c:v>20065.240234000001</c:v>
                </c:pt>
                <c:pt idx="25">
                  <c:v>18888.876952999999</c:v>
                </c:pt>
                <c:pt idx="26">
                  <c:v>23526.082031000002</c:v>
                </c:pt>
                <c:pt idx="27">
                  <c:v>23077.027343999998</c:v>
                </c:pt>
                <c:pt idx="28">
                  <c:v>26549.888672000001</c:v>
                </c:pt>
                <c:pt idx="29">
                  <c:v>29806.384765999999</c:v>
                </c:pt>
                <c:pt idx="30">
                  <c:v>24912.363281000002</c:v>
                </c:pt>
                <c:pt idx="31">
                  <c:v>20386.878906000002</c:v>
                </c:pt>
                <c:pt idx="32">
                  <c:v>18601.316406000002</c:v>
                </c:pt>
                <c:pt idx="33">
                  <c:v>23477.322265999999</c:v>
                </c:pt>
                <c:pt idx="34">
                  <c:v>24870.359375</c:v>
                </c:pt>
                <c:pt idx="35">
                  <c:v>20102.849609000001</c:v>
                </c:pt>
                <c:pt idx="36">
                  <c:v>18593.142577999999</c:v>
                </c:pt>
                <c:pt idx="37">
                  <c:v>20273.744140999999</c:v>
                </c:pt>
                <c:pt idx="38">
                  <c:v>20985.71875</c:v>
                </c:pt>
                <c:pt idx="39">
                  <c:v>20985.71875</c:v>
                </c:pt>
                <c:pt idx="40">
                  <c:v>16188.6875</c:v>
                </c:pt>
                <c:pt idx="41">
                  <c:v>24569.109375</c:v>
                </c:pt>
                <c:pt idx="42">
                  <c:v>27119.654297000001</c:v>
                </c:pt>
                <c:pt idx="43">
                  <c:v>24965.744140999999</c:v>
                </c:pt>
                <c:pt idx="44">
                  <c:v>20442.128906000002</c:v>
                </c:pt>
                <c:pt idx="45">
                  <c:v>17086.748047000001</c:v>
                </c:pt>
                <c:pt idx="46">
                  <c:v>20734.320312</c:v>
                </c:pt>
                <c:pt idx="47">
                  <c:v>18711.841797000001</c:v>
                </c:pt>
                <c:pt idx="48">
                  <c:v>17324.595702999999</c:v>
                </c:pt>
                <c:pt idx="49">
                  <c:v>18539.802734000001</c:v>
                </c:pt>
                <c:pt idx="50">
                  <c:v>19409.296875</c:v>
                </c:pt>
                <c:pt idx="51">
                  <c:v>15634.189453000001</c:v>
                </c:pt>
                <c:pt idx="52">
                  <c:v>19797.003906000002</c:v>
                </c:pt>
                <c:pt idx="53">
                  <c:v>23667.734375</c:v>
                </c:pt>
                <c:pt idx="54">
                  <c:v>15294.254883</c:v>
                </c:pt>
                <c:pt idx="55">
                  <c:v>33521.027344000002</c:v>
                </c:pt>
                <c:pt idx="56">
                  <c:v>33521.027344000002</c:v>
                </c:pt>
                <c:pt idx="57">
                  <c:v>31562.857422000001</c:v>
                </c:pt>
                <c:pt idx="58">
                  <c:v>29994.886718999998</c:v>
                </c:pt>
                <c:pt idx="59">
                  <c:v>34674.292969000002</c:v>
                </c:pt>
                <c:pt idx="60">
                  <c:v>30935.710938</c:v>
                </c:pt>
                <c:pt idx="61">
                  <c:v>33859.6875</c:v>
                </c:pt>
                <c:pt idx="62">
                  <c:v>30474.693359000001</c:v>
                </c:pt>
                <c:pt idx="63">
                  <c:v>32117.257812</c:v>
                </c:pt>
                <c:pt idx="64">
                  <c:v>29805.939452999999</c:v>
                </c:pt>
                <c:pt idx="65">
                  <c:v>37820.757812000003</c:v>
                </c:pt>
                <c:pt idx="66">
                  <c:v>33316.832030999998</c:v>
                </c:pt>
                <c:pt idx="67">
                  <c:v>33322.902344000002</c:v>
                </c:pt>
                <c:pt idx="68">
                  <c:v>30507.140625</c:v>
                </c:pt>
                <c:pt idx="69">
                  <c:v>29582.496093999998</c:v>
                </c:pt>
                <c:pt idx="70">
                  <c:v>29582.496093999998</c:v>
                </c:pt>
                <c:pt idx="71">
                  <c:v>30674.664062</c:v>
                </c:pt>
                <c:pt idx="72">
                  <c:v>28702.935547000001</c:v>
                </c:pt>
                <c:pt idx="73">
                  <c:v>30655.644531000002</c:v>
                </c:pt>
                <c:pt idx="74">
                  <c:v>28770.027343999998</c:v>
                </c:pt>
                <c:pt idx="75">
                  <c:v>30049.851562</c:v>
                </c:pt>
                <c:pt idx="76">
                  <c:v>27788.960938</c:v>
                </c:pt>
                <c:pt idx="77">
                  <c:v>29446.910156000002</c:v>
                </c:pt>
                <c:pt idx="78">
                  <c:v>26676.529297000001</c:v>
                </c:pt>
                <c:pt idx="79">
                  <c:v>27984.470702999999</c:v>
                </c:pt>
                <c:pt idx="80">
                  <c:v>25315.132812</c:v>
                </c:pt>
                <c:pt idx="81">
                  <c:v>26519.716797000001</c:v>
                </c:pt>
                <c:pt idx="82">
                  <c:v>29920.449218999998</c:v>
                </c:pt>
                <c:pt idx="83">
                  <c:v>27735.917968999998</c:v>
                </c:pt>
                <c:pt idx="84">
                  <c:v>27735.917968999998</c:v>
                </c:pt>
                <c:pt idx="85">
                  <c:v>30691.626952999999</c:v>
                </c:pt>
                <c:pt idx="86">
                  <c:v>26965.445312</c:v>
                </c:pt>
                <c:pt idx="87">
                  <c:v>24837.267577999999</c:v>
                </c:pt>
                <c:pt idx="88">
                  <c:v>20113.472656000002</c:v>
                </c:pt>
                <c:pt idx="89">
                  <c:v>20515.982422000001</c:v>
                </c:pt>
                <c:pt idx="90">
                  <c:v>17549.816406000002</c:v>
                </c:pt>
                <c:pt idx="91">
                  <c:v>14461.248046999999</c:v>
                </c:pt>
                <c:pt idx="92">
                  <c:v>14624.066406</c:v>
                </c:pt>
                <c:pt idx="93">
                  <c:v>14625.247069999999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I_5_NB!$D$2:$D$95</c:f>
              <c:numCache>
                <c:formatCode>0</c:formatCode>
                <c:ptCount val="94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22</c:v>
                </c:pt>
                <c:pt idx="15">
                  <c:v>24</c:v>
                </c:pt>
                <c:pt idx="16">
                  <c:v>26</c:v>
                </c:pt>
                <c:pt idx="17">
                  <c:v>27</c:v>
                </c:pt>
                <c:pt idx="18">
                  <c:v>31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47</c:v>
                </c:pt>
                <c:pt idx="27">
                  <c:v>50</c:v>
                </c:pt>
                <c:pt idx="28">
                  <c:v>53</c:v>
                </c:pt>
                <c:pt idx="29">
                  <c:v>56</c:v>
                </c:pt>
                <c:pt idx="30">
                  <c:v>58</c:v>
                </c:pt>
                <c:pt idx="31">
                  <c:v>59</c:v>
                </c:pt>
                <c:pt idx="32">
                  <c:v>61</c:v>
                </c:pt>
                <c:pt idx="33">
                  <c:v>63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71</c:v>
                </c:pt>
                <c:pt idx="39">
                  <c:v>73</c:v>
                </c:pt>
                <c:pt idx="40">
                  <c:v>75</c:v>
                </c:pt>
                <c:pt idx="41">
                  <c:v>81</c:v>
                </c:pt>
                <c:pt idx="42">
                  <c:v>85</c:v>
                </c:pt>
                <c:pt idx="43">
                  <c:v>86</c:v>
                </c:pt>
                <c:pt idx="44">
                  <c:v>88</c:v>
                </c:pt>
                <c:pt idx="45">
                  <c:v>89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95</c:v>
                </c:pt>
                <c:pt idx="50">
                  <c:v>96</c:v>
                </c:pt>
                <c:pt idx="51">
                  <c:v>98</c:v>
                </c:pt>
                <c:pt idx="52">
                  <c:v>102</c:v>
                </c:pt>
                <c:pt idx="53">
                  <c:v>105</c:v>
                </c:pt>
                <c:pt idx="54">
                  <c:v>106</c:v>
                </c:pt>
                <c:pt idx="55">
                  <c:v>108</c:v>
                </c:pt>
                <c:pt idx="56">
                  <c:v>109</c:v>
                </c:pt>
                <c:pt idx="57">
                  <c:v>111</c:v>
                </c:pt>
                <c:pt idx="58">
                  <c:v>112</c:v>
                </c:pt>
                <c:pt idx="59">
                  <c:v>115</c:v>
                </c:pt>
                <c:pt idx="60">
                  <c:v>117</c:v>
                </c:pt>
                <c:pt idx="61">
                  <c:v>118</c:v>
                </c:pt>
                <c:pt idx="62">
                  <c:v>120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127</c:v>
                </c:pt>
                <c:pt idx="67">
                  <c:v>128</c:v>
                </c:pt>
                <c:pt idx="68">
                  <c:v>129</c:v>
                </c:pt>
                <c:pt idx="69">
                  <c:v>132</c:v>
                </c:pt>
                <c:pt idx="70">
                  <c:v>133</c:v>
                </c:pt>
                <c:pt idx="71">
                  <c:v>134</c:v>
                </c:pt>
                <c:pt idx="72">
                  <c:v>135</c:v>
                </c:pt>
                <c:pt idx="73">
                  <c:v>138</c:v>
                </c:pt>
                <c:pt idx="74">
                  <c:v>139</c:v>
                </c:pt>
                <c:pt idx="75">
                  <c:v>140</c:v>
                </c:pt>
                <c:pt idx="76">
                  <c:v>141</c:v>
                </c:pt>
                <c:pt idx="77">
                  <c:v>142</c:v>
                </c:pt>
                <c:pt idx="78">
                  <c:v>143</c:v>
                </c:pt>
                <c:pt idx="79">
                  <c:v>145</c:v>
                </c:pt>
                <c:pt idx="80">
                  <c:v>146</c:v>
                </c:pt>
                <c:pt idx="81">
                  <c:v>148</c:v>
                </c:pt>
                <c:pt idx="82">
                  <c:v>149</c:v>
                </c:pt>
                <c:pt idx="83">
                  <c:v>150</c:v>
                </c:pt>
                <c:pt idx="84">
                  <c:v>151</c:v>
                </c:pt>
                <c:pt idx="85">
                  <c:v>156</c:v>
                </c:pt>
                <c:pt idx="86">
                  <c:v>160</c:v>
                </c:pt>
                <c:pt idx="87">
                  <c:v>163</c:v>
                </c:pt>
                <c:pt idx="88">
                  <c:v>165</c:v>
                </c:pt>
                <c:pt idx="89">
                  <c:v>166</c:v>
                </c:pt>
                <c:pt idx="90">
                  <c:v>167</c:v>
                </c:pt>
                <c:pt idx="91">
                  <c:v>171</c:v>
                </c:pt>
                <c:pt idx="92">
                  <c:v>172</c:v>
                </c:pt>
                <c:pt idx="9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I_5_NB!$J$2:$J$95</c:f>
              <c:numCache>
                <c:formatCode>0%</c:formatCode>
                <c:ptCount val="94"/>
                <c:pt idx="0">
                  <c:v>-0.4862075105618624</c:v>
                </c:pt>
                <c:pt idx="1">
                  <c:v>-0.45674110541044777</c:v>
                </c:pt>
                <c:pt idx="2">
                  <c:v>-0.45568524143503564</c:v>
                </c:pt>
                <c:pt idx="3">
                  <c:v>-0.29113220951417007</c:v>
                </c:pt>
                <c:pt idx="4">
                  <c:v>-0.21906660249939924</c:v>
                </c:pt>
                <c:pt idx="5">
                  <c:v>-0.31151036607001414</c:v>
                </c:pt>
                <c:pt idx="6">
                  <c:v>-0.27620541623811745</c:v>
                </c:pt>
                <c:pt idx="7">
                  <c:v>-0.21841503209598812</c:v>
                </c:pt>
                <c:pt idx="8">
                  <c:v>-0.10465199238154865</c:v>
                </c:pt>
                <c:pt idx="9">
                  <c:v>-5.197995113514875E-2</c:v>
                </c:pt>
                <c:pt idx="10">
                  <c:v>-1.8034544219940329E-2</c:v>
                </c:pt>
                <c:pt idx="11">
                  <c:v>0.13801844197901048</c:v>
                </c:pt>
                <c:pt idx="12">
                  <c:v>0.11690027573529416</c:v>
                </c:pt>
                <c:pt idx="13">
                  <c:v>0.20175727684757505</c:v>
                </c:pt>
                <c:pt idx="14">
                  <c:v>0.17309967660578951</c:v>
                </c:pt>
                <c:pt idx="15">
                  <c:v>0.20674347474502186</c:v>
                </c:pt>
                <c:pt idx="16">
                  <c:v>0.24998210410513</c:v>
                </c:pt>
                <c:pt idx="17">
                  <c:v>-3.5082575596816934E-2</c:v>
                </c:pt>
                <c:pt idx="18">
                  <c:v>0.52148834361393326</c:v>
                </c:pt>
                <c:pt idx="19">
                  <c:v>0.30505381400636655</c:v>
                </c:pt>
                <c:pt idx="20">
                  <c:v>0.66941511354228278</c:v>
                </c:pt>
                <c:pt idx="21">
                  <c:v>0.43064000713050987</c:v>
                </c:pt>
                <c:pt idx="22">
                  <c:v>0.38325781771073819</c:v>
                </c:pt>
                <c:pt idx="23">
                  <c:v>0.33006098971411291</c:v>
                </c:pt>
                <c:pt idx="24">
                  <c:v>0.4849940966548254</c:v>
                </c:pt>
                <c:pt idx="25">
                  <c:v>0.18025974462634342</c:v>
                </c:pt>
                <c:pt idx="26">
                  <c:v>0.34480862187035566</c:v>
                </c:pt>
                <c:pt idx="27">
                  <c:v>0.28341178710861459</c:v>
                </c:pt>
                <c:pt idx="28">
                  <c:v>0.58336645229007633</c:v>
                </c:pt>
                <c:pt idx="29">
                  <c:v>0.16014264230110542</c:v>
                </c:pt>
                <c:pt idx="30">
                  <c:v>1.6084643160127365E-2</c:v>
                </c:pt>
                <c:pt idx="31">
                  <c:v>0.2347452550420932</c:v>
                </c:pt>
                <c:pt idx="32">
                  <c:v>8.9771890913351804E-2</c:v>
                </c:pt>
                <c:pt idx="33">
                  <c:v>2.6061897032472414E-2</c:v>
                </c:pt>
                <c:pt idx="34">
                  <c:v>0.33949261458501634</c:v>
                </c:pt>
                <c:pt idx="35">
                  <c:v>8.0101526380829569E-2</c:v>
                </c:pt>
                <c:pt idx="36">
                  <c:v>6.7099551078971587E-2</c:v>
                </c:pt>
                <c:pt idx="37">
                  <c:v>5.9566433626005999E-2</c:v>
                </c:pt>
                <c:pt idx="38">
                  <c:v>-3.0593184127864048E-2</c:v>
                </c:pt>
                <c:pt idx="39">
                  <c:v>-3.5494128596378349E-2</c:v>
                </c:pt>
                <c:pt idx="40">
                  <c:v>-3.787664923332934E-2</c:v>
                </c:pt>
                <c:pt idx="41">
                  <c:v>0.15564954727187197</c:v>
                </c:pt>
                <c:pt idx="42">
                  <c:v>0.4986546362179487</c:v>
                </c:pt>
                <c:pt idx="43">
                  <c:v>8.7405555163552417E-2</c:v>
                </c:pt>
                <c:pt idx="44">
                  <c:v>0.16333535772820396</c:v>
                </c:pt>
                <c:pt idx="45">
                  <c:v>0.1122012658334961</c:v>
                </c:pt>
                <c:pt idx="46">
                  <c:v>7.2316937939594483E-2</c:v>
                </c:pt>
                <c:pt idx="47">
                  <c:v>0.31606708376705583</c:v>
                </c:pt>
                <c:pt idx="48">
                  <c:v>0.32501687977055438</c:v>
                </c:pt>
                <c:pt idx="49">
                  <c:v>0.23032734315482117</c:v>
                </c:pt>
                <c:pt idx="50">
                  <c:v>0.44996988458090548</c:v>
                </c:pt>
                <c:pt idx="51">
                  <c:v>3.134701847087551E-2</c:v>
                </c:pt>
                <c:pt idx="52">
                  <c:v>9.9772451863785472E-2</c:v>
                </c:pt>
                <c:pt idx="53">
                  <c:v>0.3084771326293676</c:v>
                </c:pt>
                <c:pt idx="54">
                  <c:v>0.98060798795648796</c:v>
                </c:pt>
                <c:pt idx="55">
                  <c:v>0.54638683138810729</c:v>
                </c:pt>
                <c:pt idx="56">
                  <c:v>0.76102061171526136</c:v>
                </c:pt>
                <c:pt idx="57">
                  <c:v>0.75028322641823331</c:v>
                </c:pt>
                <c:pt idx="58">
                  <c:v>1.0388041543637847</c:v>
                </c:pt>
                <c:pt idx="59">
                  <c:v>1.521216677743038</c:v>
                </c:pt>
                <c:pt idx="60">
                  <c:v>0.53094031464344038</c:v>
                </c:pt>
                <c:pt idx="61">
                  <c:v>0.75157454347938546</c:v>
                </c:pt>
                <c:pt idx="62">
                  <c:v>0.54835348841581144</c:v>
                </c:pt>
                <c:pt idx="63">
                  <c:v>0.2316316221958048</c:v>
                </c:pt>
                <c:pt idx="64">
                  <c:v>0.46617833897387961</c:v>
                </c:pt>
                <c:pt idx="65">
                  <c:v>0.74829001118661331</c:v>
                </c:pt>
                <c:pt idx="66">
                  <c:v>0.39506038150071165</c:v>
                </c:pt>
                <c:pt idx="67">
                  <c:v>0.50191113462838599</c:v>
                </c:pt>
                <c:pt idx="68">
                  <c:v>0.33609865654973059</c:v>
                </c:pt>
                <c:pt idx="69">
                  <c:v>0.34594367778333845</c:v>
                </c:pt>
                <c:pt idx="70">
                  <c:v>0.29299777499016555</c:v>
                </c:pt>
                <c:pt idx="71">
                  <c:v>0.45805989457172736</c:v>
                </c:pt>
                <c:pt idx="72">
                  <c:v>0.29631178515942547</c:v>
                </c:pt>
                <c:pt idx="73">
                  <c:v>0.3586086035720617</c:v>
                </c:pt>
                <c:pt idx="74">
                  <c:v>0.33627623520668837</c:v>
                </c:pt>
                <c:pt idx="75">
                  <c:v>0.33792749608192341</c:v>
                </c:pt>
                <c:pt idx="76">
                  <c:v>0.36595364421942578</c:v>
                </c:pt>
                <c:pt idx="77">
                  <c:v>0.5741118381354573</c:v>
                </c:pt>
                <c:pt idx="78">
                  <c:v>0.35889813544903482</c:v>
                </c:pt>
                <c:pt idx="79">
                  <c:v>0.39337137537343159</c:v>
                </c:pt>
                <c:pt idx="80">
                  <c:v>0.35143779692504795</c:v>
                </c:pt>
                <c:pt idx="81">
                  <c:v>0.2670672143812709</c:v>
                </c:pt>
                <c:pt idx="82">
                  <c:v>0.2377631745749389</c:v>
                </c:pt>
                <c:pt idx="83">
                  <c:v>0.14017585994409276</c:v>
                </c:pt>
                <c:pt idx="84">
                  <c:v>0.18236499143149443</c:v>
                </c:pt>
                <c:pt idx="85">
                  <c:v>0.43950222564607655</c:v>
                </c:pt>
                <c:pt idx="86">
                  <c:v>0.16981672430697148</c:v>
                </c:pt>
                <c:pt idx="87">
                  <c:v>0.28504074803394031</c:v>
                </c:pt>
                <c:pt idx="88">
                  <c:v>0.29697399123033286</c:v>
                </c:pt>
                <c:pt idx="89">
                  <c:v>0.25158506722791607</c:v>
                </c:pt>
                <c:pt idx="90">
                  <c:v>0.34957062488465107</c:v>
                </c:pt>
                <c:pt idx="91">
                  <c:v>0.31406161263062238</c:v>
                </c:pt>
                <c:pt idx="92">
                  <c:v>0.29062451734180561</c:v>
                </c:pt>
                <c:pt idx="93">
                  <c:v>0.20929775673887874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90528"/>
        <c:axId val="105192064"/>
      </c:lineChart>
      <c:catAx>
        <c:axId val="10519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5192064"/>
        <c:crosses val="autoZero"/>
        <c:auto val="1"/>
        <c:lblAlgn val="ctr"/>
        <c:lblOffset val="1000"/>
        <c:noMultiLvlLbl val="0"/>
      </c:catAx>
      <c:valAx>
        <c:axId val="105192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0519052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PM Volumes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I_15_NB!$I$2:$I$63</c:f>
              <c:numCache>
                <c:formatCode>General</c:formatCode>
                <c:ptCount val="62"/>
                <c:pt idx="0">
                  <c:v>18554.042968999998</c:v>
                </c:pt>
                <c:pt idx="1">
                  <c:v>17869.894531000002</c:v>
                </c:pt>
                <c:pt idx="2">
                  <c:v>19397.427734000001</c:v>
                </c:pt>
                <c:pt idx="3">
                  <c:v>20433.730468999998</c:v>
                </c:pt>
                <c:pt idx="4">
                  <c:v>18744.759765999999</c:v>
                </c:pt>
                <c:pt idx="5">
                  <c:v>24511.71875</c:v>
                </c:pt>
                <c:pt idx="6">
                  <c:v>21529.166015999999</c:v>
                </c:pt>
                <c:pt idx="7">
                  <c:v>21536.648438</c:v>
                </c:pt>
                <c:pt idx="8">
                  <c:v>16837.259765999999</c:v>
                </c:pt>
                <c:pt idx="9">
                  <c:v>21360.294922000001</c:v>
                </c:pt>
                <c:pt idx="10">
                  <c:v>29934.923827999999</c:v>
                </c:pt>
                <c:pt idx="11">
                  <c:v>23573.1875</c:v>
                </c:pt>
                <c:pt idx="12">
                  <c:v>27071.931640999999</c:v>
                </c:pt>
                <c:pt idx="13">
                  <c:v>23501.767577999999</c:v>
                </c:pt>
                <c:pt idx="14">
                  <c:v>25353</c:v>
                </c:pt>
                <c:pt idx="15">
                  <c:v>21240.037109000001</c:v>
                </c:pt>
                <c:pt idx="16">
                  <c:v>23909.515625</c:v>
                </c:pt>
                <c:pt idx="17">
                  <c:v>21932.765625</c:v>
                </c:pt>
                <c:pt idx="18">
                  <c:v>19608.105468999998</c:v>
                </c:pt>
                <c:pt idx="19">
                  <c:v>31245.378906000002</c:v>
                </c:pt>
                <c:pt idx="20">
                  <c:v>25285.912109000001</c:v>
                </c:pt>
                <c:pt idx="21">
                  <c:v>45436.929687999997</c:v>
                </c:pt>
                <c:pt idx="22">
                  <c:v>44456.273437999997</c:v>
                </c:pt>
                <c:pt idx="23">
                  <c:v>44996.722655999998</c:v>
                </c:pt>
                <c:pt idx="24">
                  <c:v>39932.179687999997</c:v>
                </c:pt>
                <c:pt idx="25">
                  <c:v>40934.28125</c:v>
                </c:pt>
                <c:pt idx="26">
                  <c:v>42583.855469000002</c:v>
                </c:pt>
                <c:pt idx="27">
                  <c:v>38712.15625</c:v>
                </c:pt>
                <c:pt idx="28">
                  <c:v>38480.796875</c:v>
                </c:pt>
                <c:pt idx="29">
                  <c:v>43489.957030999998</c:v>
                </c:pt>
                <c:pt idx="30">
                  <c:v>39695.21875</c:v>
                </c:pt>
                <c:pt idx="31">
                  <c:v>33039.964844000002</c:v>
                </c:pt>
                <c:pt idx="32">
                  <c:v>33945.460937999997</c:v>
                </c:pt>
                <c:pt idx="33">
                  <c:v>30967.765625</c:v>
                </c:pt>
                <c:pt idx="34">
                  <c:v>32506.59375</c:v>
                </c:pt>
                <c:pt idx="35">
                  <c:v>34559.582030999998</c:v>
                </c:pt>
                <c:pt idx="36">
                  <c:v>30733.279297000001</c:v>
                </c:pt>
                <c:pt idx="37">
                  <c:v>33523.140625</c:v>
                </c:pt>
                <c:pt idx="38">
                  <c:v>31013.923827999999</c:v>
                </c:pt>
                <c:pt idx="39">
                  <c:v>32644.353515999999</c:v>
                </c:pt>
                <c:pt idx="40">
                  <c:v>29717.554688</c:v>
                </c:pt>
                <c:pt idx="41">
                  <c:v>32120.431640999999</c:v>
                </c:pt>
                <c:pt idx="42">
                  <c:v>33736.074219000002</c:v>
                </c:pt>
                <c:pt idx="43">
                  <c:v>34795.949219000002</c:v>
                </c:pt>
                <c:pt idx="44">
                  <c:v>33639.695312000003</c:v>
                </c:pt>
                <c:pt idx="45">
                  <c:v>36329.992187999997</c:v>
                </c:pt>
                <c:pt idx="46">
                  <c:v>32537.75</c:v>
                </c:pt>
                <c:pt idx="47">
                  <c:v>26809.587890999999</c:v>
                </c:pt>
                <c:pt idx="48">
                  <c:v>29579.943359000001</c:v>
                </c:pt>
                <c:pt idx="49">
                  <c:v>30023.519531000002</c:v>
                </c:pt>
                <c:pt idx="50">
                  <c:v>28008.777343999998</c:v>
                </c:pt>
                <c:pt idx="51">
                  <c:v>29044.328125</c:v>
                </c:pt>
                <c:pt idx="52">
                  <c:v>27098.158202999999</c:v>
                </c:pt>
                <c:pt idx="53">
                  <c:v>17664.904297000001</c:v>
                </c:pt>
                <c:pt idx="54">
                  <c:v>17158.490234000001</c:v>
                </c:pt>
                <c:pt idx="55">
                  <c:v>18405.800781000002</c:v>
                </c:pt>
                <c:pt idx="56">
                  <c:v>19877.898438</c:v>
                </c:pt>
                <c:pt idx="57">
                  <c:v>18797.330077999999</c:v>
                </c:pt>
                <c:pt idx="58">
                  <c:v>20315.898438</c:v>
                </c:pt>
                <c:pt idx="59">
                  <c:v>16794.769531000002</c:v>
                </c:pt>
                <c:pt idx="60">
                  <c:v>18164.095702999999</c:v>
                </c:pt>
                <c:pt idx="61">
                  <c:v>17436.033202999999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I_15_NB!$H$2:$H$63</c:f>
              <c:numCache>
                <c:formatCode>0</c:formatCode>
                <c:ptCount val="62"/>
                <c:pt idx="0">
                  <c:v>13149</c:v>
                </c:pt>
                <c:pt idx="1">
                  <c:v>13795</c:v>
                </c:pt>
                <c:pt idx="2">
                  <c:v>15197</c:v>
                </c:pt>
                <c:pt idx="3">
                  <c:v>16609</c:v>
                </c:pt>
                <c:pt idx="4">
                  <c:v>14799</c:v>
                </c:pt>
                <c:pt idx="5">
                  <c:v>20164</c:v>
                </c:pt>
                <c:pt idx="6">
                  <c:v>15852</c:v>
                </c:pt>
                <c:pt idx="7">
                  <c:v>18184</c:v>
                </c:pt>
                <c:pt idx="8">
                  <c:v>17236</c:v>
                </c:pt>
                <c:pt idx="9">
                  <c:v>16271</c:v>
                </c:pt>
                <c:pt idx="10">
                  <c:v>21966</c:v>
                </c:pt>
                <c:pt idx="11">
                  <c:v>17640</c:v>
                </c:pt>
                <c:pt idx="12">
                  <c:v>21823</c:v>
                </c:pt>
                <c:pt idx="13">
                  <c:v>17693</c:v>
                </c:pt>
                <c:pt idx="14">
                  <c:v>19558</c:v>
                </c:pt>
                <c:pt idx="15">
                  <c:v>16940</c:v>
                </c:pt>
                <c:pt idx="16">
                  <c:v>19575</c:v>
                </c:pt>
                <c:pt idx="17">
                  <c:v>15340</c:v>
                </c:pt>
                <c:pt idx="18">
                  <c:v>17202</c:v>
                </c:pt>
                <c:pt idx="19">
                  <c:v>17983</c:v>
                </c:pt>
                <c:pt idx="20">
                  <c:v>28908</c:v>
                </c:pt>
                <c:pt idx="21">
                  <c:v>36352</c:v>
                </c:pt>
                <c:pt idx="22">
                  <c:v>33562</c:v>
                </c:pt>
                <c:pt idx="23">
                  <c:v>30190</c:v>
                </c:pt>
                <c:pt idx="24">
                  <c:v>32473</c:v>
                </c:pt>
                <c:pt idx="25">
                  <c:v>32601</c:v>
                </c:pt>
                <c:pt idx="26">
                  <c:v>35698</c:v>
                </c:pt>
                <c:pt idx="27">
                  <c:v>29575</c:v>
                </c:pt>
                <c:pt idx="28">
                  <c:v>29565</c:v>
                </c:pt>
                <c:pt idx="29">
                  <c:v>31407</c:v>
                </c:pt>
                <c:pt idx="30">
                  <c:v>30988</c:v>
                </c:pt>
                <c:pt idx="31">
                  <c:v>27642</c:v>
                </c:pt>
                <c:pt idx="32">
                  <c:v>28826</c:v>
                </c:pt>
                <c:pt idx="33">
                  <c:v>25764</c:v>
                </c:pt>
                <c:pt idx="34">
                  <c:v>26402</c:v>
                </c:pt>
                <c:pt idx="35">
                  <c:v>28364</c:v>
                </c:pt>
                <c:pt idx="36">
                  <c:v>24337</c:v>
                </c:pt>
                <c:pt idx="37">
                  <c:v>28835</c:v>
                </c:pt>
                <c:pt idx="38">
                  <c:v>24137</c:v>
                </c:pt>
                <c:pt idx="39">
                  <c:v>27093</c:v>
                </c:pt>
                <c:pt idx="40">
                  <c:v>26992</c:v>
                </c:pt>
                <c:pt idx="41">
                  <c:v>26769</c:v>
                </c:pt>
                <c:pt idx="42">
                  <c:v>29783</c:v>
                </c:pt>
                <c:pt idx="43">
                  <c:v>28594</c:v>
                </c:pt>
                <c:pt idx="44">
                  <c:v>28063</c:v>
                </c:pt>
                <c:pt idx="45">
                  <c:v>31840</c:v>
                </c:pt>
                <c:pt idx="46">
                  <c:v>26470</c:v>
                </c:pt>
                <c:pt idx="47">
                  <c:v>22650</c:v>
                </c:pt>
                <c:pt idx="48">
                  <c:v>26201</c:v>
                </c:pt>
                <c:pt idx="49">
                  <c:v>25479</c:v>
                </c:pt>
                <c:pt idx="50">
                  <c:v>25100</c:v>
                </c:pt>
                <c:pt idx="51">
                  <c:v>21239</c:v>
                </c:pt>
                <c:pt idx="52">
                  <c:v>25689</c:v>
                </c:pt>
                <c:pt idx="53">
                  <c:v>19188</c:v>
                </c:pt>
                <c:pt idx="54">
                  <c:v>17365</c:v>
                </c:pt>
                <c:pt idx="55">
                  <c:v>19536</c:v>
                </c:pt>
                <c:pt idx="56">
                  <c:v>20545</c:v>
                </c:pt>
                <c:pt idx="57">
                  <c:v>14601</c:v>
                </c:pt>
                <c:pt idx="58">
                  <c:v>20665</c:v>
                </c:pt>
                <c:pt idx="59">
                  <c:v>19555</c:v>
                </c:pt>
                <c:pt idx="60">
                  <c:v>14064</c:v>
                </c:pt>
                <c:pt idx="61">
                  <c:v>17544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I_15_NB!$D$2:$D$63</c:f>
              <c:numCache>
                <c:formatCode>0</c:formatCode>
                <c:ptCount val="6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37</c:v>
                </c:pt>
                <c:pt idx="30">
                  <c:v>38</c:v>
                </c:pt>
                <c:pt idx="31">
                  <c:v>40</c:v>
                </c:pt>
                <c:pt idx="32">
                  <c:v>42</c:v>
                </c:pt>
                <c:pt idx="33">
                  <c:v>44</c:v>
                </c:pt>
                <c:pt idx="34">
                  <c:v>48</c:v>
                </c:pt>
                <c:pt idx="35">
                  <c:v>49</c:v>
                </c:pt>
                <c:pt idx="36">
                  <c:v>50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63</c:v>
                </c:pt>
                <c:pt idx="47">
                  <c:v>66</c:v>
                </c:pt>
                <c:pt idx="48">
                  <c:v>68</c:v>
                </c:pt>
                <c:pt idx="49">
                  <c:v>70</c:v>
                </c:pt>
                <c:pt idx="50">
                  <c:v>71</c:v>
                </c:pt>
                <c:pt idx="51">
                  <c:v>72</c:v>
                </c:pt>
                <c:pt idx="52">
                  <c:v>73</c:v>
                </c:pt>
                <c:pt idx="53">
                  <c:v>76</c:v>
                </c:pt>
                <c:pt idx="54">
                  <c:v>79</c:v>
                </c:pt>
                <c:pt idx="55">
                  <c:v>80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91</c:v>
                </c:pt>
                <c:pt idx="60">
                  <c:v>93</c:v>
                </c:pt>
                <c:pt idx="61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635264"/>
        <c:axId val="21866982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yVal>
            <c:numRef>
              <c:f>I_15_NB!$J$2:$J$63</c:f>
              <c:numCache>
                <c:formatCode>0%</c:formatCode>
                <c:ptCount val="62"/>
                <c:pt idx="0">
                  <c:v>0.41106114297665219</c:v>
                </c:pt>
                <c:pt idx="1">
                  <c:v>0.29538923747734702</c:v>
                </c:pt>
                <c:pt idx="2">
                  <c:v>0.27639848220043439</c:v>
                </c:pt>
                <c:pt idx="3">
                  <c:v>0.23028059901258335</c:v>
                </c:pt>
                <c:pt idx="4">
                  <c:v>0.26662340468950596</c:v>
                </c:pt>
                <c:pt idx="5">
                  <c:v>0.21561787095814333</c:v>
                </c:pt>
                <c:pt idx="6">
                  <c:v>0.35813563058289177</c:v>
                </c:pt>
                <c:pt idx="7">
                  <c:v>0.1843735392652881</c:v>
                </c:pt>
                <c:pt idx="8">
                  <c:v>-2.3134151427245397E-2</c:v>
                </c:pt>
                <c:pt idx="9">
                  <c:v>0.31278316772171344</c:v>
                </c:pt>
                <c:pt idx="10">
                  <c:v>0.36278447728307373</c:v>
                </c:pt>
                <c:pt idx="11">
                  <c:v>0.33634849773242625</c:v>
                </c:pt>
                <c:pt idx="12">
                  <c:v>0.24052291806809323</c:v>
                </c:pt>
                <c:pt idx="13">
                  <c:v>0.32830879884700148</c:v>
                </c:pt>
                <c:pt idx="14">
                  <c:v>0.29629818999897739</c:v>
                </c:pt>
                <c:pt idx="15">
                  <c:v>0.25383926263282186</c:v>
                </c:pt>
                <c:pt idx="16">
                  <c:v>0.22143119412515966</c:v>
                </c:pt>
                <c:pt idx="17">
                  <c:v>0.42977611636245117</c:v>
                </c:pt>
                <c:pt idx="18">
                  <c:v>0.13987358847808373</c:v>
                </c:pt>
                <c:pt idx="19">
                  <c:v>0.73749535149863776</c:v>
                </c:pt>
                <c:pt idx="20">
                  <c:v>-0.1252970766223882</c:v>
                </c:pt>
                <c:pt idx="21">
                  <c:v>0.24991553939260558</c:v>
                </c:pt>
                <c:pt idx="22">
                  <c:v>0.32460143728025725</c:v>
                </c:pt>
                <c:pt idx="23">
                  <c:v>0.49045123073865504</c:v>
                </c:pt>
                <c:pt idx="24">
                  <c:v>0.22970405222800472</c:v>
                </c:pt>
                <c:pt idx="25">
                  <c:v>0.25561428330419322</c:v>
                </c:pt>
                <c:pt idx="26">
                  <c:v>0.19289191184380083</c:v>
                </c:pt>
                <c:pt idx="27">
                  <c:v>0.30894864750633988</c:v>
                </c:pt>
                <c:pt idx="28">
                  <c:v>0.30156593522746489</c:v>
                </c:pt>
                <c:pt idx="29">
                  <c:v>0.38472178275543656</c:v>
                </c:pt>
                <c:pt idx="30">
                  <c:v>0.28098679327481602</c:v>
                </c:pt>
                <c:pt idx="31">
                  <c:v>0.19528126922798639</c:v>
                </c:pt>
                <c:pt idx="32">
                  <c:v>0.17759872816207589</c:v>
                </c:pt>
                <c:pt idx="33">
                  <c:v>0.20197817206179169</c:v>
                </c:pt>
                <c:pt idx="34">
                  <c:v>0.23121709529581103</c:v>
                </c:pt>
                <c:pt idx="35">
                  <c:v>0.21843118146241713</c:v>
                </c:pt>
                <c:pt idx="36">
                  <c:v>0.26282118983440861</c:v>
                </c:pt>
                <c:pt idx="37">
                  <c:v>0.16258507456216398</c:v>
                </c:pt>
                <c:pt idx="38">
                  <c:v>0.28491211948460871</c:v>
                </c:pt>
                <c:pt idx="39">
                  <c:v>0.20489991938877194</c:v>
                </c:pt>
                <c:pt idx="40">
                  <c:v>0.10097638885595739</c:v>
                </c:pt>
                <c:pt idx="41">
                  <c:v>0.19991152605625917</c:v>
                </c:pt>
                <c:pt idx="42">
                  <c:v>0.13272921529060211</c:v>
                </c:pt>
                <c:pt idx="43">
                  <c:v>0.21689687413443393</c:v>
                </c:pt>
                <c:pt idx="44">
                  <c:v>0.19872056843530639</c:v>
                </c:pt>
                <c:pt idx="45">
                  <c:v>0.14101734258793952</c:v>
                </c:pt>
                <c:pt idx="46">
                  <c:v>0.22923120513789197</c:v>
                </c:pt>
                <c:pt idx="47">
                  <c:v>0.18364626450331123</c:v>
                </c:pt>
                <c:pt idx="48">
                  <c:v>0.12896238155032247</c:v>
                </c:pt>
                <c:pt idx="49">
                  <c:v>0.17836333965226281</c:v>
                </c:pt>
                <c:pt idx="50">
                  <c:v>0.11588754358565723</c:v>
                </c:pt>
                <c:pt idx="51">
                  <c:v>0.3674997940110174</c:v>
                </c:pt>
                <c:pt idx="52">
                  <c:v>5.4854537078126819E-2</c:v>
                </c:pt>
                <c:pt idx="53">
                  <c:v>-7.9377512143006035E-2</c:v>
                </c:pt>
                <c:pt idx="54">
                  <c:v>-1.1892298646703048E-2</c:v>
                </c:pt>
                <c:pt idx="55">
                  <c:v>-5.7852130374692834E-2</c:v>
                </c:pt>
                <c:pt idx="56">
                  <c:v>-3.2470263421757073E-2</c:v>
                </c:pt>
                <c:pt idx="57">
                  <c:v>0.28740018341209495</c:v>
                </c:pt>
                <c:pt idx="58">
                  <c:v>-1.6893373433341408E-2</c:v>
                </c:pt>
                <c:pt idx="59">
                  <c:v>-0.14115215898747113</c:v>
                </c:pt>
                <c:pt idx="60">
                  <c:v>0.29153126443401578</c:v>
                </c:pt>
                <c:pt idx="61">
                  <c:v>-6.1540581965344732E-3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5264"/>
        <c:axId val="218669824"/>
      </c:scatterChart>
      <c:catAx>
        <c:axId val="218635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866982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218669824"/>
        <c:scaling>
          <c:orientation val="minMax"/>
          <c:min val="-2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218635264"/>
        <c:crosses val="autoZero"/>
        <c:crossBetween val="between"/>
        <c:majorUnit val="20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PM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I_805_NB!$F$2:$F$39</c:f>
              <c:strCache>
                <c:ptCount val="38"/>
                <c:pt idx="0">
                  <c:v>EAST SAN YSIDRO</c:v>
                </c:pt>
                <c:pt idx="1">
                  <c:v>EAST SAN YSIDRO</c:v>
                </c:pt>
                <c:pt idx="2">
                  <c:v>SR-905 EB</c:v>
                </c:pt>
                <c:pt idx="3">
                  <c:v>0.00</c:v>
                </c:pt>
                <c:pt idx="4">
                  <c:v>PALM</c:v>
                </c:pt>
                <c:pt idx="5">
                  <c:v>OTAY VALLEY</c:v>
                </c:pt>
                <c:pt idx="6">
                  <c:v>ORANGE</c:v>
                </c:pt>
                <c:pt idx="7">
                  <c:v>PALOMAR</c:v>
                </c:pt>
                <c:pt idx="8">
                  <c:v>H</c:v>
                </c:pt>
                <c:pt idx="9">
                  <c:v>H</c:v>
                </c:pt>
                <c:pt idx="10">
                  <c:v>BONITA</c:v>
                </c:pt>
                <c:pt idx="11">
                  <c:v>SWEETWATER</c:v>
                </c:pt>
                <c:pt idx="12">
                  <c:v>SR-54 WB</c:v>
                </c:pt>
                <c:pt idx="13">
                  <c:v>PLAZA</c:v>
                </c:pt>
                <c:pt idx="14">
                  <c:v>PLAZA</c:v>
                </c:pt>
                <c:pt idx="15">
                  <c:v>43RD</c:v>
                </c:pt>
                <c:pt idx="16">
                  <c:v>47TH</c:v>
                </c:pt>
                <c:pt idx="17">
                  <c:v>IMPERIAL</c:v>
                </c:pt>
                <c:pt idx="18">
                  <c:v>MARKET</c:v>
                </c:pt>
                <c:pt idx="19">
                  <c:v>SR-94 WB</c:v>
                </c:pt>
                <c:pt idx="20">
                  <c:v>SR-94 WB</c:v>
                </c:pt>
                <c:pt idx="21">
                  <c:v>HOME</c:v>
                </c:pt>
                <c:pt idx="22">
                  <c:v>SR-15 NB</c:v>
                </c:pt>
                <c:pt idx="23">
                  <c:v>SR-15 NB</c:v>
                </c:pt>
                <c:pt idx="24">
                  <c:v>UNIVERSITY</c:v>
                </c:pt>
                <c:pt idx="25">
                  <c:v>UNIVERSITY</c:v>
                </c:pt>
                <c:pt idx="26">
                  <c:v>I-8 EB</c:v>
                </c:pt>
                <c:pt idx="27">
                  <c:v>I-8 WB</c:v>
                </c:pt>
                <c:pt idx="28">
                  <c:v>MURRAY RIDGE</c:v>
                </c:pt>
                <c:pt idx="29">
                  <c:v>KEARNY VILLA</c:v>
                </c:pt>
                <c:pt idx="30">
                  <c:v>SR-163 NB</c:v>
                </c:pt>
                <c:pt idx="31">
                  <c:v>BALBOA</c:v>
                </c:pt>
                <c:pt idx="32">
                  <c:v>CLAIREMONT MESA</c:v>
                </c:pt>
                <c:pt idx="33">
                  <c:v>SR-52 EB</c:v>
                </c:pt>
                <c:pt idx="34">
                  <c:v>SR-52 EB</c:v>
                </c:pt>
                <c:pt idx="35">
                  <c:v>GOVERNOR</c:v>
                </c:pt>
                <c:pt idx="36">
                  <c:v>NOBEL</c:v>
                </c:pt>
                <c:pt idx="37">
                  <c:v>MIRAMAR</c:v>
                </c:pt>
              </c:strCache>
            </c:strRef>
          </c:cat>
          <c:val>
            <c:numRef>
              <c:f>I_805_NB!$H$2:$H$39</c:f>
              <c:numCache>
                <c:formatCode>0</c:formatCode>
                <c:ptCount val="38"/>
                <c:pt idx="0">
                  <c:v>3303</c:v>
                </c:pt>
                <c:pt idx="1">
                  <c:v>6647</c:v>
                </c:pt>
                <c:pt idx="2">
                  <c:v>10163</c:v>
                </c:pt>
                <c:pt idx="3">
                  <c:v>15546</c:v>
                </c:pt>
                <c:pt idx="4">
                  <c:v>12495</c:v>
                </c:pt>
                <c:pt idx="5">
                  <c:v>16031</c:v>
                </c:pt>
                <c:pt idx="6">
                  <c:v>15375</c:v>
                </c:pt>
                <c:pt idx="7">
                  <c:v>17130</c:v>
                </c:pt>
                <c:pt idx="8">
                  <c:v>13565</c:v>
                </c:pt>
                <c:pt idx="9">
                  <c:v>21748</c:v>
                </c:pt>
                <c:pt idx="10">
                  <c:v>24359</c:v>
                </c:pt>
                <c:pt idx="11">
                  <c:v>13364</c:v>
                </c:pt>
                <c:pt idx="12">
                  <c:v>19548</c:v>
                </c:pt>
                <c:pt idx="13">
                  <c:v>17603</c:v>
                </c:pt>
                <c:pt idx="14">
                  <c:v>23486</c:v>
                </c:pt>
                <c:pt idx="15">
                  <c:v>20143</c:v>
                </c:pt>
                <c:pt idx="16">
                  <c:v>14457</c:v>
                </c:pt>
                <c:pt idx="17">
                  <c:v>18438</c:v>
                </c:pt>
                <c:pt idx="18">
                  <c:v>22257</c:v>
                </c:pt>
                <c:pt idx="19">
                  <c:v>16682</c:v>
                </c:pt>
                <c:pt idx="20">
                  <c:v>16337</c:v>
                </c:pt>
                <c:pt idx="21">
                  <c:v>22990</c:v>
                </c:pt>
                <c:pt idx="22">
                  <c:v>13736</c:v>
                </c:pt>
                <c:pt idx="23">
                  <c:v>13944</c:v>
                </c:pt>
                <c:pt idx="24">
                  <c:v>15765</c:v>
                </c:pt>
                <c:pt idx="25">
                  <c:v>18283</c:v>
                </c:pt>
                <c:pt idx="26">
                  <c:v>12241</c:v>
                </c:pt>
                <c:pt idx="27">
                  <c:v>18002</c:v>
                </c:pt>
                <c:pt idx="28">
                  <c:v>16381</c:v>
                </c:pt>
                <c:pt idx="29">
                  <c:v>15252</c:v>
                </c:pt>
                <c:pt idx="30">
                  <c:v>12590</c:v>
                </c:pt>
                <c:pt idx="31">
                  <c:v>14910</c:v>
                </c:pt>
                <c:pt idx="32">
                  <c:v>16603</c:v>
                </c:pt>
                <c:pt idx="33">
                  <c:v>17573</c:v>
                </c:pt>
                <c:pt idx="34">
                  <c:v>14405</c:v>
                </c:pt>
                <c:pt idx="35">
                  <c:v>15648</c:v>
                </c:pt>
                <c:pt idx="36">
                  <c:v>13509</c:v>
                </c:pt>
                <c:pt idx="37">
                  <c:v>12061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I_805_NB!$F$2:$F$39</c:f>
              <c:strCache>
                <c:ptCount val="38"/>
                <c:pt idx="0">
                  <c:v>EAST SAN YSIDRO</c:v>
                </c:pt>
                <c:pt idx="1">
                  <c:v>EAST SAN YSIDRO</c:v>
                </c:pt>
                <c:pt idx="2">
                  <c:v>SR-905 EB</c:v>
                </c:pt>
                <c:pt idx="3">
                  <c:v>0.00</c:v>
                </c:pt>
                <c:pt idx="4">
                  <c:v>PALM</c:v>
                </c:pt>
                <c:pt idx="5">
                  <c:v>OTAY VALLEY</c:v>
                </c:pt>
                <c:pt idx="6">
                  <c:v>ORANGE</c:v>
                </c:pt>
                <c:pt idx="7">
                  <c:v>PALOMAR</c:v>
                </c:pt>
                <c:pt idx="8">
                  <c:v>H</c:v>
                </c:pt>
                <c:pt idx="9">
                  <c:v>H</c:v>
                </c:pt>
                <c:pt idx="10">
                  <c:v>BONITA</c:v>
                </c:pt>
                <c:pt idx="11">
                  <c:v>SWEETWATER</c:v>
                </c:pt>
                <c:pt idx="12">
                  <c:v>SR-54 WB</c:v>
                </c:pt>
                <c:pt idx="13">
                  <c:v>PLAZA</c:v>
                </c:pt>
                <c:pt idx="14">
                  <c:v>PLAZA</c:v>
                </c:pt>
                <c:pt idx="15">
                  <c:v>43RD</c:v>
                </c:pt>
                <c:pt idx="16">
                  <c:v>47TH</c:v>
                </c:pt>
                <c:pt idx="17">
                  <c:v>IMPERIAL</c:v>
                </c:pt>
                <c:pt idx="18">
                  <c:v>MARKET</c:v>
                </c:pt>
                <c:pt idx="19">
                  <c:v>SR-94 WB</c:v>
                </c:pt>
                <c:pt idx="20">
                  <c:v>SR-94 WB</c:v>
                </c:pt>
                <c:pt idx="21">
                  <c:v>HOME</c:v>
                </c:pt>
                <c:pt idx="22">
                  <c:v>SR-15 NB</c:v>
                </c:pt>
                <c:pt idx="23">
                  <c:v>SR-15 NB</c:v>
                </c:pt>
                <c:pt idx="24">
                  <c:v>UNIVERSITY</c:v>
                </c:pt>
                <c:pt idx="25">
                  <c:v>UNIVERSITY</c:v>
                </c:pt>
                <c:pt idx="26">
                  <c:v>I-8 EB</c:v>
                </c:pt>
                <c:pt idx="27">
                  <c:v>I-8 WB</c:v>
                </c:pt>
                <c:pt idx="28">
                  <c:v>MURRAY RIDGE</c:v>
                </c:pt>
                <c:pt idx="29">
                  <c:v>KEARNY VILLA</c:v>
                </c:pt>
                <c:pt idx="30">
                  <c:v>SR-163 NB</c:v>
                </c:pt>
                <c:pt idx="31">
                  <c:v>BALBOA</c:v>
                </c:pt>
                <c:pt idx="32">
                  <c:v>CLAIREMONT MESA</c:v>
                </c:pt>
                <c:pt idx="33">
                  <c:v>SR-52 EB</c:v>
                </c:pt>
                <c:pt idx="34">
                  <c:v>SR-52 EB</c:v>
                </c:pt>
                <c:pt idx="35">
                  <c:v>GOVERNOR</c:v>
                </c:pt>
                <c:pt idx="36">
                  <c:v>NOBEL</c:v>
                </c:pt>
                <c:pt idx="37">
                  <c:v>MIRAMAR</c:v>
                </c:pt>
              </c:strCache>
            </c:strRef>
          </c:cat>
          <c:val>
            <c:numRef>
              <c:f>I_805_NB!$I$2:$I$39</c:f>
              <c:numCache>
                <c:formatCode>General</c:formatCode>
                <c:ptCount val="38"/>
                <c:pt idx="0">
                  <c:v>4544.6948240000002</c:v>
                </c:pt>
                <c:pt idx="1">
                  <c:v>6969.0131840000004</c:v>
                </c:pt>
                <c:pt idx="2">
                  <c:v>6142.1508789999998</c:v>
                </c:pt>
                <c:pt idx="3">
                  <c:v>13926.9375</c:v>
                </c:pt>
                <c:pt idx="4">
                  <c:v>12750.075194999999</c:v>
                </c:pt>
                <c:pt idx="5">
                  <c:v>15686.220703000001</c:v>
                </c:pt>
                <c:pt idx="6">
                  <c:v>15148.833984000001</c:v>
                </c:pt>
                <c:pt idx="7">
                  <c:v>17950.041015999999</c:v>
                </c:pt>
                <c:pt idx="8">
                  <c:v>17710.476562</c:v>
                </c:pt>
                <c:pt idx="9">
                  <c:v>22324.302734000001</c:v>
                </c:pt>
                <c:pt idx="10">
                  <c:v>24022.767577999999</c:v>
                </c:pt>
                <c:pt idx="11">
                  <c:v>15648.295898</c:v>
                </c:pt>
                <c:pt idx="12">
                  <c:v>23349.59375</c:v>
                </c:pt>
                <c:pt idx="13">
                  <c:v>20558.769531000002</c:v>
                </c:pt>
                <c:pt idx="14">
                  <c:v>22947.023438</c:v>
                </c:pt>
                <c:pt idx="15">
                  <c:v>22242.964843999998</c:v>
                </c:pt>
                <c:pt idx="16">
                  <c:v>20713.548827999999</c:v>
                </c:pt>
                <c:pt idx="17">
                  <c:v>22874.732422000001</c:v>
                </c:pt>
                <c:pt idx="18">
                  <c:v>23706.666015999999</c:v>
                </c:pt>
                <c:pt idx="19">
                  <c:v>18735.220702999999</c:v>
                </c:pt>
                <c:pt idx="20">
                  <c:v>18197.052734000001</c:v>
                </c:pt>
                <c:pt idx="21">
                  <c:v>25049.494140999999</c:v>
                </c:pt>
                <c:pt idx="22">
                  <c:v>14083.180664</c:v>
                </c:pt>
                <c:pt idx="23">
                  <c:v>14083.180664</c:v>
                </c:pt>
                <c:pt idx="24">
                  <c:v>16937.144531000002</c:v>
                </c:pt>
                <c:pt idx="25">
                  <c:v>18960.5625</c:v>
                </c:pt>
                <c:pt idx="26">
                  <c:v>14790.169921999999</c:v>
                </c:pt>
                <c:pt idx="27">
                  <c:v>23431.509765999999</c:v>
                </c:pt>
                <c:pt idx="28">
                  <c:v>21650.863281000002</c:v>
                </c:pt>
                <c:pt idx="29">
                  <c:v>20242.072265999999</c:v>
                </c:pt>
                <c:pt idx="30">
                  <c:v>16646.431640999999</c:v>
                </c:pt>
                <c:pt idx="31">
                  <c:v>20545.136718999998</c:v>
                </c:pt>
                <c:pt idx="32">
                  <c:v>24893.716797000001</c:v>
                </c:pt>
                <c:pt idx="33">
                  <c:v>20602.693359000001</c:v>
                </c:pt>
                <c:pt idx="34">
                  <c:v>21330.474609000001</c:v>
                </c:pt>
                <c:pt idx="35">
                  <c:v>25737.396484000001</c:v>
                </c:pt>
                <c:pt idx="36">
                  <c:v>22865.240234000001</c:v>
                </c:pt>
                <c:pt idx="37">
                  <c:v>19374.949218999998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I_805_NB!$D$2:$D$39</c:f>
              <c:numCache>
                <c:formatCode>0</c:formatCode>
                <c:ptCount val="38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22</c:v>
                </c:pt>
                <c:pt idx="9">
                  <c:v>25</c:v>
                </c:pt>
                <c:pt idx="10">
                  <c:v>27</c:v>
                </c:pt>
                <c:pt idx="11">
                  <c:v>30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37</c:v>
                </c:pt>
                <c:pt idx="17">
                  <c:v>40</c:v>
                </c:pt>
                <c:pt idx="18">
                  <c:v>42</c:v>
                </c:pt>
                <c:pt idx="19">
                  <c:v>43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51</c:v>
                </c:pt>
                <c:pt idx="25">
                  <c:v>52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60</c:v>
                </c:pt>
                <c:pt idx="30">
                  <c:v>61</c:v>
                </c:pt>
                <c:pt idx="31">
                  <c:v>64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72</c:v>
                </c:pt>
                <c:pt idx="36">
                  <c:v>74</c:v>
                </c:pt>
                <c:pt idx="3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I_805_NB!$J$2:$J$39</c:f>
              <c:numCache>
                <c:formatCode>0%</c:formatCode>
                <c:ptCount val="38"/>
                <c:pt idx="0">
                  <c:v>0.37592940478353021</c:v>
                </c:pt>
                <c:pt idx="1">
                  <c:v>4.8444890025575393E-2</c:v>
                </c:pt>
                <c:pt idx="2">
                  <c:v>-0.39563604457345269</c:v>
                </c:pt>
                <c:pt idx="3">
                  <c:v>-0.10414656503280584</c:v>
                </c:pt>
                <c:pt idx="4">
                  <c:v>2.0414181272508936E-2</c:v>
                </c:pt>
                <c:pt idx="5">
                  <c:v>-2.1507036179901351E-2</c:v>
                </c:pt>
                <c:pt idx="6">
                  <c:v>-1.4709984780487795E-2</c:v>
                </c:pt>
                <c:pt idx="7">
                  <c:v>4.787162965557501E-2</c:v>
                </c:pt>
                <c:pt idx="8">
                  <c:v>0.30560092605971256</c:v>
                </c:pt>
                <c:pt idx="9">
                  <c:v>2.6499114125436929E-2</c:v>
                </c:pt>
                <c:pt idx="10">
                  <c:v>-1.3803211215567157E-2</c:v>
                </c:pt>
                <c:pt idx="11">
                  <c:v>0.17092905552229865</c:v>
                </c:pt>
                <c:pt idx="12">
                  <c:v>0.19447481839574388</c:v>
                </c:pt>
                <c:pt idx="13">
                  <c:v>0.16791282912003647</c:v>
                </c:pt>
                <c:pt idx="14">
                  <c:v>-2.294884450310819E-2</c:v>
                </c:pt>
                <c:pt idx="15">
                  <c:v>0.10425283443379829</c:v>
                </c:pt>
                <c:pt idx="16">
                  <c:v>0.43276951151691212</c:v>
                </c:pt>
                <c:pt idx="17">
                  <c:v>0.24062980919839472</c:v>
                </c:pt>
                <c:pt idx="18">
                  <c:v>6.5133037516287073E-2</c:v>
                </c:pt>
                <c:pt idx="19">
                  <c:v>0.12308000857211354</c:v>
                </c:pt>
                <c:pt idx="20">
                  <c:v>0.11385522029748429</c:v>
                </c:pt>
                <c:pt idx="21">
                  <c:v>8.9582172292300921E-2</c:v>
                </c:pt>
                <c:pt idx="22">
                  <c:v>2.5275237623762381E-2</c:v>
                </c:pt>
                <c:pt idx="23">
                  <c:v>9.9814016064256883E-3</c:v>
                </c:pt>
                <c:pt idx="24">
                  <c:v>7.4351064446559034E-2</c:v>
                </c:pt>
                <c:pt idx="25">
                  <c:v>3.7059700268008422E-2</c:v>
                </c:pt>
                <c:pt idx="26">
                  <c:v>0.20824850273670448</c:v>
                </c:pt>
                <c:pt idx="27">
                  <c:v>0.30160591967559158</c:v>
                </c:pt>
                <c:pt idx="28">
                  <c:v>0.3217058348696662</c:v>
                </c:pt>
                <c:pt idx="29">
                  <c:v>0.32717494531864677</c:v>
                </c:pt>
                <c:pt idx="30">
                  <c:v>0.32219472922954728</c:v>
                </c:pt>
                <c:pt idx="31">
                  <c:v>0.37794344191817553</c:v>
                </c:pt>
                <c:pt idx="32">
                  <c:v>0.49935052683250025</c:v>
                </c:pt>
                <c:pt idx="33">
                  <c:v>0.17240615483981103</c:v>
                </c:pt>
                <c:pt idx="34">
                  <c:v>0.48076880312391546</c:v>
                </c:pt>
                <c:pt idx="35">
                  <c:v>0.64477227019427419</c:v>
                </c:pt>
                <c:pt idx="36">
                  <c:v>0.69259310341253988</c:v>
                </c:pt>
                <c:pt idx="37">
                  <c:v>0.60641316797943778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710784"/>
        <c:axId val="218712320"/>
      </c:lineChart>
      <c:catAx>
        <c:axId val="2187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8712320"/>
        <c:crosses val="autoZero"/>
        <c:auto val="1"/>
        <c:lblAlgn val="ctr"/>
        <c:lblOffset val="1000"/>
        <c:noMultiLvlLbl val="0"/>
      </c:catAx>
      <c:valAx>
        <c:axId val="218712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218710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PM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SR_163_NB!$H$2:$H$11</c:f>
              <c:numCache>
                <c:formatCode>0</c:formatCode>
                <c:ptCount val="10"/>
                <c:pt idx="0">
                  <c:v>11594</c:v>
                </c:pt>
                <c:pt idx="1">
                  <c:v>13015</c:v>
                </c:pt>
                <c:pt idx="2">
                  <c:v>22459</c:v>
                </c:pt>
                <c:pt idx="3">
                  <c:v>23080</c:v>
                </c:pt>
                <c:pt idx="4">
                  <c:v>15413</c:v>
                </c:pt>
                <c:pt idx="5">
                  <c:v>20409</c:v>
                </c:pt>
                <c:pt idx="6">
                  <c:v>19583</c:v>
                </c:pt>
                <c:pt idx="7">
                  <c:v>21001</c:v>
                </c:pt>
                <c:pt idx="8">
                  <c:v>19955</c:v>
                </c:pt>
                <c:pt idx="9">
                  <c:v>19486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SR_163_NB!$I$2:$I$11</c:f>
              <c:numCache>
                <c:formatCode>0</c:formatCode>
                <c:ptCount val="10"/>
                <c:pt idx="0">
                  <c:v>13124.444336</c:v>
                </c:pt>
                <c:pt idx="1">
                  <c:v>15635.049805000001</c:v>
                </c:pt>
                <c:pt idx="2">
                  <c:v>25766.71875</c:v>
                </c:pt>
                <c:pt idx="3">
                  <c:v>28339.908202999999</c:v>
                </c:pt>
                <c:pt idx="4">
                  <c:v>18458.734375</c:v>
                </c:pt>
                <c:pt idx="5">
                  <c:v>25375.207031000002</c:v>
                </c:pt>
                <c:pt idx="6">
                  <c:v>22534.066406000002</c:v>
                </c:pt>
                <c:pt idx="7">
                  <c:v>23101.960938</c:v>
                </c:pt>
                <c:pt idx="8">
                  <c:v>21461.546875</c:v>
                </c:pt>
                <c:pt idx="9">
                  <c:v>23833.796875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SR_163_NB!$D$2:$D$11</c:f>
              <c:numCache>
                <c:formatCode>0</c:formatCode>
                <c:ptCount val="1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17</c:v>
                </c:pt>
                <c:pt idx="4">
                  <c:v>24</c:v>
                </c:pt>
                <c:pt idx="5">
                  <c:v>27</c:v>
                </c:pt>
                <c:pt idx="6">
                  <c:v>28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SR_163_NB!$J$2:$J$11</c:f>
              <c:numCache>
                <c:formatCode>0%</c:formatCode>
                <c:ptCount val="10"/>
                <c:pt idx="0">
                  <c:v>0.13200313403484576</c:v>
                </c:pt>
                <c:pt idx="1">
                  <c:v>0.2013100119093354</c:v>
                </c:pt>
                <c:pt idx="2">
                  <c:v>0.14727809564094563</c:v>
                </c:pt>
                <c:pt idx="3">
                  <c:v>0.22789896893414197</c:v>
                </c:pt>
                <c:pt idx="4">
                  <c:v>0.19760814734315191</c:v>
                </c:pt>
                <c:pt idx="5">
                  <c:v>0.24333416781811956</c:v>
                </c:pt>
                <c:pt idx="6">
                  <c:v>0.15069531767349242</c:v>
                </c:pt>
                <c:pt idx="7">
                  <c:v>0.10004099509547171</c:v>
                </c:pt>
                <c:pt idx="8">
                  <c:v>7.5497212478075726E-2</c:v>
                </c:pt>
                <c:pt idx="9">
                  <c:v>0.22312413399363651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48544"/>
        <c:axId val="239950080"/>
      </c:lineChart>
      <c:catAx>
        <c:axId val="23994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39950080"/>
        <c:crosses val="autoZero"/>
        <c:auto val="1"/>
        <c:lblAlgn val="ctr"/>
        <c:lblOffset val="1000"/>
        <c:noMultiLvlLbl val="0"/>
      </c:catAx>
      <c:valAx>
        <c:axId val="239950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239948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SR_125_NB!$H$2:$H$21</c:f>
              <c:numCache>
                <c:formatCode>0</c:formatCode>
                <c:ptCount val="20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10284</c:v>
                </c:pt>
                <c:pt idx="8">
                  <c:v>10208</c:v>
                </c:pt>
                <c:pt idx="9">
                  <c:v>11072</c:v>
                </c:pt>
                <c:pt idx="10">
                  <c:v>13499</c:v>
                </c:pt>
                <c:pt idx="11">
                  <c:v>15151</c:v>
                </c:pt>
                <c:pt idx="12">
                  <c:v>20112</c:v>
                </c:pt>
                <c:pt idx="13">
                  <c:v>8272</c:v>
                </c:pt>
                <c:pt idx="14">
                  <c:v>9161</c:v>
                </c:pt>
                <c:pt idx="15">
                  <c:v>11629</c:v>
                </c:pt>
                <c:pt idx="16">
                  <c:v>6963</c:v>
                </c:pt>
                <c:pt idx="17">
                  <c:v>6914</c:v>
                </c:pt>
                <c:pt idx="18">
                  <c:v>8862</c:v>
                </c:pt>
                <c:pt idx="19">
                  <c:v>3622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SR_125_NB!$I$2:$I$21</c:f>
              <c:numCache>
                <c:formatCode>0</c:formatCode>
                <c:ptCount val="20"/>
                <c:pt idx="0">
                  <c:v>1920.259155</c:v>
                </c:pt>
                <c:pt idx="1">
                  <c:v>1609.3594969999999</c:v>
                </c:pt>
                <c:pt idx="2">
                  <c:v>1899.404419</c:v>
                </c:pt>
                <c:pt idx="3">
                  <c:v>2621.8789059999999</c:v>
                </c:pt>
                <c:pt idx="4">
                  <c:v>2716.0551759999998</c:v>
                </c:pt>
                <c:pt idx="5">
                  <c:v>3221.8562010000001</c:v>
                </c:pt>
                <c:pt idx="6">
                  <c:v>14145.576171999999</c:v>
                </c:pt>
                <c:pt idx="7">
                  <c:v>11759.694336</c:v>
                </c:pt>
                <c:pt idx="8">
                  <c:v>10858.965819999999</c:v>
                </c:pt>
                <c:pt idx="9">
                  <c:v>13115.177734000001</c:v>
                </c:pt>
                <c:pt idx="10">
                  <c:v>13115.177734000001</c:v>
                </c:pt>
                <c:pt idx="11">
                  <c:v>18448.203125</c:v>
                </c:pt>
                <c:pt idx="12">
                  <c:v>23732.277343999998</c:v>
                </c:pt>
                <c:pt idx="13">
                  <c:v>8672.8232420000004</c:v>
                </c:pt>
                <c:pt idx="14">
                  <c:v>9474.3300780000009</c:v>
                </c:pt>
                <c:pt idx="15">
                  <c:v>10271.800781</c:v>
                </c:pt>
                <c:pt idx="16">
                  <c:v>6347.7446289999998</c:v>
                </c:pt>
                <c:pt idx="17">
                  <c:v>6347.7446289999998</c:v>
                </c:pt>
                <c:pt idx="18">
                  <c:v>9140.53125</c:v>
                </c:pt>
                <c:pt idx="19">
                  <c:v>4722.7475590000004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SR_125_NB!$D$2:$D$21</c:f>
              <c:numCache>
                <c:formatCode>0</c:formatCode>
                <c:ptCount val="20"/>
                <c:pt idx="0">
                  <c:v>12</c:v>
                </c:pt>
                <c:pt idx="1">
                  <c:v>15</c:v>
                </c:pt>
                <c:pt idx="2">
                  <c:v>18</c:v>
                </c:pt>
                <c:pt idx="3">
                  <c:v>21</c:v>
                </c:pt>
                <c:pt idx="4">
                  <c:v>25</c:v>
                </c:pt>
                <c:pt idx="5">
                  <c:v>27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4</c:v>
                </c:pt>
                <c:pt idx="13">
                  <c:v>7</c:v>
                </c:pt>
                <c:pt idx="14">
                  <c:v>12</c:v>
                </c:pt>
                <c:pt idx="15">
                  <c:v>13</c:v>
                </c:pt>
                <c:pt idx="16">
                  <c:v>15</c:v>
                </c:pt>
                <c:pt idx="17">
                  <c:v>16</c:v>
                </c:pt>
                <c:pt idx="18">
                  <c:v>20</c:v>
                </c:pt>
                <c:pt idx="1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SR_125_NB!$J$2:$J$21</c:f>
              <c:numCache>
                <c:formatCode>0%</c:formatCode>
                <c:ptCount val="20"/>
                <c:pt idx="0">
                  <c:v>8.5505457885811209E-2</c:v>
                </c:pt>
                <c:pt idx="1">
                  <c:v>-0.1425895061267981</c:v>
                </c:pt>
                <c:pt idx="2">
                  <c:v>-0.18164393838862558</c:v>
                </c:pt>
                <c:pt idx="3">
                  <c:v>-0.12865440146227991</c:v>
                </c:pt>
                <c:pt idx="4">
                  <c:v>-0.17092332844932845</c:v>
                </c:pt>
                <c:pt idx="5">
                  <c:v>-9.6253520056100994E-2</c:v>
                </c:pt>
                <c:pt idx="6">
                  <c:v>0.11566970360438522</c:v>
                </c:pt>
                <c:pt idx="7">
                  <c:v>0.14349419836639443</c:v>
                </c:pt>
                <c:pt idx="8">
                  <c:v>6.377016261755486E-2</c:v>
                </c:pt>
                <c:pt idx="9">
                  <c:v>0.18453556123554926</c:v>
                </c:pt>
                <c:pt idx="10">
                  <c:v>-2.8433385139639888E-2</c:v>
                </c:pt>
                <c:pt idx="11">
                  <c:v>0.21762280542538437</c:v>
                </c:pt>
                <c:pt idx="12">
                  <c:v>0.18000583452665064</c:v>
                </c:pt>
                <c:pt idx="13">
                  <c:v>4.845542093810451E-2</c:v>
                </c:pt>
                <c:pt idx="14">
                  <c:v>3.4202606484008413E-2</c:v>
                </c:pt>
                <c:pt idx="15">
                  <c:v>-0.11670816226674696</c:v>
                </c:pt>
                <c:pt idx="16">
                  <c:v>-8.8360673703863357E-2</c:v>
                </c:pt>
                <c:pt idx="17">
                  <c:v>-8.1899822244720921E-2</c:v>
                </c:pt>
                <c:pt idx="18">
                  <c:v>3.1429840893703487E-2</c:v>
                </c:pt>
                <c:pt idx="19">
                  <c:v>0.30390600745444507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68192"/>
        <c:axId val="259625344"/>
      </c:lineChart>
      <c:catAx>
        <c:axId val="19496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9625344"/>
        <c:crosses val="autoZero"/>
        <c:auto val="1"/>
        <c:lblAlgn val="ctr"/>
        <c:lblOffset val="1000"/>
        <c:noMultiLvlLbl val="0"/>
      </c:catAx>
      <c:valAx>
        <c:axId val="25962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94968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SR_67_NB!$F$2:$F$22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SR_67_NB!$F$2:$F$22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12374.019531</c:v>
                </c:pt>
                <c:pt idx="1">
                  <c:v>14824.036133</c:v>
                </c:pt>
                <c:pt idx="2">
                  <c:v>11192.773438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</c:formatCode>
                <c:ptCount val="3"/>
                <c:pt idx="0">
                  <c:v>5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-5.1508544304767701E-2</c:v>
                </c:pt>
                <c:pt idx="1">
                  <c:v>0.26809547758768182</c:v>
                </c:pt>
                <c:pt idx="2">
                  <c:v>9.7976597802629017E-2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98624"/>
        <c:axId val="104700160"/>
      </c:lineChart>
      <c:catAx>
        <c:axId val="10469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4700160"/>
        <c:crosses val="autoZero"/>
        <c:auto val="1"/>
        <c:lblAlgn val="ctr"/>
        <c:lblOffset val="1000"/>
        <c:noMultiLvlLbl val="0"/>
      </c:catAx>
      <c:valAx>
        <c:axId val="10470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04698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</c:f>
              <c:numCache>
                <c:formatCode>0</c:formatCode>
                <c:ptCount val="1"/>
                <c:pt idx="0">
                  <c:v>7304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</c:f>
              <c:numCache>
                <c:formatCode>0</c:formatCode>
                <c:ptCount val="1"/>
                <c:pt idx="0">
                  <c:v>11540.101562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SR_75_NB!$D$2</c:f>
              <c:numCache>
                <c:formatCode>0</c:formatCode>
                <c:ptCount val="1"/>
                <c:pt idx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SR_75_NB!$J$2</c:f>
              <c:numCache>
                <c:formatCode>0%</c:formatCode>
                <c:ptCount val="1"/>
                <c:pt idx="0">
                  <c:v>0.57997009337349392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13664"/>
        <c:axId val="278937984"/>
      </c:lineChart>
      <c:catAx>
        <c:axId val="2597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78937984"/>
        <c:crosses val="autoZero"/>
        <c:auto val="1"/>
        <c:lblAlgn val="ctr"/>
        <c:lblOffset val="1000"/>
        <c:noMultiLvlLbl val="0"/>
      </c:catAx>
      <c:valAx>
        <c:axId val="27893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59713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I_15HOV_NB!$I$2:$I$16</c:f>
              <c:numCache>
                <c:formatCode>0</c:formatCode>
                <c:ptCount val="15"/>
                <c:pt idx="0">
                  <c:v>9642.2431639999995</c:v>
                </c:pt>
                <c:pt idx="1">
                  <c:v>9712.640625</c:v>
                </c:pt>
                <c:pt idx="2">
                  <c:v>9327.5654300000006</c:v>
                </c:pt>
                <c:pt idx="3">
                  <c:v>9682.6972659999992</c:v>
                </c:pt>
                <c:pt idx="4">
                  <c:v>9682.6972659999992</c:v>
                </c:pt>
                <c:pt idx="5">
                  <c:v>9136.4882809999999</c:v>
                </c:pt>
                <c:pt idx="6">
                  <c:v>8813.7617190000001</c:v>
                </c:pt>
                <c:pt idx="7">
                  <c:v>8230.4082030000009</c:v>
                </c:pt>
                <c:pt idx="8">
                  <c:v>11116.642578000001</c:v>
                </c:pt>
                <c:pt idx="9">
                  <c:v>10056.764648</c:v>
                </c:pt>
                <c:pt idx="10">
                  <c:v>10056.764648</c:v>
                </c:pt>
                <c:pt idx="11">
                  <c:v>8831.734375</c:v>
                </c:pt>
                <c:pt idx="12">
                  <c:v>9763.4189449999994</c:v>
                </c:pt>
                <c:pt idx="13">
                  <c:v>6289.7080079999996</c:v>
                </c:pt>
                <c:pt idx="14">
                  <c:v>5462.951172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I_15HOV_NB!$H$2:$H$16</c:f>
              <c:numCache>
                <c:formatCode>0</c:formatCode>
                <c:ptCount val="15"/>
                <c:pt idx="0">
                  <c:v>6812</c:v>
                </c:pt>
                <c:pt idx="1">
                  <c:v>8034</c:v>
                </c:pt>
                <c:pt idx="2">
                  <c:v>8924</c:v>
                </c:pt>
                <c:pt idx="3">
                  <c:v>8857</c:v>
                </c:pt>
                <c:pt idx="4">
                  <c:v>9658</c:v>
                </c:pt>
                <c:pt idx="5">
                  <c:v>8158</c:v>
                </c:pt>
                <c:pt idx="6">
                  <c:v>7848</c:v>
                </c:pt>
                <c:pt idx="7">
                  <c:v>9271</c:v>
                </c:pt>
                <c:pt idx="8">
                  <c:v>8031</c:v>
                </c:pt>
                <c:pt idx="9">
                  <c:v>9947</c:v>
                </c:pt>
                <c:pt idx="10">
                  <c:v>10052</c:v>
                </c:pt>
                <c:pt idx="11">
                  <c:v>9971</c:v>
                </c:pt>
                <c:pt idx="12">
                  <c:v>9553</c:v>
                </c:pt>
                <c:pt idx="13">
                  <c:v>6574</c:v>
                </c:pt>
                <c:pt idx="14">
                  <c:v>5329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I_15HOV_NB!$D$2:$D$16</c:f>
              <c:numCache>
                <c:formatCode>0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15808"/>
        <c:axId val="27901734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I_15HOV_NB!$J$2:$J$16</c:f>
              <c:numCache>
                <c:formatCode>0%</c:formatCode>
                <c:ptCount val="15"/>
                <c:pt idx="0">
                  <c:v>0.41547903170874911</c:v>
                </c:pt>
                <c:pt idx="1">
                  <c:v>0.20894207430918588</c:v>
                </c:pt>
                <c:pt idx="2">
                  <c:v>4.5222482070820247E-2</c:v>
                </c:pt>
                <c:pt idx="3">
                  <c:v>9.322538850626616E-2</c:v>
                </c:pt>
                <c:pt idx="4">
                  <c:v>2.5571822323462445E-3</c:v>
                </c:pt>
                <c:pt idx="5">
                  <c:v>0.11994217712674682</c:v>
                </c:pt>
                <c:pt idx="6">
                  <c:v>0.12305832301223241</c:v>
                </c:pt>
                <c:pt idx="7">
                  <c:v>-0.11224159173767656</c:v>
                </c:pt>
                <c:pt idx="8">
                  <c:v>0.38421648337691461</c:v>
                </c:pt>
                <c:pt idx="9">
                  <c:v>1.1034950035186508E-2</c:v>
                </c:pt>
                <c:pt idx="10">
                  <c:v>4.7400000000008546E-4</c:v>
                </c:pt>
                <c:pt idx="11">
                  <c:v>-0.11425791044027678</c:v>
                </c:pt>
                <c:pt idx="12">
                  <c:v>2.202647806971636E-2</c:v>
                </c:pt>
                <c:pt idx="13">
                  <c:v>-4.3244902951019237E-2</c:v>
                </c:pt>
                <c:pt idx="14">
                  <c:v>2.5136267967723835E-2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15808"/>
        <c:axId val="279017344"/>
      </c:scatterChart>
      <c:catAx>
        <c:axId val="279015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279017344"/>
        <c:crosses val="autoZero"/>
        <c:auto val="1"/>
        <c:lblAlgn val="ctr"/>
        <c:lblOffset val="1000"/>
        <c:tickMarkSkip val="2"/>
        <c:noMultiLvlLbl val="0"/>
      </c:catAx>
      <c:valAx>
        <c:axId val="279017344"/>
        <c:scaling>
          <c:orientation val="minMax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279015808"/>
        <c:crosses val="autoZero"/>
        <c:crossBetween val="between"/>
        <c:majorUnit val="10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I_5HOV_NB!$H$2:$H$6</c:f>
              <c:numCache>
                <c:formatCode>0</c:formatCode>
                <c:ptCount val="5"/>
                <c:pt idx="0">
                  <c:v>2637</c:v>
                </c:pt>
                <c:pt idx="1">
                  <c:v>3507</c:v>
                </c:pt>
                <c:pt idx="2">
                  <c:v>2521</c:v>
                </c:pt>
                <c:pt idx="3">
                  <c:v>3058</c:v>
                </c:pt>
                <c:pt idx="4">
                  <c:v>4350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I_5HOV_NB!$I$2:$I$6</c:f>
              <c:numCache>
                <c:formatCode>0</c:formatCode>
                <c:ptCount val="5"/>
                <c:pt idx="0">
                  <c:v>4525.5776370000003</c:v>
                </c:pt>
                <c:pt idx="1">
                  <c:v>6483.7470700000003</c:v>
                </c:pt>
                <c:pt idx="2">
                  <c:v>6483.7470700000003</c:v>
                </c:pt>
                <c:pt idx="3">
                  <c:v>6483.7470700000003</c:v>
                </c:pt>
                <c:pt idx="4">
                  <c:v>5962.09375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I_5HOV_NB!$D$2:$D$6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I_5HOV_NB!$J$2:$J$6</c:f>
              <c:numCache>
                <c:formatCode>0%</c:formatCode>
                <c:ptCount val="5"/>
                <c:pt idx="0">
                  <c:v>0.71618416268486929</c:v>
                </c:pt>
                <c:pt idx="1">
                  <c:v>0.84880155973766769</c:v>
                </c:pt>
                <c:pt idx="2">
                  <c:v>1.5718949107497027</c:v>
                </c:pt>
                <c:pt idx="3">
                  <c:v>1.1202573806409419</c:v>
                </c:pt>
                <c:pt idx="4">
                  <c:v>0.37059626436781601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AUX LOCAL ACC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6.1072955859293968E-2"/>
          <c:w val="0.78785894635627118"/>
          <c:h val="0.84286034742674543"/>
        </c:manualLayout>
      </c:layout>
      <c:lineChart>
        <c:grouping val="standard"/>
        <c:varyColors val="0"/>
        <c:ser>
          <c:idx val="0"/>
          <c:order val="0"/>
          <c:tx>
            <c:strRef>
              <c:f>'I-5_NB_AUX_LOCAL_ACC'!$H$1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'I-5_NB_AUX_LOCAL_ACC'!$H$2:$H$2</c:f>
              <c:numCache>
                <c:formatCode>0</c:formatCode>
                <c:ptCount val="1"/>
                <c:pt idx="0">
                  <c:v>5367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2-43EA-989C-460B94F30A40}"/>
            </c:ext>
          </c:extLst>
        </c:ser>
        <c:ser>
          <c:idx val="1"/>
          <c:order val="1"/>
          <c:tx>
            <c:strRef>
              <c:f>'I-5_NB_AUX_LOCAL_ACC'!$I$1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'I-5_NB_AUX_LOCAL_ACC'!$I$2:$I$2</c:f>
              <c:numCache>
                <c:formatCode>0</c:formatCode>
                <c:ptCount val="1"/>
                <c:pt idx="0">
                  <c:v>8373.4824219999991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2-43EA-989C-460B94F30A40}"/>
            </c:ext>
          </c:extLst>
        </c:ser>
        <c:ser>
          <c:idx val="2"/>
          <c:order val="2"/>
          <c:tx>
            <c:strRef>
              <c:f>'I-5_NB_AUX_LOCAL_ACC'!$D$1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'I-5_NB_AUX_LOCAL_ACC'!$D$2:$D$2</c:f>
              <c:numCache>
                <c:formatCode>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2-43EA-989C-460B94F30A40}"/>
            </c:ext>
          </c:extLst>
        </c:ser>
        <c:ser>
          <c:idx val="3"/>
          <c:order val="3"/>
          <c:tx>
            <c:strRef>
              <c:f>'I-5_NB_AUX_LOCAL_ACC'!$J$1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'I-5_NB_AUX_LOCAL_ACC'!$J$2:$J$2</c:f>
              <c:numCache>
                <c:formatCode>0%</c:formatCode>
                <c:ptCount val="1"/>
                <c:pt idx="0">
                  <c:v>0.56017932215390331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2-43EA-989C-460B94F30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HOV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I_805HOV_NB!$H$1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I_805HOV_NB!$H$2:$H$5</c:f>
              <c:numCache>
                <c:formatCode>0</c:formatCode>
                <c:ptCount val="4"/>
                <c:pt idx="0">
                  <c:v>2778</c:v>
                </c:pt>
                <c:pt idx="1">
                  <c:v>3346</c:v>
                </c:pt>
                <c:pt idx="2">
                  <c:v>4186</c:v>
                </c:pt>
                <c:pt idx="3">
                  <c:v>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6-4702-9CFE-8F5629A4A906}"/>
            </c:ext>
          </c:extLst>
        </c:ser>
        <c:ser>
          <c:idx val="1"/>
          <c:order val="1"/>
          <c:tx>
            <c:strRef>
              <c:f>I_805HOV_NB!$I$1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I_805HOV_NB!$I$2:$I$5</c:f>
              <c:numCache>
                <c:formatCode>0</c:formatCode>
                <c:ptCount val="4"/>
                <c:pt idx="0">
                  <c:v>3106.874268</c:v>
                </c:pt>
                <c:pt idx="1">
                  <c:v>4319.5708009999998</c:v>
                </c:pt>
                <c:pt idx="2">
                  <c:v>4319.5708009999998</c:v>
                </c:pt>
                <c:pt idx="3">
                  <c:v>4525.5776370000003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6-4702-9CFE-8F5629A4A906}"/>
            </c:ext>
          </c:extLst>
        </c:ser>
        <c:ser>
          <c:idx val="2"/>
          <c:order val="2"/>
          <c:tx>
            <c:strRef>
              <c:f>I_805HOV_NB!$D$1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I_805HOV_NB!$D$2:$D$5</c:f>
              <c:numCache>
                <c:formatCode>0</c:formatCode>
                <c:ptCount val="4"/>
                <c:pt idx="0">
                  <c:v>52</c:v>
                </c:pt>
                <c:pt idx="1">
                  <c:v>53</c:v>
                </c:pt>
                <c:pt idx="2">
                  <c:v>56</c:v>
                </c:pt>
                <c:pt idx="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6-4702-9CFE-8F5629A4A906}"/>
            </c:ext>
          </c:extLst>
        </c:ser>
        <c:ser>
          <c:idx val="3"/>
          <c:order val="3"/>
          <c:tx>
            <c:strRef>
              <c:f>I_805HOV_NB!$J$1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I_805HOV_NB!$J$2:$J$5</c:f>
              <c:numCache>
                <c:formatCode>0%</c:formatCode>
                <c:ptCount val="4"/>
                <c:pt idx="0">
                  <c:v>0.11838526565874741</c:v>
                </c:pt>
                <c:pt idx="1">
                  <c:v>0.290965571129707</c:v>
                </c:pt>
                <c:pt idx="2">
                  <c:v>3.19089347826087E-2</c:v>
                </c:pt>
                <c:pt idx="3">
                  <c:v>0.72140648041080269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56-4702-9CFE-8F5629A4A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I_5_SB!$H$2:$H$75</c:f>
              <c:numCache>
                <c:formatCode>0</c:formatCode>
                <c:ptCount val="74"/>
                <c:pt idx="0">
                  <c:v>12732</c:v>
                </c:pt>
                <c:pt idx="1">
                  <c:v>12591</c:v>
                </c:pt>
                <c:pt idx="2">
                  <c:v>14449</c:v>
                </c:pt>
                <c:pt idx="3">
                  <c:v>15983</c:v>
                </c:pt>
                <c:pt idx="4">
                  <c:v>19293</c:v>
                </c:pt>
                <c:pt idx="5">
                  <c:v>18019</c:v>
                </c:pt>
                <c:pt idx="6">
                  <c:v>19014</c:v>
                </c:pt>
                <c:pt idx="7">
                  <c:v>20955</c:v>
                </c:pt>
                <c:pt idx="8">
                  <c:v>21835</c:v>
                </c:pt>
                <c:pt idx="9">
                  <c:v>18413</c:v>
                </c:pt>
                <c:pt idx="10">
                  <c:v>16727</c:v>
                </c:pt>
                <c:pt idx="11">
                  <c:v>17492</c:v>
                </c:pt>
                <c:pt idx="12">
                  <c:v>18707</c:v>
                </c:pt>
                <c:pt idx="13">
                  <c:v>17352</c:v>
                </c:pt>
                <c:pt idx="14">
                  <c:v>16127</c:v>
                </c:pt>
                <c:pt idx="15">
                  <c:v>19768</c:v>
                </c:pt>
                <c:pt idx="16">
                  <c:v>19695</c:v>
                </c:pt>
                <c:pt idx="17">
                  <c:v>18732</c:v>
                </c:pt>
                <c:pt idx="18">
                  <c:v>16669</c:v>
                </c:pt>
                <c:pt idx="19">
                  <c:v>19924</c:v>
                </c:pt>
                <c:pt idx="20">
                  <c:v>20948</c:v>
                </c:pt>
                <c:pt idx="21">
                  <c:v>19711</c:v>
                </c:pt>
                <c:pt idx="22">
                  <c:v>21292</c:v>
                </c:pt>
                <c:pt idx="23">
                  <c:v>20582</c:v>
                </c:pt>
                <c:pt idx="24">
                  <c:v>20568</c:v>
                </c:pt>
                <c:pt idx="25">
                  <c:v>19999</c:v>
                </c:pt>
                <c:pt idx="26">
                  <c:v>21001</c:v>
                </c:pt>
                <c:pt idx="27">
                  <c:v>22251</c:v>
                </c:pt>
                <c:pt idx="28">
                  <c:v>21264</c:v>
                </c:pt>
                <c:pt idx="29">
                  <c:v>24283</c:v>
                </c:pt>
                <c:pt idx="30">
                  <c:v>19130</c:v>
                </c:pt>
                <c:pt idx="31">
                  <c:v>22898</c:v>
                </c:pt>
                <c:pt idx="32">
                  <c:v>20249</c:v>
                </c:pt>
                <c:pt idx="33">
                  <c:v>20249</c:v>
                </c:pt>
                <c:pt idx="34">
                  <c:v>14572</c:v>
                </c:pt>
                <c:pt idx="35">
                  <c:v>14023</c:v>
                </c:pt>
                <c:pt idx="36">
                  <c:v>18486</c:v>
                </c:pt>
                <c:pt idx="37">
                  <c:v>14198</c:v>
                </c:pt>
                <c:pt idx="38">
                  <c:v>14999</c:v>
                </c:pt>
                <c:pt idx="39">
                  <c:v>14135</c:v>
                </c:pt>
                <c:pt idx="40">
                  <c:v>18571</c:v>
                </c:pt>
                <c:pt idx="41">
                  <c:v>18571</c:v>
                </c:pt>
                <c:pt idx="42">
                  <c:v>21678</c:v>
                </c:pt>
                <c:pt idx="43">
                  <c:v>21728</c:v>
                </c:pt>
                <c:pt idx="44">
                  <c:v>27538</c:v>
                </c:pt>
                <c:pt idx="45">
                  <c:v>26378</c:v>
                </c:pt>
                <c:pt idx="46">
                  <c:v>21493</c:v>
                </c:pt>
                <c:pt idx="47">
                  <c:v>23832</c:v>
                </c:pt>
                <c:pt idx="48">
                  <c:v>28959</c:v>
                </c:pt>
                <c:pt idx="49">
                  <c:v>27665</c:v>
                </c:pt>
                <c:pt idx="50">
                  <c:v>25382</c:v>
                </c:pt>
                <c:pt idx="51">
                  <c:v>24040</c:v>
                </c:pt>
                <c:pt idx="52">
                  <c:v>21606</c:v>
                </c:pt>
                <c:pt idx="53">
                  <c:v>21092</c:v>
                </c:pt>
                <c:pt idx="54">
                  <c:v>13655</c:v>
                </c:pt>
                <c:pt idx="55">
                  <c:v>14247</c:v>
                </c:pt>
                <c:pt idx="56">
                  <c:v>21357</c:v>
                </c:pt>
                <c:pt idx="57">
                  <c:v>19374</c:v>
                </c:pt>
                <c:pt idx="58">
                  <c:v>25401</c:v>
                </c:pt>
                <c:pt idx="59">
                  <c:v>26226</c:v>
                </c:pt>
                <c:pt idx="60">
                  <c:v>20981</c:v>
                </c:pt>
                <c:pt idx="61">
                  <c:v>18771</c:v>
                </c:pt>
                <c:pt idx="62">
                  <c:v>19188</c:v>
                </c:pt>
                <c:pt idx="63">
                  <c:v>20217</c:v>
                </c:pt>
                <c:pt idx="64">
                  <c:v>17560</c:v>
                </c:pt>
                <c:pt idx="65">
                  <c:v>23110</c:v>
                </c:pt>
                <c:pt idx="66">
                  <c:v>25627</c:v>
                </c:pt>
                <c:pt idx="67">
                  <c:v>22365</c:v>
                </c:pt>
                <c:pt idx="68">
                  <c:v>20376</c:v>
                </c:pt>
                <c:pt idx="69">
                  <c:v>24174</c:v>
                </c:pt>
                <c:pt idx="70">
                  <c:v>16668</c:v>
                </c:pt>
                <c:pt idx="71">
                  <c:v>11019</c:v>
                </c:pt>
                <c:pt idx="72">
                  <c:v>11501</c:v>
                </c:pt>
                <c:pt idx="73">
                  <c:v>9158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I_5_SB!$I$2:$I$75</c:f>
              <c:numCache>
                <c:formatCode>0</c:formatCode>
                <c:ptCount val="74"/>
                <c:pt idx="0">
                  <c:v>12921.991211</c:v>
                </c:pt>
                <c:pt idx="1">
                  <c:v>12921.695312</c:v>
                </c:pt>
                <c:pt idx="2">
                  <c:v>12647.763671999999</c:v>
                </c:pt>
                <c:pt idx="3">
                  <c:v>15723.182617</c:v>
                </c:pt>
                <c:pt idx="4">
                  <c:v>18208.244140999999</c:v>
                </c:pt>
                <c:pt idx="5">
                  <c:v>17498.544922000001</c:v>
                </c:pt>
                <c:pt idx="6">
                  <c:v>18670.767577999999</c:v>
                </c:pt>
                <c:pt idx="7">
                  <c:v>19640.533202999999</c:v>
                </c:pt>
                <c:pt idx="8">
                  <c:v>20324.855468999998</c:v>
                </c:pt>
                <c:pt idx="9">
                  <c:v>18015.130859000001</c:v>
                </c:pt>
                <c:pt idx="10">
                  <c:v>17223.634765999999</c:v>
                </c:pt>
                <c:pt idx="11">
                  <c:v>17459.945312</c:v>
                </c:pt>
                <c:pt idx="12">
                  <c:v>17459.945312</c:v>
                </c:pt>
                <c:pt idx="13">
                  <c:v>16250.509765999999</c:v>
                </c:pt>
                <c:pt idx="14">
                  <c:v>16280.399414</c:v>
                </c:pt>
                <c:pt idx="15">
                  <c:v>19295.306640999999</c:v>
                </c:pt>
                <c:pt idx="16">
                  <c:v>20268.236327999999</c:v>
                </c:pt>
                <c:pt idx="17">
                  <c:v>19867.166015999999</c:v>
                </c:pt>
                <c:pt idx="18">
                  <c:v>19867.166015999999</c:v>
                </c:pt>
                <c:pt idx="19">
                  <c:v>18653.888672000001</c:v>
                </c:pt>
                <c:pt idx="20">
                  <c:v>20066.865234000001</c:v>
                </c:pt>
                <c:pt idx="21">
                  <c:v>18388.466797000001</c:v>
                </c:pt>
                <c:pt idx="22">
                  <c:v>19964.664062</c:v>
                </c:pt>
                <c:pt idx="23">
                  <c:v>19064.914062</c:v>
                </c:pt>
                <c:pt idx="24">
                  <c:v>19428.822265999999</c:v>
                </c:pt>
                <c:pt idx="25">
                  <c:v>20684.109375</c:v>
                </c:pt>
                <c:pt idx="26">
                  <c:v>20615.837890999999</c:v>
                </c:pt>
                <c:pt idx="27">
                  <c:v>23280.683593999998</c:v>
                </c:pt>
                <c:pt idx="28">
                  <c:v>18697.166015999999</c:v>
                </c:pt>
                <c:pt idx="29">
                  <c:v>20878.109375</c:v>
                </c:pt>
                <c:pt idx="30">
                  <c:v>20670.119140999999</c:v>
                </c:pt>
                <c:pt idx="31">
                  <c:v>23011.384765999999</c:v>
                </c:pt>
                <c:pt idx="32">
                  <c:v>20102.951172000001</c:v>
                </c:pt>
                <c:pt idx="33">
                  <c:v>20102.951172000001</c:v>
                </c:pt>
                <c:pt idx="34">
                  <c:v>23445.865234000001</c:v>
                </c:pt>
                <c:pt idx="35">
                  <c:v>19650.345702999999</c:v>
                </c:pt>
                <c:pt idx="36">
                  <c:v>21332.662109000001</c:v>
                </c:pt>
                <c:pt idx="37">
                  <c:v>13394.523438</c:v>
                </c:pt>
                <c:pt idx="38">
                  <c:v>14800.663086</c:v>
                </c:pt>
                <c:pt idx="39">
                  <c:v>17301.013672000001</c:v>
                </c:pt>
                <c:pt idx="40">
                  <c:v>21410.935547000001</c:v>
                </c:pt>
                <c:pt idx="41">
                  <c:v>23333.398438</c:v>
                </c:pt>
                <c:pt idx="42">
                  <c:v>22955.121093999998</c:v>
                </c:pt>
                <c:pt idx="43">
                  <c:v>21101.384765999999</c:v>
                </c:pt>
                <c:pt idx="44">
                  <c:v>26429.449218999998</c:v>
                </c:pt>
                <c:pt idx="45">
                  <c:v>26429.449218999998</c:v>
                </c:pt>
                <c:pt idx="46">
                  <c:v>20347.445312</c:v>
                </c:pt>
                <c:pt idx="47">
                  <c:v>23282.759765999999</c:v>
                </c:pt>
                <c:pt idx="48">
                  <c:v>24334.28125</c:v>
                </c:pt>
                <c:pt idx="49">
                  <c:v>26810.771484000001</c:v>
                </c:pt>
                <c:pt idx="50">
                  <c:v>24434.988281000002</c:v>
                </c:pt>
                <c:pt idx="51">
                  <c:v>23875.779297000001</c:v>
                </c:pt>
                <c:pt idx="52">
                  <c:v>22186.445312</c:v>
                </c:pt>
                <c:pt idx="53">
                  <c:v>22514.90625</c:v>
                </c:pt>
                <c:pt idx="54">
                  <c:v>19312.359375</c:v>
                </c:pt>
                <c:pt idx="55">
                  <c:v>20951.939452999999</c:v>
                </c:pt>
                <c:pt idx="56">
                  <c:v>27787.896484000001</c:v>
                </c:pt>
                <c:pt idx="57">
                  <c:v>25383.552734000001</c:v>
                </c:pt>
                <c:pt idx="58">
                  <c:v>31763.394531000002</c:v>
                </c:pt>
                <c:pt idx="59">
                  <c:v>29831.550781000002</c:v>
                </c:pt>
                <c:pt idx="60">
                  <c:v>28713.763672000001</c:v>
                </c:pt>
                <c:pt idx="61">
                  <c:v>30405.193359000001</c:v>
                </c:pt>
                <c:pt idx="62">
                  <c:v>27141.736327999999</c:v>
                </c:pt>
                <c:pt idx="63">
                  <c:v>28089.830077999999</c:v>
                </c:pt>
                <c:pt idx="64">
                  <c:v>22787.998047000001</c:v>
                </c:pt>
                <c:pt idx="65">
                  <c:v>31971.744140999999</c:v>
                </c:pt>
                <c:pt idx="66">
                  <c:v>29174.890625</c:v>
                </c:pt>
                <c:pt idx="67">
                  <c:v>28445.037109000001</c:v>
                </c:pt>
                <c:pt idx="68">
                  <c:v>23565.056640999999</c:v>
                </c:pt>
                <c:pt idx="69">
                  <c:v>19633.830077999999</c:v>
                </c:pt>
                <c:pt idx="70">
                  <c:v>13641.490234000001</c:v>
                </c:pt>
                <c:pt idx="71">
                  <c:v>6683.8979490000002</c:v>
                </c:pt>
                <c:pt idx="72">
                  <c:v>6869.3139650000003</c:v>
                </c:pt>
                <c:pt idx="73">
                  <c:v>5251.6083980000003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I_5_SB!$D$2:$D$75</c:f>
              <c:numCache>
                <c:formatCode>0</c:formatCode>
                <c:ptCount val="7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25</c:v>
                </c:pt>
                <c:pt idx="10">
                  <c:v>27</c:v>
                </c:pt>
                <c:pt idx="11">
                  <c:v>29</c:v>
                </c:pt>
                <c:pt idx="12">
                  <c:v>30</c:v>
                </c:pt>
                <c:pt idx="13">
                  <c:v>32</c:v>
                </c:pt>
                <c:pt idx="14">
                  <c:v>34</c:v>
                </c:pt>
                <c:pt idx="15">
                  <c:v>36</c:v>
                </c:pt>
                <c:pt idx="16">
                  <c:v>39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47</c:v>
                </c:pt>
                <c:pt idx="23">
                  <c:v>49</c:v>
                </c:pt>
                <c:pt idx="24">
                  <c:v>52</c:v>
                </c:pt>
                <c:pt idx="25">
                  <c:v>53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67</c:v>
                </c:pt>
                <c:pt idx="35">
                  <c:v>70</c:v>
                </c:pt>
                <c:pt idx="36">
                  <c:v>73</c:v>
                </c:pt>
                <c:pt idx="37">
                  <c:v>75</c:v>
                </c:pt>
                <c:pt idx="38">
                  <c:v>78</c:v>
                </c:pt>
                <c:pt idx="39">
                  <c:v>81</c:v>
                </c:pt>
                <c:pt idx="40">
                  <c:v>83</c:v>
                </c:pt>
                <c:pt idx="41">
                  <c:v>84</c:v>
                </c:pt>
                <c:pt idx="42">
                  <c:v>85</c:v>
                </c:pt>
                <c:pt idx="43">
                  <c:v>87</c:v>
                </c:pt>
                <c:pt idx="44">
                  <c:v>88</c:v>
                </c:pt>
                <c:pt idx="45">
                  <c:v>89</c:v>
                </c:pt>
                <c:pt idx="46">
                  <c:v>90</c:v>
                </c:pt>
                <c:pt idx="47">
                  <c:v>91</c:v>
                </c:pt>
                <c:pt idx="48">
                  <c:v>93</c:v>
                </c:pt>
                <c:pt idx="49">
                  <c:v>95</c:v>
                </c:pt>
                <c:pt idx="50">
                  <c:v>97</c:v>
                </c:pt>
                <c:pt idx="51">
                  <c:v>101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108</c:v>
                </c:pt>
                <c:pt idx="56">
                  <c:v>109</c:v>
                </c:pt>
                <c:pt idx="57">
                  <c:v>111</c:v>
                </c:pt>
                <c:pt idx="58">
                  <c:v>114</c:v>
                </c:pt>
                <c:pt idx="59">
                  <c:v>117</c:v>
                </c:pt>
                <c:pt idx="60">
                  <c:v>120</c:v>
                </c:pt>
                <c:pt idx="61">
                  <c:v>121</c:v>
                </c:pt>
                <c:pt idx="62">
                  <c:v>129</c:v>
                </c:pt>
                <c:pt idx="63">
                  <c:v>130</c:v>
                </c:pt>
                <c:pt idx="64">
                  <c:v>132</c:v>
                </c:pt>
                <c:pt idx="65">
                  <c:v>134</c:v>
                </c:pt>
                <c:pt idx="66">
                  <c:v>136</c:v>
                </c:pt>
                <c:pt idx="67">
                  <c:v>139</c:v>
                </c:pt>
                <c:pt idx="68">
                  <c:v>149</c:v>
                </c:pt>
                <c:pt idx="69">
                  <c:v>155</c:v>
                </c:pt>
                <c:pt idx="70">
                  <c:v>160</c:v>
                </c:pt>
                <c:pt idx="71">
                  <c:v>162</c:v>
                </c:pt>
                <c:pt idx="72">
                  <c:v>164</c:v>
                </c:pt>
                <c:pt idx="73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I_5_SB!$J$2:$J$75</c:f>
              <c:numCache>
                <c:formatCode>0%</c:formatCode>
                <c:ptCount val="74"/>
                <c:pt idx="0">
                  <c:v>1.4922338281495584E-2</c:v>
                </c:pt>
                <c:pt idx="1">
                  <c:v>2.6264419982527265E-2</c:v>
                </c:pt>
                <c:pt idx="2">
                  <c:v>-0.12466166018409586</c:v>
                </c:pt>
                <c:pt idx="3">
                  <c:v>-1.6255858286929881E-2</c:v>
                </c:pt>
                <c:pt idx="4">
                  <c:v>-5.6225359404965536E-2</c:v>
                </c:pt>
                <c:pt idx="5">
                  <c:v>-2.8883682668294552E-2</c:v>
                </c:pt>
                <c:pt idx="6">
                  <c:v>-1.8051563163984485E-2</c:v>
                </c:pt>
                <c:pt idx="7">
                  <c:v>-6.2728074302075942E-2</c:v>
                </c:pt>
                <c:pt idx="8">
                  <c:v>-6.9161645569040586E-2</c:v>
                </c:pt>
                <c:pt idx="9">
                  <c:v>-2.1608056318905056E-2</c:v>
                </c:pt>
                <c:pt idx="10">
                  <c:v>2.9690605966401495E-2</c:v>
                </c:pt>
                <c:pt idx="11">
                  <c:v>-1.8325341870569778E-3</c:v>
                </c:pt>
                <c:pt idx="12">
                  <c:v>-6.666246260758002E-2</c:v>
                </c:pt>
                <c:pt idx="13">
                  <c:v>-6.3479151337021755E-2</c:v>
                </c:pt>
                <c:pt idx="14">
                  <c:v>9.5119621752339789E-3</c:v>
                </c:pt>
                <c:pt idx="15">
                  <c:v>-2.3912047703358974E-2</c:v>
                </c:pt>
                <c:pt idx="16">
                  <c:v>2.9105677989337275E-2</c:v>
                </c:pt>
                <c:pt idx="17">
                  <c:v>6.0600363869314444E-2</c:v>
                </c:pt>
                <c:pt idx="18">
                  <c:v>0.19186310012598229</c:v>
                </c:pt>
                <c:pt idx="19">
                  <c:v>-6.3747808070668488E-2</c:v>
                </c:pt>
                <c:pt idx="20">
                  <c:v>-4.2062954267710451E-2</c:v>
                </c:pt>
                <c:pt idx="21">
                  <c:v>-6.7096200243518811E-2</c:v>
                </c:pt>
                <c:pt idx="22">
                  <c:v>-6.2339655175652875E-2</c:v>
                </c:pt>
                <c:pt idx="23">
                  <c:v>-7.3709354678845651E-2</c:v>
                </c:pt>
                <c:pt idx="24">
                  <c:v>-5.5385926390509543E-2</c:v>
                </c:pt>
                <c:pt idx="25">
                  <c:v>3.4257181609080423E-2</c:v>
                </c:pt>
                <c:pt idx="26">
                  <c:v>-1.8340179467644435E-2</c:v>
                </c:pt>
                <c:pt idx="27">
                  <c:v>4.6275834524291071E-2</c:v>
                </c:pt>
                <c:pt idx="28">
                  <c:v>-0.12071265914221219</c:v>
                </c:pt>
                <c:pt idx="29">
                  <c:v>-0.14021704999382278</c:v>
                </c:pt>
                <c:pt idx="30">
                  <c:v>8.0508057553580814E-2</c:v>
                </c:pt>
                <c:pt idx="31">
                  <c:v>4.9517322910297423E-3</c:v>
                </c:pt>
                <c:pt idx="32">
                  <c:v>-7.2126439824188315E-3</c:v>
                </c:pt>
                <c:pt idx="33">
                  <c:v>-7.2126439824188315E-3</c:v>
                </c:pt>
                <c:pt idx="34">
                  <c:v>0.60896687029920393</c:v>
                </c:pt>
                <c:pt idx="35">
                  <c:v>0.40129399579262626</c:v>
                </c:pt>
                <c:pt idx="36">
                  <c:v>0.15399016060802784</c:v>
                </c:pt>
                <c:pt idx="37">
                  <c:v>-5.6590827017889866E-2</c:v>
                </c:pt>
                <c:pt idx="38">
                  <c:v>-1.3223342489499301E-2</c:v>
                </c:pt>
                <c:pt idx="39">
                  <c:v>0.22398398811460929</c:v>
                </c:pt>
                <c:pt idx="40">
                  <c:v>0.1529231353723548</c:v>
                </c:pt>
                <c:pt idx="41">
                  <c:v>0.25644275687900486</c:v>
                </c:pt>
                <c:pt idx="42">
                  <c:v>5.8913234338961118E-2</c:v>
                </c:pt>
                <c:pt idx="43">
                  <c:v>-2.8839066365979438E-2</c:v>
                </c:pt>
                <c:pt idx="44">
                  <c:v>-4.0255311968915741E-2</c:v>
                </c:pt>
                <c:pt idx="45">
                  <c:v>1.9504594358934479E-3</c:v>
                </c:pt>
                <c:pt idx="46">
                  <c:v>-5.3298966547247972E-2</c:v>
                </c:pt>
                <c:pt idx="47">
                  <c:v>-2.3046334088620335E-2</c:v>
                </c:pt>
                <c:pt idx="48">
                  <c:v>-0.15969884146552027</c:v>
                </c:pt>
                <c:pt idx="49">
                  <c:v>-3.08775895897343E-2</c:v>
                </c:pt>
                <c:pt idx="50">
                  <c:v>-3.73103663619887E-2</c:v>
                </c:pt>
                <c:pt idx="51">
                  <c:v>-6.8311440515806954E-3</c:v>
                </c:pt>
                <c:pt idx="52">
                  <c:v>2.6865005646579565E-2</c:v>
                </c:pt>
                <c:pt idx="53">
                  <c:v>6.7461893134837858E-2</c:v>
                </c:pt>
                <c:pt idx="54">
                  <c:v>0.41430680153789812</c:v>
                </c:pt>
                <c:pt idx="55">
                  <c:v>0.47062114501298513</c:v>
                </c:pt>
                <c:pt idx="56">
                  <c:v>0.30111422409514454</c:v>
                </c:pt>
                <c:pt idx="57">
                  <c:v>0.31018647331475169</c:v>
                </c:pt>
                <c:pt idx="58">
                  <c:v>0.25047811231841277</c:v>
                </c:pt>
                <c:pt idx="59">
                  <c:v>0.13748001147716016</c:v>
                </c:pt>
                <c:pt idx="60">
                  <c:v>0.36856030084362046</c:v>
                </c:pt>
                <c:pt idx="61">
                  <c:v>0.61979614080230139</c:v>
                </c:pt>
                <c:pt idx="62">
                  <c:v>0.41451617302480703</c:v>
                </c:pt>
                <c:pt idx="63">
                  <c:v>0.38941633664737596</c:v>
                </c:pt>
                <c:pt idx="64">
                  <c:v>0.297721984453303</c:v>
                </c:pt>
                <c:pt idx="65">
                  <c:v>0.38345928779749028</c:v>
                </c:pt>
                <c:pt idx="66">
                  <c:v>0.13844346294923326</c:v>
                </c:pt>
                <c:pt idx="67">
                  <c:v>0.27185500152023256</c:v>
                </c:pt>
                <c:pt idx="68">
                  <c:v>0.15651043585590885</c:v>
                </c:pt>
                <c:pt idx="69">
                  <c:v>-0.18781210896003975</c:v>
                </c:pt>
                <c:pt idx="70">
                  <c:v>-0.18157605987520997</c:v>
                </c:pt>
                <c:pt idx="71">
                  <c:v>-0.39342064170977398</c:v>
                </c:pt>
                <c:pt idx="72">
                  <c:v>-0.40272028823580552</c:v>
                </c:pt>
                <c:pt idx="73">
                  <c:v>-0.42655509958506221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67360"/>
        <c:axId val="308769152"/>
      </c:lineChart>
      <c:catAx>
        <c:axId val="308767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08769152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08769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087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I_15_SB!$H$2:$H$64</c:f>
              <c:numCache>
                <c:formatCode>0</c:formatCode>
                <c:ptCount val="63"/>
                <c:pt idx="0">
                  <c:v>7958</c:v>
                </c:pt>
                <c:pt idx="1">
                  <c:v>7434</c:v>
                </c:pt>
                <c:pt idx="2">
                  <c:v>10880</c:v>
                </c:pt>
                <c:pt idx="3">
                  <c:v>10056</c:v>
                </c:pt>
                <c:pt idx="4">
                  <c:v>11506</c:v>
                </c:pt>
                <c:pt idx="5">
                  <c:v>11431</c:v>
                </c:pt>
                <c:pt idx="6">
                  <c:v>8921</c:v>
                </c:pt>
                <c:pt idx="7">
                  <c:v>9672</c:v>
                </c:pt>
                <c:pt idx="8">
                  <c:v>12337</c:v>
                </c:pt>
                <c:pt idx="9">
                  <c:v>12404</c:v>
                </c:pt>
                <c:pt idx="10">
                  <c:v>18744</c:v>
                </c:pt>
                <c:pt idx="11">
                  <c:v>18909</c:v>
                </c:pt>
                <c:pt idx="12">
                  <c:v>16666</c:v>
                </c:pt>
                <c:pt idx="13">
                  <c:v>19255</c:v>
                </c:pt>
                <c:pt idx="14">
                  <c:v>19724</c:v>
                </c:pt>
                <c:pt idx="15">
                  <c:v>22193</c:v>
                </c:pt>
                <c:pt idx="16">
                  <c:v>19445</c:v>
                </c:pt>
                <c:pt idx="17">
                  <c:v>22985</c:v>
                </c:pt>
                <c:pt idx="18">
                  <c:v>20830</c:v>
                </c:pt>
                <c:pt idx="19">
                  <c:v>21409</c:v>
                </c:pt>
                <c:pt idx="20">
                  <c:v>18692</c:v>
                </c:pt>
                <c:pt idx="21">
                  <c:v>22442</c:v>
                </c:pt>
                <c:pt idx="22">
                  <c:v>21029</c:v>
                </c:pt>
                <c:pt idx="23">
                  <c:v>24646</c:v>
                </c:pt>
                <c:pt idx="24">
                  <c:v>21420</c:v>
                </c:pt>
                <c:pt idx="25">
                  <c:v>21294</c:v>
                </c:pt>
                <c:pt idx="26">
                  <c:v>27852</c:v>
                </c:pt>
                <c:pt idx="27">
                  <c:v>24049</c:v>
                </c:pt>
                <c:pt idx="28">
                  <c:v>35147</c:v>
                </c:pt>
                <c:pt idx="29">
                  <c:v>23334</c:v>
                </c:pt>
                <c:pt idx="30">
                  <c:v>22950</c:v>
                </c:pt>
                <c:pt idx="31">
                  <c:v>24886</c:v>
                </c:pt>
                <c:pt idx="32">
                  <c:v>27068</c:v>
                </c:pt>
                <c:pt idx="33">
                  <c:v>31601</c:v>
                </c:pt>
                <c:pt idx="34">
                  <c:v>24549</c:v>
                </c:pt>
                <c:pt idx="35">
                  <c:v>30102</c:v>
                </c:pt>
                <c:pt idx="36">
                  <c:v>28355</c:v>
                </c:pt>
                <c:pt idx="37">
                  <c:v>29905</c:v>
                </c:pt>
                <c:pt idx="38">
                  <c:v>29788</c:v>
                </c:pt>
                <c:pt idx="39">
                  <c:v>28889</c:v>
                </c:pt>
                <c:pt idx="40">
                  <c:v>30700</c:v>
                </c:pt>
                <c:pt idx="41">
                  <c:v>28943</c:v>
                </c:pt>
                <c:pt idx="42">
                  <c:v>11716</c:v>
                </c:pt>
                <c:pt idx="43">
                  <c:v>10958</c:v>
                </c:pt>
                <c:pt idx="44">
                  <c:v>19875</c:v>
                </c:pt>
                <c:pt idx="45">
                  <c:v>21049</c:v>
                </c:pt>
                <c:pt idx="46">
                  <c:v>26635</c:v>
                </c:pt>
                <c:pt idx="47">
                  <c:v>26697</c:v>
                </c:pt>
                <c:pt idx="48">
                  <c:v>29803</c:v>
                </c:pt>
                <c:pt idx="49">
                  <c:v>28304</c:v>
                </c:pt>
                <c:pt idx="50">
                  <c:v>30787</c:v>
                </c:pt>
                <c:pt idx="51">
                  <c:v>17524</c:v>
                </c:pt>
                <c:pt idx="52">
                  <c:v>25927</c:v>
                </c:pt>
                <c:pt idx="53">
                  <c:v>21780</c:v>
                </c:pt>
                <c:pt idx="54">
                  <c:v>20069</c:v>
                </c:pt>
                <c:pt idx="55">
                  <c:v>16611</c:v>
                </c:pt>
                <c:pt idx="56">
                  <c:v>21035</c:v>
                </c:pt>
                <c:pt idx="57">
                  <c:v>13241</c:v>
                </c:pt>
                <c:pt idx="58">
                  <c:v>13241</c:v>
                </c:pt>
                <c:pt idx="59">
                  <c:v>17883</c:v>
                </c:pt>
                <c:pt idx="60">
                  <c:v>17864</c:v>
                </c:pt>
                <c:pt idx="61">
                  <c:v>16528</c:v>
                </c:pt>
                <c:pt idx="62">
                  <c:v>14033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I_15_SB!$I$2:$I$64</c:f>
              <c:numCache>
                <c:formatCode>0</c:formatCode>
                <c:ptCount val="63"/>
                <c:pt idx="0">
                  <c:v>14727.751953000001</c:v>
                </c:pt>
                <c:pt idx="1">
                  <c:v>14480.724609000001</c:v>
                </c:pt>
                <c:pt idx="2">
                  <c:v>12195.829102</c:v>
                </c:pt>
                <c:pt idx="3">
                  <c:v>13632.411133</c:v>
                </c:pt>
                <c:pt idx="4">
                  <c:v>13605.152344</c:v>
                </c:pt>
                <c:pt idx="5">
                  <c:v>12578.014648</c:v>
                </c:pt>
                <c:pt idx="6">
                  <c:v>10564.071289</c:v>
                </c:pt>
                <c:pt idx="7">
                  <c:v>10145.104492</c:v>
                </c:pt>
                <c:pt idx="8">
                  <c:v>10345.674805000001</c:v>
                </c:pt>
                <c:pt idx="9">
                  <c:v>12606.211914</c:v>
                </c:pt>
                <c:pt idx="10">
                  <c:v>21829.029297000001</c:v>
                </c:pt>
                <c:pt idx="11">
                  <c:v>22804.449218999998</c:v>
                </c:pt>
                <c:pt idx="12">
                  <c:v>21718.832031000002</c:v>
                </c:pt>
                <c:pt idx="13">
                  <c:v>21684.171875</c:v>
                </c:pt>
                <c:pt idx="14">
                  <c:v>22115.740234000001</c:v>
                </c:pt>
                <c:pt idx="15">
                  <c:v>25555.226562</c:v>
                </c:pt>
                <c:pt idx="16">
                  <c:v>24528.134765999999</c:v>
                </c:pt>
                <c:pt idx="17">
                  <c:v>26946.195312</c:v>
                </c:pt>
                <c:pt idx="18">
                  <c:v>21752.992188</c:v>
                </c:pt>
                <c:pt idx="19">
                  <c:v>22075.931640999999</c:v>
                </c:pt>
                <c:pt idx="20">
                  <c:v>20140.960938</c:v>
                </c:pt>
                <c:pt idx="21">
                  <c:v>22404.412109000001</c:v>
                </c:pt>
                <c:pt idx="22">
                  <c:v>20416.167968999998</c:v>
                </c:pt>
                <c:pt idx="23">
                  <c:v>21767.917968999998</c:v>
                </c:pt>
                <c:pt idx="24">
                  <c:v>19453.318359000001</c:v>
                </c:pt>
                <c:pt idx="25">
                  <c:v>20548.189452999999</c:v>
                </c:pt>
                <c:pt idx="26">
                  <c:v>23023.044922000001</c:v>
                </c:pt>
                <c:pt idx="27">
                  <c:v>20931.857422000001</c:v>
                </c:pt>
                <c:pt idx="28">
                  <c:v>23679.675781000002</c:v>
                </c:pt>
                <c:pt idx="29">
                  <c:v>20131.929688</c:v>
                </c:pt>
                <c:pt idx="30">
                  <c:v>21245.775390999999</c:v>
                </c:pt>
                <c:pt idx="31">
                  <c:v>20698.996093999998</c:v>
                </c:pt>
                <c:pt idx="32">
                  <c:v>24104.873047000001</c:v>
                </c:pt>
                <c:pt idx="33">
                  <c:v>26727.076172000001</c:v>
                </c:pt>
                <c:pt idx="34">
                  <c:v>23598.720702999999</c:v>
                </c:pt>
                <c:pt idx="35">
                  <c:v>29478.955077999999</c:v>
                </c:pt>
                <c:pt idx="36">
                  <c:v>27969.427734000001</c:v>
                </c:pt>
                <c:pt idx="37">
                  <c:v>28587.242188</c:v>
                </c:pt>
                <c:pt idx="38">
                  <c:v>30836.078125</c:v>
                </c:pt>
                <c:pt idx="39">
                  <c:v>32198.744140999999</c:v>
                </c:pt>
                <c:pt idx="40">
                  <c:v>33734.023437999997</c:v>
                </c:pt>
                <c:pt idx="41">
                  <c:v>34108.730469000002</c:v>
                </c:pt>
                <c:pt idx="42">
                  <c:v>24601.699218999998</c:v>
                </c:pt>
                <c:pt idx="43">
                  <c:v>19602.171875</c:v>
                </c:pt>
                <c:pt idx="44">
                  <c:v>24547.953125</c:v>
                </c:pt>
                <c:pt idx="45">
                  <c:v>28499.787109000001</c:v>
                </c:pt>
                <c:pt idx="46">
                  <c:v>32959.472655999998</c:v>
                </c:pt>
                <c:pt idx="47">
                  <c:v>30784.339843999998</c:v>
                </c:pt>
                <c:pt idx="48">
                  <c:v>35017.234375</c:v>
                </c:pt>
                <c:pt idx="49">
                  <c:v>31958.804688</c:v>
                </c:pt>
                <c:pt idx="50">
                  <c:v>34693.183594000002</c:v>
                </c:pt>
                <c:pt idx="51">
                  <c:v>19930.167968999998</c:v>
                </c:pt>
                <c:pt idx="52">
                  <c:v>30509.046875</c:v>
                </c:pt>
                <c:pt idx="53">
                  <c:v>25798.265625</c:v>
                </c:pt>
                <c:pt idx="54">
                  <c:v>20716.410156000002</c:v>
                </c:pt>
                <c:pt idx="55">
                  <c:v>22213.375</c:v>
                </c:pt>
                <c:pt idx="56">
                  <c:v>23700.261718999998</c:v>
                </c:pt>
                <c:pt idx="57">
                  <c:v>10274.478515999999</c:v>
                </c:pt>
                <c:pt idx="58">
                  <c:v>10274.478515999999</c:v>
                </c:pt>
                <c:pt idx="59">
                  <c:v>16453.330077999999</c:v>
                </c:pt>
                <c:pt idx="60">
                  <c:v>17153.404297000001</c:v>
                </c:pt>
                <c:pt idx="61">
                  <c:v>16870.421875</c:v>
                </c:pt>
                <c:pt idx="62">
                  <c:v>15734.662109000001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I_15_SB!$D$2:$D$64</c:f>
              <c:numCache>
                <c:formatCode>0</c:formatCode>
                <c:ptCount val="6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14</c:v>
                </c:pt>
                <c:pt idx="5">
                  <c:v>16</c:v>
                </c:pt>
                <c:pt idx="6">
                  <c:v>19</c:v>
                </c:pt>
                <c:pt idx="7">
                  <c:v>20</c:v>
                </c:pt>
                <c:pt idx="8">
                  <c:v>22</c:v>
                </c:pt>
                <c:pt idx="9">
                  <c:v>23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31</c:v>
                </c:pt>
                <c:pt idx="14">
                  <c:v>32</c:v>
                </c:pt>
                <c:pt idx="15">
                  <c:v>34</c:v>
                </c:pt>
                <c:pt idx="16">
                  <c:v>35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53</c:v>
                </c:pt>
                <c:pt idx="30">
                  <c:v>54</c:v>
                </c:pt>
                <c:pt idx="31">
                  <c:v>55</c:v>
                </c:pt>
                <c:pt idx="32">
                  <c:v>59</c:v>
                </c:pt>
                <c:pt idx="33">
                  <c:v>60</c:v>
                </c:pt>
                <c:pt idx="34">
                  <c:v>62</c:v>
                </c:pt>
                <c:pt idx="35">
                  <c:v>64</c:v>
                </c:pt>
                <c:pt idx="36">
                  <c:v>65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71</c:v>
                </c:pt>
                <c:pt idx="41">
                  <c:v>72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85</c:v>
                </c:pt>
                <c:pt idx="50">
                  <c:v>86</c:v>
                </c:pt>
                <c:pt idx="51">
                  <c:v>90</c:v>
                </c:pt>
                <c:pt idx="52">
                  <c:v>93</c:v>
                </c:pt>
                <c:pt idx="53">
                  <c:v>95</c:v>
                </c:pt>
                <c:pt idx="54">
                  <c:v>3</c:v>
                </c:pt>
                <c:pt idx="55">
                  <c:v>4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12</c:v>
                </c:pt>
                <c:pt idx="61">
                  <c:v>16</c:v>
                </c:pt>
                <c:pt idx="62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I_15_SB!$J$2:$J$64</c:f>
              <c:numCache>
                <c:formatCode>0%</c:formatCode>
                <c:ptCount val="63"/>
                <c:pt idx="0">
                  <c:v>0.85068509085197297</c:v>
                </c:pt>
                <c:pt idx="1">
                  <c:v>0.94790484382566587</c:v>
                </c:pt>
                <c:pt idx="2">
                  <c:v>0.12094017481617647</c:v>
                </c:pt>
                <c:pt idx="3">
                  <c:v>0.35564947623309462</c:v>
                </c:pt>
                <c:pt idx="4">
                  <c:v>0.18243980045193808</c:v>
                </c:pt>
                <c:pt idx="5">
                  <c:v>0.10034245892747795</c:v>
                </c:pt>
                <c:pt idx="6">
                  <c:v>0.18418016915144042</c:v>
                </c:pt>
                <c:pt idx="7">
                  <c:v>4.8914856492969339E-2</c:v>
                </c:pt>
                <c:pt idx="8">
                  <c:v>-0.16141081259625512</c:v>
                </c:pt>
                <c:pt idx="9">
                  <c:v>1.6302153660109564E-2</c:v>
                </c:pt>
                <c:pt idx="10">
                  <c:v>0.16458756386043549</c:v>
                </c:pt>
                <c:pt idx="11">
                  <c:v>0.206010324131366</c:v>
                </c:pt>
                <c:pt idx="12">
                  <c:v>0.30318204914196589</c:v>
                </c:pt>
                <c:pt idx="13">
                  <c:v>0.12615797844715648</c:v>
                </c:pt>
                <c:pt idx="14">
                  <c:v>0.12126040529304394</c:v>
                </c:pt>
                <c:pt idx="15">
                  <c:v>0.15149941702338565</c:v>
                </c:pt>
                <c:pt idx="16">
                  <c:v>0.26141089051169963</c:v>
                </c:pt>
                <c:pt idx="17">
                  <c:v>0.17233827765934295</c:v>
                </c:pt>
                <c:pt idx="18">
                  <c:v>4.4310714738358126E-2</c:v>
                </c:pt>
                <c:pt idx="19">
                  <c:v>3.1151928674856277E-2</c:v>
                </c:pt>
                <c:pt idx="20">
                  <c:v>7.7517704793494513E-2</c:v>
                </c:pt>
                <c:pt idx="21">
                  <c:v>-1.6748904286605359E-3</c:v>
                </c:pt>
                <c:pt idx="22">
                  <c:v>-2.9142233629749437E-2</c:v>
                </c:pt>
                <c:pt idx="23">
                  <c:v>-0.11677684131299204</c:v>
                </c:pt>
                <c:pt idx="24">
                  <c:v>-9.1815202661064355E-2</c:v>
                </c:pt>
                <c:pt idx="25">
                  <c:v>-3.5024445712407259E-2</c:v>
                </c:pt>
                <c:pt idx="26">
                  <c:v>-0.17337911381588389</c:v>
                </c:pt>
                <c:pt idx="27">
                  <c:v>-0.12961630745561137</c:v>
                </c:pt>
                <c:pt idx="28">
                  <c:v>-0.32626751128119036</c:v>
                </c:pt>
                <c:pt idx="29">
                  <c:v>-0.13722766400959974</c:v>
                </c:pt>
                <c:pt idx="30">
                  <c:v>-7.4258152897603513E-2</c:v>
                </c:pt>
                <c:pt idx="31">
                  <c:v>-0.16824736422084718</c:v>
                </c:pt>
                <c:pt idx="32">
                  <c:v>-0.10946974113344166</c:v>
                </c:pt>
                <c:pt idx="33">
                  <c:v>-0.154233215024841</c:v>
                </c:pt>
                <c:pt idx="34">
                  <c:v>-3.8709491099433779E-2</c:v>
                </c:pt>
                <c:pt idx="35">
                  <c:v>-2.0697791575310598E-2</c:v>
                </c:pt>
                <c:pt idx="36">
                  <c:v>-1.3598034420737037E-2</c:v>
                </c:pt>
                <c:pt idx="37">
                  <c:v>-4.4064798929944859E-2</c:v>
                </c:pt>
                <c:pt idx="38">
                  <c:v>3.5184575164495691E-2</c:v>
                </c:pt>
                <c:pt idx="39">
                  <c:v>0.11456762577451629</c:v>
                </c:pt>
                <c:pt idx="40">
                  <c:v>9.8828125016286572E-2</c:v>
                </c:pt>
                <c:pt idx="41">
                  <c:v>0.1784794412811388</c:v>
                </c:pt>
                <c:pt idx="42">
                  <c:v>1.0998377619494706</c:v>
                </c:pt>
                <c:pt idx="43">
                  <c:v>0.78884576336922807</c:v>
                </c:pt>
                <c:pt idx="44">
                  <c:v>0.23511713836477988</c:v>
                </c:pt>
                <c:pt idx="45">
                  <c:v>0.35397344809729692</c:v>
                </c:pt>
                <c:pt idx="46">
                  <c:v>0.23744969611413547</c:v>
                </c:pt>
                <c:pt idx="47">
                  <c:v>0.15310109165823871</c:v>
                </c:pt>
                <c:pt idx="48">
                  <c:v>0.17495669479582587</c:v>
                </c:pt>
                <c:pt idx="49">
                  <c:v>0.12912679084228373</c:v>
                </c:pt>
                <c:pt idx="50">
                  <c:v>0.12687769493617451</c:v>
                </c:pt>
                <c:pt idx="51">
                  <c:v>0.13730700576352417</c:v>
                </c:pt>
                <c:pt idx="52">
                  <c:v>0.17672877212944038</c:v>
                </c:pt>
                <c:pt idx="53">
                  <c:v>0.18449337121212128</c:v>
                </c:pt>
                <c:pt idx="54">
                  <c:v>3.2259213513379015E-2</c:v>
                </c:pt>
                <c:pt idx="55">
                  <c:v>0.33726897838781533</c:v>
                </c:pt>
                <c:pt idx="56">
                  <c:v>0.12670604796767293</c:v>
                </c:pt>
                <c:pt idx="57">
                  <c:v>-0.22404059240238661</c:v>
                </c:pt>
                <c:pt idx="58">
                  <c:v>-0.22404059240238661</c:v>
                </c:pt>
                <c:pt idx="59">
                  <c:v>-7.9945754179947537E-2</c:v>
                </c:pt>
                <c:pt idx="60">
                  <c:v>-3.9778084583519835E-2</c:v>
                </c:pt>
                <c:pt idx="61">
                  <c:v>2.0717683627783146E-2</c:v>
                </c:pt>
                <c:pt idx="62">
                  <c:v>0.12126146290885775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680576"/>
        <c:axId val="308682112"/>
      </c:lineChart>
      <c:catAx>
        <c:axId val="30868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08682112"/>
        <c:crosses val="autoZero"/>
        <c:auto val="1"/>
        <c:lblAlgn val="ctr"/>
        <c:lblOffset val="1000"/>
        <c:noMultiLvlLbl val="0"/>
      </c:catAx>
      <c:valAx>
        <c:axId val="308682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08680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I_805_SB!$H$2:$H$44</c:f>
              <c:numCache>
                <c:formatCode>0</c:formatCode>
                <c:ptCount val="43"/>
                <c:pt idx="0">
                  <c:v>9432</c:v>
                </c:pt>
                <c:pt idx="1">
                  <c:v>15531</c:v>
                </c:pt>
                <c:pt idx="2">
                  <c:v>12370</c:v>
                </c:pt>
                <c:pt idx="3">
                  <c:v>16116</c:v>
                </c:pt>
                <c:pt idx="4">
                  <c:v>16818</c:v>
                </c:pt>
                <c:pt idx="5">
                  <c:v>14690</c:v>
                </c:pt>
                <c:pt idx="6">
                  <c:v>19570</c:v>
                </c:pt>
                <c:pt idx="7">
                  <c:v>20288</c:v>
                </c:pt>
                <c:pt idx="8">
                  <c:v>19295</c:v>
                </c:pt>
                <c:pt idx="9">
                  <c:v>20237</c:v>
                </c:pt>
                <c:pt idx="10">
                  <c:v>20101</c:v>
                </c:pt>
                <c:pt idx="11">
                  <c:v>23020</c:v>
                </c:pt>
                <c:pt idx="12">
                  <c:v>17403</c:v>
                </c:pt>
                <c:pt idx="13">
                  <c:v>18107</c:v>
                </c:pt>
                <c:pt idx="14">
                  <c:v>18499</c:v>
                </c:pt>
                <c:pt idx="15">
                  <c:v>29959</c:v>
                </c:pt>
                <c:pt idx="16">
                  <c:v>29030</c:v>
                </c:pt>
                <c:pt idx="17">
                  <c:v>30741</c:v>
                </c:pt>
                <c:pt idx="18">
                  <c:v>21829</c:v>
                </c:pt>
                <c:pt idx="19">
                  <c:v>29038</c:v>
                </c:pt>
                <c:pt idx="20">
                  <c:v>28272</c:v>
                </c:pt>
                <c:pt idx="21">
                  <c:v>23425</c:v>
                </c:pt>
                <c:pt idx="22">
                  <c:v>32716</c:v>
                </c:pt>
                <c:pt idx="23">
                  <c:v>21789</c:v>
                </c:pt>
                <c:pt idx="24">
                  <c:v>19717</c:v>
                </c:pt>
                <c:pt idx="25">
                  <c:v>32011</c:v>
                </c:pt>
                <c:pt idx="26">
                  <c:v>21475</c:v>
                </c:pt>
                <c:pt idx="27">
                  <c:v>27118</c:v>
                </c:pt>
                <c:pt idx="28">
                  <c:v>31203</c:v>
                </c:pt>
                <c:pt idx="29">
                  <c:v>27045</c:v>
                </c:pt>
                <c:pt idx="30">
                  <c:v>27413</c:v>
                </c:pt>
                <c:pt idx="31">
                  <c:v>35806</c:v>
                </c:pt>
                <c:pt idx="32">
                  <c:v>30376</c:v>
                </c:pt>
                <c:pt idx="33">
                  <c:v>26889</c:v>
                </c:pt>
                <c:pt idx="34">
                  <c:v>26224</c:v>
                </c:pt>
                <c:pt idx="35">
                  <c:v>16943</c:v>
                </c:pt>
                <c:pt idx="36">
                  <c:v>16630</c:v>
                </c:pt>
                <c:pt idx="37">
                  <c:v>17965</c:v>
                </c:pt>
                <c:pt idx="38">
                  <c:v>13679</c:v>
                </c:pt>
                <c:pt idx="39">
                  <c:v>14280</c:v>
                </c:pt>
                <c:pt idx="40">
                  <c:v>8561</c:v>
                </c:pt>
                <c:pt idx="41">
                  <c:v>12542</c:v>
                </c:pt>
                <c:pt idx="42">
                  <c:v>6694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I_805_SB!$I$2:$I$44</c:f>
              <c:numCache>
                <c:formatCode>0</c:formatCode>
                <c:ptCount val="43"/>
                <c:pt idx="0">
                  <c:v>12409.535156</c:v>
                </c:pt>
                <c:pt idx="1">
                  <c:v>16690.216797000001</c:v>
                </c:pt>
                <c:pt idx="2">
                  <c:v>14624.327148</c:v>
                </c:pt>
                <c:pt idx="3">
                  <c:v>19336.683593999998</c:v>
                </c:pt>
                <c:pt idx="4">
                  <c:v>23914.396484000001</c:v>
                </c:pt>
                <c:pt idx="5">
                  <c:v>21097.476562</c:v>
                </c:pt>
                <c:pt idx="6">
                  <c:v>26757.148438</c:v>
                </c:pt>
                <c:pt idx="7">
                  <c:v>31391.683593999998</c:v>
                </c:pt>
                <c:pt idx="8">
                  <c:v>26809.523438</c:v>
                </c:pt>
                <c:pt idx="9">
                  <c:v>30883.025390999999</c:v>
                </c:pt>
                <c:pt idx="10">
                  <c:v>26490.0625</c:v>
                </c:pt>
                <c:pt idx="11">
                  <c:v>31576.833984000001</c:v>
                </c:pt>
                <c:pt idx="12">
                  <c:v>24890.080077999999</c:v>
                </c:pt>
                <c:pt idx="13">
                  <c:v>24890.080077999999</c:v>
                </c:pt>
                <c:pt idx="14">
                  <c:v>34519.601562000003</c:v>
                </c:pt>
                <c:pt idx="15">
                  <c:v>37906.003905999998</c:v>
                </c:pt>
                <c:pt idx="16">
                  <c:v>36127.359375</c:v>
                </c:pt>
                <c:pt idx="17">
                  <c:v>37786.039062000003</c:v>
                </c:pt>
                <c:pt idx="18">
                  <c:v>26535.144531000002</c:v>
                </c:pt>
                <c:pt idx="19">
                  <c:v>33287.972655999998</c:v>
                </c:pt>
                <c:pt idx="20">
                  <c:v>33477.5625</c:v>
                </c:pt>
                <c:pt idx="21">
                  <c:v>26420.966797000001</c:v>
                </c:pt>
                <c:pt idx="22">
                  <c:v>39846.75</c:v>
                </c:pt>
                <c:pt idx="23">
                  <c:v>28762.302734000001</c:v>
                </c:pt>
                <c:pt idx="24">
                  <c:v>26552.71875</c:v>
                </c:pt>
                <c:pt idx="25">
                  <c:v>35267.824219000002</c:v>
                </c:pt>
                <c:pt idx="26">
                  <c:v>29358.111327999999</c:v>
                </c:pt>
                <c:pt idx="27">
                  <c:v>30525.400390999999</c:v>
                </c:pt>
                <c:pt idx="28">
                  <c:v>32409.998047000001</c:v>
                </c:pt>
                <c:pt idx="29">
                  <c:v>28318.865234000001</c:v>
                </c:pt>
                <c:pt idx="30">
                  <c:v>30701.773438</c:v>
                </c:pt>
                <c:pt idx="31">
                  <c:v>32834.386719000002</c:v>
                </c:pt>
                <c:pt idx="32">
                  <c:v>30056.591797000001</c:v>
                </c:pt>
                <c:pt idx="33">
                  <c:v>23564.941406000002</c:v>
                </c:pt>
                <c:pt idx="34">
                  <c:v>25396.898438</c:v>
                </c:pt>
                <c:pt idx="35">
                  <c:v>14929.143555000001</c:v>
                </c:pt>
                <c:pt idx="36">
                  <c:v>16984.791015999999</c:v>
                </c:pt>
                <c:pt idx="37">
                  <c:v>17630.005859000001</c:v>
                </c:pt>
                <c:pt idx="38">
                  <c:v>15539.817383</c:v>
                </c:pt>
                <c:pt idx="39">
                  <c:v>18086.373047000001</c:v>
                </c:pt>
                <c:pt idx="40">
                  <c:v>7642.4145509999998</c:v>
                </c:pt>
                <c:pt idx="41">
                  <c:v>8546.2949219999991</c:v>
                </c:pt>
                <c:pt idx="42">
                  <c:v>6825.9545900000003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I_805_SB!$D$2:$D$44</c:f>
              <c:numCache>
                <c:formatCode>0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13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24</c:v>
                </c:pt>
                <c:pt idx="12">
                  <c:v>25</c:v>
                </c:pt>
                <c:pt idx="13">
                  <c:v>26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  <c:pt idx="21">
                  <c:v>39</c:v>
                </c:pt>
                <c:pt idx="22">
                  <c:v>40</c:v>
                </c:pt>
                <c:pt idx="23">
                  <c:v>42</c:v>
                </c:pt>
                <c:pt idx="24">
                  <c:v>45</c:v>
                </c:pt>
                <c:pt idx="25">
                  <c:v>46</c:v>
                </c:pt>
                <c:pt idx="26">
                  <c:v>51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69</c:v>
                </c:pt>
                <c:pt idx="35">
                  <c:v>70</c:v>
                </c:pt>
                <c:pt idx="36">
                  <c:v>72</c:v>
                </c:pt>
                <c:pt idx="37">
                  <c:v>77</c:v>
                </c:pt>
                <c:pt idx="38">
                  <c:v>79</c:v>
                </c:pt>
                <c:pt idx="39">
                  <c:v>80</c:v>
                </c:pt>
                <c:pt idx="40">
                  <c:v>81</c:v>
                </c:pt>
                <c:pt idx="41">
                  <c:v>85</c:v>
                </c:pt>
                <c:pt idx="42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I_805_SB!$J$2:$J$44</c:f>
              <c:numCache>
                <c:formatCode>0%</c:formatCode>
                <c:ptCount val="43"/>
                <c:pt idx="0">
                  <c:v>0.31568438888888894</c:v>
                </c:pt>
                <c:pt idx="1">
                  <c:v>7.4638902646320338E-2</c:v>
                </c:pt>
                <c:pt idx="2">
                  <c:v>0.18224148326596601</c:v>
                </c:pt>
                <c:pt idx="3">
                  <c:v>0.19984385666418447</c:v>
                </c:pt>
                <c:pt idx="4">
                  <c:v>0.42195246069687253</c:v>
                </c:pt>
                <c:pt idx="5">
                  <c:v>0.43617948005445872</c:v>
                </c:pt>
                <c:pt idx="6">
                  <c:v>0.36725336934082775</c:v>
                </c:pt>
                <c:pt idx="7">
                  <c:v>0.54730301626577282</c:v>
                </c:pt>
                <c:pt idx="8">
                  <c:v>0.38945444094324966</c:v>
                </c:pt>
                <c:pt idx="9">
                  <c:v>0.5260673712012649</c:v>
                </c:pt>
                <c:pt idx="10">
                  <c:v>0.31784799263718222</c:v>
                </c:pt>
                <c:pt idx="11">
                  <c:v>0.37171303145091228</c:v>
                </c:pt>
                <c:pt idx="12">
                  <c:v>0.43021778302591507</c:v>
                </c:pt>
                <c:pt idx="13">
                  <c:v>0.37461092825978892</c:v>
                </c:pt>
                <c:pt idx="14">
                  <c:v>0.86602527498783743</c:v>
                </c:pt>
                <c:pt idx="15">
                  <c:v>0.26526265582963382</c:v>
                </c:pt>
                <c:pt idx="16">
                  <c:v>0.24448361608680669</c:v>
                </c:pt>
                <c:pt idx="17">
                  <c:v>0.22917403669366654</c:v>
                </c:pt>
                <c:pt idx="18">
                  <c:v>0.2155913936048377</c:v>
                </c:pt>
                <c:pt idx="19">
                  <c:v>0.14635900048212691</c:v>
                </c:pt>
                <c:pt idx="20">
                  <c:v>0.18412431027164677</c:v>
                </c:pt>
                <c:pt idx="21">
                  <c:v>0.12789612794023486</c:v>
                </c:pt>
                <c:pt idx="22">
                  <c:v>0.21795910257977757</c:v>
                </c:pt>
                <c:pt idx="23">
                  <c:v>0.32003775914452248</c:v>
                </c:pt>
                <c:pt idx="24">
                  <c:v>0.3466916239793072</c:v>
                </c:pt>
                <c:pt idx="25">
                  <c:v>0.10174078344943926</c:v>
                </c:pt>
                <c:pt idx="26">
                  <c:v>0.36708318174621657</c:v>
                </c:pt>
                <c:pt idx="27">
                  <c:v>0.1256508736263735</c:v>
                </c:pt>
                <c:pt idx="28">
                  <c:v>3.8682115405570094E-2</c:v>
                </c:pt>
                <c:pt idx="29">
                  <c:v>4.7101691033462734E-2</c:v>
                </c:pt>
                <c:pt idx="30">
                  <c:v>0.119971306971145</c:v>
                </c:pt>
                <c:pt idx="31">
                  <c:v>-8.2992048287996334E-2</c:v>
                </c:pt>
                <c:pt idx="32">
                  <c:v>-1.0515150217276781E-2</c:v>
                </c:pt>
                <c:pt idx="33">
                  <c:v>-0.12362150299378927</c:v>
                </c:pt>
                <c:pt idx="34">
                  <c:v>-3.1539870424039051E-2</c:v>
                </c:pt>
                <c:pt idx="35">
                  <c:v>-0.11886067668063505</c:v>
                </c:pt>
                <c:pt idx="36">
                  <c:v>2.1334396632591623E-2</c:v>
                </c:pt>
                <c:pt idx="37">
                  <c:v>-1.8647043751739423E-2</c:v>
                </c:pt>
                <c:pt idx="38">
                  <c:v>0.13603460655018629</c:v>
                </c:pt>
                <c:pt idx="39">
                  <c:v>0.26655273438375349</c:v>
                </c:pt>
                <c:pt idx="40">
                  <c:v>-0.10729884931666867</c:v>
                </c:pt>
                <c:pt idx="41">
                  <c:v>-0.31858595742305862</c:v>
                </c:pt>
                <c:pt idx="42">
                  <c:v>1.9712367792052543E-2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77760"/>
        <c:axId val="165079296"/>
      </c:lineChart>
      <c:catAx>
        <c:axId val="16507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65079296"/>
        <c:crosses val="autoZero"/>
        <c:auto val="1"/>
        <c:lblAlgn val="ctr"/>
        <c:lblOffset val="1000"/>
        <c:noMultiLvlLbl val="0"/>
      </c:catAx>
      <c:valAx>
        <c:axId val="16507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6507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SR_163_SB!$F$2:$F$14</c:f>
              <c:strCache>
                <c:ptCount val="12"/>
                <c:pt idx="0">
                  <c:v>I-15 SB</c:v>
                </c:pt>
                <c:pt idx="1">
                  <c:v>I-15 HOV SB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BALBOA</c:v>
                </c:pt>
                <c:pt idx="5">
                  <c:v>BALBOA</c:v>
                </c:pt>
                <c:pt idx="6">
                  <c:v>I-805 SB</c:v>
                </c:pt>
                <c:pt idx="7">
                  <c:v>GENESEE</c:v>
                </c:pt>
                <c:pt idx="8">
                  <c:v>GENESEE</c:v>
                </c:pt>
                <c:pt idx="9">
                  <c:v>FRIARS</c:v>
                </c:pt>
                <c:pt idx="10">
                  <c:v>WASHINGTON</c:v>
                </c:pt>
                <c:pt idx="11">
                  <c:v>UNIVERSITY</c:v>
                </c:pt>
              </c:strCache>
            </c:strRef>
          </c:cat>
          <c:val>
            <c:numRef>
              <c:f>SR_163_SB!$H$2:$H$14</c:f>
              <c:numCache>
                <c:formatCode>0</c:formatCode>
                <c:ptCount val="12"/>
                <c:pt idx="0">
                  <c:v>17739</c:v>
                </c:pt>
                <c:pt idx="1">
                  <c:v>20825</c:v>
                </c:pt>
                <c:pt idx="2">
                  <c:v>25016</c:v>
                </c:pt>
                <c:pt idx="3">
                  <c:v>23317</c:v>
                </c:pt>
                <c:pt idx="4">
                  <c:v>18036</c:v>
                </c:pt>
                <c:pt idx="5">
                  <c:v>23134</c:v>
                </c:pt>
                <c:pt idx="6">
                  <c:v>21898</c:v>
                </c:pt>
                <c:pt idx="7">
                  <c:v>17086</c:v>
                </c:pt>
                <c:pt idx="8">
                  <c:v>21723</c:v>
                </c:pt>
                <c:pt idx="9">
                  <c:v>19872</c:v>
                </c:pt>
                <c:pt idx="10">
                  <c:v>10840</c:v>
                </c:pt>
                <c:pt idx="11">
                  <c:v>11803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SR_163_SB!$F$2:$F$14</c:f>
              <c:strCache>
                <c:ptCount val="12"/>
                <c:pt idx="0">
                  <c:v>I-15 SB</c:v>
                </c:pt>
                <c:pt idx="1">
                  <c:v>I-15 HOV SB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BALBOA</c:v>
                </c:pt>
                <c:pt idx="5">
                  <c:v>BALBOA</c:v>
                </c:pt>
                <c:pt idx="6">
                  <c:v>I-805 SB</c:v>
                </c:pt>
                <c:pt idx="7">
                  <c:v>GENESEE</c:v>
                </c:pt>
                <c:pt idx="8">
                  <c:v>GENESEE</c:v>
                </c:pt>
                <c:pt idx="9">
                  <c:v>FRIARS</c:v>
                </c:pt>
                <c:pt idx="10">
                  <c:v>WASHINGTON</c:v>
                </c:pt>
                <c:pt idx="11">
                  <c:v>UNIVERSITY</c:v>
                </c:pt>
              </c:strCache>
            </c:strRef>
          </c:cat>
          <c:val>
            <c:numRef>
              <c:f>SR_163_SB!$I$2:$I$14</c:f>
              <c:numCache>
                <c:formatCode>0</c:formatCode>
                <c:ptCount val="12"/>
                <c:pt idx="0">
                  <c:v>13165.798828000001</c:v>
                </c:pt>
                <c:pt idx="1">
                  <c:v>13179.798828000001</c:v>
                </c:pt>
                <c:pt idx="2">
                  <c:v>15696.981444999999</c:v>
                </c:pt>
                <c:pt idx="3">
                  <c:v>19762.931640999999</c:v>
                </c:pt>
                <c:pt idx="4">
                  <c:v>15473.75</c:v>
                </c:pt>
                <c:pt idx="5">
                  <c:v>24033.806640999999</c:v>
                </c:pt>
                <c:pt idx="6">
                  <c:v>21091.041015999999</c:v>
                </c:pt>
                <c:pt idx="7">
                  <c:v>21550.384765999999</c:v>
                </c:pt>
                <c:pt idx="8">
                  <c:v>24406.072265999999</c:v>
                </c:pt>
                <c:pt idx="9">
                  <c:v>21519.048827999999</c:v>
                </c:pt>
                <c:pt idx="10">
                  <c:v>11890.033203000001</c:v>
                </c:pt>
                <c:pt idx="11">
                  <c:v>12370.199219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SR_163_SB!$D$2:$D$14</c:f>
              <c:numCache>
                <c:formatCode>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13</c:v>
                </c:pt>
                <c:pt idx="7">
                  <c:v>17</c:v>
                </c:pt>
                <c:pt idx="8">
                  <c:v>19</c:v>
                </c:pt>
                <c:pt idx="9">
                  <c:v>22</c:v>
                </c:pt>
                <c:pt idx="10">
                  <c:v>30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SR_163_SB!$J$2:$J$14</c:f>
              <c:numCache>
                <c:formatCode>0%</c:formatCode>
                <c:ptCount val="12"/>
                <c:pt idx="0">
                  <c:v>-0.25780490286938385</c:v>
                </c:pt>
                <c:pt idx="1">
                  <c:v>-0.36711650285714281</c:v>
                </c:pt>
                <c:pt idx="2">
                  <c:v>-0.37252232791013751</c:v>
                </c:pt>
                <c:pt idx="3">
                  <c:v>-0.15242391212420126</c:v>
                </c:pt>
                <c:pt idx="4">
                  <c:v>-0.14206309603016187</c:v>
                </c:pt>
                <c:pt idx="5">
                  <c:v>3.8895419771764361E-2</c:v>
                </c:pt>
                <c:pt idx="6">
                  <c:v>-3.6850807562334498E-2</c:v>
                </c:pt>
                <c:pt idx="7">
                  <c:v>0.26128905337703379</c:v>
                </c:pt>
                <c:pt idx="8">
                  <c:v>0.12351297086037838</c:v>
                </c:pt>
                <c:pt idx="9">
                  <c:v>8.2882891908212519E-2</c:v>
                </c:pt>
                <c:pt idx="10">
                  <c:v>9.6866531642066489E-2</c:v>
                </c:pt>
                <c:pt idx="11">
                  <c:v>4.8055512920443855E-2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04864"/>
        <c:axId val="318423040"/>
      </c:lineChart>
      <c:catAx>
        <c:axId val="31840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18423040"/>
        <c:crosses val="autoZero"/>
        <c:auto val="1"/>
        <c:lblAlgn val="ctr"/>
        <c:lblOffset val="1000"/>
        <c:noMultiLvlLbl val="0"/>
      </c:catAx>
      <c:valAx>
        <c:axId val="318423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18404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5438</c:v>
                </c:pt>
                <c:pt idx="1">
                  <c:v>10546</c:v>
                </c:pt>
                <c:pt idx="2">
                  <c:v>7791</c:v>
                </c:pt>
                <c:pt idx="3">
                  <c:v>9705</c:v>
                </c:pt>
                <c:pt idx="4">
                  <c:v>12576</c:v>
                </c:pt>
                <c:pt idx="5">
                  <c:v>11022</c:v>
                </c:pt>
                <c:pt idx="6">
                  <c:v>18998</c:v>
                </c:pt>
                <c:pt idx="7">
                  <c:v>20215</c:v>
                </c:pt>
                <c:pt idx="8">
                  <c:v>20233</c:v>
                </c:pt>
                <c:pt idx="9">
                  <c:v>14935</c:v>
                </c:pt>
                <c:pt idx="10">
                  <c:v>14060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4813.5258789999998</c:v>
                </c:pt>
                <c:pt idx="1">
                  <c:v>8111.9604490000002</c:v>
                </c:pt>
                <c:pt idx="2">
                  <c:v>5423.7290039999998</c:v>
                </c:pt>
                <c:pt idx="3">
                  <c:v>7908.3774409999996</c:v>
                </c:pt>
                <c:pt idx="4">
                  <c:v>10987.779296999999</c:v>
                </c:pt>
                <c:pt idx="5">
                  <c:v>10223.458008</c:v>
                </c:pt>
                <c:pt idx="6">
                  <c:v>21269.275390999999</c:v>
                </c:pt>
                <c:pt idx="7">
                  <c:v>21269.275390999999</c:v>
                </c:pt>
                <c:pt idx="8">
                  <c:v>17562.330077999999</c:v>
                </c:pt>
                <c:pt idx="9">
                  <c:v>15151.928711</c:v>
                </c:pt>
                <c:pt idx="10">
                  <c:v>12828.628906</c:v>
                </c:pt>
                <c:pt idx="11">
                  <c:v>6356.9423829999996</c:v>
                </c:pt>
                <c:pt idx="12">
                  <c:v>5855.5986329999996</c:v>
                </c:pt>
                <c:pt idx="13">
                  <c:v>4199.8891599999997</c:v>
                </c:pt>
                <c:pt idx="14">
                  <c:v>3155.4753420000002</c:v>
                </c:pt>
                <c:pt idx="15">
                  <c:v>1915.2257079999999</c:v>
                </c:pt>
                <c:pt idx="16">
                  <c:v>1180.147461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20</c:v>
                </c:pt>
                <c:pt idx="7">
                  <c:v>21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9</c:v>
                </c:pt>
                <c:pt idx="15">
                  <c:v>12</c:v>
                </c:pt>
                <c:pt idx="1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-0.11483525579257081</c:v>
                </c:pt>
                <c:pt idx="1">
                  <c:v>-0.23080215731082876</c:v>
                </c:pt>
                <c:pt idx="2">
                  <c:v>-0.30384687408548328</c:v>
                </c:pt>
                <c:pt idx="3">
                  <c:v>-0.18512339608449258</c:v>
                </c:pt>
                <c:pt idx="4">
                  <c:v>-0.12628981416984741</c:v>
                </c:pt>
                <c:pt idx="5">
                  <c:v>-7.2449826891671232E-2</c:v>
                </c:pt>
                <c:pt idx="6">
                  <c:v>0.11955339462048631</c:v>
                </c:pt>
                <c:pt idx="7">
                  <c:v>5.2153123472668872E-2</c:v>
                </c:pt>
                <c:pt idx="8">
                  <c:v>-0.13199574566302574</c:v>
                </c:pt>
                <c:pt idx="9">
                  <c:v>1.4524855105457091E-2</c:v>
                </c:pt>
                <c:pt idx="10">
                  <c:v>-8.7579736415362763E-2</c:v>
                </c:pt>
                <c:pt idx="11">
                  <c:v>7.4897257862698519E-2</c:v>
                </c:pt>
                <c:pt idx="12">
                  <c:v>9.819929351087775E-2</c:v>
                </c:pt>
                <c:pt idx="13">
                  <c:v>-7.8220741790693271E-3</c:v>
                </c:pt>
                <c:pt idx="14">
                  <c:v>0.1395721711809319</c:v>
                </c:pt>
                <c:pt idx="15">
                  <c:v>0.23403718298969078</c:v>
                </c:pt>
                <c:pt idx="16">
                  <c:v>0.55897947291941885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357184"/>
        <c:axId val="347358720"/>
      </c:lineChart>
      <c:catAx>
        <c:axId val="3473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47358720"/>
        <c:crosses val="autoZero"/>
        <c:auto val="1"/>
        <c:lblAlgn val="ctr"/>
        <c:lblOffset val="1000"/>
        <c:noMultiLvlLbl val="0"/>
      </c:catAx>
      <c:valAx>
        <c:axId val="34735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7357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8746.6435550000006</c:v>
                </c:pt>
                <c:pt idx="1">
                  <c:v>17803.623047000001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SR_67_SB!$D$2:$D$3</c:f>
              <c:numCache>
                <c:formatCode>0</c:formatCode>
                <c:ptCount val="2"/>
                <c:pt idx="0">
                  <c:v>9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SR_67_SB!$J$2:$J$3</c:f>
              <c:numCache>
                <c:formatCode>0%</c:formatCode>
                <c:ptCount val="2"/>
                <c:pt idx="0">
                  <c:v>4.4749588509316762E-2</c:v>
                </c:pt>
                <c:pt idx="1">
                  <c:v>0.31101789742268049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743232"/>
        <c:axId val="337749120"/>
      </c:lineChart>
      <c:catAx>
        <c:axId val="3377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37749120"/>
        <c:crosses val="autoZero"/>
        <c:auto val="1"/>
        <c:lblAlgn val="ctr"/>
        <c:lblOffset val="1000"/>
        <c:noMultiLvlLbl val="0"/>
      </c:catAx>
      <c:valAx>
        <c:axId val="33774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77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</c:f>
              <c:numCache>
                <c:formatCode>0</c:formatCode>
                <c:ptCount val="1"/>
                <c:pt idx="0">
                  <c:v>11465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</c:f>
              <c:numCache>
                <c:formatCode>0</c:formatCode>
                <c:ptCount val="1"/>
                <c:pt idx="0">
                  <c:v>10731.844727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SR_75_SB!$D$2</c:f>
              <c:numCache>
                <c:formatCode>0</c:formatCode>
                <c:ptCount val="1"/>
                <c:pt idx="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SR_75_SB!$J$2</c:f>
              <c:numCache>
                <c:formatCode>0%</c:formatCode>
                <c:ptCount val="1"/>
                <c:pt idx="0">
                  <c:v>-6.3947254513737506E-2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43968"/>
        <c:axId val="347445504"/>
      </c:lineChart>
      <c:catAx>
        <c:axId val="34744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7445504"/>
        <c:crosses val="autoZero"/>
        <c:auto val="1"/>
        <c:lblAlgn val="ctr"/>
        <c:lblOffset val="1000"/>
        <c:noMultiLvlLbl val="0"/>
      </c:catAx>
      <c:valAx>
        <c:axId val="34744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7443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I_15HOV_SB!$H$2:$H$9</c:f>
              <c:numCache>
                <c:formatCode>0</c:formatCode>
                <c:ptCount val="8"/>
                <c:pt idx="0">
                  <c:v>2864</c:v>
                </c:pt>
                <c:pt idx="1">
                  <c:v>3405</c:v>
                </c:pt>
                <c:pt idx="2">
                  <c:v>2933</c:v>
                </c:pt>
                <c:pt idx="3">
                  <c:v>4115</c:v>
                </c:pt>
                <c:pt idx="4">
                  <c:v>5672</c:v>
                </c:pt>
                <c:pt idx="5">
                  <c:v>5214</c:v>
                </c:pt>
                <c:pt idx="6">
                  <c:v>5376</c:v>
                </c:pt>
                <c:pt idx="7">
                  <c:v>5183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I_15HOV_SB!$I$2:$I$9</c:f>
              <c:numCache>
                <c:formatCode>0</c:formatCode>
                <c:ptCount val="8"/>
                <c:pt idx="0">
                  <c:v>2576.515625</c:v>
                </c:pt>
                <c:pt idx="1">
                  <c:v>2672.876221</c:v>
                </c:pt>
                <c:pt idx="2">
                  <c:v>2260.2270509999998</c:v>
                </c:pt>
                <c:pt idx="3">
                  <c:v>3654.3554690000001</c:v>
                </c:pt>
                <c:pt idx="4">
                  <c:v>3941.8483890000002</c:v>
                </c:pt>
                <c:pt idx="5">
                  <c:v>4912.2539059999999</c:v>
                </c:pt>
                <c:pt idx="6">
                  <c:v>4118.1098629999997</c:v>
                </c:pt>
                <c:pt idx="7">
                  <c:v>5428.9711909999996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I_15HOV_SB!$D$2:$D$9</c:f>
              <c:numCache>
                <c:formatCode>0</c:formatCod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14</c:v>
                </c:pt>
                <c:pt idx="6">
                  <c:v>15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I_15HOV_SB!$J$2:$J$9</c:f>
              <c:numCache>
                <c:formatCode>0%</c:formatCode>
                <c:ptCount val="8"/>
                <c:pt idx="0">
                  <c:v>-0.10037862255586594</c:v>
                </c:pt>
                <c:pt idx="1">
                  <c:v>-0.21501432569750367</c:v>
                </c:pt>
                <c:pt idx="2">
                  <c:v>-0.22938048039549952</c:v>
                </c:pt>
                <c:pt idx="3">
                  <c:v>-0.11194277788578366</c:v>
                </c:pt>
                <c:pt idx="4">
                  <c:v>-0.30503378191114239</c:v>
                </c:pt>
                <c:pt idx="5">
                  <c:v>-5.7872285001917878E-2</c:v>
                </c:pt>
                <c:pt idx="6">
                  <c:v>-0.23398254036458344</c:v>
                </c:pt>
                <c:pt idx="7">
                  <c:v>4.7457300983986039E-2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2256"/>
        <c:axId val="357153792"/>
      </c:lineChart>
      <c:catAx>
        <c:axId val="3571522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57153792"/>
        <c:crosses val="autoZero"/>
        <c:auto val="1"/>
        <c:lblAlgn val="ctr"/>
        <c:lblOffset val="1000"/>
        <c:tickMarkSkip val="2"/>
        <c:noMultiLvlLbl val="0"/>
      </c:catAx>
      <c:valAx>
        <c:axId val="35715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57152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I_5HOV_SB!$H$2:$H$5</c:f>
              <c:numCache>
                <c:formatCode>0</c:formatCode>
                <c:ptCount val="4"/>
                <c:pt idx="0">
                  <c:v>2055</c:v>
                </c:pt>
                <c:pt idx="1">
                  <c:v>2260</c:v>
                </c:pt>
                <c:pt idx="2">
                  <c:v>2152</c:v>
                </c:pt>
                <c:pt idx="3">
                  <c:v>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I_5HOV_SB!$I$2:$I$5</c:f>
              <c:numCache>
                <c:formatCode>0</c:formatCode>
                <c:ptCount val="4"/>
                <c:pt idx="0">
                  <c:v>2686.0783689999998</c:v>
                </c:pt>
                <c:pt idx="1">
                  <c:v>2686.0783689999998</c:v>
                </c:pt>
                <c:pt idx="2">
                  <c:v>2686.0783689999998</c:v>
                </c:pt>
                <c:pt idx="3">
                  <c:v>2686.0783689999998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I_5HOV_SB!$D$2:$D$5</c:f>
              <c:numCache>
                <c:formatCode>0</c:formatCode>
                <c:ptCount val="4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I_5HOV_SB!$J$2:$J$5</c:f>
              <c:numCache>
                <c:formatCode>0%</c:formatCode>
                <c:ptCount val="4"/>
                <c:pt idx="0">
                  <c:v>0.30709409683698285</c:v>
                </c:pt>
                <c:pt idx="1">
                  <c:v>0.18853025176991145</c:v>
                </c:pt>
                <c:pt idx="2">
                  <c:v>0.24817768076208169</c:v>
                </c:pt>
                <c:pt idx="3">
                  <c:v>8.3970286117836856E-2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8048"/>
        <c:axId val="385958272"/>
      </c:lineChart>
      <c:catAx>
        <c:axId val="3667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85958272"/>
        <c:crosses val="autoZero"/>
        <c:auto val="1"/>
        <c:lblAlgn val="ctr"/>
        <c:lblOffset val="1000"/>
        <c:noMultiLvlLbl val="0"/>
      </c:catAx>
      <c:valAx>
        <c:axId val="38595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7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I-805HOV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03646207305E-2"/>
          <c:w val="0.78558887346945039"/>
          <c:h val="0.87306657002398547"/>
        </c:manualLayout>
      </c:layout>
      <c:lineChart>
        <c:grouping val="standard"/>
        <c:varyColors val="0"/>
        <c:ser>
          <c:idx val="0"/>
          <c:order val="0"/>
          <c:tx>
            <c:strRef>
              <c:f>I_805HOV_SB!$H$1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I_805HOV_SB!$H$2:$H$2</c:f>
              <c:numCache>
                <c:formatCode>0</c:formatCode>
                <c:ptCount val="1"/>
                <c:pt idx="0">
                  <c:v>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61-4B5F-A90C-1499E2A7B291}"/>
            </c:ext>
          </c:extLst>
        </c:ser>
        <c:ser>
          <c:idx val="1"/>
          <c:order val="1"/>
          <c:tx>
            <c:strRef>
              <c:f>I_805HOV_SB!$I$1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I_805HOV_SB!$I$2:$I$2</c:f>
              <c:numCache>
                <c:formatCode>0</c:formatCode>
                <c:ptCount val="1"/>
                <c:pt idx="0">
                  <c:v>2136.1215820000002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61-4B5F-A90C-1499E2A7B291}"/>
            </c:ext>
          </c:extLst>
        </c:ser>
        <c:ser>
          <c:idx val="2"/>
          <c:order val="2"/>
          <c:tx>
            <c:strRef>
              <c:f>I_805HOV_SB!$D$1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I_805HOV_SB!$D$2:$D$2</c:f>
              <c:numCache>
                <c:formatCode>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61-4B5F-A90C-1499E2A7B291}"/>
            </c:ext>
          </c:extLst>
        </c:ser>
        <c:ser>
          <c:idx val="3"/>
          <c:order val="3"/>
          <c:tx>
            <c:strRef>
              <c:f>I_805HOV_SB!$J$1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I_805HOV_SB!$J$2:$J$2</c:f>
              <c:numCache>
                <c:formatCode>0%</c:formatCode>
                <c:ptCount val="1"/>
                <c:pt idx="0">
                  <c:v>-0.24731445313601119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61-4B5F-A90C-1499E2A7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8048"/>
        <c:axId val="385958272"/>
      </c:lineChart>
      <c:catAx>
        <c:axId val="3667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85958272"/>
        <c:crosses val="autoZero"/>
        <c:auto val="1"/>
        <c:lblAlgn val="ctr"/>
        <c:lblOffset val="1000"/>
        <c:noMultiLvlLbl val="0"/>
      </c:catAx>
      <c:valAx>
        <c:axId val="38595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7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PM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I_8_WB!$D$2:$D$52</c:f>
              <c:numCache>
                <c:formatCode>0</c:formatCode>
                <c:ptCount val="50"/>
                <c:pt idx="0">
                  <c:v>5</c:v>
                </c:pt>
                <c:pt idx="1">
                  <c:v>11</c:v>
                </c:pt>
                <c:pt idx="2">
                  <c:v>17</c:v>
                </c:pt>
                <c:pt idx="3">
                  <c:v>27</c:v>
                </c:pt>
                <c:pt idx="4">
                  <c:v>28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46</c:v>
                </c:pt>
                <c:pt idx="20">
                  <c:v>47</c:v>
                </c:pt>
                <c:pt idx="21">
                  <c:v>48</c:v>
                </c:pt>
                <c:pt idx="22">
                  <c:v>50</c:v>
                </c:pt>
                <c:pt idx="23">
                  <c:v>51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0">
                  <c:v>75</c:v>
                </c:pt>
                <c:pt idx="41">
                  <c:v>76</c:v>
                </c:pt>
                <c:pt idx="42">
                  <c:v>78</c:v>
                </c:pt>
                <c:pt idx="43">
                  <c:v>79</c:v>
                </c:pt>
                <c:pt idx="44">
                  <c:v>81</c:v>
                </c:pt>
                <c:pt idx="45">
                  <c:v>82</c:v>
                </c:pt>
                <c:pt idx="46">
                  <c:v>85</c:v>
                </c:pt>
                <c:pt idx="47">
                  <c:v>86</c:v>
                </c:pt>
                <c:pt idx="48">
                  <c:v>87</c:v>
                </c:pt>
                <c:pt idx="49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I_8_WB!$H$2:$H$52</c:f>
              <c:numCache>
                <c:formatCode>0</c:formatCode>
                <c:ptCount val="50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4867</c:v>
                </c:pt>
                <c:pt idx="5">
                  <c:v>7200</c:v>
                </c:pt>
                <c:pt idx="6">
                  <c:v>6569</c:v>
                </c:pt>
                <c:pt idx="7">
                  <c:v>8766</c:v>
                </c:pt>
                <c:pt idx="8">
                  <c:v>7575</c:v>
                </c:pt>
                <c:pt idx="9">
                  <c:v>9769</c:v>
                </c:pt>
                <c:pt idx="10">
                  <c:v>9769</c:v>
                </c:pt>
                <c:pt idx="11">
                  <c:v>8745</c:v>
                </c:pt>
                <c:pt idx="12">
                  <c:v>8745</c:v>
                </c:pt>
                <c:pt idx="13">
                  <c:v>8290</c:v>
                </c:pt>
                <c:pt idx="14">
                  <c:v>12716</c:v>
                </c:pt>
                <c:pt idx="15">
                  <c:v>12056</c:v>
                </c:pt>
                <c:pt idx="16">
                  <c:v>9963</c:v>
                </c:pt>
                <c:pt idx="17">
                  <c:v>10019</c:v>
                </c:pt>
                <c:pt idx="18">
                  <c:v>18455</c:v>
                </c:pt>
                <c:pt idx="19">
                  <c:v>19260</c:v>
                </c:pt>
                <c:pt idx="20">
                  <c:v>21553</c:v>
                </c:pt>
                <c:pt idx="21">
                  <c:v>27071</c:v>
                </c:pt>
                <c:pt idx="22">
                  <c:v>11961</c:v>
                </c:pt>
                <c:pt idx="23">
                  <c:v>11849</c:v>
                </c:pt>
                <c:pt idx="24">
                  <c:v>19074</c:v>
                </c:pt>
                <c:pt idx="25">
                  <c:v>20572</c:v>
                </c:pt>
                <c:pt idx="26">
                  <c:v>16431</c:v>
                </c:pt>
                <c:pt idx="27">
                  <c:v>16883</c:v>
                </c:pt>
                <c:pt idx="28">
                  <c:v>19080</c:v>
                </c:pt>
                <c:pt idx="29">
                  <c:v>17488</c:v>
                </c:pt>
                <c:pt idx="30">
                  <c:v>18996</c:v>
                </c:pt>
                <c:pt idx="31">
                  <c:v>18472</c:v>
                </c:pt>
                <c:pt idx="32">
                  <c:v>22776</c:v>
                </c:pt>
                <c:pt idx="33">
                  <c:v>22466</c:v>
                </c:pt>
                <c:pt idx="34">
                  <c:v>24478</c:v>
                </c:pt>
                <c:pt idx="35">
                  <c:v>22829</c:v>
                </c:pt>
                <c:pt idx="36">
                  <c:v>15169</c:v>
                </c:pt>
                <c:pt idx="37">
                  <c:v>21986</c:v>
                </c:pt>
                <c:pt idx="38">
                  <c:v>17634</c:v>
                </c:pt>
                <c:pt idx="39">
                  <c:v>15627</c:v>
                </c:pt>
                <c:pt idx="40">
                  <c:v>25919</c:v>
                </c:pt>
                <c:pt idx="41">
                  <c:v>24409</c:v>
                </c:pt>
                <c:pt idx="42">
                  <c:v>20299</c:v>
                </c:pt>
                <c:pt idx="43">
                  <c:v>18221</c:v>
                </c:pt>
                <c:pt idx="44">
                  <c:v>21943</c:v>
                </c:pt>
                <c:pt idx="45">
                  <c:v>22801</c:v>
                </c:pt>
                <c:pt idx="46">
                  <c:v>22199</c:v>
                </c:pt>
                <c:pt idx="47">
                  <c:v>22199</c:v>
                </c:pt>
                <c:pt idx="48">
                  <c:v>20372</c:v>
                </c:pt>
                <c:pt idx="49">
                  <c:v>13497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I_8_WB!$I$2:$I$52</c:f>
              <c:numCache>
                <c:formatCode>0</c:formatCode>
                <c:ptCount val="50"/>
                <c:pt idx="0">
                  <c:v>634.33215299999995</c:v>
                </c:pt>
                <c:pt idx="1">
                  <c:v>847.37536599999999</c:v>
                </c:pt>
                <c:pt idx="2">
                  <c:v>1243.587524</c:v>
                </c:pt>
                <c:pt idx="3">
                  <c:v>4961.3872069999998</c:v>
                </c:pt>
                <c:pt idx="4">
                  <c:v>3941.7145999999998</c:v>
                </c:pt>
                <c:pt idx="5">
                  <c:v>5587.0834960000002</c:v>
                </c:pt>
                <c:pt idx="6">
                  <c:v>5456.6054690000001</c:v>
                </c:pt>
                <c:pt idx="7">
                  <c:v>6945.7744140000004</c:v>
                </c:pt>
                <c:pt idx="8">
                  <c:v>6631.8139650000003</c:v>
                </c:pt>
                <c:pt idx="9">
                  <c:v>8561.9775389999995</c:v>
                </c:pt>
                <c:pt idx="10">
                  <c:v>8561.9775389999995</c:v>
                </c:pt>
                <c:pt idx="11">
                  <c:v>7643.7426759999998</c:v>
                </c:pt>
                <c:pt idx="12">
                  <c:v>7643.7426759999998</c:v>
                </c:pt>
                <c:pt idx="13">
                  <c:v>7187.8037109999996</c:v>
                </c:pt>
                <c:pt idx="14">
                  <c:v>10108.418944999999</c:v>
                </c:pt>
                <c:pt idx="15">
                  <c:v>9588.1044920000004</c:v>
                </c:pt>
                <c:pt idx="16">
                  <c:v>11731.357421999999</c:v>
                </c:pt>
                <c:pt idx="17">
                  <c:v>8359.4755860000005</c:v>
                </c:pt>
                <c:pt idx="18">
                  <c:v>17801.740234000001</c:v>
                </c:pt>
                <c:pt idx="19">
                  <c:v>19057.802734000001</c:v>
                </c:pt>
                <c:pt idx="20">
                  <c:v>21119.693359000001</c:v>
                </c:pt>
                <c:pt idx="21">
                  <c:v>24171.101562</c:v>
                </c:pt>
                <c:pt idx="22">
                  <c:v>11659.515625</c:v>
                </c:pt>
                <c:pt idx="23">
                  <c:v>10692.170898</c:v>
                </c:pt>
                <c:pt idx="24">
                  <c:v>16358.929688</c:v>
                </c:pt>
                <c:pt idx="25">
                  <c:v>17376.572265999999</c:v>
                </c:pt>
                <c:pt idx="26">
                  <c:v>14669.231444999999</c:v>
                </c:pt>
                <c:pt idx="27">
                  <c:v>16713.119140999999</c:v>
                </c:pt>
                <c:pt idx="28">
                  <c:v>18654.271484000001</c:v>
                </c:pt>
                <c:pt idx="29">
                  <c:v>17249.841797000001</c:v>
                </c:pt>
                <c:pt idx="30">
                  <c:v>21832.712890999999</c:v>
                </c:pt>
                <c:pt idx="31">
                  <c:v>19621.810547000001</c:v>
                </c:pt>
                <c:pt idx="32">
                  <c:v>23376.226562</c:v>
                </c:pt>
                <c:pt idx="33">
                  <c:v>22167.529297000001</c:v>
                </c:pt>
                <c:pt idx="34">
                  <c:v>24292.134765999999</c:v>
                </c:pt>
                <c:pt idx="35">
                  <c:v>22000.673827999999</c:v>
                </c:pt>
                <c:pt idx="36">
                  <c:v>14407.948242</c:v>
                </c:pt>
                <c:pt idx="37">
                  <c:v>27040.994140999999</c:v>
                </c:pt>
                <c:pt idx="38">
                  <c:v>15905.451171999999</c:v>
                </c:pt>
                <c:pt idx="39">
                  <c:v>13016.474609000001</c:v>
                </c:pt>
                <c:pt idx="40">
                  <c:v>22583.816406000002</c:v>
                </c:pt>
                <c:pt idx="41">
                  <c:v>19137.306640999999</c:v>
                </c:pt>
                <c:pt idx="42">
                  <c:v>16957.322265999999</c:v>
                </c:pt>
                <c:pt idx="43">
                  <c:v>12230.083008</c:v>
                </c:pt>
                <c:pt idx="44">
                  <c:v>21921.298827999999</c:v>
                </c:pt>
                <c:pt idx="45">
                  <c:v>23623.019531000002</c:v>
                </c:pt>
                <c:pt idx="46">
                  <c:v>21304.689452999999</c:v>
                </c:pt>
                <c:pt idx="47">
                  <c:v>21972.509765999999</c:v>
                </c:pt>
                <c:pt idx="48">
                  <c:v>20587.421875</c:v>
                </c:pt>
                <c:pt idx="49">
                  <c:v>12899.105469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I_8_WB!$J$2:$J$52</c:f>
              <c:numCache>
                <c:formatCode>0%</c:formatCode>
                <c:ptCount val="50"/>
                <c:pt idx="0">
                  <c:v>-0.60698131784386622</c:v>
                </c:pt>
                <c:pt idx="1">
                  <c:v>-0.53209532523467695</c:v>
                </c:pt>
                <c:pt idx="2">
                  <c:v>-0.43241098858968507</c:v>
                </c:pt>
                <c:pt idx="3">
                  <c:v>-0.1283578343288827</c:v>
                </c:pt>
                <c:pt idx="4">
                  <c:v>-0.19011411547154311</c:v>
                </c:pt>
                <c:pt idx="5">
                  <c:v>-0.2240161811111111</c:v>
                </c:pt>
                <c:pt idx="6">
                  <c:v>-0.16934001080834216</c:v>
                </c:pt>
                <c:pt idx="7">
                  <c:v>-0.20764608555783703</c:v>
                </c:pt>
                <c:pt idx="8">
                  <c:v>-0.12451300792079201</c:v>
                </c:pt>
                <c:pt idx="9">
                  <c:v>-0.12355639891493508</c:v>
                </c:pt>
                <c:pt idx="10">
                  <c:v>-0.12355639891493508</c:v>
                </c:pt>
                <c:pt idx="11">
                  <c:v>-0.1259299398513436</c:v>
                </c:pt>
                <c:pt idx="12">
                  <c:v>-0.1259299398513436</c:v>
                </c:pt>
                <c:pt idx="13">
                  <c:v>-0.13295492026538003</c:v>
                </c:pt>
                <c:pt idx="14">
                  <c:v>-0.2050629958320227</c:v>
                </c:pt>
                <c:pt idx="15">
                  <c:v>-0.20470267982747181</c:v>
                </c:pt>
                <c:pt idx="16">
                  <c:v>0.17749246431797649</c:v>
                </c:pt>
                <c:pt idx="17">
                  <c:v>-0.16563772971354418</c:v>
                </c:pt>
                <c:pt idx="18">
                  <c:v>-3.5397440585207218E-2</c:v>
                </c:pt>
                <c:pt idx="19">
                  <c:v>-1.0498300415368589E-2</c:v>
                </c:pt>
                <c:pt idx="20">
                  <c:v>-2.0104237971512062E-2</c:v>
                </c:pt>
                <c:pt idx="21">
                  <c:v>-0.10712195478556386</c:v>
                </c:pt>
                <c:pt idx="22">
                  <c:v>-2.5205616169216571E-2</c:v>
                </c:pt>
                <c:pt idx="23">
                  <c:v>-9.7630947928095124E-2</c:v>
                </c:pt>
                <c:pt idx="24">
                  <c:v>-0.14234404487784413</c:v>
                </c:pt>
                <c:pt idx="25">
                  <c:v>-0.15532897793116862</c:v>
                </c:pt>
                <c:pt idx="26">
                  <c:v>-0.10722223571298162</c:v>
                </c:pt>
                <c:pt idx="27">
                  <c:v>-1.0062243617840472E-2</c:v>
                </c:pt>
                <c:pt idx="28">
                  <c:v>-2.2312815303983213E-2</c:v>
                </c:pt>
                <c:pt idx="29">
                  <c:v>-1.3618378488106098E-2</c:v>
                </c:pt>
                <c:pt idx="30">
                  <c:v>0.149332116814066</c:v>
                </c:pt>
                <c:pt idx="31">
                  <c:v>6.2246131821134698E-2</c:v>
                </c:pt>
                <c:pt idx="32">
                  <c:v>2.6353466894977196E-2</c:v>
                </c:pt>
                <c:pt idx="33">
                  <c:v>-1.3285440354313116E-2</c:v>
                </c:pt>
                <c:pt idx="34">
                  <c:v>-7.5931544243811322E-3</c:v>
                </c:pt>
                <c:pt idx="35">
                  <c:v>-3.6283944631827936E-2</c:v>
                </c:pt>
                <c:pt idx="36">
                  <c:v>-5.0171518096117085E-2</c:v>
                </c:pt>
                <c:pt idx="37">
                  <c:v>0.22991877290093687</c:v>
                </c:pt>
                <c:pt idx="38">
                  <c:v>-9.8023637745264902E-2</c:v>
                </c:pt>
                <c:pt idx="39">
                  <c:v>-0.16705224233698079</c:v>
                </c:pt>
                <c:pt idx="40">
                  <c:v>-0.12867717095566955</c:v>
                </c:pt>
                <c:pt idx="41">
                  <c:v>-0.21597334421729697</c:v>
                </c:pt>
                <c:pt idx="42">
                  <c:v>-0.16462277619587173</c:v>
                </c:pt>
                <c:pt idx="43">
                  <c:v>-0.32879188804127113</c:v>
                </c:pt>
                <c:pt idx="44">
                  <c:v>-9.8897926445795648E-4</c:v>
                </c:pt>
                <c:pt idx="45">
                  <c:v>3.6051906977764281E-2</c:v>
                </c:pt>
                <c:pt idx="46">
                  <c:v>-4.0286073561872193E-2</c:v>
                </c:pt>
                <c:pt idx="47">
                  <c:v>-1.0202722374881734E-2</c:v>
                </c:pt>
                <c:pt idx="48">
                  <c:v>1.0574409729039891E-2</c:v>
                </c:pt>
                <c:pt idx="49">
                  <c:v>-4.4298327850633479E-2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89984"/>
        <c:axId val="395691520"/>
      </c:lineChart>
      <c:catAx>
        <c:axId val="3956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95691520"/>
        <c:crosses val="autoZero"/>
        <c:auto val="1"/>
        <c:lblAlgn val="ctr"/>
        <c:lblOffset val="1000"/>
        <c:noMultiLvlLbl val="0"/>
      </c:catAx>
      <c:valAx>
        <c:axId val="39569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5689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SR_78_WB!$H$2:$H$28</c:f>
              <c:numCache>
                <c:formatCode>0</c:formatCode>
                <c:ptCount val="26"/>
                <c:pt idx="0">
                  <c:v>8363</c:v>
                </c:pt>
                <c:pt idx="1">
                  <c:v>5453</c:v>
                </c:pt>
                <c:pt idx="2">
                  <c:v>18328</c:v>
                </c:pt>
                <c:pt idx="3">
                  <c:v>15330</c:v>
                </c:pt>
                <c:pt idx="4">
                  <c:v>14890</c:v>
                </c:pt>
                <c:pt idx="5">
                  <c:v>17628</c:v>
                </c:pt>
                <c:pt idx="6">
                  <c:v>16167</c:v>
                </c:pt>
                <c:pt idx="7">
                  <c:v>15802</c:v>
                </c:pt>
                <c:pt idx="8">
                  <c:v>16187</c:v>
                </c:pt>
                <c:pt idx="9">
                  <c:v>13498</c:v>
                </c:pt>
                <c:pt idx="10">
                  <c:v>18053</c:v>
                </c:pt>
                <c:pt idx="11">
                  <c:v>16131</c:v>
                </c:pt>
                <c:pt idx="12">
                  <c:v>17701</c:v>
                </c:pt>
                <c:pt idx="13">
                  <c:v>14936</c:v>
                </c:pt>
                <c:pt idx="14">
                  <c:v>17762</c:v>
                </c:pt>
                <c:pt idx="15">
                  <c:v>15856</c:v>
                </c:pt>
                <c:pt idx="16">
                  <c:v>12472</c:v>
                </c:pt>
                <c:pt idx="17">
                  <c:v>12472</c:v>
                </c:pt>
                <c:pt idx="18">
                  <c:v>14491</c:v>
                </c:pt>
                <c:pt idx="19">
                  <c:v>12863</c:v>
                </c:pt>
                <c:pt idx="20">
                  <c:v>11913</c:v>
                </c:pt>
                <c:pt idx="21">
                  <c:v>13748</c:v>
                </c:pt>
                <c:pt idx="22">
                  <c:v>15506</c:v>
                </c:pt>
                <c:pt idx="23">
                  <c:v>11514</c:v>
                </c:pt>
                <c:pt idx="24">
                  <c:v>11696</c:v>
                </c:pt>
                <c:pt idx="25">
                  <c:v>11402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SR_78_WB!$I$2:$I$28</c:f>
              <c:numCache>
                <c:formatCode>0</c:formatCode>
                <c:ptCount val="26"/>
                <c:pt idx="0">
                  <c:v>9939.8212889999995</c:v>
                </c:pt>
                <c:pt idx="1">
                  <c:v>8255.8037110000005</c:v>
                </c:pt>
                <c:pt idx="2">
                  <c:v>22530.097656000002</c:v>
                </c:pt>
                <c:pt idx="3">
                  <c:v>20062.041015999999</c:v>
                </c:pt>
                <c:pt idx="4">
                  <c:v>22982.552734000001</c:v>
                </c:pt>
                <c:pt idx="5">
                  <c:v>21649.298827999999</c:v>
                </c:pt>
                <c:pt idx="6">
                  <c:v>20594.105468999998</c:v>
                </c:pt>
                <c:pt idx="7">
                  <c:v>19872.023438</c:v>
                </c:pt>
                <c:pt idx="8">
                  <c:v>20437.679688</c:v>
                </c:pt>
                <c:pt idx="9">
                  <c:v>16431.582031000002</c:v>
                </c:pt>
                <c:pt idx="10">
                  <c:v>16431.582031000002</c:v>
                </c:pt>
                <c:pt idx="11">
                  <c:v>18936.142577999999</c:v>
                </c:pt>
                <c:pt idx="12">
                  <c:v>21085.214843999998</c:v>
                </c:pt>
                <c:pt idx="13">
                  <c:v>17853.105468999998</c:v>
                </c:pt>
                <c:pt idx="14">
                  <c:v>18103.460938</c:v>
                </c:pt>
                <c:pt idx="15">
                  <c:v>15585.291992</c:v>
                </c:pt>
                <c:pt idx="16">
                  <c:v>13471.100586</c:v>
                </c:pt>
                <c:pt idx="17">
                  <c:v>13471.100586</c:v>
                </c:pt>
                <c:pt idx="18">
                  <c:v>14762.392578000001</c:v>
                </c:pt>
                <c:pt idx="19">
                  <c:v>12627.659180000001</c:v>
                </c:pt>
                <c:pt idx="20">
                  <c:v>11507.895508</c:v>
                </c:pt>
                <c:pt idx="21">
                  <c:v>12686.825194999999</c:v>
                </c:pt>
                <c:pt idx="22">
                  <c:v>14225.608398</c:v>
                </c:pt>
                <c:pt idx="23">
                  <c:v>11301.975586</c:v>
                </c:pt>
                <c:pt idx="24">
                  <c:v>11245.690430000001</c:v>
                </c:pt>
                <c:pt idx="25">
                  <c:v>12113.695312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SR_78_WB!$D$2:$D$28</c:f>
              <c:numCache>
                <c:formatCode>0</c:formatCode>
                <c:ptCount val="26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21</c:v>
                </c:pt>
                <c:pt idx="10">
                  <c:v>22</c:v>
                </c:pt>
                <c:pt idx="11">
                  <c:v>24</c:v>
                </c:pt>
                <c:pt idx="12">
                  <c:v>25</c:v>
                </c:pt>
                <c:pt idx="13">
                  <c:v>29</c:v>
                </c:pt>
                <c:pt idx="14">
                  <c:v>31</c:v>
                </c:pt>
                <c:pt idx="15">
                  <c:v>33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48</c:v>
                </c:pt>
                <c:pt idx="2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SR_78_WB!$J$2:$J$28</c:f>
              <c:numCache>
                <c:formatCode>0%</c:formatCode>
                <c:ptCount val="26"/>
                <c:pt idx="0">
                  <c:v>0.18854732619873249</c:v>
                </c:pt>
                <c:pt idx="1">
                  <c:v>0.51399297836053548</c:v>
                </c:pt>
                <c:pt idx="2">
                  <c:v>0.22927202400698388</c:v>
                </c:pt>
                <c:pt idx="3">
                  <c:v>0.30867847462491849</c:v>
                </c:pt>
                <c:pt idx="4">
                  <c:v>0.5434891023505708</c:v>
                </c:pt>
                <c:pt idx="5">
                  <c:v>0.22811996982073968</c:v>
                </c:pt>
                <c:pt idx="6">
                  <c:v>0.27383592930042666</c:v>
                </c:pt>
                <c:pt idx="7">
                  <c:v>0.25756381711175802</c:v>
                </c:pt>
                <c:pt idx="8">
                  <c:v>0.26259836214245991</c:v>
                </c:pt>
                <c:pt idx="9">
                  <c:v>0.21733457038079718</c:v>
                </c:pt>
                <c:pt idx="10">
                  <c:v>-8.9814322771838428E-2</c:v>
                </c:pt>
                <c:pt idx="11">
                  <c:v>0.17389762432583211</c:v>
                </c:pt>
                <c:pt idx="12">
                  <c:v>0.1911877771877295</c:v>
                </c:pt>
                <c:pt idx="13">
                  <c:v>0.19530700783342247</c:v>
                </c:pt>
                <c:pt idx="14">
                  <c:v>1.9224239274856503E-2</c:v>
                </c:pt>
                <c:pt idx="15">
                  <c:v>-1.7072906659939435E-2</c:v>
                </c:pt>
                <c:pt idx="16">
                  <c:v>8.0107487652341325E-2</c:v>
                </c:pt>
                <c:pt idx="17">
                  <c:v>8.0107487652341325E-2</c:v>
                </c:pt>
                <c:pt idx="18">
                  <c:v>1.8728354012835569E-2</c:v>
                </c:pt>
                <c:pt idx="19">
                  <c:v>-1.8295951177796699E-2</c:v>
                </c:pt>
                <c:pt idx="20">
                  <c:v>-3.4005245697977027E-2</c:v>
                </c:pt>
                <c:pt idx="21">
                  <c:v>-7.7187576738434682E-2</c:v>
                </c:pt>
                <c:pt idx="22">
                  <c:v>-8.2573945698439344E-2</c:v>
                </c:pt>
                <c:pt idx="23">
                  <c:v>-1.8414487927740142E-2</c:v>
                </c:pt>
                <c:pt idx="24">
                  <c:v>-3.8501160225718145E-2</c:v>
                </c:pt>
                <c:pt idx="25">
                  <c:v>6.2418462725837509E-2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44768"/>
        <c:axId val="386085248"/>
      </c:lineChart>
      <c:catAx>
        <c:axId val="40694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6085248"/>
        <c:crosses val="autoZero"/>
        <c:auto val="1"/>
        <c:lblAlgn val="ctr"/>
        <c:lblOffset val="1000"/>
        <c:noMultiLvlLbl val="0"/>
      </c:catAx>
      <c:valAx>
        <c:axId val="386085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6944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GENESEE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SR_52_WB!$H$2:$H$19</c:f>
              <c:numCache>
                <c:formatCode>0</c:formatCode>
                <c:ptCount val="18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6513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8018</c:v>
                </c:pt>
                <c:pt idx="9">
                  <c:v>6082</c:v>
                </c:pt>
                <c:pt idx="10">
                  <c:v>11348</c:v>
                </c:pt>
                <c:pt idx="11">
                  <c:v>11783</c:v>
                </c:pt>
                <c:pt idx="12">
                  <c:v>14191</c:v>
                </c:pt>
                <c:pt idx="13">
                  <c:v>6954</c:v>
                </c:pt>
                <c:pt idx="14">
                  <c:v>10718</c:v>
                </c:pt>
                <c:pt idx="15">
                  <c:v>9018</c:v>
                </c:pt>
                <c:pt idx="16">
                  <c:v>10361</c:v>
                </c:pt>
                <c:pt idx="17">
                  <c:v>7981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GENESEE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SR_52_WB!$I$2:$I$19</c:f>
              <c:numCache>
                <c:formatCode>0</c:formatCode>
                <c:ptCount val="18"/>
                <c:pt idx="0">
                  <c:v>8879.09375</c:v>
                </c:pt>
                <c:pt idx="1">
                  <c:v>9422.9111329999996</c:v>
                </c:pt>
                <c:pt idx="2">
                  <c:v>11403.620117</c:v>
                </c:pt>
                <c:pt idx="3">
                  <c:v>11403.620117</c:v>
                </c:pt>
                <c:pt idx="4">
                  <c:v>11044.945312</c:v>
                </c:pt>
                <c:pt idx="5">
                  <c:v>13229.370117</c:v>
                </c:pt>
                <c:pt idx="6">
                  <c:v>13229.370117</c:v>
                </c:pt>
                <c:pt idx="7">
                  <c:v>14314.711914</c:v>
                </c:pt>
                <c:pt idx="8">
                  <c:v>14314.711914</c:v>
                </c:pt>
                <c:pt idx="9">
                  <c:v>7529.5283200000003</c:v>
                </c:pt>
                <c:pt idx="10">
                  <c:v>13876.410156</c:v>
                </c:pt>
                <c:pt idx="11">
                  <c:v>13876.410156</c:v>
                </c:pt>
                <c:pt idx="12">
                  <c:v>17090.572265999999</c:v>
                </c:pt>
                <c:pt idx="13">
                  <c:v>7475.0463870000003</c:v>
                </c:pt>
                <c:pt idx="14">
                  <c:v>12089.399414</c:v>
                </c:pt>
                <c:pt idx="15">
                  <c:v>8092.0366210000002</c:v>
                </c:pt>
                <c:pt idx="16">
                  <c:v>9955.1308590000008</c:v>
                </c:pt>
                <c:pt idx="17">
                  <c:v>8158.8969729999999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SR_52_WB!$D$2:$D$19</c:f>
              <c:numCache>
                <c:formatCode>0</c:formatCode>
                <c:ptCount val="18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SR_52_WB!$J$2:$J$19</c:f>
              <c:numCache>
                <c:formatCode>0%</c:formatCode>
                <c:ptCount val="18"/>
                <c:pt idx="0">
                  <c:v>8.6792380660954738E-2</c:v>
                </c:pt>
                <c:pt idx="1">
                  <c:v>8.1849728243398312E-2</c:v>
                </c:pt>
                <c:pt idx="2">
                  <c:v>0.5310982971267455</c:v>
                </c:pt>
                <c:pt idx="3">
                  <c:v>0.5251598391065937</c:v>
                </c:pt>
                <c:pt idx="4">
                  <c:v>0.69583069430370026</c:v>
                </c:pt>
                <c:pt idx="5">
                  <c:v>0.71765387133212166</c:v>
                </c:pt>
                <c:pt idx="6">
                  <c:v>0.75293098144958259</c:v>
                </c:pt>
                <c:pt idx="7">
                  <c:v>0.80558929288597381</c:v>
                </c:pt>
                <c:pt idx="8">
                  <c:v>0.7853220147168869</c:v>
                </c:pt>
                <c:pt idx="9">
                  <c:v>0.23800202564945749</c:v>
                </c:pt>
                <c:pt idx="10">
                  <c:v>0.2228066757137821</c:v>
                </c:pt>
                <c:pt idx="11">
                  <c:v>0.17766359636764828</c:v>
                </c:pt>
                <c:pt idx="12">
                  <c:v>0.20432473159044462</c:v>
                </c:pt>
                <c:pt idx="13">
                  <c:v>7.4927579378774922E-2</c:v>
                </c:pt>
                <c:pt idx="14">
                  <c:v>0.12795292162716931</c:v>
                </c:pt>
                <c:pt idx="15">
                  <c:v>-0.10267946096695491</c:v>
                </c:pt>
                <c:pt idx="16">
                  <c:v>-3.917277685551579E-2</c:v>
                </c:pt>
                <c:pt idx="17">
                  <c:v>2.2290060518731947E-2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65248"/>
        <c:axId val="395766784"/>
      </c:lineChart>
      <c:catAx>
        <c:axId val="39576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5766784"/>
        <c:crosses val="autoZero"/>
        <c:auto val="1"/>
        <c:lblAlgn val="ctr"/>
        <c:lblOffset val="1000"/>
        <c:noMultiLvlLbl val="0"/>
      </c:catAx>
      <c:valAx>
        <c:axId val="395766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5765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SR_54_WB!$H$2:$H$8</c:f>
              <c:numCache>
                <c:formatCode>0</c:formatCode>
                <c:ptCount val="7"/>
                <c:pt idx="0">
                  <c:v>13806</c:v>
                </c:pt>
                <c:pt idx="1">
                  <c:v>12547</c:v>
                </c:pt>
                <c:pt idx="2">
                  <c:v>13595</c:v>
                </c:pt>
                <c:pt idx="3">
                  <c:v>15144</c:v>
                </c:pt>
                <c:pt idx="4">
                  <c:v>13756</c:v>
                </c:pt>
                <c:pt idx="5">
                  <c:v>15465</c:v>
                </c:pt>
                <c:pt idx="6">
                  <c:v>10619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SR_54_WB!$I$2:$I$8</c:f>
              <c:numCache>
                <c:formatCode>0</c:formatCode>
                <c:ptCount val="7"/>
                <c:pt idx="0">
                  <c:v>12125.403319999999</c:v>
                </c:pt>
                <c:pt idx="1">
                  <c:v>9904.4990230000003</c:v>
                </c:pt>
                <c:pt idx="2">
                  <c:v>10434.219727</c:v>
                </c:pt>
                <c:pt idx="3">
                  <c:v>11792.741211</c:v>
                </c:pt>
                <c:pt idx="4">
                  <c:v>10629.482421999999</c:v>
                </c:pt>
                <c:pt idx="5">
                  <c:v>11886.195312</c:v>
                </c:pt>
                <c:pt idx="6">
                  <c:v>9153.0332030000009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SR_54_WB!$D$2:$D$8</c:f>
              <c:numCache>
                <c:formatCode>0</c:formatCode>
                <c:ptCount val="7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SR_54_WB!$J$2:$J$8</c:f>
              <c:numCache>
                <c:formatCode>0%</c:formatCode>
                <c:ptCount val="7"/>
                <c:pt idx="0">
                  <c:v>-0.1217294422714762</c:v>
                </c:pt>
                <c:pt idx="1">
                  <c:v>-0.21060819136048459</c:v>
                </c:pt>
                <c:pt idx="2">
                  <c:v>-0.23249579058477388</c:v>
                </c:pt>
                <c:pt idx="3">
                  <c:v>-0.2212928413232963</c:v>
                </c:pt>
                <c:pt idx="4">
                  <c:v>-0.22728391814480964</c:v>
                </c:pt>
                <c:pt idx="5">
                  <c:v>-0.23141317090203684</c:v>
                </c:pt>
                <c:pt idx="6">
                  <c:v>-0.1380513039834258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56384"/>
        <c:axId val="407057920"/>
      </c:lineChart>
      <c:catAx>
        <c:axId val="40705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7057920"/>
        <c:crosses val="autoZero"/>
        <c:auto val="1"/>
        <c:lblAlgn val="ctr"/>
        <c:lblOffset val="1000"/>
        <c:noMultiLvlLbl val="0"/>
      </c:catAx>
      <c:valAx>
        <c:axId val="4070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7056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SR_56_WB!$H$2:$H$16</c:f>
              <c:numCache>
                <c:formatCode>0</c:formatCode>
                <c:ptCount val="15"/>
                <c:pt idx="0">
                  <c:v>8295</c:v>
                </c:pt>
                <c:pt idx="1">
                  <c:v>6773</c:v>
                </c:pt>
                <c:pt idx="2">
                  <c:v>8306</c:v>
                </c:pt>
                <c:pt idx="3">
                  <c:v>5505</c:v>
                </c:pt>
                <c:pt idx="4">
                  <c:v>7385</c:v>
                </c:pt>
                <c:pt idx="5">
                  <c:v>4831</c:v>
                </c:pt>
                <c:pt idx="6">
                  <c:v>4856</c:v>
                </c:pt>
                <c:pt idx="7">
                  <c:v>5806</c:v>
                </c:pt>
                <c:pt idx="8">
                  <c:v>5188</c:v>
                </c:pt>
                <c:pt idx="9">
                  <c:v>5917</c:v>
                </c:pt>
                <c:pt idx="10">
                  <c:v>5886</c:v>
                </c:pt>
                <c:pt idx="11">
                  <c:v>5024</c:v>
                </c:pt>
                <c:pt idx="12">
                  <c:v>6492</c:v>
                </c:pt>
                <c:pt idx="13">
                  <c:v>5669</c:v>
                </c:pt>
                <c:pt idx="14">
                  <c:v>7326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SR_56_WB!$I$2:$I$16</c:f>
              <c:numCache>
                <c:formatCode>0</c:formatCode>
                <c:ptCount val="15"/>
                <c:pt idx="0">
                  <c:v>9277.9501949999994</c:v>
                </c:pt>
                <c:pt idx="1">
                  <c:v>7423.748047</c:v>
                </c:pt>
                <c:pt idx="2">
                  <c:v>8477.9013670000004</c:v>
                </c:pt>
                <c:pt idx="3">
                  <c:v>6504.1083980000003</c:v>
                </c:pt>
                <c:pt idx="4">
                  <c:v>9097.2070309999999</c:v>
                </c:pt>
                <c:pt idx="5">
                  <c:v>6530.1904299999997</c:v>
                </c:pt>
                <c:pt idx="6">
                  <c:v>6530.1904299999997</c:v>
                </c:pt>
                <c:pt idx="7">
                  <c:v>7528.3403319999998</c:v>
                </c:pt>
                <c:pt idx="8">
                  <c:v>7528.3403319999998</c:v>
                </c:pt>
                <c:pt idx="9">
                  <c:v>6405.9536129999997</c:v>
                </c:pt>
                <c:pt idx="10">
                  <c:v>8087.0600590000004</c:v>
                </c:pt>
                <c:pt idx="11">
                  <c:v>6414.8808589999999</c:v>
                </c:pt>
                <c:pt idx="12">
                  <c:v>7865.9296880000002</c:v>
                </c:pt>
                <c:pt idx="13">
                  <c:v>7121.3784180000002</c:v>
                </c:pt>
                <c:pt idx="14">
                  <c:v>8740.6875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SR_56_WB!$D$2:$D$16</c:f>
              <c:numCache>
                <c:formatCode>0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SR_56_WB!$J$2:$J$16</c:f>
              <c:numCache>
                <c:formatCode>0%</c:formatCode>
                <c:ptCount val="15"/>
                <c:pt idx="0">
                  <c:v>0.11849911934900526</c:v>
                </c:pt>
                <c:pt idx="1">
                  <c:v>9.6079735272405209E-2</c:v>
                </c:pt>
                <c:pt idx="2">
                  <c:v>2.06960470744042E-2</c:v>
                </c:pt>
                <c:pt idx="3">
                  <c:v>0.18149108047229801</c:v>
                </c:pt>
                <c:pt idx="4">
                  <c:v>0.23184929329722404</c:v>
                </c:pt>
                <c:pt idx="5">
                  <c:v>0.35172643966052575</c:v>
                </c:pt>
                <c:pt idx="6">
                  <c:v>0.34476738673805585</c:v>
                </c:pt>
                <c:pt idx="7">
                  <c:v>0.29664835204960371</c:v>
                </c:pt>
                <c:pt idx="8">
                  <c:v>0.45110646337702387</c:v>
                </c:pt>
                <c:pt idx="9">
                  <c:v>8.2635391752577281E-2</c:v>
                </c:pt>
                <c:pt idx="10">
                  <c:v>0.37394836204553172</c:v>
                </c:pt>
                <c:pt idx="11">
                  <c:v>0.27684730473726105</c:v>
                </c:pt>
                <c:pt idx="12">
                  <c:v>0.21163427110289579</c:v>
                </c:pt>
                <c:pt idx="13">
                  <c:v>0.25619658105485987</c:v>
                </c:pt>
                <c:pt idx="14">
                  <c:v>0.19310503685503688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10080"/>
        <c:axId val="436111616"/>
      </c:lineChart>
      <c:catAx>
        <c:axId val="43611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6111616"/>
        <c:crosses val="autoZero"/>
        <c:auto val="1"/>
        <c:lblAlgn val="ctr"/>
        <c:lblOffset val="1000"/>
        <c:noMultiLvlLbl val="0"/>
      </c:catAx>
      <c:valAx>
        <c:axId val="436111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6110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SR_905_WB!$H$2:$H$14</c:f>
              <c:numCache>
                <c:formatCode>0</c:formatCode>
                <c:ptCount val="13"/>
                <c:pt idx="0">
                  <c:v>3469</c:v>
                </c:pt>
                <c:pt idx="1">
                  <c:v>3809</c:v>
                </c:pt>
                <c:pt idx="2">
                  <c:v>6715</c:v>
                </c:pt>
                <c:pt idx="3">
                  <c:v>5378</c:v>
                </c:pt>
                <c:pt idx="4">
                  <c:v>6293</c:v>
                </c:pt>
                <c:pt idx="5">
                  <c:v>8477</c:v>
                </c:pt>
                <c:pt idx="6">
                  <c:v>7444</c:v>
                </c:pt>
                <c:pt idx="7">
                  <c:v>12493</c:v>
                </c:pt>
                <c:pt idx="8">
                  <c:v>9861</c:v>
                </c:pt>
                <c:pt idx="9">
                  <c:v>9980</c:v>
                </c:pt>
                <c:pt idx="10">
                  <c:v>9515</c:v>
                </c:pt>
                <c:pt idx="11">
                  <c:v>4828</c:v>
                </c:pt>
                <c:pt idx="12">
                  <c:v>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SR_905_WB!$I$2:$I$14</c:f>
              <c:numCache>
                <c:formatCode>0</c:formatCode>
                <c:ptCount val="13"/>
                <c:pt idx="0">
                  <c:v>1967.7967530000001</c:v>
                </c:pt>
                <c:pt idx="1">
                  <c:v>1783.061279</c:v>
                </c:pt>
                <c:pt idx="2">
                  <c:v>3780.9726559999999</c:v>
                </c:pt>
                <c:pt idx="3">
                  <c:v>3744.255615</c:v>
                </c:pt>
                <c:pt idx="4">
                  <c:v>6076.7934569999998</c:v>
                </c:pt>
                <c:pt idx="5">
                  <c:v>7753.8090819999998</c:v>
                </c:pt>
                <c:pt idx="6">
                  <c:v>7584.6748049999997</c:v>
                </c:pt>
                <c:pt idx="7">
                  <c:v>9526.1855469999991</c:v>
                </c:pt>
                <c:pt idx="8">
                  <c:v>9526.1855469999991</c:v>
                </c:pt>
                <c:pt idx="9">
                  <c:v>9390.5439449999994</c:v>
                </c:pt>
                <c:pt idx="10">
                  <c:v>10515.410156</c:v>
                </c:pt>
                <c:pt idx="11">
                  <c:v>4749.0805659999996</c:v>
                </c:pt>
                <c:pt idx="12">
                  <c:v>6313.6069340000004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SR_905_WB!$D$2:$D$14</c:f>
              <c:numCache>
                <c:formatCode>0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2</c:v>
                </c:pt>
                <c:pt idx="11">
                  <c:v>3</c:v>
                </c:pt>
                <c:pt idx="1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SR_905_WB!$J$2:$J$14</c:f>
              <c:numCache>
                <c:formatCode>0%</c:formatCode>
                <c:ptCount val="13"/>
                <c:pt idx="0">
                  <c:v>-0.43274812539636776</c:v>
                </c:pt>
                <c:pt idx="1">
                  <c:v>-0.53188204804410599</c:v>
                </c:pt>
                <c:pt idx="2">
                  <c:v>-0.43693631332836935</c:v>
                </c:pt>
                <c:pt idx="3">
                  <c:v>-0.30378289047973228</c:v>
                </c:pt>
                <c:pt idx="4">
                  <c:v>-3.4356672969966695E-2</c:v>
                </c:pt>
                <c:pt idx="5">
                  <c:v>-8.5312129055090224E-2</c:v>
                </c:pt>
                <c:pt idx="6">
                  <c:v>1.8897743820526447E-2</c:v>
                </c:pt>
                <c:pt idx="7">
                  <c:v>-0.23747814400064038</c:v>
                </c:pt>
                <c:pt idx="8">
                  <c:v>-3.3953397525605999E-2</c:v>
                </c:pt>
                <c:pt idx="9">
                  <c:v>-5.9063732965931925E-2</c:v>
                </c:pt>
                <c:pt idx="10">
                  <c:v>0.10514032117708871</c:v>
                </c:pt>
                <c:pt idx="11">
                  <c:v>-1.6346195940348029E-2</c:v>
                </c:pt>
                <c:pt idx="12">
                  <c:v>-0.15344503432555645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441344"/>
        <c:axId val="445649280"/>
      </c:lineChart>
      <c:catAx>
        <c:axId val="42644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5649280"/>
        <c:crosses val="autoZero"/>
        <c:auto val="1"/>
        <c:lblAlgn val="ctr"/>
        <c:lblOffset val="1000"/>
        <c:noMultiLvlLbl val="0"/>
      </c:catAx>
      <c:valAx>
        <c:axId val="44564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6441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6056</c:v>
                </c:pt>
                <c:pt idx="1">
                  <c:v>10717</c:v>
                </c:pt>
                <c:pt idx="2">
                  <c:v>10717</c:v>
                </c:pt>
                <c:pt idx="3">
                  <c:v>12928</c:v>
                </c:pt>
                <c:pt idx="4">
                  <c:v>15038</c:v>
                </c:pt>
                <c:pt idx="5">
                  <c:v>14242</c:v>
                </c:pt>
                <c:pt idx="6">
                  <c:v>13093</c:v>
                </c:pt>
                <c:pt idx="7">
                  <c:v>14371</c:v>
                </c:pt>
                <c:pt idx="8">
                  <c:v>15747</c:v>
                </c:pt>
                <c:pt idx="9">
                  <c:v>15038</c:v>
                </c:pt>
                <c:pt idx="10">
                  <c:v>18588</c:v>
                </c:pt>
                <c:pt idx="11">
                  <c:v>9141</c:v>
                </c:pt>
                <c:pt idx="12">
                  <c:v>12622</c:v>
                </c:pt>
                <c:pt idx="13">
                  <c:v>14485</c:v>
                </c:pt>
                <c:pt idx="14">
                  <c:v>11868</c:v>
                </c:pt>
                <c:pt idx="15">
                  <c:v>13758</c:v>
                </c:pt>
                <c:pt idx="16">
                  <c:v>12035</c:v>
                </c:pt>
                <c:pt idx="17">
                  <c:v>12035</c:v>
                </c:pt>
                <c:pt idx="18">
                  <c:v>11230</c:v>
                </c:pt>
                <c:pt idx="19">
                  <c:v>4738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9656.4921880000002</c:v>
                </c:pt>
                <c:pt idx="1">
                  <c:v>13709.029296999999</c:v>
                </c:pt>
                <c:pt idx="2">
                  <c:v>15583.491211</c:v>
                </c:pt>
                <c:pt idx="3">
                  <c:v>13342.835938</c:v>
                </c:pt>
                <c:pt idx="4">
                  <c:v>14596.053711</c:v>
                </c:pt>
                <c:pt idx="5">
                  <c:v>14042.169921999999</c:v>
                </c:pt>
                <c:pt idx="6">
                  <c:v>15519.583008</c:v>
                </c:pt>
                <c:pt idx="7">
                  <c:v>15430.521484000001</c:v>
                </c:pt>
                <c:pt idx="8">
                  <c:v>17249.279297000001</c:v>
                </c:pt>
                <c:pt idx="9">
                  <c:v>16941.630859000001</c:v>
                </c:pt>
                <c:pt idx="10">
                  <c:v>18551.257812</c:v>
                </c:pt>
                <c:pt idx="11">
                  <c:v>11687.135742</c:v>
                </c:pt>
                <c:pt idx="12">
                  <c:v>13892.342773</c:v>
                </c:pt>
                <c:pt idx="13">
                  <c:v>15504.049805000001</c:v>
                </c:pt>
                <c:pt idx="14">
                  <c:v>12675.560546999999</c:v>
                </c:pt>
                <c:pt idx="15">
                  <c:v>14145.419921999999</c:v>
                </c:pt>
                <c:pt idx="16">
                  <c:v>12521.715819999999</c:v>
                </c:pt>
                <c:pt idx="17">
                  <c:v>12742.094727</c:v>
                </c:pt>
                <c:pt idx="18">
                  <c:v>11834.413086</c:v>
                </c:pt>
                <c:pt idx="19">
                  <c:v>5167.0859380000002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SR_94_WB!$D$2:$D$21</c:f>
              <c:numCache>
                <c:formatCode>0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  <c:pt idx="11">
                  <c:v>23</c:v>
                </c:pt>
                <c:pt idx="12">
                  <c:v>24</c:v>
                </c:pt>
                <c:pt idx="13">
                  <c:v>26</c:v>
                </c:pt>
                <c:pt idx="14">
                  <c:v>27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SR_94_WB!$J$2:$J$21</c:f>
              <c:numCache>
                <c:formatCode>0%</c:formatCode>
                <c:ptCount val="20"/>
                <c:pt idx="0">
                  <c:v>0.59453305614266849</c:v>
                </c:pt>
                <c:pt idx="1">
                  <c:v>0.27918534076700552</c:v>
                </c:pt>
                <c:pt idx="2">
                  <c:v>0.45409081002146134</c:v>
                </c:pt>
                <c:pt idx="3">
                  <c:v>3.2088175897277305E-2</c:v>
                </c:pt>
                <c:pt idx="4">
                  <c:v>-2.938863472536235E-2</c:v>
                </c:pt>
                <c:pt idx="5">
                  <c:v>-1.4031040443757914E-2</c:v>
                </c:pt>
                <c:pt idx="6">
                  <c:v>0.18533437775910788</c:v>
                </c:pt>
                <c:pt idx="7">
                  <c:v>7.3726357525572439E-2</c:v>
                </c:pt>
                <c:pt idx="8">
                  <c:v>9.5400984123960253E-2</c:v>
                </c:pt>
                <c:pt idx="9">
                  <c:v>0.1265880342465755</c:v>
                </c:pt>
                <c:pt idx="10">
                  <c:v>-1.9766617172369827E-3</c:v>
                </c:pt>
                <c:pt idx="11">
                  <c:v>0.2785401752543486</c:v>
                </c:pt>
                <c:pt idx="12">
                  <c:v>0.1006451254159404</c:v>
                </c:pt>
                <c:pt idx="13">
                  <c:v>7.0352074905074335E-2</c:v>
                </c:pt>
                <c:pt idx="14">
                  <c:v>6.8045209555106068E-2</c:v>
                </c:pt>
                <c:pt idx="15">
                  <c:v>2.8159610553859515E-2</c:v>
                </c:pt>
                <c:pt idx="16">
                  <c:v>4.0441696717905984E-2</c:v>
                </c:pt>
                <c:pt idx="17">
                  <c:v>5.875319709181559E-2</c:v>
                </c:pt>
                <c:pt idx="18">
                  <c:v>5.3821289937667105E-2</c:v>
                </c:pt>
                <c:pt idx="19">
                  <c:v>9.0562671591388755E-2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90208"/>
        <c:axId val="455344896"/>
      </c:lineChart>
      <c:catAx>
        <c:axId val="4361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5344896"/>
        <c:crosses val="autoZero"/>
        <c:auto val="1"/>
        <c:lblAlgn val="ctr"/>
        <c:lblOffset val="1000"/>
        <c:noMultiLvlLbl val="0"/>
      </c:catAx>
      <c:valAx>
        <c:axId val="45534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6190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I_8_EB!$D$2:$D$41</c:f>
              <c:numCache>
                <c:formatCode>0</c:formatCode>
                <c:ptCount val="40"/>
                <c:pt idx="0">
                  <c:v>1</c:v>
                </c:pt>
                <c:pt idx="1">
                  <c:v>3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28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35</c:v>
                </c:pt>
                <c:pt idx="18">
                  <c:v>36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51</c:v>
                </c:pt>
                <c:pt idx="26">
                  <c:v>54</c:v>
                </c:pt>
                <c:pt idx="27">
                  <c:v>55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67</c:v>
                </c:pt>
                <c:pt idx="36">
                  <c:v>68</c:v>
                </c:pt>
                <c:pt idx="37">
                  <c:v>80</c:v>
                </c:pt>
                <c:pt idx="38">
                  <c:v>86</c:v>
                </c:pt>
                <c:pt idx="39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I_8_EB!$H$2:$H$41</c:f>
              <c:numCache>
                <c:formatCode>0</c:formatCode>
                <c:ptCount val="40"/>
                <c:pt idx="0">
                  <c:v>4715</c:v>
                </c:pt>
                <c:pt idx="1">
                  <c:v>12709</c:v>
                </c:pt>
                <c:pt idx="2">
                  <c:v>22897</c:v>
                </c:pt>
                <c:pt idx="3">
                  <c:v>25270</c:v>
                </c:pt>
                <c:pt idx="4">
                  <c:v>25270</c:v>
                </c:pt>
                <c:pt idx="5">
                  <c:v>25476</c:v>
                </c:pt>
                <c:pt idx="6">
                  <c:v>25023</c:v>
                </c:pt>
                <c:pt idx="7">
                  <c:v>30291</c:v>
                </c:pt>
                <c:pt idx="8">
                  <c:v>19235</c:v>
                </c:pt>
                <c:pt idx="9">
                  <c:v>23330</c:v>
                </c:pt>
                <c:pt idx="10">
                  <c:v>32396</c:v>
                </c:pt>
                <c:pt idx="11">
                  <c:v>22510</c:v>
                </c:pt>
                <c:pt idx="12">
                  <c:v>32759</c:v>
                </c:pt>
                <c:pt idx="13">
                  <c:v>32175</c:v>
                </c:pt>
                <c:pt idx="14">
                  <c:v>31197</c:v>
                </c:pt>
                <c:pt idx="15">
                  <c:v>29007</c:v>
                </c:pt>
                <c:pt idx="16">
                  <c:v>28021</c:v>
                </c:pt>
                <c:pt idx="17">
                  <c:v>28522</c:v>
                </c:pt>
                <c:pt idx="18">
                  <c:v>24159</c:v>
                </c:pt>
                <c:pt idx="19">
                  <c:v>23483</c:v>
                </c:pt>
                <c:pt idx="20">
                  <c:v>26961</c:v>
                </c:pt>
                <c:pt idx="21">
                  <c:v>21198</c:v>
                </c:pt>
                <c:pt idx="22">
                  <c:v>31372</c:v>
                </c:pt>
                <c:pt idx="23">
                  <c:v>24705</c:v>
                </c:pt>
                <c:pt idx="24">
                  <c:v>21546</c:v>
                </c:pt>
                <c:pt idx="25">
                  <c:v>20885</c:v>
                </c:pt>
                <c:pt idx="26">
                  <c:v>16047</c:v>
                </c:pt>
                <c:pt idx="27">
                  <c:v>15932</c:v>
                </c:pt>
                <c:pt idx="28">
                  <c:v>16600</c:v>
                </c:pt>
                <c:pt idx="29">
                  <c:v>11477</c:v>
                </c:pt>
                <c:pt idx="30">
                  <c:v>13517</c:v>
                </c:pt>
                <c:pt idx="31">
                  <c:v>10967</c:v>
                </c:pt>
                <c:pt idx="32">
                  <c:v>8529</c:v>
                </c:pt>
                <c:pt idx="33">
                  <c:v>8493</c:v>
                </c:pt>
                <c:pt idx="34">
                  <c:v>10341</c:v>
                </c:pt>
                <c:pt idx="35">
                  <c:v>7863</c:v>
                </c:pt>
                <c:pt idx="36">
                  <c:v>8246</c:v>
                </c:pt>
                <c:pt idx="37">
                  <c:v>2708</c:v>
                </c:pt>
                <c:pt idx="38">
                  <c:v>1915</c:v>
                </c:pt>
                <c:pt idx="39">
                  <c:v>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I_8_EB!$I$2:$I$41</c:f>
              <c:numCache>
                <c:formatCode>0</c:formatCode>
                <c:ptCount val="40"/>
                <c:pt idx="0">
                  <c:v>7030.4902339999999</c:v>
                </c:pt>
                <c:pt idx="1">
                  <c:v>12505.868164</c:v>
                </c:pt>
                <c:pt idx="2">
                  <c:v>25837.550781000002</c:v>
                </c:pt>
                <c:pt idx="3">
                  <c:v>24938.472656000002</c:v>
                </c:pt>
                <c:pt idx="4">
                  <c:v>28146.46875</c:v>
                </c:pt>
                <c:pt idx="5">
                  <c:v>28146.46875</c:v>
                </c:pt>
                <c:pt idx="6">
                  <c:v>26247.490234000001</c:v>
                </c:pt>
                <c:pt idx="7">
                  <c:v>32088.878906000002</c:v>
                </c:pt>
                <c:pt idx="8">
                  <c:v>20099.919922000001</c:v>
                </c:pt>
                <c:pt idx="9">
                  <c:v>22810.544922000001</c:v>
                </c:pt>
                <c:pt idx="10">
                  <c:v>35032.519530999998</c:v>
                </c:pt>
                <c:pt idx="11">
                  <c:v>24158.677734000001</c:v>
                </c:pt>
                <c:pt idx="12">
                  <c:v>39223.183594000002</c:v>
                </c:pt>
                <c:pt idx="13">
                  <c:v>36448.117187999997</c:v>
                </c:pt>
                <c:pt idx="14">
                  <c:v>37989.25</c:v>
                </c:pt>
                <c:pt idx="15">
                  <c:v>29659.685547000001</c:v>
                </c:pt>
                <c:pt idx="16">
                  <c:v>32558.337890999999</c:v>
                </c:pt>
                <c:pt idx="17">
                  <c:v>32062.892577999999</c:v>
                </c:pt>
                <c:pt idx="18">
                  <c:v>25169.216797000001</c:v>
                </c:pt>
                <c:pt idx="19">
                  <c:v>23689.3125</c:v>
                </c:pt>
                <c:pt idx="20">
                  <c:v>25857.818359000001</c:v>
                </c:pt>
                <c:pt idx="21">
                  <c:v>24746.496093999998</c:v>
                </c:pt>
                <c:pt idx="22">
                  <c:v>32211.630859000001</c:v>
                </c:pt>
                <c:pt idx="23">
                  <c:v>23383.609375</c:v>
                </c:pt>
                <c:pt idx="24">
                  <c:v>21720.689452999999</c:v>
                </c:pt>
                <c:pt idx="25">
                  <c:v>20818.507812</c:v>
                </c:pt>
                <c:pt idx="26">
                  <c:v>17381.960938</c:v>
                </c:pt>
                <c:pt idx="27">
                  <c:v>14283.464844</c:v>
                </c:pt>
                <c:pt idx="28">
                  <c:v>15158.868164</c:v>
                </c:pt>
                <c:pt idx="29">
                  <c:v>12497.608398</c:v>
                </c:pt>
                <c:pt idx="30">
                  <c:v>13287.690430000001</c:v>
                </c:pt>
                <c:pt idx="31">
                  <c:v>10658.822265999999</c:v>
                </c:pt>
                <c:pt idx="32">
                  <c:v>11264.482421999999</c:v>
                </c:pt>
                <c:pt idx="33">
                  <c:v>9066.1757809999999</c:v>
                </c:pt>
                <c:pt idx="34">
                  <c:v>9256.09375</c:v>
                </c:pt>
                <c:pt idx="35">
                  <c:v>8833.3300780000009</c:v>
                </c:pt>
                <c:pt idx="36">
                  <c:v>8869.7636719999991</c:v>
                </c:pt>
                <c:pt idx="37">
                  <c:v>3218.482422</c:v>
                </c:pt>
                <c:pt idx="38">
                  <c:v>2320.1208499999998</c:v>
                </c:pt>
                <c:pt idx="39">
                  <c:v>1830.634888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I_8_EB!$J$2:$J$41</c:f>
              <c:numCache>
                <c:formatCode>0%</c:formatCode>
                <c:ptCount val="40"/>
                <c:pt idx="0">
                  <c:v>0.49109018748674438</c:v>
                </c:pt>
                <c:pt idx="1">
                  <c:v>-1.5983306003619524E-2</c:v>
                </c:pt>
                <c:pt idx="2">
                  <c:v>0.12842515530418841</c:v>
                </c:pt>
                <c:pt idx="3">
                  <c:v>-1.3119404194697148E-2</c:v>
                </c:pt>
                <c:pt idx="4">
                  <c:v>0.11382939256034819</c:v>
                </c:pt>
                <c:pt idx="5">
                  <c:v>0.10482292157324546</c:v>
                </c:pt>
                <c:pt idx="6">
                  <c:v>4.8934589537625417E-2</c:v>
                </c:pt>
                <c:pt idx="7">
                  <c:v>5.9353567264204043E-2</c:v>
                </c:pt>
                <c:pt idx="8">
                  <c:v>4.4965943436444E-2</c:v>
                </c:pt>
                <c:pt idx="9">
                  <c:v>-2.2265541277325274E-2</c:v>
                </c:pt>
                <c:pt idx="10">
                  <c:v>8.1384107019385032E-2</c:v>
                </c:pt>
                <c:pt idx="11">
                  <c:v>7.3242013949355922E-2</c:v>
                </c:pt>
                <c:pt idx="12">
                  <c:v>0.19732542489086979</c:v>
                </c:pt>
                <c:pt idx="13">
                  <c:v>0.13280861501165497</c:v>
                </c:pt>
                <c:pt idx="14">
                  <c:v>0.21772125524890207</c:v>
                </c:pt>
                <c:pt idx="15">
                  <c:v>2.2500966904540398E-2</c:v>
                </c:pt>
                <c:pt idx="16">
                  <c:v>0.16192633706862702</c:v>
                </c:pt>
                <c:pt idx="17">
                  <c:v>0.12414601283219961</c:v>
                </c:pt>
                <c:pt idx="18">
                  <c:v>4.1815339914731631E-2</c:v>
                </c:pt>
                <c:pt idx="19">
                  <c:v>8.7856108674360112E-3</c:v>
                </c:pt>
                <c:pt idx="20">
                  <c:v>-4.0917682615630002E-2</c:v>
                </c:pt>
                <c:pt idx="21">
                  <c:v>0.16739768346070383</c:v>
                </c:pt>
                <c:pt idx="22">
                  <c:v>2.6763701995409894E-2</c:v>
                </c:pt>
                <c:pt idx="23">
                  <c:v>-5.3486768872697876E-2</c:v>
                </c:pt>
                <c:pt idx="24">
                  <c:v>8.1077440360159958E-3</c:v>
                </c:pt>
                <c:pt idx="25">
                  <c:v>-3.1837293751496576E-3</c:v>
                </c:pt>
                <c:pt idx="26">
                  <c:v>8.319068598491941E-2</c:v>
                </c:pt>
                <c:pt idx="27">
                  <c:v>-0.103473208385639</c:v>
                </c:pt>
                <c:pt idx="28">
                  <c:v>-8.6815170843373535E-2</c:v>
                </c:pt>
                <c:pt idx="29">
                  <c:v>8.8926409166158349E-2</c:v>
                </c:pt>
                <c:pt idx="30">
                  <c:v>-1.6964531330916577E-2</c:v>
                </c:pt>
                <c:pt idx="31">
                  <c:v>-2.8100459013403967E-2</c:v>
                </c:pt>
                <c:pt idx="32">
                  <c:v>0.32072721561730555</c:v>
                </c:pt>
                <c:pt idx="33">
                  <c:v>6.7488023195572788E-2</c:v>
                </c:pt>
                <c:pt idx="34">
                  <c:v>-0.10491308867614346</c:v>
                </c:pt>
                <c:pt idx="35">
                  <c:v>0.12340456288948243</c:v>
                </c:pt>
                <c:pt idx="36">
                  <c:v>7.5644393887945638E-2</c:v>
                </c:pt>
                <c:pt idx="37">
                  <c:v>0.18850901846381096</c:v>
                </c:pt>
                <c:pt idx="38">
                  <c:v>0.21155135770234978</c:v>
                </c:pt>
                <c:pt idx="39">
                  <c:v>0.1384545323383084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98272"/>
        <c:axId val="445799808"/>
      </c:lineChart>
      <c:catAx>
        <c:axId val="44579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5799808"/>
        <c:crosses val="autoZero"/>
        <c:auto val="1"/>
        <c:lblAlgn val="ctr"/>
        <c:lblOffset val="1000"/>
        <c:noMultiLvlLbl val="0"/>
      </c:catAx>
      <c:valAx>
        <c:axId val="445799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5798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SR_78_EB!$H$2:$H$24</c:f>
              <c:numCache>
                <c:formatCode>0</c:formatCode>
                <c:ptCount val="23"/>
                <c:pt idx="0">
                  <c:v>18307</c:v>
                </c:pt>
                <c:pt idx="1">
                  <c:v>15065</c:v>
                </c:pt>
                <c:pt idx="2">
                  <c:v>16132</c:v>
                </c:pt>
                <c:pt idx="3">
                  <c:v>13752</c:v>
                </c:pt>
                <c:pt idx="4">
                  <c:v>18241</c:v>
                </c:pt>
                <c:pt idx="5">
                  <c:v>13844</c:v>
                </c:pt>
                <c:pt idx="6">
                  <c:v>13469</c:v>
                </c:pt>
                <c:pt idx="7">
                  <c:v>13311</c:v>
                </c:pt>
                <c:pt idx="8">
                  <c:v>16661</c:v>
                </c:pt>
                <c:pt idx="9">
                  <c:v>11425</c:v>
                </c:pt>
                <c:pt idx="10">
                  <c:v>11810</c:v>
                </c:pt>
                <c:pt idx="11">
                  <c:v>13522</c:v>
                </c:pt>
                <c:pt idx="12">
                  <c:v>11323</c:v>
                </c:pt>
                <c:pt idx="13">
                  <c:v>13576</c:v>
                </c:pt>
                <c:pt idx="14">
                  <c:v>12174</c:v>
                </c:pt>
                <c:pt idx="15">
                  <c:v>14152</c:v>
                </c:pt>
                <c:pt idx="16">
                  <c:v>11206</c:v>
                </c:pt>
                <c:pt idx="17">
                  <c:v>12855</c:v>
                </c:pt>
                <c:pt idx="18">
                  <c:v>15361</c:v>
                </c:pt>
                <c:pt idx="19">
                  <c:v>15772</c:v>
                </c:pt>
                <c:pt idx="20">
                  <c:v>18047</c:v>
                </c:pt>
                <c:pt idx="21">
                  <c:v>21956</c:v>
                </c:pt>
                <c:pt idx="22">
                  <c:v>10358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SR_78_EB!$I$2:$I$24</c:f>
              <c:numCache>
                <c:formatCode>0</c:formatCode>
                <c:ptCount val="23"/>
                <c:pt idx="0">
                  <c:v>16772.240234000001</c:v>
                </c:pt>
                <c:pt idx="1">
                  <c:v>14981.489258</c:v>
                </c:pt>
                <c:pt idx="2">
                  <c:v>16100.902344</c:v>
                </c:pt>
                <c:pt idx="3">
                  <c:v>14316.778319999999</c:v>
                </c:pt>
                <c:pt idx="4">
                  <c:v>16805.021484000001</c:v>
                </c:pt>
                <c:pt idx="5">
                  <c:v>15029.502930000001</c:v>
                </c:pt>
                <c:pt idx="6">
                  <c:v>13243.988281</c:v>
                </c:pt>
                <c:pt idx="7">
                  <c:v>13378.260742</c:v>
                </c:pt>
                <c:pt idx="8">
                  <c:v>15961.9375</c:v>
                </c:pt>
                <c:pt idx="9">
                  <c:v>12476.134765999999</c:v>
                </c:pt>
                <c:pt idx="10">
                  <c:v>13279.395508</c:v>
                </c:pt>
                <c:pt idx="11">
                  <c:v>14044.342773</c:v>
                </c:pt>
                <c:pt idx="12">
                  <c:v>13894.675781</c:v>
                </c:pt>
                <c:pt idx="13">
                  <c:v>17164.515625</c:v>
                </c:pt>
                <c:pt idx="14">
                  <c:v>15430.165039</c:v>
                </c:pt>
                <c:pt idx="15">
                  <c:v>18340.689452999999</c:v>
                </c:pt>
                <c:pt idx="16">
                  <c:v>16209.459961</c:v>
                </c:pt>
                <c:pt idx="17">
                  <c:v>17839.464843999998</c:v>
                </c:pt>
                <c:pt idx="18">
                  <c:v>19198.648438</c:v>
                </c:pt>
                <c:pt idx="19">
                  <c:v>20939.974609000001</c:v>
                </c:pt>
                <c:pt idx="20">
                  <c:v>20493.337890999999</c:v>
                </c:pt>
                <c:pt idx="21">
                  <c:v>22969.519531000002</c:v>
                </c:pt>
                <c:pt idx="22">
                  <c:v>10515.212890999999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SR_78_EB!$D$2:$D$24</c:f>
              <c:numCache>
                <c:formatCode>0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42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SR_78_EB!$J$2:$J$24</c:f>
              <c:numCache>
                <c:formatCode>0%</c:formatCode>
                <c:ptCount val="23"/>
                <c:pt idx="0">
                  <c:v>-8.3834586005353096E-2</c:v>
                </c:pt>
                <c:pt idx="1">
                  <c:v>-5.543361566545002E-3</c:v>
                </c:pt>
                <c:pt idx="2">
                  <c:v>-1.9276999752045887E-3</c:v>
                </c:pt>
                <c:pt idx="3">
                  <c:v>4.1068813263525294E-2</c:v>
                </c:pt>
                <c:pt idx="4">
                  <c:v>-7.8722576393838062E-2</c:v>
                </c:pt>
                <c:pt idx="5">
                  <c:v>8.5632976740826372E-2</c:v>
                </c:pt>
                <c:pt idx="6">
                  <c:v>-1.6705896428836575E-2</c:v>
                </c:pt>
                <c:pt idx="7">
                  <c:v>5.0530194575915122E-3</c:v>
                </c:pt>
                <c:pt idx="8">
                  <c:v>-4.1958015725346631E-2</c:v>
                </c:pt>
                <c:pt idx="9">
                  <c:v>9.2003042975929983E-2</c:v>
                </c:pt>
                <c:pt idx="10">
                  <c:v>0.12441960270956809</c:v>
                </c:pt>
                <c:pt idx="11">
                  <c:v>3.8629106123354573E-2</c:v>
                </c:pt>
                <c:pt idx="12">
                  <c:v>0.22711964859136269</c:v>
                </c:pt>
                <c:pt idx="13">
                  <c:v>0.26432790402180317</c:v>
                </c:pt>
                <c:pt idx="14">
                  <c:v>0.26746878914079186</c:v>
                </c:pt>
                <c:pt idx="15">
                  <c:v>0.29597862160825317</c:v>
                </c:pt>
                <c:pt idx="16">
                  <c:v>0.44649830099946453</c:v>
                </c:pt>
                <c:pt idx="17">
                  <c:v>0.38774522318164117</c:v>
                </c:pt>
                <c:pt idx="18">
                  <c:v>0.24983063850009768</c:v>
                </c:pt>
                <c:pt idx="19">
                  <c:v>0.32766767746639625</c:v>
                </c:pt>
                <c:pt idx="20">
                  <c:v>0.1355537148002437</c:v>
                </c:pt>
                <c:pt idx="21">
                  <c:v>4.6161392375660526E-2</c:v>
                </c:pt>
                <c:pt idx="22">
                  <c:v>1.5177919579069332E-2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9408"/>
        <c:axId val="465250560"/>
      </c:lineChart>
      <c:catAx>
        <c:axId val="46524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5250560"/>
        <c:crosses val="autoZero"/>
        <c:auto val="1"/>
        <c:lblAlgn val="ctr"/>
        <c:lblOffset val="1000"/>
        <c:noMultiLvlLbl val="0"/>
      </c:catAx>
      <c:valAx>
        <c:axId val="465250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5249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SR_52_EB!$H$2:$H$17</c:f>
              <c:numCache>
                <c:formatCode>0</c:formatCode>
                <c:ptCount val="16"/>
                <c:pt idx="0">
                  <c:v>12559</c:v>
                </c:pt>
                <c:pt idx="1">
                  <c:v>9591</c:v>
                </c:pt>
                <c:pt idx="2">
                  <c:v>10970</c:v>
                </c:pt>
                <c:pt idx="3">
                  <c:v>11876</c:v>
                </c:pt>
                <c:pt idx="4">
                  <c:v>15241</c:v>
                </c:pt>
                <c:pt idx="5">
                  <c:v>15528</c:v>
                </c:pt>
                <c:pt idx="6">
                  <c:v>16404</c:v>
                </c:pt>
                <c:pt idx="7">
                  <c:v>6136</c:v>
                </c:pt>
                <c:pt idx="8">
                  <c:v>16332</c:v>
                </c:pt>
                <c:pt idx="9">
                  <c:v>17040</c:v>
                </c:pt>
                <c:pt idx="10">
                  <c:v>17410</c:v>
                </c:pt>
                <c:pt idx="11">
                  <c:v>14034</c:v>
                </c:pt>
                <c:pt idx="12">
                  <c:v>14494</c:v>
                </c:pt>
                <c:pt idx="13">
                  <c:v>14757</c:v>
                </c:pt>
                <c:pt idx="14">
                  <c:v>12887</c:v>
                </c:pt>
                <c:pt idx="15">
                  <c:v>12478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SR_52_EB!$I$2:$I$17</c:f>
              <c:numCache>
                <c:formatCode>0</c:formatCode>
                <c:ptCount val="16"/>
                <c:pt idx="0">
                  <c:v>10440.34375</c:v>
                </c:pt>
                <c:pt idx="1">
                  <c:v>9401.4326170000004</c:v>
                </c:pt>
                <c:pt idx="2">
                  <c:v>11307.59375</c:v>
                </c:pt>
                <c:pt idx="3">
                  <c:v>14191.337890999999</c:v>
                </c:pt>
                <c:pt idx="4">
                  <c:v>19357.279297000001</c:v>
                </c:pt>
                <c:pt idx="5">
                  <c:v>17831.539062</c:v>
                </c:pt>
                <c:pt idx="6">
                  <c:v>17831.539062</c:v>
                </c:pt>
                <c:pt idx="7">
                  <c:v>12705.788086</c:v>
                </c:pt>
                <c:pt idx="8">
                  <c:v>21258.558593999998</c:v>
                </c:pt>
                <c:pt idx="9">
                  <c:v>20860.212890999999</c:v>
                </c:pt>
                <c:pt idx="10">
                  <c:v>20860.212890999999</c:v>
                </c:pt>
                <c:pt idx="11">
                  <c:v>17307.417968999998</c:v>
                </c:pt>
                <c:pt idx="12">
                  <c:v>17693.544922000001</c:v>
                </c:pt>
                <c:pt idx="13">
                  <c:v>17693.544922000001</c:v>
                </c:pt>
                <c:pt idx="14">
                  <c:v>15300.839844</c:v>
                </c:pt>
                <c:pt idx="15">
                  <c:v>14889.771484000001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SR_52_EB!$D$2:$D$17</c:f>
              <c:numCache>
                <c:formatCode>0</c:formatCode>
                <c:ptCount val="1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17</c:v>
                </c:pt>
                <c:pt idx="8">
                  <c:v>21</c:v>
                </c:pt>
                <c:pt idx="9">
                  <c:v>25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36</c:v>
                </c:pt>
                <c:pt idx="1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SR_52_EB!$J$2:$J$17</c:f>
              <c:numCache>
                <c:formatCode>0%</c:formatCode>
                <c:ptCount val="16"/>
                <c:pt idx="0">
                  <c:v>-0.16869625368261809</c:v>
                </c:pt>
                <c:pt idx="1">
                  <c:v>-1.9765132207277603E-2</c:v>
                </c:pt>
                <c:pt idx="2">
                  <c:v>3.0774270738377352E-2</c:v>
                </c:pt>
                <c:pt idx="3">
                  <c:v>0.19495940476591445</c:v>
                </c:pt>
                <c:pt idx="4">
                  <c:v>0.27007934499048636</c:v>
                </c:pt>
                <c:pt idx="5">
                  <c:v>0.14834744088098928</c:v>
                </c:pt>
                <c:pt idx="6">
                  <c:v>8.702383942940739E-2</c:v>
                </c:pt>
                <c:pt idx="7">
                  <c:v>1.0706955811603653</c:v>
                </c:pt>
                <c:pt idx="8">
                  <c:v>0.30165066091109471</c:v>
                </c:pt>
                <c:pt idx="9">
                  <c:v>0.22419089735915487</c:v>
                </c:pt>
                <c:pt idx="10">
                  <c:v>0.19817420396323948</c:v>
                </c:pt>
                <c:pt idx="11">
                  <c:v>0.23324910709704993</c:v>
                </c:pt>
                <c:pt idx="12">
                  <c:v>0.22074961515109703</c:v>
                </c:pt>
                <c:pt idx="13">
                  <c:v>0.1989933537981976</c:v>
                </c:pt>
                <c:pt idx="14">
                  <c:v>0.18730812788081019</c:v>
                </c:pt>
                <c:pt idx="15">
                  <c:v>0.19328189485494485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38752"/>
        <c:axId val="465340288"/>
      </c:lineChart>
      <c:catAx>
        <c:axId val="4653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5340288"/>
        <c:crosses val="autoZero"/>
        <c:auto val="1"/>
        <c:lblAlgn val="ctr"/>
        <c:lblOffset val="1000"/>
        <c:noMultiLvlLbl val="0"/>
      </c:catAx>
      <c:valAx>
        <c:axId val="465340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53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SR_54_EB!$H$2:$H$9</c:f>
              <c:numCache>
                <c:formatCode>0</c:formatCode>
                <c:ptCount val="8"/>
                <c:pt idx="0">
                  <c:v>15496</c:v>
                </c:pt>
                <c:pt idx="1">
                  <c:v>18999</c:v>
                </c:pt>
                <c:pt idx="2">
                  <c:v>16037</c:v>
                </c:pt>
                <c:pt idx="3">
                  <c:v>17321</c:v>
                </c:pt>
                <c:pt idx="4">
                  <c:v>15033</c:v>
                </c:pt>
                <c:pt idx="5">
                  <c:v>15541</c:v>
                </c:pt>
                <c:pt idx="6">
                  <c:v>12664</c:v>
                </c:pt>
                <c:pt idx="7">
                  <c:v>13722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SR_54_EB!$I$2:$I$9</c:f>
              <c:numCache>
                <c:formatCode>0</c:formatCode>
                <c:ptCount val="8"/>
                <c:pt idx="0">
                  <c:v>16487.349609000001</c:v>
                </c:pt>
                <c:pt idx="1">
                  <c:v>18615.066406000002</c:v>
                </c:pt>
                <c:pt idx="2">
                  <c:v>16295.623046999999</c:v>
                </c:pt>
                <c:pt idx="3">
                  <c:v>17350.5</c:v>
                </c:pt>
                <c:pt idx="4">
                  <c:v>15216.630859000001</c:v>
                </c:pt>
                <c:pt idx="5">
                  <c:v>15781.353515999999</c:v>
                </c:pt>
                <c:pt idx="6">
                  <c:v>12700.825194999999</c:v>
                </c:pt>
                <c:pt idx="7">
                  <c:v>14583.092773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SR_54_EB!$D$2:$D$9</c:f>
              <c:numCache>
                <c:formatCode>0</c:formatCode>
                <c:ptCount val="8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SR_54_EB!$J$2:$J$9</c:f>
              <c:numCache>
                <c:formatCode>0%</c:formatCode>
                <c:ptCount val="8"/>
                <c:pt idx="0">
                  <c:v>6.3974548851316593E-2</c:v>
                </c:pt>
                <c:pt idx="1">
                  <c:v>-2.0208094847097069E-2</c:v>
                </c:pt>
                <c:pt idx="2">
                  <c:v>1.6126647565005925E-2</c:v>
                </c:pt>
                <c:pt idx="3">
                  <c:v>1.7031349229259529E-3</c:v>
                </c:pt>
                <c:pt idx="4">
                  <c:v>1.221518386217002E-2</c:v>
                </c:pt>
                <c:pt idx="5">
                  <c:v>1.54657689981339E-2</c:v>
                </c:pt>
                <c:pt idx="6">
                  <c:v>2.9078644188249569E-3</c:v>
                </c:pt>
                <c:pt idx="7">
                  <c:v>6.2752716295000788E-2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26592"/>
        <c:axId val="494128128"/>
      </c:lineChart>
      <c:catAx>
        <c:axId val="4941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94128128"/>
        <c:crosses val="autoZero"/>
        <c:auto val="1"/>
        <c:lblAlgn val="ctr"/>
        <c:lblOffset val="1000"/>
        <c:noMultiLvlLbl val="0"/>
      </c:catAx>
      <c:valAx>
        <c:axId val="49412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94126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SR_56_EB!$H$2:$H$14</c:f>
              <c:numCache>
                <c:formatCode>0</c:formatCode>
                <c:ptCount val="12"/>
                <c:pt idx="0">
                  <c:v>11173</c:v>
                </c:pt>
                <c:pt idx="1">
                  <c:v>11784</c:v>
                </c:pt>
                <c:pt idx="2">
                  <c:v>13771</c:v>
                </c:pt>
                <c:pt idx="3">
                  <c:v>10644</c:v>
                </c:pt>
                <c:pt idx="4">
                  <c:v>13298</c:v>
                </c:pt>
                <c:pt idx="5">
                  <c:v>11369</c:v>
                </c:pt>
                <c:pt idx="6">
                  <c:v>12653</c:v>
                </c:pt>
                <c:pt idx="7">
                  <c:v>12710</c:v>
                </c:pt>
                <c:pt idx="8">
                  <c:v>12737</c:v>
                </c:pt>
                <c:pt idx="9">
                  <c:v>10773</c:v>
                </c:pt>
                <c:pt idx="10">
                  <c:v>9505</c:v>
                </c:pt>
                <c:pt idx="11">
                  <c:v>10219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SR_56_EB!$I$2:$I$14</c:f>
              <c:numCache>
                <c:formatCode>0</c:formatCode>
                <c:ptCount val="12"/>
                <c:pt idx="0">
                  <c:v>9782.2451170000004</c:v>
                </c:pt>
                <c:pt idx="1">
                  <c:v>14180.369140999999</c:v>
                </c:pt>
                <c:pt idx="2">
                  <c:v>14967.219727</c:v>
                </c:pt>
                <c:pt idx="3">
                  <c:v>12655.594727</c:v>
                </c:pt>
                <c:pt idx="4">
                  <c:v>14247.068359000001</c:v>
                </c:pt>
                <c:pt idx="5">
                  <c:v>11474.403319999999</c:v>
                </c:pt>
                <c:pt idx="6">
                  <c:v>12247.650390999999</c:v>
                </c:pt>
                <c:pt idx="7">
                  <c:v>12247.650390999999</c:v>
                </c:pt>
                <c:pt idx="8">
                  <c:v>12556.775390999999</c:v>
                </c:pt>
                <c:pt idx="9">
                  <c:v>10832.131836</c:v>
                </c:pt>
                <c:pt idx="10">
                  <c:v>8538.0449219999991</c:v>
                </c:pt>
                <c:pt idx="11">
                  <c:v>9648.4882809999999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SR_56_EB!$D$2:$D$14</c:f>
              <c:numCache>
                <c:formatCode>0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SR_56_EB!$J$2:$J$14</c:f>
              <c:numCache>
                <c:formatCode>0%</c:formatCode>
                <c:ptCount val="12"/>
                <c:pt idx="0">
                  <c:v>-0.12447461585966169</c:v>
                </c:pt>
                <c:pt idx="1">
                  <c:v>0.20335787007807182</c:v>
                </c:pt>
                <c:pt idx="2">
                  <c:v>8.6865131580858401E-2</c:v>
                </c:pt>
                <c:pt idx="3">
                  <c:v>0.18898860644494553</c:v>
                </c:pt>
                <c:pt idx="4">
                  <c:v>7.1369255451947611E-2</c:v>
                </c:pt>
                <c:pt idx="5">
                  <c:v>9.271116193156681E-3</c:v>
                </c:pt>
                <c:pt idx="6">
                  <c:v>-3.2035849917015802E-2</c:v>
                </c:pt>
                <c:pt idx="7">
                  <c:v>-3.6376837844217191E-2</c:v>
                </c:pt>
                <c:pt idx="8">
                  <c:v>-1.4149690586480412E-2</c:v>
                </c:pt>
                <c:pt idx="9">
                  <c:v>5.4888922305764698E-3</c:v>
                </c:pt>
                <c:pt idx="10">
                  <c:v>-0.10173120231457133</c:v>
                </c:pt>
                <c:pt idx="11">
                  <c:v>-5.5828527155298957E-2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37088"/>
        <c:axId val="484538624"/>
      </c:lineChart>
      <c:catAx>
        <c:axId val="48453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84538624"/>
        <c:crosses val="autoZero"/>
        <c:auto val="1"/>
        <c:lblAlgn val="ctr"/>
        <c:lblOffset val="1000"/>
        <c:noMultiLvlLbl val="0"/>
      </c:catAx>
      <c:valAx>
        <c:axId val="484538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4537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SR_905_EB!$H$2:$H$7</c:f>
              <c:numCache>
                <c:formatCode>0</c:formatCode>
                <c:ptCount val="6"/>
                <c:pt idx="0">
                  <c:v>8022</c:v>
                </c:pt>
                <c:pt idx="1">
                  <c:v>3466</c:v>
                </c:pt>
                <c:pt idx="2">
                  <c:v>7641</c:v>
                </c:pt>
                <c:pt idx="3">
                  <c:v>7486</c:v>
                </c:pt>
                <c:pt idx="4">
                  <c:v>7398</c:v>
                </c:pt>
                <c:pt idx="5">
                  <c:v>5920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SR_905_EB!$I$2:$I$7</c:f>
              <c:numCache>
                <c:formatCode>0</c:formatCode>
                <c:ptCount val="6"/>
                <c:pt idx="0">
                  <c:v>6988.6923829999996</c:v>
                </c:pt>
                <c:pt idx="1">
                  <c:v>4057.8901369999999</c:v>
                </c:pt>
                <c:pt idx="2">
                  <c:v>11025.977539</c:v>
                </c:pt>
                <c:pt idx="3">
                  <c:v>9806.2080079999996</c:v>
                </c:pt>
                <c:pt idx="4">
                  <c:v>9694.3769530000009</c:v>
                </c:pt>
                <c:pt idx="5">
                  <c:v>8493.9511719999991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SR_905_EB!$D$2:$D$7</c:f>
              <c:numCache>
                <c:formatCode>0</c:formatCode>
                <c:ptCount val="6"/>
                <c:pt idx="0">
                  <c:v>5</c:v>
                </c:pt>
                <c:pt idx="1">
                  <c:v>12</c:v>
                </c:pt>
                <c:pt idx="2">
                  <c:v>13</c:v>
                </c:pt>
                <c:pt idx="3">
                  <c:v>3</c:v>
                </c:pt>
                <c:pt idx="4">
                  <c:v>8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SR_905_EB!$J$2:$J$7</c:f>
              <c:numCache>
                <c:formatCode>0%</c:formatCode>
                <c:ptCount val="6"/>
                <c:pt idx="0">
                  <c:v>-0.12880922675143358</c:v>
                </c:pt>
                <c:pt idx="1">
                  <c:v>0.17077037997691868</c:v>
                </c:pt>
                <c:pt idx="2">
                  <c:v>0.44300190276141871</c:v>
                </c:pt>
                <c:pt idx="3">
                  <c:v>0.30993962169382838</c:v>
                </c:pt>
                <c:pt idx="4">
                  <c:v>0.31040510313598291</c:v>
                </c:pt>
                <c:pt idx="5">
                  <c:v>0.43478904932432427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4480"/>
        <c:axId val="513462656"/>
      </c:lineChart>
      <c:catAx>
        <c:axId val="5134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13462656"/>
        <c:crosses val="autoZero"/>
        <c:auto val="1"/>
        <c:lblAlgn val="ctr"/>
        <c:lblOffset val="1000"/>
        <c:noMultiLvlLbl val="0"/>
      </c:catAx>
      <c:valAx>
        <c:axId val="513462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513444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SR_94_EB!$H$2:$H$18</c:f>
              <c:numCache>
                <c:formatCode>0</c:formatCode>
                <c:ptCount val="17"/>
                <c:pt idx="0">
                  <c:v>21430</c:v>
                </c:pt>
                <c:pt idx="1">
                  <c:v>23078</c:v>
                </c:pt>
                <c:pt idx="2">
                  <c:v>25356</c:v>
                </c:pt>
                <c:pt idx="3">
                  <c:v>25413</c:v>
                </c:pt>
                <c:pt idx="4">
                  <c:v>20068</c:v>
                </c:pt>
                <c:pt idx="5">
                  <c:v>17407</c:v>
                </c:pt>
                <c:pt idx="6">
                  <c:v>29831</c:v>
                </c:pt>
                <c:pt idx="7">
                  <c:v>26851</c:v>
                </c:pt>
                <c:pt idx="8">
                  <c:v>27704</c:v>
                </c:pt>
                <c:pt idx="9">
                  <c:v>27341</c:v>
                </c:pt>
                <c:pt idx="10">
                  <c:v>21170</c:v>
                </c:pt>
                <c:pt idx="11">
                  <c:v>18924</c:v>
                </c:pt>
                <c:pt idx="12">
                  <c:v>21485</c:v>
                </c:pt>
                <c:pt idx="13">
                  <c:v>20208</c:v>
                </c:pt>
                <c:pt idx="14">
                  <c:v>21715</c:v>
                </c:pt>
                <c:pt idx="15">
                  <c:v>8226</c:v>
                </c:pt>
                <c:pt idx="16">
                  <c:v>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SR_94_EB!$I$2:$I$18</c:f>
              <c:numCache>
                <c:formatCode>0</c:formatCode>
                <c:ptCount val="17"/>
                <c:pt idx="0">
                  <c:v>24066.369140999999</c:v>
                </c:pt>
                <c:pt idx="1">
                  <c:v>25083.037109000001</c:v>
                </c:pt>
                <c:pt idx="2">
                  <c:v>26780.556640999999</c:v>
                </c:pt>
                <c:pt idx="3">
                  <c:v>26780.556640999999</c:v>
                </c:pt>
                <c:pt idx="4">
                  <c:v>20736.330077999999</c:v>
                </c:pt>
                <c:pt idx="5">
                  <c:v>19735.253906000002</c:v>
                </c:pt>
                <c:pt idx="6">
                  <c:v>32788.738280999998</c:v>
                </c:pt>
                <c:pt idx="7">
                  <c:v>28426.685547000001</c:v>
                </c:pt>
                <c:pt idx="8">
                  <c:v>29407.886718999998</c:v>
                </c:pt>
                <c:pt idx="9">
                  <c:v>27589.865234000001</c:v>
                </c:pt>
                <c:pt idx="10">
                  <c:v>24804.322265999999</c:v>
                </c:pt>
                <c:pt idx="11">
                  <c:v>19294.236327999999</c:v>
                </c:pt>
                <c:pt idx="12">
                  <c:v>22162.855468999998</c:v>
                </c:pt>
                <c:pt idx="13">
                  <c:v>19733.259765999999</c:v>
                </c:pt>
                <c:pt idx="14">
                  <c:v>21784.257812</c:v>
                </c:pt>
                <c:pt idx="15">
                  <c:v>10117.319336</c:v>
                </c:pt>
                <c:pt idx="16">
                  <c:v>7749.8647460000002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SR_94_EB!$D$2:$D$18</c:f>
              <c:numCache>
                <c:formatCode>0</c:formatCode>
                <c:ptCount val="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29</c:v>
                </c:pt>
                <c:pt idx="1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SR_94_EB!$J$2:$J$18</c:f>
              <c:numCache>
                <c:formatCode>0%</c:formatCode>
                <c:ptCount val="17"/>
                <c:pt idx="0">
                  <c:v>0.12302235842277187</c:v>
                </c:pt>
                <c:pt idx="1">
                  <c:v>8.6880886948609071E-2</c:v>
                </c:pt>
                <c:pt idx="2">
                  <c:v>5.6182230675185352E-2</c:v>
                </c:pt>
                <c:pt idx="3">
                  <c:v>5.3813270412780723E-2</c:v>
                </c:pt>
                <c:pt idx="4">
                  <c:v>3.3303272772573278E-2</c:v>
                </c:pt>
                <c:pt idx="5">
                  <c:v>0.13375388671224231</c:v>
                </c:pt>
                <c:pt idx="6">
                  <c:v>9.9149820019442725E-2</c:v>
                </c:pt>
                <c:pt idx="7">
                  <c:v>5.8682564783434588E-2</c:v>
                </c:pt>
                <c:pt idx="8">
                  <c:v>6.1503274581287792E-2</c:v>
                </c:pt>
                <c:pt idx="9">
                  <c:v>9.1022725576972441E-3</c:v>
                </c:pt>
                <c:pt idx="10">
                  <c:v>0.17167322938119978</c:v>
                </c:pt>
                <c:pt idx="11">
                  <c:v>1.9564380046501739E-2</c:v>
                </c:pt>
                <c:pt idx="12">
                  <c:v>3.1550173097509848E-2</c:v>
                </c:pt>
                <c:pt idx="13">
                  <c:v>-2.3492687747426855E-2</c:v>
                </c:pt>
                <c:pt idx="14">
                  <c:v>3.189399585539876E-3</c:v>
                </c:pt>
                <c:pt idx="15">
                  <c:v>0.22991968587405798</c:v>
                </c:pt>
                <c:pt idx="16">
                  <c:v>-0.10457946320046219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90176"/>
        <c:axId val="416691328"/>
      </c:lineChart>
      <c:catAx>
        <c:axId val="41669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6691328"/>
        <c:crosses val="autoZero"/>
        <c:auto val="1"/>
        <c:lblAlgn val="ctr"/>
        <c:lblOffset val="1000"/>
        <c:noMultiLvlLbl val="0"/>
      </c:catAx>
      <c:valAx>
        <c:axId val="41669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6690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>
    <tabColor theme="0" tint="-0.499984740745262"/>
  </sheetPr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>
    <tabColor theme="3" tint="0.39997558519241921"/>
  </sheetPr>
  <sheetViews>
    <sheetView zoomScale="118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7">
    <tabColor theme="5" tint="0.59999389629810485"/>
  </sheetPr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39">
    <tabColor theme="9" tint="0.79998168889431442"/>
  </sheetPr>
  <sheetViews>
    <sheetView zoomScale="9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41">
    <tabColor theme="6" tint="0.39997558519241921"/>
  </sheetPr>
  <sheetViews>
    <sheetView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D6194A-A4B1-42A1-A62E-BFE271B57C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141816</xdr:colOff>
      <xdr:row>3</xdr:row>
      <xdr:rowOff>0</xdr:rowOff>
    </xdr:from>
    <xdr:to>
      <xdr:col>32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</cdr:y>
    </cdr:from>
    <cdr:to>
      <cdr:x>0.98183</cdr:x>
      <cdr:y>0.20523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81113" y="0"/>
          <a:ext cx="120196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%Link(+)=84% %Link(-)=16% AvgGap(+)=35%  AvgGap(-)=-20%  AvgGap(±)=26%  GapIn(±10%)=17%  GapIn(±20%)=30%  GapIn(±30%)=51%  Linear Slope=1.295 RMSE=39%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600073</xdr:colOff>
      <xdr:row>2</xdr:row>
      <xdr:rowOff>156638</xdr:rowOff>
    </xdr:from>
    <xdr:to>
      <xdr:col>32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%Link(+)=85% %Link(-)=15% AvgGap(+)=26%  AvgGap(-)=-5%  AvgGap(±)=21%  GapIn(±10%)=13%  GapIn(±20%)=40%  GapIn(±30%)=77%  Linear Slope=1.212 RMSE=26%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30691</xdr:colOff>
      <xdr:row>2</xdr:row>
      <xdr:rowOff>57148</xdr:rowOff>
    </xdr:from>
    <xdr:to>
      <xdr:col>32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%Link(+)=86% %Link(-)=14% AvgGap(+)=27%  AvgGap(-)=-10%  AvgGap(±)=22%  GapIn(±10%)=33%  GapIn(±20%)=55%  GapIn(±30%)=60%  Linear Slope=1.179 RMSE=29%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571497</xdr:colOff>
      <xdr:row>2</xdr:row>
      <xdr:rowOff>75140</xdr:rowOff>
    </xdr:from>
    <xdr:to>
      <xdr:col>31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AvgGap(+)=17%  AvgGap(-)=0%  AvgGap(±)=17%  GapIn(±10%)=10%  GapIn(±20%)=60%  GapIn(±30%)=100%  Linear Slope=1.17 RMSE=18%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674391" y="626961"/>
          <a:ext cx="12020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%Link(+)=55% %Link(-)=45% AvgGap(+)=13%  AvgGap(-)=-12%  AvgGap(±)=2%  GapIn(±10%)=45%  GapIn(±20%)=90%  GapIn(±30%)=95%  Linear Slope=1.09 RMSE=17%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587375</xdr:colOff>
      <xdr:row>2</xdr:row>
      <xdr:rowOff>0</xdr:rowOff>
    </xdr:from>
    <xdr:to>
      <xdr:col>32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663772" y="467152"/>
          <a:ext cx="128185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AvgGap(+)=18%  AvgGap(-)=-5%  AvgGap(±)=10%  GapIn(±10%)=67%  GapIn(±20%)=67%  GapIn(±30%)=100%  Linear Slope=1.093 RMSE=17%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611581" y="504806"/>
          <a:ext cx="127493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AvgGap(+)=58%  AvgGap(-)=0%  AvgGap(±)=58%  GapIn(±10%)=0%  GapIn(±20%)=0%  GapIn(±30%)=0%  Linear Slope=1.58 RMSE=58%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40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0.29856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764985" y="419846"/>
          <a:ext cx="120620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AvgGap(+)=12%  AvgGap(-)=-9%  AvgGap(±)=8%  GapIn(±10%)=53% GapIn(±20%)=80%  GapIn(±30%)=87%  Linear Slope=1.059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3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AvgGap(+)=93%  AvgGap(-)=0%  AvgGap(±)=93%  GapIn(±10%)=0% GapIn(±20%)=0%  GapIn(±30%)=0%  Linear Slope=1.796 RMSE=91%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FE3F02-81E2-497E-9DDB-F8055079E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'I-5_NB_AUX_LOCAL_ACC'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4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AvgGap(+)=56%  AvgGap(-)=0%  AvgGap(±)=56%  GapIn(±10%)=0% GapIn(±20%)=0%  GapIn(±30%)=0%  Linear Slope=1.56 RMSE=56%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E662D0-80CF-4FBB-A890-E53DDF730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I_80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3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AvgGap(+)=29%  AvgGap(-)=0%  AvgGap(±)=29%  GapIn(±10%)=25% GapIn(±20%)=50%  GapIn(±30%)=75%  Linear Slope=1.224 RMSE=33%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612772</xdr:colOff>
      <xdr:row>2</xdr:row>
      <xdr:rowOff>11647</xdr:rowOff>
    </xdr:from>
    <xdr:to>
      <xdr:col>32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%Link(+)=49% %Link(-)=51% AvgGap(+)=21%  AvgGap(-)=-9%  AvgGap(±)=6%  GapIn(±10%)=58% GapIn(±20%)=74%  GapIn(±30%)=81%  Linear Slope=1.054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AvgGap(+)=23%  AvgGap(-)=-11%  AvgGap(±)=11%  GapIn(±10%)=32% GapIn(±20%)=76%  GapIn(±30%)=86%  Linear Slope=1.046 RMSE=20%</a:t>
          </a:fld>
          <a:endParaRPr lang="en-US" sz="10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133351</xdr:colOff>
      <xdr:row>2</xdr:row>
      <xdr:rowOff>98424</xdr:rowOff>
    </xdr:from>
    <xdr:to>
      <xdr:col>31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%Link(+)=81% %Link(-)=19% AvgGap(+)=27%  AvgGap(-)=-10%  AvgGap(±)=20%  GapIn(±10%)=21% GapIn(±20%)=49%  GapIn(±30%)=63%  Linear Slope=1.176 RMSE=27%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593725</xdr:colOff>
      <xdr:row>2</xdr:row>
      <xdr:rowOff>190499</xdr:rowOff>
    </xdr:from>
    <xdr:to>
      <xdr:col>32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%Link(+)=46% %Link(-)=54% AvgGap(+)=11%  AvgGap(-)=-19%  AvgGap(±)=-5%  GapIn(±10%)=46% GapIn(±20%)=69%  GapIn(±30%)=85%  Linear Slope=.92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%Link(+)=47% %Link(-)=53% AvgGap(+)=16%  AvgGap(-)=-14%  AvgGap(±)=0%  GapIn(±10%)=41% GapIn(±20%)=76%  GapIn(±30%)=88%  Linear Slope=.96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AvgGap(+)=18%  AvgGap(-)=0%  AvgGap(±)=18%  GapIn(±10%)=50% GapIn(±20%)=50%  GapIn(±30%)=50%  Linear Slope=1.238 RMSE=27%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AvgGap(-)=-6%  AvgGap(±)=-6%  GapIn(±10%)=100% GapIn(±20%)=100%  GapIn(±30%)=100%  Linear Slope=.936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673616" y="517825"/>
          <a:ext cx="1199974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%Link(+)=13% %Link(-)=88% AvgGap(+)=5%  AvgGap(-)=-18%  AvgGap(±)=-15%  GapIn(±10%)=25% GapIn(±20%)=50%  GapIn(±30%)=88%  Linear Slope=.85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AvgGap(+)=21%  AvgGap(-)=0%  AvgGap(±)=21%  GapIn(±10%)=25% GapIn(±20%)=50%  GapIn(±30%)=75%  Linear Slope=1.195 RMSE=21%</a:t>
          </a:fld>
          <a:endParaRPr lang="en-US" sz="1000"/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E2994A-B349-4D47-A991-416A1FEE1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80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AvgGap(-)=-25%  AvgGap(±)=-25%  GapIn(±10%)=0% GapIn(±20%)=0%  GapIn(±30%)=100%  Linear Slope=.753 RMSE=25%</a:t>
          </a:fld>
          <a:endParaRPr lang="en-US" sz="1000"/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583143</xdr:colOff>
      <xdr:row>1</xdr:row>
      <xdr:rowOff>162982</xdr:rowOff>
    </xdr:from>
    <xdr:to>
      <xdr:col>31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%Link(+)=14% %Link(-)=86% AvgGap(+)=10%  AvgGap(-)=-14%  AvgGap(±)=-10%  GapIn(±10%)=43% GapIn(±20%)=80%  GapIn(±30%)=92%  Linear Slope=.944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198965</xdr:colOff>
      <xdr:row>2</xdr:row>
      <xdr:rowOff>155573</xdr:rowOff>
    </xdr:from>
    <xdr:to>
      <xdr:col>31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AvgGap(+)=21%  AvgGap(-)=-5%  AvgGap(±)=13%  GapIn(±10%)=52% GapIn(±20%)=67%  GapIn(±30%)=89%  Linear Slope=1.124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3</xdr:row>
      <xdr:rowOff>1058</xdr:rowOff>
    </xdr:from>
    <xdr:to>
      <xdr:col>31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%Link(+)=89% %Link(-)=11% AvgGap(+)=38%  AvgGap(-)=-7%  AvgGap(±)=33%  GapIn(±10%)=28% GapIn(±20%)=44%  GapIn(±30%)=61%  Linear Slope=1.272 RMSE=40%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AvgGap(-)=-20%  AvgGap(±)=-20%  GapIn(±10%)=0% GapIn(±20%)=29%  GapIn(±30%)=100%  Linear Slope=.797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51858</xdr:colOff>
      <xdr:row>3</xdr:row>
      <xdr:rowOff>33864</xdr:rowOff>
    </xdr:from>
    <xdr:to>
      <xdr:col>32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AvgGap(+)=23%  AvgGap(-)=0%  AvgGap(±)=23%  GapIn(±10%)=20% GapIn(±20%)=40%  GapIn(±30%)=73%  Linear Slope=1.202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78014" y="465462"/>
          <a:ext cx="1216959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%Link(+)=15% %Link(-)=85% AvgGap(+)=6%  AvgGap(-)=-21%  AvgGap(±)=-17%  GapIn(±10%)=46% GapIn(±20%)=62%  GapIn(±30%)=69%  Linear Slope=.882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%Link(+)=85% %Link(-)=15% AvgGap(+)=15%  AvgGap(-)=-2%  AvgGap(±)=13%  GapIn(±10%)=65% GapIn(±20%)=80%  GapIn(±30%)=90%  Linear Slope=1.089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100540</xdr:colOff>
      <xdr:row>2</xdr:row>
      <xdr:rowOff>63497</xdr:rowOff>
    </xdr:from>
    <xdr:to>
      <xdr:col>31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%Link(+)=73% %Link(-)=28% AvgGap(+)=12%  AvgGap(-)=-4%  AvgGap(±)=8%  GapIn(±10%)=58% GapIn(±20%)=90%  GapIn(±30%)=95%  Linear Slope=1.07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%Link(+)=74% %Link(-)=26% AvgGap(+)=18%  AvgGap(-)=-4%  AvgGap(±)=12%  GapIn(±10%)=57% GapIn(±20%)=65%  GapIn(±30%)=87%  Linear Slope=1.1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%Link(-)=13% AvgGap(+)=25%  AvgGap(-)=-9%  AvgGap(±)=21%  GapIn(±10%)=19% GapIn(±20%)=63%  GapIn(±30%)=88%  Linear Slope=1.183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%Link(-)=13% AvgGap(+)=3%  AvgGap(-)=-2%  AvgGap(±)=2%  GapIn(±10%)=100% GapIn(±20%)=100%  GapIn(±30%)=100%  Linear Slope=1.016 RMSE=3%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8466</xdr:colOff>
      <xdr:row>2</xdr:row>
      <xdr:rowOff>74084</xdr:rowOff>
    </xdr:from>
    <xdr:to>
      <xdr:col>32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%Link(+)=46% %Link(-)=54% AvgGap(+)=9%  AvgGap(-)=-6%  AvgGap(±)=1%  GapIn(±10%)=69% GapIn(±20%)=92%  GapIn(±30%)=100%  Linear Slope=1.016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230714</xdr:colOff>
      <xdr:row>2</xdr:row>
      <xdr:rowOff>21167</xdr:rowOff>
    </xdr:from>
    <xdr:to>
      <xdr:col>31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%Link(+)=83% %Link(-)=17% AvgGap(+)=33%  AvgGap(-)=-13%  AvgGap(±)=26%  GapIn(±10%)=0% GapIn(±20%)=33%  GapIn(±30%)=33%  Linear Slope=1.247 RMSE=34%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587376</xdr:colOff>
      <xdr:row>2</xdr:row>
      <xdr:rowOff>137581</xdr:rowOff>
    </xdr:from>
    <xdr:to>
      <xdr:col>31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%Link(-)=12% AvgGap(+)=8%  AvgGap(-)=-6%  AvgGap(±)=6%  GapIn(±10%)=71% GapIn(±20%)=94%  GapIn(±30%)=100%  Linear Slope=1.061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Cou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/>
      <sheetData sheetId="2">
        <row r="2">
          <cell r="A2">
            <v>58</v>
          </cell>
          <cell r="B2">
            <v>11064.571824000001</v>
          </cell>
          <cell r="C2">
            <v>1810.005249</v>
          </cell>
          <cell r="D2">
            <v>4525.5776370000003</v>
          </cell>
        </row>
        <row r="3">
          <cell r="A3">
            <v>59</v>
          </cell>
          <cell r="B3">
            <v>99079.569336</v>
          </cell>
          <cell r="C3">
            <v>22800.0625</v>
          </cell>
          <cell r="D3">
            <v>21330.474609000001</v>
          </cell>
        </row>
        <row r="4">
          <cell r="A4">
            <v>323</v>
          </cell>
          <cell r="B4">
            <v>34289.511842</v>
          </cell>
          <cell r="C4">
            <v>7340.9838870000003</v>
          </cell>
          <cell r="D4">
            <v>8173.1972660000001</v>
          </cell>
        </row>
        <row r="5">
          <cell r="A5">
            <v>442</v>
          </cell>
          <cell r="B5">
            <v>6891.1660460000003</v>
          </cell>
          <cell r="C5">
            <v>1061.383789</v>
          </cell>
          <cell r="D5">
            <v>1920.259155</v>
          </cell>
        </row>
        <row r="6">
          <cell r="A6">
            <v>457</v>
          </cell>
          <cell r="B6">
            <v>38501.084961</v>
          </cell>
          <cell r="C6">
            <v>12486.902344</v>
          </cell>
          <cell r="D6">
            <v>7121.3784180000002</v>
          </cell>
        </row>
        <row r="7">
          <cell r="A7">
            <v>459</v>
          </cell>
          <cell r="B7">
            <v>20916.753867999996</v>
          </cell>
          <cell r="C7">
            <v>2748.1066890000002</v>
          </cell>
          <cell r="D7">
            <v>9682.6972659999992</v>
          </cell>
        </row>
        <row r="8">
          <cell r="A8">
            <v>460</v>
          </cell>
          <cell r="B8">
            <v>22064.320259</v>
          </cell>
          <cell r="C8">
            <v>3630.4909670000002</v>
          </cell>
          <cell r="D8">
            <v>9642.2431639999995</v>
          </cell>
        </row>
        <row r="9">
          <cell r="A9">
            <v>461</v>
          </cell>
          <cell r="B9">
            <v>20916.753867999996</v>
          </cell>
          <cell r="C9">
            <v>2748.1066890000002</v>
          </cell>
          <cell r="D9">
            <v>9682.6972659999992</v>
          </cell>
        </row>
        <row r="10">
          <cell r="A10">
            <v>462</v>
          </cell>
          <cell r="B10">
            <v>17374.660179000002</v>
          </cell>
          <cell r="C10">
            <v>2344.0551759999998</v>
          </cell>
          <cell r="D10">
            <v>7983.810547</v>
          </cell>
        </row>
        <row r="11">
          <cell r="A11">
            <v>463</v>
          </cell>
          <cell r="B11">
            <v>19573.366709999998</v>
          </cell>
          <cell r="C11">
            <v>3013.5893550000001</v>
          </cell>
          <cell r="D11">
            <v>9384.1914059999999</v>
          </cell>
        </row>
        <row r="12">
          <cell r="A12">
            <v>464</v>
          </cell>
          <cell r="B12">
            <v>20937.111541000002</v>
          </cell>
          <cell r="C12">
            <v>2864.4934079999998</v>
          </cell>
          <cell r="D12">
            <v>8813.7617190000001</v>
          </cell>
        </row>
        <row r="13">
          <cell r="A13">
            <v>465</v>
          </cell>
          <cell r="B13">
            <v>19573.366709999998</v>
          </cell>
          <cell r="C13">
            <v>3013.5893550000001</v>
          </cell>
          <cell r="D13">
            <v>9384.1914059999999</v>
          </cell>
        </row>
        <row r="14">
          <cell r="A14">
            <v>468</v>
          </cell>
          <cell r="B14">
            <v>18627.984171000004</v>
          </cell>
          <cell r="C14">
            <v>2483.0588379999999</v>
          </cell>
          <cell r="D14">
            <v>8230.4082030000009</v>
          </cell>
        </row>
        <row r="15">
          <cell r="A15">
            <v>469</v>
          </cell>
          <cell r="B15">
            <v>23946.688805000002</v>
          </cell>
          <cell r="C15">
            <v>3996.7304690000001</v>
          </cell>
          <cell r="D15">
            <v>11116.642578000001</v>
          </cell>
        </row>
        <row r="16">
          <cell r="A16">
            <v>470</v>
          </cell>
          <cell r="B16">
            <v>22948.723755999999</v>
          </cell>
          <cell r="C16">
            <v>3485.6503910000001</v>
          </cell>
          <cell r="D16">
            <v>10056.764648</v>
          </cell>
        </row>
        <row r="17">
          <cell r="A17">
            <v>473</v>
          </cell>
          <cell r="B17">
            <v>20853.126743999997</v>
          </cell>
          <cell r="C17">
            <v>3297.7441410000001</v>
          </cell>
          <cell r="D17">
            <v>8831.734375</v>
          </cell>
        </row>
        <row r="18">
          <cell r="A18">
            <v>474</v>
          </cell>
          <cell r="B18">
            <v>77749.018066999997</v>
          </cell>
          <cell r="C18">
            <v>15582.697265999999</v>
          </cell>
          <cell r="D18">
            <v>19872.023438</v>
          </cell>
        </row>
        <row r="19">
          <cell r="A19">
            <v>505</v>
          </cell>
          <cell r="B19">
            <v>10309.898341</v>
          </cell>
          <cell r="C19">
            <v>4466.4716799999997</v>
          </cell>
          <cell r="D19">
            <v>1132.622803</v>
          </cell>
        </row>
        <row r="20">
          <cell r="A20">
            <v>510</v>
          </cell>
          <cell r="B20">
            <v>23420.203555999997</v>
          </cell>
          <cell r="C20">
            <v>3864.3413089999999</v>
          </cell>
          <cell r="D20">
            <v>9763.4189449999994</v>
          </cell>
        </row>
        <row r="21">
          <cell r="A21">
            <v>512</v>
          </cell>
          <cell r="B21">
            <v>20344.507533</v>
          </cell>
          <cell r="C21">
            <v>2903.7402339999999</v>
          </cell>
          <cell r="D21">
            <v>9136.4882809999999</v>
          </cell>
        </row>
        <row r="22">
          <cell r="A22">
            <v>513</v>
          </cell>
          <cell r="B22">
            <v>15725.298050000001</v>
          </cell>
          <cell r="C22">
            <v>6351.0351559999999</v>
          </cell>
          <cell r="D22">
            <v>2260.2270509999998</v>
          </cell>
        </row>
        <row r="23">
          <cell r="A23">
            <v>514</v>
          </cell>
          <cell r="B23">
            <v>108833.37988399999</v>
          </cell>
          <cell r="C23">
            <v>18210.839843999998</v>
          </cell>
          <cell r="D23">
            <v>34428.304687999997</v>
          </cell>
        </row>
        <row r="24">
          <cell r="A24">
            <v>515</v>
          </cell>
          <cell r="B24">
            <v>17985.180267</v>
          </cell>
          <cell r="C24">
            <v>6834.140625</v>
          </cell>
          <cell r="D24">
            <v>3009.8120119999999</v>
          </cell>
        </row>
        <row r="25">
          <cell r="A25">
            <v>516</v>
          </cell>
          <cell r="B25">
            <v>99059.642577999999</v>
          </cell>
          <cell r="C25">
            <v>16118.501953000001</v>
          </cell>
          <cell r="D25">
            <v>30733.279297000001</v>
          </cell>
        </row>
        <row r="26">
          <cell r="A26">
            <v>517</v>
          </cell>
          <cell r="B26">
            <v>15536.040099</v>
          </cell>
          <cell r="C26">
            <v>5919.1083980000003</v>
          </cell>
          <cell r="D26">
            <v>2650.383789</v>
          </cell>
        </row>
        <row r="27">
          <cell r="A27">
            <v>520</v>
          </cell>
          <cell r="B27">
            <v>16175.667572</v>
          </cell>
          <cell r="C27">
            <v>6074.2607420000004</v>
          </cell>
          <cell r="D27">
            <v>2846.9760740000002</v>
          </cell>
        </row>
        <row r="28">
          <cell r="A28">
            <v>521</v>
          </cell>
          <cell r="B28">
            <v>93083.389649999997</v>
          </cell>
          <cell r="C28">
            <v>16539.087890999999</v>
          </cell>
          <cell r="D28">
            <v>26106.234375</v>
          </cell>
        </row>
        <row r="29">
          <cell r="A29">
            <v>522</v>
          </cell>
          <cell r="B29">
            <v>15656.754681</v>
          </cell>
          <cell r="C29">
            <v>5752.1440430000002</v>
          </cell>
          <cell r="D29">
            <v>2767.9145509999998</v>
          </cell>
        </row>
        <row r="30">
          <cell r="A30">
            <v>524</v>
          </cell>
          <cell r="B30">
            <v>16578.436011999998</v>
          </cell>
          <cell r="C30">
            <v>6260.1396480000003</v>
          </cell>
          <cell r="D30">
            <v>2905.3427729999999</v>
          </cell>
        </row>
        <row r="31">
          <cell r="A31">
            <v>525</v>
          </cell>
          <cell r="B31">
            <v>22651.178650999995</v>
          </cell>
          <cell r="C31">
            <v>8902.9179690000001</v>
          </cell>
          <cell r="D31">
            <v>4912.2539059999999</v>
          </cell>
        </row>
        <row r="32">
          <cell r="A32">
            <v>526</v>
          </cell>
          <cell r="B32">
            <v>22619.467886999999</v>
          </cell>
          <cell r="C32">
            <v>3735.6447750000002</v>
          </cell>
          <cell r="D32">
            <v>9712.640625</v>
          </cell>
        </row>
        <row r="33">
          <cell r="A33">
            <v>528</v>
          </cell>
          <cell r="B33">
            <v>21293.322394999999</v>
          </cell>
          <cell r="C33">
            <v>8019.5854490000002</v>
          </cell>
          <cell r="D33">
            <v>4118.1533200000003</v>
          </cell>
        </row>
        <row r="34">
          <cell r="A34">
            <v>551</v>
          </cell>
          <cell r="B34">
            <v>106281.87011599999</v>
          </cell>
          <cell r="C34">
            <v>25975.570312</v>
          </cell>
          <cell r="D34">
            <v>23285.703125</v>
          </cell>
        </row>
        <row r="35">
          <cell r="A35">
            <v>552</v>
          </cell>
          <cell r="B35">
            <v>20427.042931</v>
          </cell>
          <cell r="C35">
            <v>2723.4804690000001</v>
          </cell>
          <cell r="D35">
            <v>9451.3349610000005</v>
          </cell>
        </row>
        <row r="36">
          <cell r="A36">
            <v>553</v>
          </cell>
          <cell r="B36">
            <v>20981.255256</v>
          </cell>
          <cell r="C36">
            <v>7801.2802730000003</v>
          </cell>
          <cell r="D36">
            <v>4118.1098629999997</v>
          </cell>
        </row>
        <row r="37">
          <cell r="A37">
            <v>554</v>
          </cell>
          <cell r="B37">
            <v>116504.724609</v>
          </cell>
          <cell r="C37">
            <v>19057.755859000001</v>
          </cell>
          <cell r="D37">
            <v>34795.949219000002</v>
          </cell>
        </row>
        <row r="38">
          <cell r="A38">
            <v>556</v>
          </cell>
          <cell r="B38">
            <v>103337.96044900001</v>
          </cell>
          <cell r="C38">
            <v>18090.667968999998</v>
          </cell>
          <cell r="D38">
            <v>30023.519531000002</v>
          </cell>
        </row>
        <row r="39">
          <cell r="A39">
            <v>558</v>
          </cell>
          <cell r="B39">
            <v>56741.877928999995</v>
          </cell>
          <cell r="C39">
            <v>8695.6357420000004</v>
          </cell>
          <cell r="D39">
            <v>17664.904297000001</v>
          </cell>
        </row>
        <row r="40">
          <cell r="A40">
            <v>562</v>
          </cell>
          <cell r="B40">
            <v>104296.42773499999</v>
          </cell>
          <cell r="C40">
            <v>24323.759765999999</v>
          </cell>
          <cell r="D40">
            <v>22115.740234000001</v>
          </cell>
        </row>
        <row r="41">
          <cell r="A41">
            <v>564</v>
          </cell>
          <cell r="B41">
            <v>73773.267579000007</v>
          </cell>
          <cell r="C41">
            <v>18636.103515999999</v>
          </cell>
          <cell r="D41">
            <v>16837.259765999999</v>
          </cell>
        </row>
        <row r="42">
          <cell r="A42">
            <v>568</v>
          </cell>
          <cell r="B42">
            <v>104962.455078</v>
          </cell>
          <cell r="C42">
            <v>26194.851562</v>
          </cell>
          <cell r="D42">
            <v>20140.960938</v>
          </cell>
        </row>
        <row r="43">
          <cell r="A43">
            <v>570</v>
          </cell>
          <cell r="B43">
            <v>105989.027344</v>
          </cell>
          <cell r="C43">
            <v>26482.472656000002</v>
          </cell>
          <cell r="D43">
            <v>20131.929688</v>
          </cell>
        </row>
        <row r="44">
          <cell r="A44">
            <v>573</v>
          </cell>
          <cell r="B44">
            <v>106104.312256</v>
          </cell>
          <cell r="C44">
            <v>18819.46875</v>
          </cell>
          <cell r="D44">
            <v>30509.046875</v>
          </cell>
        </row>
        <row r="45">
          <cell r="A45">
            <v>574</v>
          </cell>
          <cell r="B45">
            <v>165472.37890700001</v>
          </cell>
          <cell r="C45">
            <v>31180.765625</v>
          </cell>
          <cell r="D45">
            <v>45436.929687999997</v>
          </cell>
        </row>
        <row r="46">
          <cell r="A46">
            <v>575</v>
          </cell>
          <cell r="B46">
            <v>144875.806151</v>
          </cell>
          <cell r="C46">
            <v>24470.099609000001</v>
          </cell>
          <cell r="D46">
            <v>43236.128905999998</v>
          </cell>
        </row>
        <row r="47">
          <cell r="A47">
            <v>578</v>
          </cell>
          <cell r="B47">
            <v>106104.312256</v>
          </cell>
          <cell r="C47">
            <v>18819.46875</v>
          </cell>
          <cell r="D47">
            <v>30509.046875</v>
          </cell>
        </row>
        <row r="48">
          <cell r="A48">
            <v>579</v>
          </cell>
          <cell r="B48">
            <v>66906.283204000007</v>
          </cell>
          <cell r="C48">
            <v>15328.194336</v>
          </cell>
          <cell r="D48">
            <v>15734.662109000001</v>
          </cell>
        </row>
        <row r="49">
          <cell r="A49">
            <v>580</v>
          </cell>
          <cell r="B49">
            <v>98674.104491999999</v>
          </cell>
          <cell r="C49">
            <v>23015.203125</v>
          </cell>
          <cell r="D49">
            <v>18580.806640999999</v>
          </cell>
        </row>
        <row r="50">
          <cell r="A50">
            <v>589</v>
          </cell>
          <cell r="B50">
            <v>68660.273436999996</v>
          </cell>
          <cell r="C50">
            <v>11584.186523</v>
          </cell>
          <cell r="D50">
            <v>20098.789062</v>
          </cell>
        </row>
        <row r="51">
          <cell r="A51">
            <v>590</v>
          </cell>
          <cell r="B51">
            <v>83787.932860999994</v>
          </cell>
          <cell r="C51">
            <v>14627.862305000001</v>
          </cell>
          <cell r="D51">
            <v>23298.769531000002</v>
          </cell>
        </row>
        <row r="52">
          <cell r="A52">
            <v>605</v>
          </cell>
          <cell r="B52">
            <v>39182.144043</v>
          </cell>
          <cell r="C52">
            <v>7830.3881840000004</v>
          </cell>
          <cell r="D52">
            <v>6329.0268550000001</v>
          </cell>
        </row>
        <row r="53">
          <cell r="A53">
            <v>610</v>
          </cell>
          <cell r="B53">
            <v>57994.660400000001</v>
          </cell>
          <cell r="C53">
            <v>12637.748046999999</v>
          </cell>
          <cell r="D53">
            <v>13924.809569999999</v>
          </cell>
        </row>
        <row r="54">
          <cell r="A54">
            <v>611</v>
          </cell>
          <cell r="B54">
            <v>58712.684570000005</v>
          </cell>
          <cell r="C54">
            <v>12931.772461</v>
          </cell>
          <cell r="D54">
            <v>14068.421875</v>
          </cell>
        </row>
        <row r="55">
          <cell r="A55">
            <v>615</v>
          </cell>
          <cell r="B55">
            <v>95828.199706999992</v>
          </cell>
          <cell r="C55">
            <v>15560.994140999999</v>
          </cell>
          <cell r="D55">
            <v>28702.935547000001</v>
          </cell>
        </row>
        <row r="56">
          <cell r="A56">
            <v>617</v>
          </cell>
          <cell r="B56">
            <v>59330.226561999996</v>
          </cell>
          <cell r="C56">
            <v>11453.200194999999</v>
          </cell>
          <cell r="D56">
            <v>12721.300781</v>
          </cell>
        </row>
        <row r="57">
          <cell r="A57">
            <v>619</v>
          </cell>
          <cell r="B57">
            <v>30408.039307000003</v>
          </cell>
          <cell r="C57">
            <v>2510.5395509999998</v>
          </cell>
          <cell r="D57">
            <v>9435.0634769999997</v>
          </cell>
        </row>
        <row r="58">
          <cell r="A58">
            <v>621</v>
          </cell>
          <cell r="B58">
            <v>96256.835938000004</v>
          </cell>
          <cell r="C58">
            <v>23652.900390999999</v>
          </cell>
          <cell r="D58">
            <v>18388.466797000001</v>
          </cell>
        </row>
        <row r="59">
          <cell r="A59">
            <v>637</v>
          </cell>
          <cell r="B59">
            <v>101605.638672</v>
          </cell>
          <cell r="C59">
            <v>26750.248047000001</v>
          </cell>
          <cell r="D59">
            <v>20278.203125</v>
          </cell>
        </row>
        <row r="60">
          <cell r="A60">
            <v>640</v>
          </cell>
          <cell r="B60">
            <v>89182.097657000006</v>
          </cell>
          <cell r="C60">
            <v>22632.074218999998</v>
          </cell>
          <cell r="D60">
            <v>20750.378906000002</v>
          </cell>
        </row>
        <row r="61">
          <cell r="A61">
            <v>643</v>
          </cell>
          <cell r="B61">
            <v>106887.13769600001</v>
          </cell>
          <cell r="C61">
            <v>27411.390625</v>
          </cell>
          <cell r="D61">
            <v>20615.837890999999</v>
          </cell>
        </row>
        <row r="62">
          <cell r="A62">
            <v>651</v>
          </cell>
          <cell r="B62">
            <v>37211.112793</v>
          </cell>
          <cell r="C62">
            <v>2520.6823730000001</v>
          </cell>
          <cell r="D62">
            <v>12063.563477</v>
          </cell>
        </row>
        <row r="63">
          <cell r="A63">
            <v>653</v>
          </cell>
          <cell r="B63">
            <v>1828.7254640000001</v>
          </cell>
          <cell r="C63">
            <v>1828.7254640000001</v>
          </cell>
          <cell r="D63">
            <v>0</v>
          </cell>
        </row>
        <row r="64">
          <cell r="A64">
            <v>659</v>
          </cell>
          <cell r="B64">
            <v>1828.7254640000001</v>
          </cell>
          <cell r="C64">
            <v>1828.7254640000001</v>
          </cell>
          <cell r="D64">
            <v>0</v>
          </cell>
        </row>
        <row r="65">
          <cell r="A65">
            <v>660</v>
          </cell>
          <cell r="B65">
            <v>1828.7254640000001</v>
          </cell>
          <cell r="C65">
            <v>1828.7254640000001</v>
          </cell>
          <cell r="D65">
            <v>0</v>
          </cell>
        </row>
        <row r="66">
          <cell r="A66">
            <v>662</v>
          </cell>
          <cell r="B66">
            <v>1828.7254640000001</v>
          </cell>
          <cell r="C66">
            <v>1828.7254640000001</v>
          </cell>
          <cell r="D66">
            <v>0</v>
          </cell>
        </row>
        <row r="67">
          <cell r="A67">
            <v>663</v>
          </cell>
          <cell r="B67">
            <v>14328.058105999999</v>
          </cell>
          <cell r="C67">
            <v>3814.3076169999999</v>
          </cell>
          <cell r="D67">
            <v>4319.5708009999998</v>
          </cell>
        </row>
        <row r="68">
          <cell r="A68">
            <v>664</v>
          </cell>
          <cell r="B68">
            <v>17267.160339999999</v>
          </cell>
          <cell r="C68">
            <v>3984.5429690000001</v>
          </cell>
          <cell r="D68">
            <v>4798.4726559999999</v>
          </cell>
        </row>
        <row r="69">
          <cell r="A69">
            <v>665</v>
          </cell>
          <cell r="B69">
            <v>1985.8908690000001</v>
          </cell>
          <cell r="C69">
            <v>0</v>
          </cell>
          <cell r="D69">
            <v>1985.8908690000001</v>
          </cell>
        </row>
        <row r="70">
          <cell r="A70">
            <v>666</v>
          </cell>
          <cell r="B70">
            <v>1985.8908690000001</v>
          </cell>
          <cell r="C70">
            <v>0</v>
          </cell>
          <cell r="D70">
            <v>1985.8908690000001</v>
          </cell>
        </row>
        <row r="71">
          <cell r="A71">
            <v>668</v>
          </cell>
          <cell r="B71">
            <v>1985.8908690000001</v>
          </cell>
          <cell r="C71">
            <v>0</v>
          </cell>
          <cell r="D71">
            <v>1985.8908690000001</v>
          </cell>
        </row>
        <row r="72">
          <cell r="A72">
            <v>669</v>
          </cell>
          <cell r="B72">
            <v>96128.014647999997</v>
          </cell>
          <cell r="C72">
            <v>16799.941406000002</v>
          </cell>
          <cell r="D72">
            <v>28008.777343999998</v>
          </cell>
        </row>
        <row r="73">
          <cell r="A73">
            <v>671</v>
          </cell>
          <cell r="B73">
            <v>93664.69384800001</v>
          </cell>
          <cell r="C73">
            <v>15305.530273</v>
          </cell>
          <cell r="D73">
            <v>27788.960938</v>
          </cell>
        </row>
        <row r="74">
          <cell r="A74">
            <v>672</v>
          </cell>
          <cell r="B74">
            <v>94049.779297000001</v>
          </cell>
          <cell r="C74">
            <v>22419.826172000001</v>
          </cell>
          <cell r="D74">
            <v>18324.837890999999</v>
          </cell>
        </row>
        <row r="75">
          <cell r="A75">
            <v>673</v>
          </cell>
          <cell r="B75">
            <v>88528.632812999989</v>
          </cell>
          <cell r="C75">
            <v>14321.339844</v>
          </cell>
          <cell r="D75">
            <v>26519.716797000001</v>
          </cell>
        </row>
        <row r="76">
          <cell r="A76">
            <v>674</v>
          </cell>
          <cell r="B76">
            <v>88440.536622</v>
          </cell>
          <cell r="C76">
            <v>21682.5625</v>
          </cell>
          <cell r="D76">
            <v>16250.509765999999</v>
          </cell>
        </row>
        <row r="77">
          <cell r="A77">
            <v>675</v>
          </cell>
          <cell r="B77">
            <v>94304.983396999989</v>
          </cell>
          <cell r="C77">
            <v>22666.785156000002</v>
          </cell>
          <cell r="D77">
            <v>17459.945312</v>
          </cell>
        </row>
        <row r="78">
          <cell r="A78">
            <v>684</v>
          </cell>
          <cell r="B78">
            <v>23993.076416999997</v>
          </cell>
          <cell r="C78">
            <v>4344.1606449999999</v>
          </cell>
          <cell r="D78">
            <v>4581.9057620000003</v>
          </cell>
        </row>
        <row r="79">
          <cell r="A79">
            <v>685</v>
          </cell>
          <cell r="B79">
            <v>23355.613279999998</v>
          </cell>
          <cell r="C79">
            <v>4159.7348629999997</v>
          </cell>
          <cell r="D79">
            <v>4544.6948240000002</v>
          </cell>
        </row>
        <row r="80">
          <cell r="A80">
            <v>686</v>
          </cell>
          <cell r="B80">
            <v>33285.762940000001</v>
          </cell>
          <cell r="C80">
            <v>5868.5825199999999</v>
          </cell>
          <cell r="D80">
            <v>6969.0131840000004</v>
          </cell>
        </row>
        <row r="81">
          <cell r="A81">
            <v>687</v>
          </cell>
          <cell r="B81">
            <v>29246.889404000001</v>
          </cell>
          <cell r="C81">
            <v>5271.0214839999999</v>
          </cell>
          <cell r="D81">
            <v>6142.1508789999998</v>
          </cell>
        </row>
        <row r="82">
          <cell r="A82">
            <v>688</v>
          </cell>
          <cell r="B82">
            <v>63478.188964000001</v>
          </cell>
          <cell r="C82">
            <v>11927.961914</v>
          </cell>
          <cell r="D82">
            <v>13926.9375</v>
          </cell>
        </row>
        <row r="83">
          <cell r="A83">
            <v>689</v>
          </cell>
          <cell r="B83">
            <v>56309.528318999997</v>
          </cell>
          <cell r="C83">
            <v>10444.539062</v>
          </cell>
          <cell r="D83">
            <v>12750.075194999999</v>
          </cell>
        </row>
        <row r="84">
          <cell r="A84">
            <v>690</v>
          </cell>
          <cell r="B84">
            <v>77623.078124000007</v>
          </cell>
          <cell r="C84">
            <v>15187.789062</v>
          </cell>
          <cell r="D84">
            <v>17749.285156000002</v>
          </cell>
        </row>
        <row r="85">
          <cell r="A85">
            <v>696</v>
          </cell>
          <cell r="B85">
            <v>67227.285157000006</v>
          </cell>
          <cell r="C85">
            <v>13381.326171999999</v>
          </cell>
          <cell r="D85">
            <v>15686.220703000001</v>
          </cell>
        </row>
        <row r="86">
          <cell r="A86">
            <v>698</v>
          </cell>
          <cell r="B86">
            <v>77585.795897999997</v>
          </cell>
          <cell r="C86">
            <v>15712.217773</v>
          </cell>
          <cell r="D86">
            <v>18137.439452999999</v>
          </cell>
        </row>
        <row r="87">
          <cell r="A87">
            <v>699</v>
          </cell>
          <cell r="B87">
            <v>64460.819578999995</v>
          </cell>
          <cell r="C87">
            <v>13317.691406</v>
          </cell>
          <cell r="D87">
            <v>15148.833984000001</v>
          </cell>
        </row>
        <row r="88">
          <cell r="A88">
            <v>700</v>
          </cell>
          <cell r="B88">
            <v>79601.837402999998</v>
          </cell>
          <cell r="C88">
            <v>17016.806640999999</v>
          </cell>
          <cell r="D88">
            <v>17950.041015999999</v>
          </cell>
        </row>
        <row r="89">
          <cell r="A89">
            <v>702</v>
          </cell>
          <cell r="B89">
            <v>78078.392090000008</v>
          </cell>
          <cell r="C89">
            <v>15493.361328000001</v>
          </cell>
          <cell r="D89">
            <v>17950.041015999999</v>
          </cell>
        </row>
        <row r="90">
          <cell r="A90">
            <v>703</v>
          </cell>
          <cell r="B90">
            <v>70458.823729999989</v>
          </cell>
          <cell r="C90">
            <v>13912.359375</v>
          </cell>
          <cell r="D90">
            <v>16374.408203000001</v>
          </cell>
        </row>
        <row r="91">
          <cell r="A91">
            <v>704</v>
          </cell>
          <cell r="B91">
            <v>93955.051757999987</v>
          </cell>
          <cell r="C91">
            <v>17788.46875</v>
          </cell>
          <cell r="D91">
            <v>20226.599609000001</v>
          </cell>
        </row>
        <row r="92">
          <cell r="A92">
            <v>705</v>
          </cell>
          <cell r="B92">
            <v>103793.88671799999</v>
          </cell>
          <cell r="C92">
            <v>20871.912109000001</v>
          </cell>
          <cell r="D92">
            <v>22324.302734000001</v>
          </cell>
        </row>
        <row r="93">
          <cell r="A93">
            <v>706</v>
          </cell>
          <cell r="B93">
            <v>112043.30468799999</v>
          </cell>
          <cell r="C93">
            <v>22931.871093999998</v>
          </cell>
          <cell r="D93">
            <v>24022.767577999999</v>
          </cell>
        </row>
        <row r="94">
          <cell r="A94">
            <v>707</v>
          </cell>
          <cell r="B94">
            <v>82835.215331999992</v>
          </cell>
          <cell r="C94">
            <v>17516.517577999999</v>
          </cell>
          <cell r="D94">
            <v>17020.642577999999</v>
          </cell>
        </row>
        <row r="95">
          <cell r="A95">
            <v>708</v>
          </cell>
          <cell r="B95">
            <v>76611.419433000003</v>
          </cell>
          <cell r="C95">
            <v>16137.199219</v>
          </cell>
          <cell r="D95">
            <v>15648.295898</v>
          </cell>
        </row>
        <row r="96">
          <cell r="A96">
            <v>711</v>
          </cell>
          <cell r="B96">
            <v>88269.198728999996</v>
          </cell>
          <cell r="C96">
            <v>19690.048827999999</v>
          </cell>
          <cell r="D96">
            <v>18532.173827999999</v>
          </cell>
        </row>
        <row r="97">
          <cell r="A97">
            <v>716</v>
          </cell>
          <cell r="B97">
            <v>113330.40625</v>
          </cell>
          <cell r="C97">
            <v>26770.097656000002</v>
          </cell>
          <cell r="D97">
            <v>22947.023438</v>
          </cell>
        </row>
        <row r="98">
          <cell r="A98">
            <v>717</v>
          </cell>
          <cell r="B98">
            <v>109693.649414</v>
          </cell>
          <cell r="C98">
            <v>25772.324218999998</v>
          </cell>
          <cell r="D98">
            <v>22242.964843999998</v>
          </cell>
        </row>
        <row r="99">
          <cell r="A99">
            <v>720</v>
          </cell>
          <cell r="B99">
            <v>114625.756836</v>
          </cell>
          <cell r="C99">
            <v>27136.039062</v>
          </cell>
          <cell r="D99">
            <v>22494.580077999999</v>
          </cell>
        </row>
        <row r="100">
          <cell r="A100">
            <v>721</v>
          </cell>
          <cell r="B100">
            <v>110784.33837900001</v>
          </cell>
          <cell r="C100">
            <v>18877.945312</v>
          </cell>
          <cell r="D100">
            <v>32537.75</v>
          </cell>
        </row>
        <row r="101">
          <cell r="A101">
            <v>722</v>
          </cell>
          <cell r="B101">
            <v>118255.37207</v>
          </cell>
          <cell r="C101">
            <v>27838.642577999999</v>
          </cell>
          <cell r="D101">
            <v>24528.134765999999</v>
          </cell>
        </row>
        <row r="102">
          <cell r="A102">
            <v>725</v>
          </cell>
          <cell r="B102">
            <v>119699.527344</v>
          </cell>
          <cell r="C102">
            <v>28270.28125</v>
          </cell>
          <cell r="D102">
            <v>23687.25</v>
          </cell>
        </row>
        <row r="103">
          <cell r="A103">
            <v>726</v>
          </cell>
          <cell r="B103">
            <v>115141.61914000001</v>
          </cell>
          <cell r="C103">
            <v>27491.552734000001</v>
          </cell>
          <cell r="D103">
            <v>22874.732422000001</v>
          </cell>
        </row>
        <row r="104">
          <cell r="A104">
            <v>727</v>
          </cell>
          <cell r="B104">
            <v>126433.42284999999</v>
          </cell>
          <cell r="C104">
            <v>29631.130859000001</v>
          </cell>
          <cell r="D104">
            <v>24749.662109000001</v>
          </cell>
        </row>
        <row r="105">
          <cell r="A105">
            <v>728</v>
          </cell>
          <cell r="B105">
            <v>121344.80761800001</v>
          </cell>
          <cell r="C105">
            <v>28279.71875</v>
          </cell>
          <cell r="D105">
            <v>23706.666015999999</v>
          </cell>
        </row>
        <row r="106">
          <cell r="A106">
            <v>729</v>
          </cell>
          <cell r="B106">
            <v>93283.437012000009</v>
          </cell>
          <cell r="C106">
            <v>25543.279297000001</v>
          </cell>
          <cell r="D106">
            <v>18735.220702999999</v>
          </cell>
        </row>
        <row r="107">
          <cell r="A107">
            <v>730</v>
          </cell>
          <cell r="B107">
            <v>96631.736816000004</v>
          </cell>
          <cell r="C107">
            <v>26819.771484000001</v>
          </cell>
          <cell r="D107">
            <v>19521.953125</v>
          </cell>
        </row>
        <row r="108">
          <cell r="A108">
            <v>733</v>
          </cell>
          <cell r="B108">
            <v>91431.995116999984</v>
          </cell>
          <cell r="C108">
            <v>25886.861327999999</v>
          </cell>
          <cell r="D108">
            <v>18197.052734000001</v>
          </cell>
        </row>
        <row r="109">
          <cell r="A109">
            <v>734</v>
          </cell>
          <cell r="B109">
            <v>90248.988282000006</v>
          </cell>
          <cell r="C109">
            <v>14893.682617</v>
          </cell>
          <cell r="D109">
            <v>26676.529297000001</v>
          </cell>
        </row>
        <row r="110">
          <cell r="A110">
            <v>735</v>
          </cell>
          <cell r="B110">
            <v>90090.123045999993</v>
          </cell>
          <cell r="C110">
            <v>21472.263672000001</v>
          </cell>
          <cell r="D110">
            <v>17917.552734000001</v>
          </cell>
        </row>
        <row r="111">
          <cell r="A111">
            <v>738</v>
          </cell>
          <cell r="B111">
            <v>74621.187987999991</v>
          </cell>
          <cell r="C111">
            <v>21932.548827999999</v>
          </cell>
          <cell r="D111">
            <v>14083.180664</v>
          </cell>
        </row>
        <row r="112">
          <cell r="A112">
            <v>743</v>
          </cell>
          <cell r="B112">
            <v>97639.727051000009</v>
          </cell>
          <cell r="C112">
            <v>27100.044922000001</v>
          </cell>
          <cell r="D112">
            <v>19282.535156000002</v>
          </cell>
        </row>
        <row r="113">
          <cell r="A113">
            <v>744</v>
          </cell>
          <cell r="B113">
            <v>87791.646483000004</v>
          </cell>
          <cell r="C113">
            <v>25174.185547000001</v>
          </cell>
          <cell r="D113">
            <v>16937.144531000002</v>
          </cell>
        </row>
        <row r="114">
          <cell r="A114">
            <v>746</v>
          </cell>
          <cell r="B114">
            <v>98109.87402399999</v>
          </cell>
          <cell r="C114">
            <v>27431.917968999998</v>
          </cell>
          <cell r="D114">
            <v>18960.5625</v>
          </cell>
        </row>
        <row r="115">
          <cell r="A115">
            <v>748</v>
          </cell>
          <cell r="B115">
            <v>99117.828612999991</v>
          </cell>
          <cell r="C115">
            <v>27102.697265999999</v>
          </cell>
          <cell r="D115">
            <v>17919.158202999999</v>
          </cell>
        </row>
        <row r="116">
          <cell r="A116">
            <v>749</v>
          </cell>
          <cell r="B116">
            <v>114851.54882900001</v>
          </cell>
          <cell r="C116">
            <v>31462.236327999999</v>
          </cell>
          <cell r="D116">
            <v>21639.642577999999</v>
          </cell>
        </row>
        <row r="117">
          <cell r="A117">
            <v>751</v>
          </cell>
          <cell r="B117">
            <v>118978.48632900001</v>
          </cell>
          <cell r="C117">
            <v>31951.941406000002</v>
          </cell>
          <cell r="D117">
            <v>23431.509765999999</v>
          </cell>
        </row>
        <row r="118">
          <cell r="A118">
            <v>752</v>
          </cell>
          <cell r="B118">
            <v>112208.13085799999</v>
          </cell>
          <cell r="C118">
            <v>30514.957031000002</v>
          </cell>
          <cell r="D118">
            <v>21650.863281000002</v>
          </cell>
        </row>
        <row r="119">
          <cell r="A119">
            <v>753</v>
          </cell>
          <cell r="B119">
            <v>116691.20898400001</v>
          </cell>
          <cell r="C119">
            <v>31584.695312</v>
          </cell>
          <cell r="D119">
            <v>22740.085938</v>
          </cell>
        </row>
        <row r="120">
          <cell r="A120">
            <v>754</v>
          </cell>
          <cell r="B120">
            <v>104067.132812</v>
          </cell>
          <cell r="C120">
            <v>28499.257812</v>
          </cell>
          <cell r="D120">
            <v>20242.072265999999</v>
          </cell>
        </row>
        <row r="121">
          <cell r="A121">
            <v>755</v>
          </cell>
          <cell r="B121">
            <v>83091.062988000005</v>
          </cell>
          <cell r="C121">
            <v>21892.751952999999</v>
          </cell>
          <cell r="D121">
            <v>16646.431640999999</v>
          </cell>
        </row>
        <row r="122">
          <cell r="A122">
            <v>756</v>
          </cell>
          <cell r="B122">
            <v>116742.639649</v>
          </cell>
          <cell r="C122">
            <v>29080.607422000001</v>
          </cell>
          <cell r="D122">
            <v>24933.210938</v>
          </cell>
        </row>
        <row r="123">
          <cell r="A123">
            <v>757</v>
          </cell>
          <cell r="B123">
            <v>97408.075194999998</v>
          </cell>
          <cell r="C123">
            <v>24631.470702999999</v>
          </cell>
          <cell r="D123">
            <v>20545.136718999998</v>
          </cell>
        </row>
        <row r="124">
          <cell r="A124">
            <v>758</v>
          </cell>
          <cell r="B124">
            <v>114198.53320199999</v>
          </cell>
          <cell r="C124">
            <v>27044.609375</v>
          </cell>
          <cell r="D124">
            <v>24778.857422000001</v>
          </cell>
        </row>
        <row r="125">
          <cell r="A125">
            <v>759</v>
          </cell>
          <cell r="B125">
            <v>95275.635741999999</v>
          </cell>
          <cell r="C125">
            <v>22637.242188</v>
          </cell>
          <cell r="D125">
            <v>20713.410156000002</v>
          </cell>
        </row>
        <row r="126">
          <cell r="A126">
            <v>760</v>
          </cell>
          <cell r="B126">
            <v>111958.31836</v>
          </cell>
          <cell r="C126">
            <v>24905.785156000002</v>
          </cell>
          <cell r="D126">
            <v>24893.716797000001</v>
          </cell>
        </row>
        <row r="127">
          <cell r="A127">
            <v>762</v>
          </cell>
          <cell r="B127">
            <v>95514.772461</v>
          </cell>
          <cell r="C127">
            <v>21888.533202999999</v>
          </cell>
          <cell r="D127">
            <v>20602.693359000001</v>
          </cell>
        </row>
        <row r="128">
          <cell r="A128">
            <v>763</v>
          </cell>
          <cell r="B128">
            <v>88099.647947999998</v>
          </cell>
          <cell r="C128">
            <v>19920.380859000001</v>
          </cell>
          <cell r="D128">
            <v>18223.599609000001</v>
          </cell>
        </row>
        <row r="129">
          <cell r="A129">
            <v>764</v>
          </cell>
          <cell r="B129">
            <v>125625.186524</v>
          </cell>
          <cell r="C129">
            <v>28915.431640999999</v>
          </cell>
          <cell r="D129">
            <v>27586.587890999999</v>
          </cell>
        </row>
        <row r="130">
          <cell r="A130">
            <v>768</v>
          </cell>
          <cell r="B130">
            <v>126861.50683500001</v>
          </cell>
          <cell r="C130">
            <v>22785.910156000002</v>
          </cell>
          <cell r="D130">
            <v>33589.320312000003</v>
          </cell>
        </row>
        <row r="131">
          <cell r="A131">
            <v>769</v>
          </cell>
          <cell r="B131">
            <v>96437.245116999999</v>
          </cell>
          <cell r="C131">
            <v>17502.212890999999</v>
          </cell>
          <cell r="D131">
            <v>26556.988281000002</v>
          </cell>
        </row>
        <row r="132">
          <cell r="A132">
            <v>770</v>
          </cell>
          <cell r="B132">
            <v>97499.236327999999</v>
          </cell>
          <cell r="C132">
            <v>17808.039062</v>
          </cell>
          <cell r="D132">
            <v>26809.523438</v>
          </cell>
        </row>
        <row r="133">
          <cell r="A133">
            <v>771</v>
          </cell>
          <cell r="B133">
            <v>112154.85449300001</v>
          </cell>
          <cell r="C133">
            <v>21553.492188</v>
          </cell>
          <cell r="D133">
            <v>30883.025390999999</v>
          </cell>
        </row>
        <row r="134">
          <cell r="A134">
            <v>772</v>
          </cell>
          <cell r="B134">
            <v>94202.918944999998</v>
          </cell>
          <cell r="C134">
            <v>17586.265625</v>
          </cell>
          <cell r="D134">
            <v>26490.0625</v>
          </cell>
        </row>
        <row r="135">
          <cell r="A135">
            <v>773</v>
          </cell>
          <cell r="B135">
            <v>102559.578125</v>
          </cell>
          <cell r="C135">
            <v>18451.607422000001</v>
          </cell>
          <cell r="D135">
            <v>29421.699218999998</v>
          </cell>
        </row>
        <row r="136">
          <cell r="A136">
            <v>774</v>
          </cell>
          <cell r="B136">
            <v>109818.71826199999</v>
          </cell>
          <cell r="C136">
            <v>20028.228515999999</v>
          </cell>
          <cell r="D136">
            <v>31196.792968999998</v>
          </cell>
        </row>
        <row r="137">
          <cell r="A137">
            <v>776</v>
          </cell>
          <cell r="B137">
            <v>92231.538573999991</v>
          </cell>
          <cell r="C137">
            <v>16336.040039</v>
          </cell>
          <cell r="D137">
            <v>27089.724609000001</v>
          </cell>
        </row>
        <row r="138">
          <cell r="A138">
            <v>777</v>
          </cell>
          <cell r="B138">
            <v>106646.81054599999</v>
          </cell>
          <cell r="C138">
            <v>18775.753906000002</v>
          </cell>
          <cell r="D138">
            <v>31576.833984000001</v>
          </cell>
        </row>
        <row r="139">
          <cell r="A139">
            <v>778</v>
          </cell>
          <cell r="B139">
            <v>81576.473876999997</v>
          </cell>
          <cell r="C139">
            <v>14596.849609000001</v>
          </cell>
          <cell r="D139">
            <v>24890.080077999999</v>
          </cell>
        </row>
        <row r="140">
          <cell r="A140">
            <v>779</v>
          </cell>
          <cell r="B140">
            <v>108331.272705</v>
          </cell>
          <cell r="C140">
            <v>17860.134765999999</v>
          </cell>
          <cell r="D140">
            <v>34519.601562000003</v>
          </cell>
        </row>
        <row r="141">
          <cell r="A141">
            <v>782</v>
          </cell>
          <cell r="B141">
            <v>101773.36230400001</v>
          </cell>
          <cell r="C141">
            <v>25506.035156000002</v>
          </cell>
          <cell r="D141">
            <v>19468.365234000001</v>
          </cell>
        </row>
        <row r="142">
          <cell r="A142">
            <v>783</v>
          </cell>
          <cell r="B142">
            <v>105390.141602</v>
          </cell>
          <cell r="C142">
            <v>16789.910156000002</v>
          </cell>
          <cell r="D142">
            <v>30935.710938</v>
          </cell>
        </row>
        <row r="143">
          <cell r="A143">
            <v>786</v>
          </cell>
          <cell r="B143">
            <v>121847.098877</v>
          </cell>
          <cell r="C143">
            <v>19621.992188</v>
          </cell>
          <cell r="D143">
            <v>37906.003905999998</v>
          </cell>
        </row>
        <row r="144">
          <cell r="A144">
            <v>787</v>
          </cell>
          <cell r="B144">
            <v>115547.582031</v>
          </cell>
          <cell r="C144">
            <v>18382.679688</v>
          </cell>
          <cell r="D144">
            <v>36127.359375</v>
          </cell>
        </row>
        <row r="145">
          <cell r="A145">
            <v>788</v>
          </cell>
          <cell r="B145">
            <v>122057.172118</v>
          </cell>
          <cell r="C145">
            <v>19689.6875</v>
          </cell>
          <cell r="D145">
            <v>37786.039062000003</v>
          </cell>
        </row>
        <row r="146">
          <cell r="A146">
            <v>789</v>
          </cell>
          <cell r="B146">
            <v>128234.360352</v>
          </cell>
          <cell r="C146">
            <v>32495.228515999999</v>
          </cell>
          <cell r="D146">
            <v>24104.873047000001</v>
          </cell>
        </row>
        <row r="147">
          <cell r="A147">
            <v>790</v>
          </cell>
          <cell r="B147">
            <v>43799.091675999996</v>
          </cell>
          <cell r="C147">
            <v>8894.9541019999997</v>
          </cell>
          <cell r="D147">
            <v>10731.844727</v>
          </cell>
        </row>
        <row r="148">
          <cell r="A148">
            <v>791</v>
          </cell>
          <cell r="B148">
            <v>120636.20727500001</v>
          </cell>
          <cell r="C148">
            <v>18536.287109000001</v>
          </cell>
          <cell r="D148">
            <v>37799.289062000003</v>
          </cell>
        </row>
        <row r="149">
          <cell r="A149">
            <v>792</v>
          </cell>
          <cell r="B149">
            <v>104902.76000899999</v>
          </cell>
          <cell r="C149">
            <v>16032.149414</v>
          </cell>
          <cell r="D149">
            <v>33287.972655999998</v>
          </cell>
        </row>
        <row r="150">
          <cell r="A150">
            <v>797</v>
          </cell>
          <cell r="B150">
            <v>106299.744385</v>
          </cell>
          <cell r="C150">
            <v>16881.984375</v>
          </cell>
          <cell r="D150">
            <v>33477.5625</v>
          </cell>
        </row>
        <row r="151">
          <cell r="A151">
            <v>799</v>
          </cell>
          <cell r="B151">
            <v>92201.893311000007</v>
          </cell>
          <cell r="C151">
            <v>14703.21875</v>
          </cell>
          <cell r="D151">
            <v>29248.326172000001</v>
          </cell>
        </row>
        <row r="152">
          <cell r="A152">
            <v>800</v>
          </cell>
          <cell r="B152">
            <v>104952.443359</v>
          </cell>
          <cell r="C152">
            <v>17157.705077999999</v>
          </cell>
          <cell r="D152">
            <v>32599.818359000001</v>
          </cell>
        </row>
        <row r="153">
          <cell r="A153">
            <v>801</v>
          </cell>
          <cell r="B153">
            <v>81186.712159000002</v>
          </cell>
          <cell r="C153">
            <v>12701.025390999999</v>
          </cell>
          <cell r="D153">
            <v>26420.966797000001</v>
          </cell>
        </row>
        <row r="154">
          <cell r="A154">
            <v>802</v>
          </cell>
          <cell r="B154">
            <v>131299.13964899999</v>
          </cell>
          <cell r="C154">
            <v>21410.978515999999</v>
          </cell>
          <cell r="D154">
            <v>39846.75</v>
          </cell>
        </row>
        <row r="155">
          <cell r="A155">
            <v>803</v>
          </cell>
          <cell r="B155">
            <v>122836.62841800001</v>
          </cell>
          <cell r="C155">
            <v>20137.78125</v>
          </cell>
          <cell r="D155">
            <v>37249.140625</v>
          </cell>
        </row>
        <row r="156">
          <cell r="A156">
            <v>804</v>
          </cell>
          <cell r="B156">
            <v>93997.247803000006</v>
          </cell>
          <cell r="C156">
            <v>15284.921875</v>
          </cell>
          <cell r="D156">
            <v>28762.302734000001</v>
          </cell>
        </row>
        <row r="157">
          <cell r="A157">
            <v>805</v>
          </cell>
          <cell r="B157">
            <v>103215.400391</v>
          </cell>
          <cell r="C157">
            <v>17413.46875</v>
          </cell>
          <cell r="D157">
            <v>31090.238281000002</v>
          </cell>
        </row>
        <row r="158">
          <cell r="A158">
            <v>806</v>
          </cell>
          <cell r="B158">
            <v>95917.024414000014</v>
          </cell>
          <cell r="C158">
            <v>16669.412109000001</v>
          </cell>
          <cell r="D158">
            <v>26552.71875</v>
          </cell>
        </row>
        <row r="159">
          <cell r="A159">
            <v>807</v>
          </cell>
          <cell r="B159">
            <v>129147.26025399999</v>
          </cell>
          <cell r="C159">
            <v>21549.878906000002</v>
          </cell>
          <cell r="D159">
            <v>35267.824219000002</v>
          </cell>
        </row>
        <row r="160">
          <cell r="A160">
            <v>808</v>
          </cell>
          <cell r="B160">
            <v>132819.86474600001</v>
          </cell>
          <cell r="C160">
            <v>22178.316406000002</v>
          </cell>
          <cell r="D160">
            <v>36391.429687999997</v>
          </cell>
        </row>
        <row r="161">
          <cell r="A161">
            <v>809</v>
          </cell>
          <cell r="B161">
            <v>119549.29785199999</v>
          </cell>
          <cell r="C161">
            <v>19792.839843999998</v>
          </cell>
          <cell r="D161">
            <v>32912.25</v>
          </cell>
        </row>
        <row r="162">
          <cell r="A162">
            <v>810</v>
          </cell>
          <cell r="B162">
            <v>125614.05566300001</v>
          </cell>
          <cell r="C162">
            <v>20907.789062</v>
          </cell>
          <cell r="D162">
            <v>34276.605469000002</v>
          </cell>
        </row>
        <row r="163">
          <cell r="A163">
            <v>811</v>
          </cell>
          <cell r="B163">
            <v>119523.67334000001</v>
          </cell>
          <cell r="C163">
            <v>19871.679688</v>
          </cell>
          <cell r="D163">
            <v>32680.595702999999</v>
          </cell>
        </row>
        <row r="164">
          <cell r="A164">
            <v>813</v>
          </cell>
          <cell r="B164">
            <v>113904.539063</v>
          </cell>
          <cell r="C164">
            <v>19907.708984000001</v>
          </cell>
          <cell r="D164">
            <v>30525.400390999999</v>
          </cell>
        </row>
        <row r="165">
          <cell r="A165">
            <v>815</v>
          </cell>
          <cell r="B165">
            <v>119839.133789</v>
          </cell>
          <cell r="C165">
            <v>20805.080077999999</v>
          </cell>
          <cell r="D165">
            <v>32409.998047000001</v>
          </cell>
        </row>
        <row r="166">
          <cell r="A166">
            <v>822</v>
          </cell>
          <cell r="B166">
            <v>94245.072753999993</v>
          </cell>
          <cell r="C166">
            <v>16219.098633</v>
          </cell>
          <cell r="D166">
            <v>24685.96875</v>
          </cell>
        </row>
        <row r="167">
          <cell r="A167">
            <v>823</v>
          </cell>
          <cell r="B167">
            <v>85805.521485000005</v>
          </cell>
          <cell r="C167">
            <v>14661.107421999999</v>
          </cell>
          <cell r="D167">
            <v>23281.326172000001</v>
          </cell>
        </row>
        <row r="168">
          <cell r="A168">
            <v>824</v>
          </cell>
          <cell r="B168">
            <v>90166.799561000007</v>
          </cell>
          <cell r="C168">
            <v>15815.986328000001</v>
          </cell>
          <cell r="D168">
            <v>24414.035156000002</v>
          </cell>
        </row>
        <row r="169">
          <cell r="A169">
            <v>834</v>
          </cell>
          <cell r="B169">
            <v>109408.791748</v>
          </cell>
          <cell r="C169">
            <v>18701.6875</v>
          </cell>
          <cell r="D169">
            <v>29568.019531000002</v>
          </cell>
        </row>
        <row r="170">
          <cell r="A170">
            <v>835</v>
          </cell>
          <cell r="B170">
            <v>127883.344727</v>
          </cell>
          <cell r="C170">
            <v>21501.013672000001</v>
          </cell>
          <cell r="D170">
            <v>32834.386719000002</v>
          </cell>
        </row>
        <row r="171">
          <cell r="A171">
            <v>836</v>
          </cell>
          <cell r="B171">
            <v>117957.67431599999</v>
          </cell>
          <cell r="C171">
            <v>19784.089843999998</v>
          </cell>
          <cell r="D171">
            <v>30056.591797000001</v>
          </cell>
        </row>
        <row r="172">
          <cell r="A172">
            <v>837</v>
          </cell>
          <cell r="B172">
            <v>127127.756348</v>
          </cell>
          <cell r="C172">
            <v>21514.535156000002</v>
          </cell>
          <cell r="D172">
            <v>32335.419922000001</v>
          </cell>
        </row>
        <row r="173">
          <cell r="A173">
            <v>839</v>
          </cell>
          <cell r="B173">
            <v>95676.079590000008</v>
          </cell>
          <cell r="C173">
            <v>16672.796875</v>
          </cell>
          <cell r="D173">
            <v>23564.941406000002</v>
          </cell>
        </row>
        <row r="174">
          <cell r="A174">
            <v>841</v>
          </cell>
          <cell r="B174">
            <v>103119.029786</v>
          </cell>
          <cell r="C174">
            <v>17891.28125</v>
          </cell>
          <cell r="D174">
            <v>25396.898438</v>
          </cell>
        </row>
        <row r="175">
          <cell r="A175">
            <v>842</v>
          </cell>
          <cell r="B175">
            <v>68941.083008000001</v>
          </cell>
          <cell r="C175">
            <v>12997.71875</v>
          </cell>
          <cell r="D175">
            <v>14929.143555000001</v>
          </cell>
        </row>
        <row r="176">
          <cell r="A176">
            <v>843</v>
          </cell>
          <cell r="B176">
            <v>76493.030272999997</v>
          </cell>
          <cell r="C176">
            <v>14593.205078000001</v>
          </cell>
          <cell r="D176">
            <v>16984.791015999999</v>
          </cell>
        </row>
        <row r="177">
          <cell r="A177">
            <v>844</v>
          </cell>
          <cell r="B177">
            <v>67255.425048000005</v>
          </cell>
          <cell r="C177">
            <v>12757.259765999999</v>
          </cell>
          <cell r="D177">
            <v>15513.582031</v>
          </cell>
        </row>
        <row r="178">
          <cell r="A178">
            <v>845</v>
          </cell>
          <cell r="B178">
            <v>86751.959717000005</v>
          </cell>
          <cell r="C178">
            <v>16287.920898</v>
          </cell>
          <cell r="D178">
            <v>20136.125</v>
          </cell>
        </row>
        <row r="179">
          <cell r="A179">
            <v>851</v>
          </cell>
          <cell r="B179">
            <v>76713.596678000002</v>
          </cell>
          <cell r="C179">
            <v>14281.243164</v>
          </cell>
          <cell r="D179">
            <v>17630.005859000001</v>
          </cell>
        </row>
        <row r="180">
          <cell r="A180">
            <v>852</v>
          </cell>
          <cell r="B180">
            <v>89821.580566000004</v>
          </cell>
          <cell r="C180">
            <v>15926.335938</v>
          </cell>
          <cell r="D180">
            <v>21175.144531000002</v>
          </cell>
        </row>
        <row r="181">
          <cell r="A181">
            <v>853</v>
          </cell>
          <cell r="B181">
            <v>68732.042237000001</v>
          </cell>
          <cell r="C181">
            <v>12390.503906</v>
          </cell>
          <cell r="D181">
            <v>15539.817383</v>
          </cell>
        </row>
        <row r="182">
          <cell r="A182">
            <v>854</v>
          </cell>
          <cell r="B182">
            <v>76451.837159000002</v>
          </cell>
          <cell r="C182">
            <v>13231.265625</v>
          </cell>
          <cell r="D182">
            <v>18086.373047000001</v>
          </cell>
        </row>
        <row r="183">
          <cell r="A183">
            <v>855</v>
          </cell>
          <cell r="B183">
            <v>30902.489135</v>
          </cell>
          <cell r="C183">
            <v>4783.8789059999999</v>
          </cell>
          <cell r="D183">
            <v>7642.4145509999998</v>
          </cell>
        </row>
        <row r="184">
          <cell r="A184">
            <v>856</v>
          </cell>
          <cell r="B184">
            <v>34162.993407999995</v>
          </cell>
          <cell r="C184">
            <v>5271.6020509999998</v>
          </cell>
          <cell r="D184">
            <v>8276.1669920000004</v>
          </cell>
        </row>
        <row r="185">
          <cell r="A185">
            <v>857</v>
          </cell>
          <cell r="B185">
            <v>35198.173095999999</v>
          </cell>
          <cell r="C185">
            <v>5413.3652339999999</v>
          </cell>
          <cell r="D185">
            <v>8546.2949219999991</v>
          </cell>
        </row>
        <row r="186">
          <cell r="A186">
            <v>858</v>
          </cell>
          <cell r="B186">
            <v>27291.640380000001</v>
          </cell>
          <cell r="C186">
            <v>3841.623779</v>
          </cell>
          <cell r="D186">
            <v>6825.9545900000003</v>
          </cell>
        </row>
        <row r="187">
          <cell r="A187">
            <v>859</v>
          </cell>
          <cell r="B187">
            <v>28468.246948</v>
          </cell>
          <cell r="C187">
            <v>3847.5661620000001</v>
          </cell>
          <cell r="D187">
            <v>7290.8911129999997</v>
          </cell>
        </row>
        <row r="188">
          <cell r="A188">
            <v>860</v>
          </cell>
          <cell r="B188">
            <v>19377.807496000001</v>
          </cell>
          <cell r="C188">
            <v>2031.8001710000001</v>
          </cell>
          <cell r="D188">
            <v>5472.2651370000003</v>
          </cell>
        </row>
        <row r="189">
          <cell r="A189">
            <v>1042</v>
          </cell>
          <cell r="B189">
            <v>24323.662841999998</v>
          </cell>
          <cell r="C189">
            <v>3750.8657229999999</v>
          </cell>
          <cell r="D189">
            <v>8373.4824219999991</v>
          </cell>
        </row>
        <row r="190">
          <cell r="A190">
            <v>1173</v>
          </cell>
          <cell r="B190">
            <v>72059.512207000007</v>
          </cell>
          <cell r="C190">
            <v>16344.940430000001</v>
          </cell>
          <cell r="D190">
            <v>17153.404297000001</v>
          </cell>
        </row>
        <row r="191">
          <cell r="A191">
            <v>1250</v>
          </cell>
          <cell r="B191">
            <v>102188.646484</v>
          </cell>
          <cell r="C191">
            <v>24362.726562</v>
          </cell>
          <cell r="D191">
            <v>19867.166015999999</v>
          </cell>
        </row>
        <row r="192">
          <cell r="A192">
            <v>1549</v>
          </cell>
          <cell r="B192">
            <v>11064.571824000001</v>
          </cell>
          <cell r="C192">
            <v>1810.005249</v>
          </cell>
          <cell r="D192">
            <v>4525.5776370000003</v>
          </cell>
        </row>
        <row r="193">
          <cell r="A193">
            <v>1580</v>
          </cell>
          <cell r="B193">
            <v>13970.035644999998</v>
          </cell>
          <cell r="C193">
            <v>3800.5976559999999</v>
          </cell>
          <cell r="D193">
            <v>2560.2475589999999</v>
          </cell>
        </row>
        <row r="194">
          <cell r="A194">
            <v>1768</v>
          </cell>
          <cell r="B194">
            <v>8215.4687200000008</v>
          </cell>
          <cell r="C194">
            <v>1414.8396</v>
          </cell>
          <cell r="D194">
            <v>2501.0090329999998</v>
          </cell>
        </row>
        <row r="195">
          <cell r="A195">
            <v>3010</v>
          </cell>
          <cell r="B195">
            <v>1523.445923</v>
          </cell>
          <cell r="C195">
            <v>1523.445923</v>
          </cell>
          <cell r="D195">
            <v>0</v>
          </cell>
        </row>
        <row r="196">
          <cell r="A196">
            <v>3012</v>
          </cell>
          <cell r="B196">
            <v>1828.7254640000001</v>
          </cell>
          <cell r="C196">
            <v>1828.7254640000001</v>
          </cell>
          <cell r="D196">
            <v>0</v>
          </cell>
        </row>
        <row r="197">
          <cell r="A197">
            <v>3098</v>
          </cell>
          <cell r="B197">
            <v>2347.6059570000002</v>
          </cell>
          <cell r="C197">
            <v>2347.6059570000002</v>
          </cell>
          <cell r="D197">
            <v>0</v>
          </cell>
        </row>
        <row r="198">
          <cell r="A198">
            <v>3115</v>
          </cell>
          <cell r="B198">
            <v>2192.3159179999998</v>
          </cell>
          <cell r="C198">
            <v>2192.3159179999998</v>
          </cell>
          <cell r="D198">
            <v>0</v>
          </cell>
        </row>
        <row r="199">
          <cell r="A199">
            <v>3122</v>
          </cell>
          <cell r="B199">
            <v>1985.8908690000001</v>
          </cell>
          <cell r="C199">
            <v>0</v>
          </cell>
          <cell r="D199">
            <v>1985.8908690000001</v>
          </cell>
        </row>
        <row r="200">
          <cell r="A200">
            <v>3125</v>
          </cell>
          <cell r="B200">
            <v>94260.331054999988</v>
          </cell>
          <cell r="C200">
            <v>18093.748047000001</v>
          </cell>
          <cell r="D200">
            <v>20226.599609000001</v>
          </cell>
        </row>
        <row r="201">
          <cell r="A201">
            <v>3145</v>
          </cell>
          <cell r="B201">
            <v>79864.221191000004</v>
          </cell>
          <cell r="C201">
            <v>17242.894531000002</v>
          </cell>
          <cell r="D201">
            <v>17164.515625</v>
          </cell>
        </row>
        <row r="202">
          <cell r="A202">
            <v>3192</v>
          </cell>
          <cell r="B202">
            <v>79864.221191000004</v>
          </cell>
          <cell r="C202">
            <v>17242.894531000002</v>
          </cell>
          <cell r="D202">
            <v>17164.515625</v>
          </cell>
        </row>
        <row r="203">
          <cell r="A203">
            <v>3197</v>
          </cell>
          <cell r="B203">
            <v>81468.671386000002</v>
          </cell>
          <cell r="C203">
            <v>15661.618164</v>
          </cell>
          <cell r="D203">
            <v>17710.476562</v>
          </cell>
        </row>
        <row r="204">
          <cell r="A204">
            <v>3204</v>
          </cell>
          <cell r="B204">
            <v>77130.300292</v>
          </cell>
          <cell r="C204">
            <v>16656.080077999999</v>
          </cell>
          <cell r="D204">
            <v>15648.295898</v>
          </cell>
        </row>
        <row r="205">
          <cell r="A205">
            <v>3205</v>
          </cell>
          <cell r="B205">
            <v>104036.78320299998</v>
          </cell>
          <cell r="C205">
            <v>24800.935547000001</v>
          </cell>
          <cell r="D205">
            <v>20713.548827999999</v>
          </cell>
        </row>
        <row r="206">
          <cell r="A206">
            <v>3206</v>
          </cell>
          <cell r="B206">
            <v>91091.12255900001</v>
          </cell>
          <cell r="C206">
            <v>23350.964843999998</v>
          </cell>
          <cell r="D206">
            <v>18735.220702999999</v>
          </cell>
        </row>
        <row r="207">
          <cell r="A207">
            <v>3207</v>
          </cell>
          <cell r="B207">
            <v>79684.667235999994</v>
          </cell>
          <cell r="C207">
            <v>14384.403319999999</v>
          </cell>
          <cell r="D207">
            <v>21085.214843999998</v>
          </cell>
        </row>
        <row r="208">
          <cell r="A208">
            <v>3212</v>
          </cell>
          <cell r="B208">
            <v>79684.667235999994</v>
          </cell>
          <cell r="C208">
            <v>14384.403319999999</v>
          </cell>
          <cell r="D208">
            <v>21085.214843999998</v>
          </cell>
        </row>
        <row r="209">
          <cell r="A209">
            <v>3221</v>
          </cell>
          <cell r="B209">
            <v>98831.56347600001</v>
          </cell>
          <cell r="C209">
            <v>16669.412109000001</v>
          </cell>
          <cell r="D209">
            <v>29467.257812</v>
          </cell>
        </row>
        <row r="210">
          <cell r="A210">
            <v>3222</v>
          </cell>
          <cell r="B210">
            <v>108289.97461100001</v>
          </cell>
          <cell r="C210">
            <v>18152.304688</v>
          </cell>
          <cell r="D210">
            <v>29358.111327999999</v>
          </cell>
        </row>
        <row r="211">
          <cell r="A211">
            <v>3223</v>
          </cell>
          <cell r="B211">
            <v>84471.310547000001</v>
          </cell>
          <cell r="C211">
            <v>14661.107421999999</v>
          </cell>
          <cell r="D211">
            <v>21947.115234000001</v>
          </cell>
        </row>
        <row r="212">
          <cell r="A212">
            <v>3419</v>
          </cell>
          <cell r="B212">
            <v>24390.560792</v>
          </cell>
          <cell r="C212">
            <v>8755.6875</v>
          </cell>
          <cell r="D212">
            <v>4471.3974609999996</v>
          </cell>
        </row>
        <row r="213">
          <cell r="A213">
            <v>3968</v>
          </cell>
          <cell r="B213">
            <v>103154.953125</v>
          </cell>
          <cell r="C213">
            <v>15992.952148</v>
          </cell>
          <cell r="D213">
            <v>30967.765625</v>
          </cell>
        </row>
        <row r="214">
          <cell r="A214">
            <v>4887</v>
          </cell>
          <cell r="B214">
            <v>110480.172852</v>
          </cell>
          <cell r="C214">
            <v>17225.052734000001</v>
          </cell>
          <cell r="D214">
            <v>33521.027344000002</v>
          </cell>
        </row>
        <row r="215">
          <cell r="A215">
            <v>5127</v>
          </cell>
          <cell r="B215">
            <v>64212.193727000005</v>
          </cell>
          <cell r="C215">
            <v>9837.4755860000005</v>
          </cell>
          <cell r="D215">
            <v>18721.648438</v>
          </cell>
        </row>
        <row r="216">
          <cell r="A216">
            <v>6664</v>
          </cell>
          <cell r="B216">
            <v>1828.7254640000001</v>
          </cell>
          <cell r="C216">
            <v>1828.7254640000001</v>
          </cell>
          <cell r="D216">
            <v>0</v>
          </cell>
        </row>
        <row r="217">
          <cell r="A217">
            <v>6666</v>
          </cell>
          <cell r="B217">
            <v>2347.6059570000002</v>
          </cell>
          <cell r="C217">
            <v>2347.6059570000002</v>
          </cell>
          <cell r="D217">
            <v>0</v>
          </cell>
        </row>
        <row r="218">
          <cell r="A218">
            <v>6852</v>
          </cell>
          <cell r="B218">
            <v>73773.267579000007</v>
          </cell>
          <cell r="C218">
            <v>18636.103515999999</v>
          </cell>
          <cell r="D218">
            <v>16837.259765999999</v>
          </cell>
        </row>
        <row r="219">
          <cell r="A219">
            <v>7073</v>
          </cell>
          <cell r="B219">
            <v>5886.5153499999997</v>
          </cell>
          <cell r="C219">
            <v>2154.2236330000001</v>
          </cell>
          <cell r="D219">
            <v>1349.2703859999999</v>
          </cell>
        </row>
        <row r="220">
          <cell r="A220">
            <v>7074</v>
          </cell>
          <cell r="B220">
            <v>6279.3351739999998</v>
          </cell>
          <cell r="C220">
            <v>2547.0434570000002</v>
          </cell>
          <cell r="D220">
            <v>1349.2703859999999</v>
          </cell>
        </row>
        <row r="221">
          <cell r="A221">
            <v>7132</v>
          </cell>
          <cell r="B221">
            <v>14132.415283999999</v>
          </cell>
          <cell r="C221">
            <v>5493.8710940000001</v>
          </cell>
          <cell r="D221">
            <v>2716.0551759999998</v>
          </cell>
        </row>
        <row r="222">
          <cell r="A222">
            <v>7190</v>
          </cell>
          <cell r="B222">
            <v>56192.870849999999</v>
          </cell>
          <cell r="C222">
            <v>12339.791015999999</v>
          </cell>
          <cell r="D222">
            <v>14145.576171999999</v>
          </cell>
        </row>
        <row r="223">
          <cell r="A223">
            <v>7215</v>
          </cell>
          <cell r="B223">
            <v>47331.456787999996</v>
          </cell>
          <cell r="C223">
            <v>10959.639648</v>
          </cell>
          <cell r="D223">
            <v>11759.694336</v>
          </cell>
        </row>
        <row r="224">
          <cell r="A224">
            <v>7216</v>
          </cell>
          <cell r="B224">
            <v>53717.212891000003</v>
          </cell>
          <cell r="C224">
            <v>12652.784180000001</v>
          </cell>
          <cell r="D224">
            <v>12936.941406</v>
          </cell>
        </row>
        <row r="225">
          <cell r="A225">
            <v>7222</v>
          </cell>
          <cell r="B225">
            <v>46543.025634999998</v>
          </cell>
          <cell r="C225">
            <v>11475.038086</v>
          </cell>
          <cell r="D225">
            <v>10858.965819999999</v>
          </cell>
        </row>
        <row r="226">
          <cell r="A226">
            <v>7223</v>
          </cell>
          <cell r="B226">
            <v>47953.514893</v>
          </cell>
          <cell r="C226">
            <v>9242.1347659999992</v>
          </cell>
          <cell r="D226">
            <v>13660.701171999999</v>
          </cell>
        </row>
        <row r="227">
          <cell r="A227">
            <v>7258</v>
          </cell>
          <cell r="B227">
            <v>55118.654296000001</v>
          </cell>
          <cell r="C227">
            <v>11041.202148</v>
          </cell>
          <cell r="D227">
            <v>15151.928711</v>
          </cell>
        </row>
        <row r="228">
          <cell r="A228">
            <v>7259</v>
          </cell>
          <cell r="B228">
            <v>46980.354613999996</v>
          </cell>
          <cell r="C228">
            <v>9983.4785159999992</v>
          </cell>
          <cell r="D228">
            <v>12828.628906</v>
          </cell>
        </row>
        <row r="229">
          <cell r="A229">
            <v>7260</v>
          </cell>
          <cell r="B229">
            <v>57186.149414</v>
          </cell>
          <cell r="C229">
            <v>12088.728515999999</v>
          </cell>
          <cell r="D229">
            <v>14822.973633</v>
          </cell>
        </row>
        <row r="230">
          <cell r="A230">
            <v>7303</v>
          </cell>
          <cell r="B230">
            <v>16023.942765</v>
          </cell>
          <cell r="C230">
            <v>2561.4858399999998</v>
          </cell>
          <cell r="D230">
            <v>5855.5986329999996</v>
          </cell>
        </row>
        <row r="231">
          <cell r="A231">
            <v>7310</v>
          </cell>
          <cell r="B231">
            <v>6979.8714290000007</v>
          </cell>
          <cell r="C231">
            <v>1397.292236</v>
          </cell>
          <cell r="D231">
            <v>2420.904297</v>
          </cell>
        </row>
        <row r="232">
          <cell r="A232">
            <v>7373</v>
          </cell>
          <cell r="B232">
            <v>92732.102539</v>
          </cell>
          <cell r="C232">
            <v>19576.726562</v>
          </cell>
          <cell r="D232">
            <v>24468.796875</v>
          </cell>
        </row>
        <row r="233">
          <cell r="A233">
            <v>7374</v>
          </cell>
          <cell r="B233">
            <v>73536.651856000011</v>
          </cell>
          <cell r="C233">
            <v>18029.929688</v>
          </cell>
          <cell r="D233">
            <v>13165.798828000001</v>
          </cell>
        </row>
        <row r="234">
          <cell r="A234">
            <v>7375</v>
          </cell>
          <cell r="B234">
            <v>61621.090087999997</v>
          </cell>
          <cell r="C234">
            <v>9511.3574219999991</v>
          </cell>
          <cell r="D234">
            <v>20860.212890999999</v>
          </cell>
        </row>
        <row r="235">
          <cell r="A235">
            <v>7376</v>
          </cell>
          <cell r="B235">
            <v>46791.821291</v>
          </cell>
          <cell r="C235">
            <v>7928.7387699999999</v>
          </cell>
          <cell r="D235">
            <v>14298.478515999999</v>
          </cell>
        </row>
        <row r="236">
          <cell r="A236">
            <v>7377</v>
          </cell>
          <cell r="B236">
            <v>51353.289552000002</v>
          </cell>
          <cell r="C236">
            <v>8865.2236329999996</v>
          </cell>
          <cell r="D236">
            <v>15300.839844</v>
          </cell>
        </row>
        <row r="237">
          <cell r="A237">
            <v>7380</v>
          </cell>
          <cell r="B237">
            <v>57768.855712999997</v>
          </cell>
          <cell r="C237">
            <v>8693.3359380000002</v>
          </cell>
          <cell r="D237">
            <v>19443.099609000001</v>
          </cell>
        </row>
        <row r="238">
          <cell r="A238">
            <v>7430</v>
          </cell>
          <cell r="B238">
            <v>63308.564207999996</v>
          </cell>
          <cell r="C238">
            <v>13070.166015999999</v>
          </cell>
          <cell r="D238">
            <v>17831.539062</v>
          </cell>
        </row>
        <row r="239">
          <cell r="A239">
            <v>7442</v>
          </cell>
          <cell r="B239">
            <v>62471.842284999999</v>
          </cell>
          <cell r="C239">
            <v>18047.353515999999</v>
          </cell>
          <cell r="D239">
            <v>12401.376953000001</v>
          </cell>
        </row>
        <row r="240">
          <cell r="A240">
            <v>7470</v>
          </cell>
          <cell r="B240">
            <v>57768.855712999997</v>
          </cell>
          <cell r="C240">
            <v>8693.3359380000002</v>
          </cell>
          <cell r="D240">
            <v>19443.099609000001</v>
          </cell>
        </row>
        <row r="241">
          <cell r="A241">
            <v>7492</v>
          </cell>
          <cell r="B241">
            <v>44287.284912000003</v>
          </cell>
          <cell r="C241">
            <v>9607.9228519999997</v>
          </cell>
          <cell r="D241">
            <v>10643.773438</v>
          </cell>
        </row>
        <row r="242">
          <cell r="A242">
            <v>7497</v>
          </cell>
          <cell r="B242">
            <v>63308.564207999996</v>
          </cell>
          <cell r="C242">
            <v>13070.166015999999</v>
          </cell>
          <cell r="D242">
            <v>17831.539062</v>
          </cell>
        </row>
        <row r="243">
          <cell r="A243">
            <v>7499</v>
          </cell>
          <cell r="B243">
            <v>42307.007079999996</v>
          </cell>
          <cell r="C243">
            <v>10978.864258</v>
          </cell>
          <cell r="D243">
            <v>8386.4189449999994</v>
          </cell>
        </row>
        <row r="244">
          <cell r="A244">
            <v>7501</v>
          </cell>
          <cell r="B244">
            <v>53140.517088999994</v>
          </cell>
          <cell r="C244">
            <v>14564.931640999999</v>
          </cell>
          <cell r="D244">
            <v>11044.945312</v>
          </cell>
        </row>
        <row r="245">
          <cell r="A245">
            <v>7505</v>
          </cell>
          <cell r="B245">
            <v>27903.319947000004</v>
          </cell>
          <cell r="C245">
            <v>4365.3535160000001</v>
          </cell>
          <cell r="D245">
            <v>9485.6591800000006</v>
          </cell>
        </row>
        <row r="246">
          <cell r="A246">
            <v>7506</v>
          </cell>
          <cell r="B246">
            <v>44767.994139999995</v>
          </cell>
          <cell r="C246">
            <v>10723.099609000001</v>
          </cell>
          <cell r="D246">
            <v>11308.866211</v>
          </cell>
        </row>
        <row r="247">
          <cell r="A247">
            <v>7514</v>
          </cell>
          <cell r="B247">
            <v>43192.355591</v>
          </cell>
          <cell r="C247">
            <v>7924.3056640000004</v>
          </cell>
          <cell r="D247">
            <v>12700.825194999999</v>
          </cell>
        </row>
        <row r="248">
          <cell r="A248">
            <v>7525</v>
          </cell>
          <cell r="B248">
            <v>53131.356688999993</v>
          </cell>
          <cell r="C248">
            <v>9873.8339840000008</v>
          </cell>
          <cell r="D248">
            <v>14583.092773</v>
          </cell>
        </row>
        <row r="249">
          <cell r="A249">
            <v>7526</v>
          </cell>
          <cell r="B249">
            <v>46797.504881999994</v>
          </cell>
          <cell r="C249">
            <v>9137.3056639999995</v>
          </cell>
          <cell r="D249">
            <v>12043.131836</v>
          </cell>
        </row>
        <row r="250">
          <cell r="A250">
            <v>7545</v>
          </cell>
          <cell r="B250">
            <v>42016.145384999996</v>
          </cell>
          <cell r="C250">
            <v>8651.3369139999995</v>
          </cell>
          <cell r="D250">
            <v>11272.927734000001</v>
          </cell>
        </row>
        <row r="251">
          <cell r="A251">
            <v>7630</v>
          </cell>
          <cell r="B251">
            <v>46309.335449999999</v>
          </cell>
          <cell r="C251">
            <v>10158.123046999999</v>
          </cell>
          <cell r="D251">
            <v>11005.991211</v>
          </cell>
        </row>
        <row r="252">
          <cell r="A252">
            <v>7636</v>
          </cell>
          <cell r="B252">
            <v>26328.084778</v>
          </cell>
          <cell r="C252">
            <v>3053.6577149999998</v>
          </cell>
          <cell r="D252">
            <v>9782.2451170000004</v>
          </cell>
        </row>
        <row r="253">
          <cell r="A253">
            <v>7664</v>
          </cell>
          <cell r="B253">
            <v>37509.911375999996</v>
          </cell>
          <cell r="C253">
            <v>9599.0927730000003</v>
          </cell>
          <cell r="D253">
            <v>9277.9501949999994</v>
          </cell>
        </row>
        <row r="254">
          <cell r="A254">
            <v>7665</v>
          </cell>
          <cell r="B254">
            <v>31383.527466</v>
          </cell>
          <cell r="C254">
            <v>8493.9472659999992</v>
          </cell>
          <cell r="D254">
            <v>7423.748047</v>
          </cell>
        </row>
        <row r="255">
          <cell r="A255">
            <v>7666</v>
          </cell>
          <cell r="B255">
            <v>45716.105224999999</v>
          </cell>
          <cell r="C255">
            <v>14148.621094</v>
          </cell>
          <cell r="D255">
            <v>8740.6875</v>
          </cell>
        </row>
        <row r="256">
          <cell r="A256">
            <v>7699</v>
          </cell>
          <cell r="B256">
            <v>22334.152464999999</v>
          </cell>
          <cell r="C256">
            <v>6285.7124020000001</v>
          </cell>
          <cell r="D256">
            <v>6446.4047849999997</v>
          </cell>
        </row>
        <row r="257">
          <cell r="A257">
            <v>7716</v>
          </cell>
          <cell r="B257">
            <v>27216.033691000001</v>
          </cell>
          <cell r="C257">
            <v>6413.9599609999996</v>
          </cell>
          <cell r="D257">
            <v>6404.9365230000003</v>
          </cell>
        </row>
        <row r="258">
          <cell r="A258">
            <v>7723</v>
          </cell>
          <cell r="B258">
            <v>43266.001952999999</v>
          </cell>
          <cell r="C258">
            <v>10581.104492</v>
          </cell>
          <cell r="D258">
            <v>9954.9609380000002</v>
          </cell>
        </row>
        <row r="259">
          <cell r="A259">
            <v>7724</v>
          </cell>
          <cell r="B259">
            <v>43799.091675999996</v>
          </cell>
          <cell r="C259">
            <v>8894.9541019999997</v>
          </cell>
          <cell r="D259">
            <v>10731.844727</v>
          </cell>
        </row>
        <row r="260">
          <cell r="A260">
            <v>7725</v>
          </cell>
          <cell r="B260">
            <v>43799.091675999996</v>
          </cell>
          <cell r="C260">
            <v>8894.9541019999997</v>
          </cell>
          <cell r="D260">
            <v>10731.844727</v>
          </cell>
        </row>
        <row r="261">
          <cell r="A261">
            <v>7772</v>
          </cell>
          <cell r="B261">
            <v>61621.090087999997</v>
          </cell>
          <cell r="C261">
            <v>9511.3574219999991</v>
          </cell>
          <cell r="D261">
            <v>20860.212890999999</v>
          </cell>
        </row>
        <row r="262">
          <cell r="A262">
            <v>7872</v>
          </cell>
          <cell r="B262">
            <v>53251.890138000002</v>
          </cell>
          <cell r="C262">
            <v>11002.429688</v>
          </cell>
          <cell r="D262">
            <v>12476.134765999999</v>
          </cell>
        </row>
        <row r="263">
          <cell r="A263">
            <v>7873</v>
          </cell>
          <cell r="B263">
            <v>66143.333495999992</v>
          </cell>
          <cell r="C263">
            <v>14606.060546999999</v>
          </cell>
          <cell r="D263">
            <v>14044.342773</v>
          </cell>
        </row>
        <row r="264">
          <cell r="A264">
            <v>7874</v>
          </cell>
          <cell r="B264">
            <v>73745.183349999992</v>
          </cell>
          <cell r="C264">
            <v>13727.182617</v>
          </cell>
          <cell r="D264">
            <v>19930.167968999998</v>
          </cell>
        </row>
        <row r="265">
          <cell r="A265">
            <v>7963</v>
          </cell>
          <cell r="B265">
            <v>89242.548340000008</v>
          </cell>
          <cell r="C265">
            <v>17775.066406000002</v>
          </cell>
          <cell r="D265">
            <v>20939.974609000001</v>
          </cell>
        </row>
        <row r="266">
          <cell r="A266">
            <v>8022</v>
          </cell>
          <cell r="B266">
            <v>97760.468262000009</v>
          </cell>
          <cell r="C266">
            <v>19176.570312</v>
          </cell>
          <cell r="D266">
            <v>22982.4375</v>
          </cell>
        </row>
        <row r="267">
          <cell r="A267">
            <v>8042</v>
          </cell>
          <cell r="B267">
            <v>84515.330077999999</v>
          </cell>
          <cell r="C267">
            <v>16591.615234000001</v>
          </cell>
          <cell r="D267">
            <v>20493.337890999999</v>
          </cell>
        </row>
        <row r="268">
          <cell r="A268">
            <v>8054</v>
          </cell>
          <cell r="B268">
            <v>82144.660644999996</v>
          </cell>
          <cell r="C268">
            <v>17295.207031000002</v>
          </cell>
          <cell r="D268">
            <v>20062.041015999999</v>
          </cell>
        </row>
        <row r="269">
          <cell r="A269">
            <v>8056</v>
          </cell>
          <cell r="B269">
            <v>87905.460449999999</v>
          </cell>
          <cell r="C269">
            <v>17116.117188</v>
          </cell>
          <cell r="D269">
            <v>21649.298827999999</v>
          </cell>
        </row>
        <row r="270">
          <cell r="A270">
            <v>8057</v>
          </cell>
          <cell r="B270">
            <v>78937.121094000002</v>
          </cell>
          <cell r="C270">
            <v>15726.028319999999</v>
          </cell>
          <cell r="D270">
            <v>20437.679688</v>
          </cell>
        </row>
        <row r="271">
          <cell r="A271">
            <v>8058</v>
          </cell>
          <cell r="B271">
            <v>67753.282472000006</v>
          </cell>
          <cell r="C271">
            <v>12143.449219</v>
          </cell>
          <cell r="D271">
            <v>18103.460938</v>
          </cell>
        </row>
        <row r="272">
          <cell r="A272">
            <v>8059</v>
          </cell>
          <cell r="B272">
            <v>58894.033933999992</v>
          </cell>
          <cell r="C272">
            <v>11328.378906</v>
          </cell>
          <cell r="D272">
            <v>15585.291992</v>
          </cell>
        </row>
        <row r="273">
          <cell r="A273">
            <v>8060</v>
          </cell>
          <cell r="B273">
            <v>64289.620848999999</v>
          </cell>
          <cell r="C273">
            <v>14209.038086</v>
          </cell>
          <cell r="D273">
            <v>14225.608398</v>
          </cell>
        </row>
        <row r="274">
          <cell r="A274">
            <v>8102</v>
          </cell>
          <cell r="B274">
            <v>22239.767532999998</v>
          </cell>
          <cell r="C274">
            <v>599.65142800000001</v>
          </cell>
          <cell r="D274">
            <v>7471.1591799999997</v>
          </cell>
        </row>
        <row r="275">
          <cell r="A275">
            <v>8103</v>
          </cell>
          <cell r="B275">
            <v>66244.214842999994</v>
          </cell>
          <cell r="C275">
            <v>19373.535156000002</v>
          </cell>
          <cell r="D275">
            <v>13229.370117</v>
          </cell>
        </row>
        <row r="276">
          <cell r="A276">
            <v>8185</v>
          </cell>
          <cell r="B276">
            <v>21419.794281000002</v>
          </cell>
          <cell r="C276">
            <v>5726.7402339999999</v>
          </cell>
          <cell r="D276">
            <v>1783.061279</v>
          </cell>
        </row>
        <row r="277">
          <cell r="A277">
            <v>8218</v>
          </cell>
          <cell r="B277">
            <v>34545.354980999997</v>
          </cell>
          <cell r="C277">
            <v>6694.3994140000004</v>
          </cell>
          <cell r="D277">
            <v>6309.5698240000002</v>
          </cell>
        </row>
        <row r="278">
          <cell r="A278">
            <v>8353</v>
          </cell>
          <cell r="B278">
            <v>8286.731597</v>
          </cell>
          <cell r="C278">
            <v>1529.044189</v>
          </cell>
          <cell r="D278">
            <v>2006.8110349999999</v>
          </cell>
        </row>
        <row r="279">
          <cell r="A279">
            <v>8647</v>
          </cell>
          <cell r="B279">
            <v>41651.864746000007</v>
          </cell>
          <cell r="C279">
            <v>13203.755859000001</v>
          </cell>
          <cell r="D279">
            <v>7865.9296880000002</v>
          </cell>
        </row>
        <row r="280">
          <cell r="A280">
            <v>8720</v>
          </cell>
          <cell r="B280">
            <v>13109.784408</v>
          </cell>
          <cell r="C280">
            <v>2016.7387699999999</v>
          </cell>
          <cell r="D280">
            <v>5462.951172</v>
          </cell>
        </row>
        <row r="281">
          <cell r="A281">
            <v>8768</v>
          </cell>
          <cell r="B281">
            <v>102279.754395</v>
          </cell>
          <cell r="C281">
            <v>15527.270508</v>
          </cell>
          <cell r="D281">
            <v>29920.449218999998</v>
          </cell>
        </row>
        <row r="282">
          <cell r="A282">
            <v>8769</v>
          </cell>
          <cell r="B282">
            <v>100017.032227</v>
          </cell>
          <cell r="C282">
            <v>24045.232422000001</v>
          </cell>
          <cell r="D282">
            <v>18510.580077999999</v>
          </cell>
        </row>
        <row r="283">
          <cell r="A283">
            <v>8770</v>
          </cell>
          <cell r="B283">
            <v>101223.592284</v>
          </cell>
          <cell r="C283">
            <v>16879.253906000002</v>
          </cell>
          <cell r="D283">
            <v>29446.910156000002</v>
          </cell>
        </row>
        <row r="284">
          <cell r="A284">
            <v>8771</v>
          </cell>
          <cell r="B284">
            <v>101676.856445</v>
          </cell>
          <cell r="C284">
            <v>23516.480468999998</v>
          </cell>
          <cell r="D284">
            <v>20268.236327999999</v>
          </cell>
        </row>
        <row r="285">
          <cell r="A285">
            <v>8772</v>
          </cell>
          <cell r="B285">
            <v>102188.646484</v>
          </cell>
          <cell r="C285">
            <v>24362.726562</v>
          </cell>
          <cell r="D285">
            <v>19867.166015999999</v>
          </cell>
        </row>
        <row r="286">
          <cell r="A286">
            <v>8773</v>
          </cell>
          <cell r="B286">
            <v>96908.57714899999</v>
          </cell>
          <cell r="C286">
            <v>23392.494140999999</v>
          </cell>
          <cell r="D286">
            <v>18653.888672000001</v>
          </cell>
        </row>
        <row r="287">
          <cell r="A287">
            <v>8774</v>
          </cell>
          <cell r="B287">
            <v>105421.25</v>
          </cell>
          <cell r="C287">
            <v>26803.294922000001</v>
          </cell>
          <cell r="D287">
            <v>20102.951172000001</v>
          </cell>
        </row>
        <row r="288">
          <cell r="A288">
            <v>8775</v>
          </cell>
          <cell r="B288">
            <v>110206.46484299999</v>
          </cell>
          <cell r="C288">
            <v>28290.503906000002</v>
          </cell>
          <cell r="D288">
            <v>21631.863281000002</v>
          </cell>
        </row>
        <row r="289">
          <cell r="A289">
            <v>8776</v>
          </cell>
          <cell r="B289">
            <v>119859.068359</v>
          </cell>
          <cell r="C289">
            <v>19060.839843999998</v>
          </cell>
          <cell r="D289">
            <v>34381.339844000002</v>
          </cell>
        </row>
        <row r="290">
          <cell r="A290">
            <v>8777</v>
          </cell>
          <cell r="B290">
            <v>74459.50024400001</v>
          </cell>
          <cell r="C290">
            <v>16681.9375</v>
          </cell>
          <cell r="D290">
            <v>22955.121093999998</v>
          </cell>
        </row>
        <row r="291">
          <cell r="A291">
            <v>8778</v>
          </cell>
          <cell r="B291">
            <v>87272.972657000006</v>
          </cell>
          <cell r="C291">
            <v>18712.582031000002</v>
          </cell>
          <cell r="D291">
            <v>26026.408202999999</v>
          </cell>
        </row>
        <row r="292">
          <cell r="A292">
            <v>8780</v>
          </cell>
          <cell r="B292">
            <v>70417.758789</v>
          </cell>
          <cell r="C292">
            <v>15979.651367</v>
          </cell>
          <cell r="D292">
            <v>20347.445312</v>
          </cell>
        </row>
        <row r="293">
          <cell r="A293">
            <v>8781</v>
          </cell>
          <cell r="B293">
            <v>68909.008300999994</v>
          </cell>
          <cell r="C293">
            <v>16937.730468999998</v>
          </cell>
          <cell r="D293">
            <v>17086.748047000001</v>
          </cell>
        </row>
        <row r="294">
          <cell r="A294">
            <v>8784</v>
          </cell>
          <cell r="B294">
            <v>100403.31982400001</v>
          </cell>
          <cell r="C294">
            <v>22332.222656000002</v>
          </cell>
          <cell r="D294">
            <v>24965.744140999999</v>
          </cell>
        </row>
        <row r="295">
          <cell r="A295">
            <v>8785</v>
          </cell>
          <cell r="B295">
            <v>106036.52392600001</v>
          </cell>
          <cell r="C295">
            <v>23705.296875</v>
          </cell>
          <cell r="D295">
            <v>26279.021484000001</v>
          </cell>
        </row>
        <row r="296">
          <cell r="A296">
            <v>8786</v>
          </cell>
          <cell r="B296">
            <v>99216.624024000004</v>
          </cell>
          <cell r="C296">
            <v>21211.513672000001</v>
          </cell>
          <cell r="D296">
            <v>25910.574218999998</v>
          </cell>
        </row>
        <row r="297">
          <cell r="A297">
            <v>8787</v>
          </cell>
          <cell r="B297">
            <v>92216.070800000001</v>
          </cell>
          <cell r="C297">
            <v>19603.257812</v>
          </cell>
          <cell r="D297">
            <v>24334.28125</v>
          </cell>
        </row>
        <row r="298">
          <cell r="A298">
            <v>8788</v>
          </cell>
          <cell r="B298">
            <v>96966.145019999996</v>
          </cell>
          <cell r="C298">
            <v>20562.337890999999</v>
          </cell>
          <cell r="D298">
            <v>25858.851562</v>
          </cell>
        </row>
        <row r="299">
          <cell r="A299">
            <v>8789</v>
          </cell>
          <cell r="B299">
            <v>101326.182128</v>
          </cell>
          <cell r="C299">
            <v>22150.912109000001</v>
          </cell>
          <cell r="D299">
            <v>26810.771484000001</v>
          </cell>
        </row>
        <row r="300">
          <cell r="A300">
            <v>8790</v>
          </cell>
          <cell r="B300">
            <v>108557.426758</v>
          </cell>
          <cell r="C300">
            <v>23754.277343999998</v>
          </cell>
          <cell r="D300">
            <v>27119.654297000001</v>
          </cell>
        </row>
        <row r="301">
          <cell r="A301">
            <v>8791</v>
          </cell>
          <cell r="B301">
            <v>91428.67822300001</v>
          </cell>
          <cell r="C301">
            <v>20253.021484000001</v>
          </cell>
          <cell r="D301">
            <v>24434.988281000002</v>
          </cell>
        </row>
        <row r="302">
          <cell r="A302">
            <v>8792</v>
          </cell>
          <cell r="B302">
            <v>95449.440430000002</v>
          </cell>
          <cell r="C302">
            <v>21675.144531000002</v>
          </cell>
          <cell r="D302">
            <v>24569.109375</v>
          </cell>
        </row>
        <row r="303">
          <cell r="A303">
            <v>8793</v>
          </cell>
          <cell r="B303">
            <v>100269.041505</v>
          </cell>
          <cell r="C303">
            <v>21586.8125</v>
          </cell>
          <cell r="D303">
            <v>26718.636718999998</v>
          </cell>
        </row>
        <row r="304">
          <cell r="A304">
            <v>8794</v>
          </cell>
          <cell r="B304">
            <v>103039.417724</v>
          </cell>
          <cell r="C304">
            <v>23244.925781000002</v>
          </cell>
          <cell r="D304">
            <v>26332.072265999999</v>
          </cell>
        </row>
        <row r="305">
          <cell r="A305">
            <v>8797</v>
          </cell>
          <cell r="B305">
            <v>95929.704345000006</v>
          </cell>
          <cell r="C305">
            <v>19333.738281000002</v>
          </cell>
          <cell r="D305">
            <v>23451.589843999998</v>
          </cell>
        </row>
        <row r="306">
          <cell r="A306">
            <v>8802</v>
          </cell>
          <cell r="B306">
            <v>82819.527832000007</v>
          </cell>
          <cell r="C306">
            <v>19017.287109000001</v>
          </cell>
          <cell r="D306">
            <v>19336.683593999998</v>
          </cell>
        </row>
        <row r="307">
          <cell r="A307">
            <v>8803</v>
          </cell>
          <cell r="B307">
            <v>87838.524902999998</v>
          </cell>
          <cell r="C307">
            <v>19202.208984000001</v>
          </cell>
          <cell r="D307">
            <v>21227.716797000001</v>
          </cell>
        </row>
        <row r="308">
          <cell r="A308">
            <v>8804</v>
          </cell>
          <cell r="B308">
            <v>123116.76709000001</v>
          </cell>
          <cell r="C308">
            <v>22371.076172000001</v>
          </cell>
          <cell r="D308">
            <v>32405.609375</v>
          </cell>
        </row>
        <row r="309">
          <cell r="A309">
            <v>8807</v>
          </cell>
          <cell r="B309">
            <v>125671.129395</v>
          </cell>
          <cell r="C309">
            <v>20884.636718999998</v>
          </cell>
          <cell r="D309">
            <v>36329.992187999997</v>
          </cell>
        </row>
        <row r="310">
          <cell r="A310">
            <v>8808</v>
          </cell>
          <cell r="B310">
            <v>133302.59863200001</v>
          </cell>
          <cell r="C310">
            <v>30715.230468999998</v>
          </cell>
          <cell r="D310">
            <v>26946.195312</v>
          </cell>
        </row>
        <row r="311">
          <cell r="A311">
            <v>8809</v>
          </cell>
          <cell r="B311">
            <v>113130.807128</v>
          </cell>
          <cell r="C311">
            <v>18789.052734000001</v>
          </cell>
          <cell r="D311">
            <v>33639.695312000003</v>
          </cell>
        </row>
        <row r="312">
          <cell r="A312">
            <v>8810</v>
          </cell>
          <cell r="B312">
            <v>113927.64648500002</v>
          </cell>
          <cell r="C312">
            <v>27261.082031000002</v>
          </cell>
          <cell r="D312">
            <v>21752.992188</v>
          </cell>
        </row>
        <row r="313">
          <cell r="A313">
            <v>8811</v>
          </cell>
          <cell r="B313">
            <v>117692.44921799999</v>
          </cell>
          <cell r="C313">
            <v>28940.333984000001</v>
          </cell>
          <cell r="D313">
            <v>22720.474609000001</v>
          </cell>
        </row>
        <row r="314">
          <cell r="A314">
            <v>8812</v>
          </cell>
          <cell r="B314">
            <v>110701.911133</v>
          </cell>
          <cell r="C314">
            <v>16962.626952999999</v>
          </cell>
          <cell r="D314">
            <v>33344.175780999998</v>
          </cell>
        </row>
        <row r="315">
          <cell r="A315">
            <v>8813</v>
          </cell>
          <cell r="B315">
            <v>137698.05029399999</v>
          </cell>
          <cell r="C315">
            <v>20571.277343999998</v>
          </cell>
          <cell r="D315">
            <v>40837.5625</v>
          </cell>
        </row>
        <row r="316">
          <cell r="A316">
            <v>8814</v>
          </cell>
          <cell r="B316">
            <v>148360.76660100001</v>
          </cell>
          <cell r="C316">
            <v>36948.140625</v>
          </cell>
          <cell r="D316">
            <v>29478.955077999999</v>
          </cell>
        </row>
        <row r="317">
          <cell r="A317">
            <v>8815</v>
          </cell>
          <cell r="B317">
            <v>91085.697753</v>
          </cell>
          <cell r="C317">
            <v>18802.486327999999</v>
          </cell>
          <cell r="D317">
            <v>20942.931640999999</v>
          </cell>
        </row>
        <row r="318">
          <cell r="A318">
            <v>8816</v>
          </cell>
          <cell r="B318">
            <v>105065.45361400001</v>
          </cell>
          <cell r="C318">
            <v>23984.861327999999</v>
          </cell>
          <cell r="D318">
            <v>24601.699218999998</v>
          </cell>
        </row>
        <row r="319">
          <cell r="A319">
            <v>8817</v>
          </cell>
          <cell r="B319">
            <v>92708.025879000008</v>
          </cell>
          <cell r="C319">
            <v>20608.318359000001</v>
          </cell>
          <cell r="D319">
            <v>23117.041015999999</v>
          </cell>
        </row>
        <row r="320">
          <cell r="A320">
            <v>8820</v>
          </cell>
          <cell r="B320">
            <v>84191.245116999999</v>
          </cell>
          <cell r="C320">
            <v>21004.320312</v>
          </cell>
          <cell r="D320">
            <v>19762.931640999999</v>
          </cell>
        </row>
        <row r="321">
          <cell r="A321">
            <v>8821</v>
          </cell>
          <cell r="B321">
            <v>89780.255858999997</v>
          </cell>
          <cell r="C321">
            <v>17865.484375</v>
          </cell>
          <cell r="D321">
            <v>25375.207031000002</v>
          </cell>
        </row>
        <row r="322">
          <cell r="A322">
            <v>8822</v>
          </cell>
          <cell r="B322">
            <v>66281.707274999993</v>
          </cell>
          <cell r="C322">
            <v>14660.785156</v>
          </cell>
          <cell r="D322">
            <v>18504.326172000001</v>
          </cell>
        </row>
        <row r="323">
          <cell r="A323">
            <v>8823</v>
          </cell>
          <cell r="B323">
            <v>62414.257811999996</v>
          </cell>
          <cell r="C323">
            <v>15757.351562</v>
          </cell>
          <cell r="D323">
            <v>15473.75</v>
          </cell>
        </row>
        <row r="324">
          <cell r="A324">
            <v>8824</v>
          </cell>
          <cell r="B324">
            <v>69576.584961</v>
          </cell>
          <cell r="C324">
            <v>19221.158202999999</v>
          </cell>
          <cell r="D324">
            <v>14135.079102</v>
          </cell>
        </row>
        <row r="325">
          <cell r="A325">
            <v>8825</v>
          </cell>
          <cell r="B325">
            <v>71079.908934999999</v>
          </cell>
          <cell r="C325">
            <v>11544.405273</v>
          </cell>
          <cell r="D325">
            <v>22534.066406000002</v>
          </cell>
        </row>
        <row r="326">
          <cell r="A326">
            <v>8826</v>
          </cell>
          <cell r="B326">
            <v>86075.540772000008</v>
          </cell>
          <cell r="C326">
            <v>20081.494140999999</v>
          </cell>
          <cell r="D326">
            <v>22054.371093999998</v>
          </cell>
        </row>
        <row r="327">
          <cell r="A327">
            <v>8827</v>
          </cell>
          <cell r="B327">
            <v>115088.69042899999</v>
          </cell>
          <cell r="C327">
            <v>24433.640625</v>
          </cell>
          <cell r="D327">
            <v>30003.625</v>
          </cell>
        </row>
        <row r="328">
          <cell r="A328">
            <v>8828</v>
          </cell>
          <cell r="B328">
            <v>77224.376952999999</v>
          </cell>
          <cell r="C328">
            <v>16337.680664</v>
          </cell>
          <cell r="D328">
            <v>20422.271484000001</v>
          </cell>
        </row>
        <row r="329">
          <cell r="A329">
            <v>8829</v>
          </cell>
          <cell r="B329">
            <v>63573.535155999998</v>
          </cell>
          <cell r="C329">
            <v>10878.098633</v>
          </cell>
          <cell r="D329">
            <v>16805.021484000001</v>
          </cell>
        </row>
        <row r="330">
          <cell r="A330">
            <v>8830</v>
          </cell>
          <cell r="B330">
            <v>49913.253905999998</v>
          </cell>
          <cell r="C330">
            <v>8834.6074219999991</v>
          </cell>
          <cell r="D330">
            <v>13243.988281</v>
          </cell>
        </row>
        <row r="331">
          <cell r="A331">
            <v>8831</v>
          </cell>
          <cell r="B331">
            <v>56250.961427000002</v>
          </cell>
          <cell r="C331">
            <v>9894.9492190000001</v>
          </cell>
          <cell r="D331">
            <v>15029.502930000001</v>
          </cell>
        </row>
        <row r="332">
          <cell r="A332">
            <v>8832</v>
          </cell>
          <cell r="B332">
            <v>58983.599121000007</v>
          </cell>
          <cell r="C332">
            <v>10647.640625</v>
          </cell>
          <cell r="D332">
            <v>15299.515625</v>
          </cell>
        </row>
        <row r="333">
          <cell r="A333">
            <v>8833</v>
          </cell>
          <cell r="B333">
            <v>60739.717772999997</v>
          </cell>
          <cell r="C333">
            <v>13390.013671999999</v>
          </cell>
          <cell r="D333">
            <v>14229.916015999999</v>
          </cell>
        </row>
        <row r="334">
          <cell r="A334">
            <v>8834</v>
          </cell>
          <cell r="B334">
            <v>53608.726562999997</v>
          </cell>
          <cell r="C334">
            <v>10938.902344</v>
          </cell>
          <cell r="D334">
            <v>13471.100586</v>
          </cell>
        </row>
        <row r="335">
          <cell r="A335">
            <v>8835</v>
          </cell>
          <cell r="B335">
            <v>72256.445313000004</v>
          </cell>
          <cell r="C335">
            <v>13098.657227</v>
          </cell>
          <cell r="D335">
            <v>18987.861327999999</v>
          </cell>
        </row>
        <row r="336">
          <cell r="A336">
            <v>8836</v>
          </cell>
          <cell r="B336">
            <v>70885.084472000002</v>
          </cell>
          <cell r="C336">
            <v>15132.082031</v>
          </cell>
          <cell r="D336">
            <v>15166.128906</v>
          </cell>
        </row>
        <row r="337">
          <cell r="A337">
            <v>8837</v>
          </cell>
          <cell r="B337">
            <v>73015.226072999998</v>
          </cell>
          <cell r="C337">
            <v>12872.918944999999</v>
          </cell>
          <cell r="D337">
            <v>19751.580077999999</v>
          </cell>
        </row>
        <row r="338">
          <cell r="A338">
            <v>8838</v>
          </cell>
          <cell r="B338">
            <v>70930.23193400001</v>
          </cell>
          <cell r="C338">
            <v>16180.402344</v>
          </cell>
          <cell r="D338">
            <v>15220.743164</v>
          </cell>
        </row>
        <row r="339">
          <cell r="A339">
            <v>8839</v>
          </cell>
          <cell r="B339">
            <v>64342.757568000001</v>
          </cell>
          <cell r="C339">
            <v>11684.490234000001</v>
          </cell>
          <cell r="D339">
            <v>17853.105468999998</v>
          </cell>
        </row>
        <row r="340">
          <cell r="A340">
            <v>8840</v>
          </cell>
          <cell r="B340">
            <v>62684.971191999997</v>
          </cell>
          <cell r="C340">
            <v>14797.895508</v>
          </cell>
          <cell r="D340">
            <v>13894.675781</v>
          </cell>
        </row>
        <row r="341">
          <cell r="A341">
            <v>8841</v>
          </cell>
          <cell r="B341">
            <v>79864.221191000004</v>
          </cell>
          <cell r="C341">
            <v>17242.894531000002</v>
          </cell>
          <cell r="D341">
            <v>17164.515625</v>
          </cell>
        </row>
        <row r="342">
          <cell r="A342">
            <v>8842</v>
          </cell>
          <cell r="B342">
            <v>80770.915039</v>
          </cell>
          <cell r="C342">
            <v>17114.818359000001</v>
          </cell>
          <cell r="D342">
            <v>18810.824218999998</v>
          </cell>
        </row>
        <row r="343">
          <cell r="A343">
            <v>8843</v>
          </cell>
          <cell r="B343">
            <v>92616.338378999993</v>
          </cell>
          <cell r="C343">
            <v>18289.027343999998</v>
          </cell>
          <cell r="D343">
            <v>22947.34375</v>
          </cell>
        </row>
        <row r="344">
          <cell r="A344">
            <v>8844</v>
          </cell>
          <cell r="B344">
            <v>89487.826660000006</v>
          </cell>
          <cell r="C344">
            <v>18048.880859000001</v>
          </cell>
          <cell r="D344">
            <v>20836.681640999999</v>
          </cell>
        </row>
        <row r="345">
          <cell r="A345">
            <v>8845</v>
          </cell>
          <cell r="B345">
            <v>95475.370604999989</v>
          </cell>
          <cell r="C345">
            <v>18862.144531000002</v>
          </cell>
          <cell r="D345">
            <v>22982.552734000001</v>
          </cell>
        </row>
        <row r="346">
          <cell r="A346">
            <v>8846</v>
          </cell>
          <cell r="B346">
            <v>89242.548340000008</v>
          </cell>
          <cell r="C346">
            <v>17775.066406000002</v>
          </cell>
          <cell r="D346">
            <v>20939.974609000001</v>
          </cell>
        </row>
        <row r="347">
          <cell r="A347">
            <v>8879</v>
          </cell>
          <cell r="B347">
            <v>76045.499511999995</v>
          </cell>
          <cell r="C347">
            <v>15966.409180000001</v>
          </cell>
          <cell r="D347">
            <v>19626.640625</v>
          </cell>
        </row>
        <row r="348">
          <cell r="A348">
            <v>8887</v>
          </cell>
          <cell r="B348">
            <v>93662.934083</v>
          </cell>
          <cell r="C348">
            <v>19397.626952999999</v>
          </cell>
          <cell r="D348">
            <v>22699.681640999999</v>
          </cell>
        </row>
        <row r="349">
          <cell r="A349">
            <v>8896</v>
          </cell>
          <cell r="B349">
            <v>72069.465576000002</v>
          </cell>
          <cell r="C349">
            <v>11035.251953000001</v>
          </cell>
          <cell r="D349">
            <v>23667.734375</v>
          </cell>
        </row>
        <row r="350">
          <cell r="A350">
            <v>8899</v>
          </cell>
          <cell r="B350">
            <v>119408.774414</v>
          </cell>
          <cell r="C350">
            <v>29975.330077999999</v>
          </cell>
          <cell r="D350">
            <v>23445.865234000001</v>
          </cell>
        </row>
        <row r="351">
          <cell r="A351">
            <v>8900</v>
          </cell>
          <cell r="B351">
            <v>110196.681641</v>
          </cell>
          <cell r="C351">
            <v>28093.357422000001</v>
          </cell>
          <cell r="D351">
            <v>21315.5</v>
          </cell>
        </row>
        <row r="352">
          <cell r="A352">
            <v>8902</v>
          </cell>
          <cell r="B352">
            <v>56993.288819000009</v>
          </cell>
          <cell r="C352">
            <v>13603.088867</v>
          </cell>
          <cell r="D352">
            <v>14046.538086</v>
          </cell>
        </row>
        <row r="353">
          <cell r="A353">
            <v>8921</v>
          </cell>
          <cell r="B353">
            <v>75729.483886999995</v>
          </cell>
          <cell r="C353">
            <v>16770.921875</v>
          </cell>
          <cell r="D353">
            <v>18744.759765999999</v>
          </cell>
        </row>
        <row r="354">
          <cell r="A354">
            <v>8930</v>
          </cell>
          <cell r="B354">
            <v>52826.163086</v>
          </cell>
          <cell r="C354">
            <v>11868.574219</v>
          </cell>
          <cell r="D354">
            <v>13999.235352</v>
          </cell>
        </row>
        <row r="355">
          <cell r="A355">
            <v>8933</v>
          </cell>
          <cell r="B355">
            <v>106104.312256</v>
          </cell>
          <cell r="C355">
            <v>18819.46875</v>
          </cell>
          <cell r="D355">
            <v>30509.046875</v>
          </cell>
        </row>
        <row r="356">
          <cell r="A356">
            <v>8938</v>
          </cell>
          <cell r="B356">
            <v>94485.972167</v>
          </cell>
          <cell r="C356">
            <v>18186.787109000001</v>
          </cell>
          <cell r="D356">
            <v>23700.261718999998</v>
          </cell>
        </row>
        <row r="357">
          <cell r="A357">
            <v>8939</v>
          </cell>
          <cell r="B357">
            <v>103680.882813</v>
          </cell>
          <cell r="C357">
            <v>23432.255859000001</v>
          </cell>
          <cell r="D357">
            <v>24511.71875</v>
          </cell>
        </row>
        <row r="358">
          <cell r="A358">
            <v>8944</v>
          </cell>
          <cell r="B358">
            <v>94485.972167</v>
          </cell>
          <cell r="C358">
            <v>18186.787109000001</v>
          </cell>
          <cell r="D358">
            <v>23700.261718999998</v>
          </cell>
        </row>
        <row r="359">
          <cell r="A359">
            <v>8954</v>
          </cell>
          <cell r="B359">
            <v>93270.085447999998</v>
          </cell>
          <cell r="C359">
            <v>21613.234375</v>
          </cell>
          <cell r="D359">
            <v>21918.537109000001</v>
          </cell>
        </row>
        <row r="360">
          <cell r="A360">
            <v>8955</v>
          </cell>
          <cell r="B360">
            <v>85512.690430999995</v>
          </cell>
          <cell r="C360">
            <v>16634.027343999998</v>
          </cell>
          <cell r="D360">
            <v>22213.375</v>
          </cell>
        </row>
        <row r="361">
          <cell r="A361">
            <v>8966</v>
          </cell>
          <cell r="B361">
            <v>103680.882813</v>
          </cell>
          <cell r="C361">
            <v>23432.255859000001</v>
          </cell>
          <cell r="D361">
            <v>24511.71875</v>
          </cell>
        </row>
        <row r="362">
          <cell r="A362">
            <v>8968</v>
          </cell>
          <cell r="B362">
            <v>91987.979980999997</v>
          </cell>
          <cell r="C362">
            <v>17000.605468999998</v>
          </cell>
          <cell r="D362">
            <v>25798.265625</v>
          </cell>
        </row>
        <row r="363">
          <cell r="A363">
            <v>8972</v>
          </cell>
          <cell r="B363">
            <v>102835.35644399999</v>
          </cell>
          <cell r="C363">
            <v>24709.345702999999</v>
          </cell>
          <cell r="D363">
            <v>23166.601562</v>
          </cell>
        </row>
        <row r="364">
          <cell r="A364">
            <v>8973</v>
          </cell>
          <cell r="B364">
            <v>96918.370850000007</v>
          </cell>
          <cell r="C364">
            <v>18120.933593999998</v>
          </cell>
          <cell r="D364">
            <v>26788.880859000001</v>
          </cell>
        </row>
        <row r="365">
          <cell r="A365">
            <v>8976</v>
          </cell>
          <cell r="B365">
            <v>106281.87011599999</v>
          </cell>
          <cell r="C365">
            <v>25975.570312</v>
          </cell>
          <cell r="D365">
            <v>23285.703125</v>
          </cell>
        </row>
        <row r="366">
          <cell r="A366">
            <v>8977</v>
          </cell>
          <cell r="B366">
            <v>96828.778810000003</v>
          </cell>
          <cell r="C366">
            <v>23868.322265999999</v>
          </cell>
          <cell r="D366">
            <v>21536.648438</v>
          </cell>
        </row>
        <row r="367">
          <cell r="A367">
            <v>8982</v>
          </cell>
          <cell r="B367">
            <v>98270.107910000006</v>
          </cell>
          <cell r="C367">
            <v>21236.132812</v>
          </cell>
          <cell r="D367">
            <v>23732.277343999998</v>
          </cell>
        </row>
        <row r="368">
          <cell r="A368">
            <v>9012</v>
          </cell>
          <cell r="B368">
            <v>17210.658797999997</v>
          </cell>
          <cell r="C368">
            <v>2667.1308589999999</v>
          </cell>
          <cell r="D368">
            <v>6356.9423829999996</v>
          </cell>
        </row>
        <row r="369">
          <cell r="A369">
            <v>9022</v>
          </cell>
          <cell r="B369">
            <v>105421.25</v>
          </cell>
          <cell r="C369">
            <v>26803.294922000001</v>
          </cell>
          <cell r="D369">
            <v>20102.951172000001</v>
          </cell>
        </row>
        <row r="370">
          <cell r="A370">
            <v>9025</v>
          </cell>
          <cell r="B370">
            <v>101285.988281</v>
          </cell>
          <cell r="C370">
            <v>21936.003906000002</v>
          </cell>
          <cell r="D370">
            <v>20324.855468999998</v>
          </cell>
        </row>
        <row r="371">
          <cell r="A371">
            <v>9027</v>
          </cell>
          <cell r="B371">
            <v>57245.228026999997</v>
          </cell>
          <cell r="C371">
            <v>13665.970703000001</v>
          </cell>
          <cell r="D371">
            <v>14073.924805000001</v>
          </cell>
        </row>
        <row r="372">
          <cell r="A372">
            <v>9028</v>
          </cell>
          <cell r="B372">
            <v>64177.479491999991</v>
          </cell>
          <cell r="C372">
            <v>10234.153319999999</v>
          </cell>
          <cell r="D372">
            <v>21258.558593999998</v>
          </cell>
        </row>
        <row r="373">
          <cell r="A373">
            <v>9029</v>
          </cell>
          <cell r="B373">
            <v>68804.772949999999</v>
          </cell>
          <cell r="C373">
            <v>20099.703125</v>
          </cell>
          <cell r="D373">
            <v>14314.711914</v>
          </cell>
        </row>
        <row r="374">
          <cell r="A374">
            <v>9031</v>
          </cell>
          <cell r="B374">
            <v>5469.1513050000003</v>
          </cell>
          <cell r="C374">
            <v>1479.186279</v>
          </cell>
          <cell r="D374">
            <v>611.59057600000006</v>
          </cell>
        </row>
        <row r="375">
          <cell r="A375">
            <v>9032</v>
          </cell>
          <cell r="B375">
            <v>5624.6988220000003</v>
          </cell>
          <cell r="C375">
            <v>781.32128899999998</v>
          </cell>
          <cell r="D375">
            <v>1743.1448969999999</v>
          </cell>
        </row>
        <row r="376">
          <cell r="A376">
            <v>9033</v>
          </cell>
          <cell r="B376">
            <v>38902.456787000003</v>
          </cell>
          <cell r="C376">
            <v>9644.5107420000004</v>
          </cell>
          <cell r="D376">
            <v>8746.6435550000006</v>
          </cell>
        </row>
        <row r="377">
          <cell r="A377">
            <v>9034</v>
          </cell>
          <cell r="B377">
            <v>27803.682982999999</v>
          </cell>
          <cell r="C377">
            <v>7093.8002930000002</v>
          </cell>
          <cell r="D377">
            <v>6926.6811520000001</v>
          </cell>
        </row>
        <row r="378">
          <cell r="A378">
            <v>9035</v>
          </cell>
          <cell r="B378">
            <v>25264.198241999999</v>
          </cell>
          <cell r="C378">
            <v>4640.4926759999998</v>
          </cell>
          <cell r="D378">
            <v>6406.8867190000001</v>
          </cell>
        </row>
        <row r="379">
          <cell r="A379">
            <v>9036</v>
          </cell>
          <cell r="B379">
            <v>40873.199219000002</v>
          </cell>
          <cell r="C379">
            <v>6951.5849609999996</v>
          </cell>
          <cell r="D379">
            <v>11192.773438</v>
          </cell>
        </row>
        <row r="380">
          <cell r="A380">
            <v>9037</v>
          </cell>
          <cell r="B380">
            <v>43965.185181000001</v>
          </cell>
          <cell r="C380">
            <v>7316.3339839999999</v>
          </cell>
          <cell r="D380">
            <v>12141.176758</v>
          </cell>
        </row>
        <row r="381">
          <cell r="A381">
            <v>9039</v>
          </cell>
          <cell r="B381">
            <v>72595.742677000002</v>
          </cell>
          <cell r="C381">
            <v>15505.157227</v>
          </cell>
          <cell r="D381">
            <v>16209.459961</v>
          </cell>
        </row>
        <row r="382">
          <cell r="A382">
            <v>9041</v>
          </cell>
          <cell r="B382">
            <v>43338.114502999997</v>
          </cell>
          <cell r="C382">
            <v>10852.548828000001</v>
          </cell>
          <cell r="D382">
            <v>9656.4921880000002</v>
          </cell>
        </row>
        <row r="383">
          <cell r="A383">
            <v>9042</v>
          </cell>
          <cell r="B383">
            <v>91707.798340999987</v>
          </cell>
          <cell r="C383">
            <v>18637.072265999999</v>
          </cell>
          <cell r="D383">
            <v>23503.652343999998</v>
          </cell>
        </row>
        <row r="384">
          <cell r="A384">
            <v>9043</v>
          </cell>
          <cell r="B384">
            <v>83782.305664</v>
          </cell>
          <cell r="C384">
            <v>17758.839843999998</v>
          </cell>
          <cell r="D384">
            <v>21269.275390999999</v>
          </cell>
        </row>
        <row r="385">
          <cell r="A385">
            <v>9054</v>
          </cell>
          <cell r="B385">
            <v>72595.742677000002</v>
          </cell>
          <cell r="C385">
            <v>15505.157227</v>
          </cell>
          <cell r="D385">
            <v>16209.459961</v>
          </cell>
        </row>
        <row r="386">
          <cell r="A386">
            <v>9132</v>
          </cell>
          <cell r="B386">
            <v>6614.3624569999993</v>
          </cell>
          <cell r="C386">
            <v>1872.9426269999999</v>
          </cell>
          <cell r="D386">
            <v>1442.9079589999999</v>
          </cell>
        </row>
        <row r="387">
          <cell r="A387">
            <v>9136</v>
          </cell>
          <cell r="B387">
            <v>11562.204605000001</v>
          </cell>
          <cell r="C387">
            <v>1964.1599120000001</v>
          </cell>
          <cell r="D387">
            <v>4056.467529</v>
          </cell>
        </row>
        <row r="388">
          <cell r="A388">
            <v>9142</v>
          </cell>
          <cell r="B388">
            <v>12533.752121</v>
          </cell>
          <cell r="C388">
            <v>2333.2504880000001</v>
          </cell>
          <cell r="D388">
            <v>4199.8891599999997</v>
          </cell>
        </row>
        <row r="389">
          <cell r="A389">
            <v>9143</v>
          </cell>
          <cell r="B389">
            <v>12226.755187000001</v>
          </cell>
          <cell r="C389">
            <v>4459.2172849999997</v>
          </cell>
          <cell r="D389">
            <v>2621.8789059999999</v>
          </cell>
        </row>
        <row r="390">
          <cell r="A390">
            <v>9144</v>
          </cell>
          <cell r="B390">
            <v>12226.755187000001</v>
          </cell>
          <cell r="C390">
            <v>4459.2172849999997</v>
          </cell>
          <cell r="D390">
            <v>2621.8789059999999</v>
          </cell>
        </row>
        <row r="391">
          <cell r="A391">
            <v>9146</v>
          </cell>
          <cell r="B391">
            <v>14129.869874</v>
          </cell>
          <cell r="C391">
            <v>5491.3256840000004</v>
          </cell>
          <cell r="D391">
            <v>2716.0551759999998</v>
          </cell>
        </row>
        <row r="392">
          <cell r="A392">
            <v>9241</v>
          </cell>
          <cell r="B392">
            <v>75544.631347999995</v>
          </cell>
          <cell r="C392">
            <v>17946.044922000001</v>
          </cell>
          <cell r="D392">
            <v>20407.46875</v>
          </cell>
        </row>
        <row r="393">
          <cell r="A393">
            <v>9249</v>
          </cell>
          <cell r="B393">
            <v>80208.755126000004</v>
          </cell>
          <cell r="C393">
            <v>16815.263672000001</v>
          </cell>
          <cell r="D393">
            <v>21237.671875</v>
          </cell>
        </row>
        <row r="394">
          <cell r="A394">
            <v>9250</v>
          </cell>
          <cell r="B394">
            <v>71879.795654000001</v>
          </cell>
          <cell r="C394">
            <v>15393.334961</v>
          </cell>
          <cell r="D394">
            <v>18935.894531000002</v>
          </cell>
        </row>
        <row r="395">
          <cell r="A395">
            <v>9251</v>
          </cell>
          <cell r="B395">
            <v>75544.631347999995</v>
          </cell>
          <cell r="C395">
            <v>17946.044922000001</v>
          </cell>
          <cell r="D395">
            <v>20407.46875</v>
          </cell>
        </row>
        <row r="396">
          <cell r="A396">
            <v>9252</v>
          </cell>
          <cell r="B396">
            <v>60085.470459999997</v>
          </cell>
          <cell r="C396">
            <v>14411.221680000001</v>
          </cell>
          <cell r="D396">
            <v>17301.013672000001</v>
          </cell>
        </row>
        <row r="397">
          <cell r="A397">
            <v>9300</v>
          </cell>
          <cell r="B397">
            <v>62471.842284999999</v>
          </cell>
          <cell r="C397">
            <v>18047.353515999999</v>
          </cell>
          <cell r="D397">
            <v>12401.376953000001</v>
          </cell>
        </row>
        <row r="398">
          <cell r="A398">
            <v>9328</v>
          </cell>
          <cell r="B398">
            <v>125018.224609</v>
          </cell>
          <cell r="C398">
            <v>30713.458984000001</v>
          </cell>
          <cell r="D398">
            <v>27071.931640999999</v>
          </cell>
        </row>
        <row r="399">
          <cell r="A399">
            <v>9330</v>
          </cell>
          <cell r="B399">
            <v>129512.195313</v>
          </cell>
          <cell r="C399">
            <v>23973.412109000001</v>
          </cell>
          <cell r="D399">
            <v>35017.234375</v>
          </cell>
        </row>
        <row r="400">
          <cell r="A400">
            <v>9333</v>
          </cell>
          <cell r="B400">
            <v>108129.165039</v>
          </cell>
          <cell r="C400">
            <v>27236.501952999999</v>
          </cell>
          <cell r="D400">
            <v>23501.767577999999</v>
          </cell>
        </row>
        <row r="401">
          <cell r="A401">
            <v>9335</v>
          </cell>
          <cell r="B401">
            <v>114010.627442</v>
          </cell>
          <cell r="C401">
            <v>21683.126952999999</v>
          </cell>
          <cell r="D401">
            <v>30784.339843999998</v>
          </cell>
        </row>
        <row r="402">
          <cell r="A402">
            <v>9336</v>
          </cell>
          <cell r="B402">
            <v>114796.592773</v>
          </cell>
          <cell r="C402">
            <v>28417.34375</v>
          </cell>
          <cell r="D402">
            <v>25353</v>
          </cell>
        </row>
        <row r="403">
          <cell r="A403">
            <v>9337</v>
          </cell>
          <cell r="B403">
            <v>88902.955077999999</v>
          </cell>
          <cell r="C403">
            <v>20149.603515999999</v>
          </cell>
          <cell r="D403">
            <v>21240.037109000001</v>
          </cell>
        </row>
        <row r="404">
          <cell r="A404">
            <v>9338</v>
          </cell>
          <cell r="B404">
            <v>122764.02832</v>
          </cell>
          <cell r="C404">
            <v>23797.835938</v>
          </cell>
          <cell r="D404">
            <v>32959.472655999998</v>
          </cell>
        </row>
        <row r="405">
          <cell r="A405">
            <v>9339</v>
          </cell>
          <cell r="B405">
            <v>111696.537109</v>
          </cell>
          <cell r="C405">
            <v>22564.828125</v>
          </cell>
          <cell r="D405">
            <v>29776.359375</v>
          </cell>
        </row>
        <row r="406">
          <cell r="A406">
            <v>9342</v>
          </cell>
          <cell r="B406">
            <v>95951.9375</v>
          </cell>
          <cell r="C406">
            <v>21580.09375</v>
          </cell>
          <cell r="D406">
            <v>23909.515625</v>
          </cell>
        </row>
        <row r="407">
          <cell r="A407">
            <v>9343</v>
          </cell>
          <cell r="B407">
            <v>102461.188476</v>
          </cell>
          <cell r="C407">
            <v>20596.480468999998</v>
          </cell>
          <cell r="D407">
            <v>26859.587890999999</v>
          </cell>
        </row>
        <row r="408">
          <cell r="A408">
            <v>9468</v>
          </cell>
          <cell r="B408">
            <v>6891.1660460000003</v>
          </cell>
          <cell r="C408">
            <v>1061.383789</v>
          </cell>
          <cell r="D408">
            <v>1920.259155</v>
          </cell>
        </row>
        <row r="409">
          <cell r="A409">
            <v>9472</v>
          </cell>
          <cell r="B409">
            <v>6891.1660460000003</v>
          </cell>
          <cell r="C409">
            <v>1061.383789</v>
          </cell>
          <cell r="D409">
            <v>1920.259155</v>
          </cell>
        </row>
        <row r="410">
          <cell r="A410">
            <v>9473</v>
          </cell>
          <cell r="B410">
            <v>5249.9406740000004</v>
          </cell>
          <cell r="C410">
            <v>1738.9960940000001</v>
          </cell>
          <cell r="D410">
            <v>1180.147461</v>
          </cell>
        </row>
        <row r="411">
          <cell r="A411">
            <v>9474</v>
          </cell>
          <cell r="B411">
            <v>5249.9406740000004</v>
          </cell>
          <cell r="C411">
            <v>1738.9960940000001</v>
          </cell>
          <cell r="D411">
            <v>1180.147461</v>
          </cell>
        </row>
        <row r="412">
          <cell r="A412">
            <v>9477</v>
          </cell>
          <cell r="B412">
            <v>5249.9406740000004</v>
          </cell>
          <cell r="C412">
            <v>1738.9960940000001</v>
          </cell>
          <cell r="D412">
            <v>1180.147461</v>
          </cell>
        </row>
        <row r="413">
          <cell r="A413">
            <v>9483</v>
          </cell>
          <cell r="B413">
            <v>6891.1660460000003</v>
          </cell>
          <cell r="C413">
            <v>1061.383789</v>
          </cell>
          <cell r="D413">
            <v>1920.259155</v>
          </cell>
        </row>
        <row r="414">
          <cell r="A414">
            <v>9484</v>
          </cell>
          <cell r="B414">
            <v>5056.3964229999992</v>
          </cell>
          <cell r="C414">
            <v>881.43341099999998</v>
          </cell>
          <cell r="D414">
            <v>1176.3942870000001</v>
          </cell>
        </row>
        <row r="415">
          <cell r="A415">
            <v>9485</v>
          </cell>
          <cell r="B415">
            <v>5056.3964229999992</v>
          </cell>
          <cell r="C415">
            <v>881.43341099999998</v>
          </cell>
          <cell r="D415">
            <v>1176.3942870000001</v>
          </cell>
        </row>
        <row r="416">
          <cell r="A416">
            <v>9488</v>
          </cell>
          <cell r="B416">
            <v>5249.9406740000004</v>
          </cell>
          <cell r="C416">
            <v>1738.9960940000001</v>
          </cell>
          <cell r="D416">
            <v>1180.147461</v>
          </cell>
        </row>
        <row r="417">
          <cell r="A417">
            <v>9489</v>
          </cell>
          <cell r="B417">
            <v>3826.9251719999997</v>
          </cell>
          <cell r="C417">
            <v>1112.0307620000001</v>
          </cell>
          <cell r="D417">
            <v>1018.633789</v>
          </cell>
        </row>
        <row r="418">
          <cell r="A418">
            <v>9490</v>
          </cell>
          <cell r="B418">
            <v>3826.9251719999997</v>
          </cell>
          <cell r="C418">
            <v>1112.0307620000001</v>
          </cell>
          <cell r="D418">
            <v>1018.633789</v>
          </cell>
        </row>
        <row r="419">
          <cell r="A419">
            <v>9509</v>
          </cell>
          <cell r="B419">
            <v>7365.8328850000007</v>
          </cell>
          <cell r="C419">
            <v>1988.4956050000001</v>
          </cell>
          <cell r="D419">
            <v>1609.3594969999999</v>
          </cell>
        </row>
        <row r="420">
          <cell r="A420">
            <v>9510</v>
          </cell>
          <cell r="B420">
            <v>5929.4661559999995</v>
          </cell>
          <cell r="C420">
            <v>1487.314453</v>
          </cell>
          <cell r="D420">
            <v>1915.2257079999999</v>
          </cell>
        </row>
        <row r="421">
          <cell r="A421">
            <v>9512</v>
          </cell>
          <cell r="B421">
            <v>5595.648072</v>
          </cell>
          <cell r="C421">
            <v>1333.414307</v>
          </cell>
          <cell r="D421">
            <v>1878.0354</v>
          </cell>
        </row>
        <row r="422">
          <cell r="A422">
            <v>9513</v>
          </cell>
          <cell r="B422">
            <v>5595.648072</v>
          </cell>
          <cell r="C422">
            <v>1333.414307</v>
          </cell>
          <cell r="D422">
            <v>1878.0354</v>
          </cell>
        </row>
        <row r="423">
          <cell r="A423">
            <v>9516</v>
          </cell>
          <cell r="B423">
            <v>8747.2023919999992</v>
          </cell>
          <cell r="C423">
            <v>1735.5146480000001</v>
          </cell>
          <cell r="D423">
            <v>3155.4753420000002</v>
          </cell>
        </row>
        <row r="424">
          <cell r="A424">
            <v>9517</v>
          </cell>
          <cell r="B424">
            <v>70303.766114000013</v>
          </cell>
          <cell r="C424">
            <v>13892.773438</v>
          </cell>
          <cell r="D424">
            <v>18836.291015999999</v>
          </cell>
        </row>
        <row r="425">
          <cell r="A425">
            <v>9518</v>
          </cell>
          <cell r="B425">
            <v>70303.766114000013</v>
          </cell>
          <cell r="C425">
            <v>13892.773438</v>
          </cell>
          <cell r="D425">
            <v>18836.291015999999</v>
          </cell>
        </row>
        <row r="426">
          <cell r="A426">
            <v>9519</v>
          </cell>
          <cell r="B426">
            <v>8935.8795170000012</v>
          </cell>
          <cell r="C426">
            <v>2816.3698730000001</v>
          </cell>
          <cell r="D426">
            <v>1899.404419</v>
          </cell>
        </row>
        <row r="427">
          <cell r="A427">
            <v>9540</v>
          </cell>
          <cell r="B427">
            <v>7113.7226549999996</v>
          </cell>
          <cell r="C427">
            <v>2076.9790039999998</v>
          </cell>
          <cell r="D427">
            <v>1528.517822</v>
          </cell>
        </row>
        <row r="428">
          <cell r="A428">
            <v>9808</v>
          </cell>
          <cell r="B428">
            <v>13109.784408</v>
          </cell>
          <cell r="C428">
            <v>2016.7387699999999</v>
          </cell>
          <cell r="D428">
            <v>5462.951172</v>
          </cell>
        </row>
        <row r="429">
          <cell r="A429">
            <v>9872</v>
          </cell>
          <cell r="B429">
            <v>124591.485839</v>
          </cell>
          <cell r="C429">
            <v>19773.238281000002</v>
          </cell>
          <cell r="D429">
            <v>37820.757812000003</v>
          </cell>
        </row>
        <row r="430">
          <cell r="A430">
            <v>9873</v>
          </cell>
          <cell r="B430">
            <v>122521.512694</v>
          </cell>
          <cell r="C430">
            <v>30686.132812</v>
          </cell>
          <cell r="D430">
            <v>23280.683593999998</v>
          </cell>
        </row>
        <row r="431">
          <cell r="A431">
            <v>9903</v>
          </cell>
          <cell r="B431">
            <v>53012.694581000003</v>
          </cell>
          <cell r="C431">
            <v>9755.2548829999996</v>
          </cell>
          <cell r="D431">
            <v>11025.977539</v>
          </cell>
        </row>
        <row r="432">
          <cell r="A432">
            <v>9904</v>
          </cell>
          <cell r="B432">
            <v>48282.488770000004</v>
          </cell>
          <cell r="C432">
            <v>8270.0830079999996</v>
          </cell>
          <cell r="D432">
            <v>10515.410156</v>
          </cell>
        </row>
        <row r="433">
          <cell r="A433">
            <v>9910</v>
          </cell>
          <cell r="B433">
            <v>19625.186523</v>
          </cell>
          <cell r="C433">
            <v>3375.2629390000002</v>
          </cell>
          <cell r="D433">
            <v>4169.2407229999999</v>
          </cell>
        </row>
        <row r="434">
          <cell r="A434">
            <v>9914</v>
          </cell>
          <cell r="B434">
            <v>19265.899047999999</v>
          </cell>
          <cell r="C434">
            <v>3798.6584469999998</v>
          </cell>
          <cell r="D434">
            <v>4057.8901369999999</v>
          </cell>
        </row>
        <row r="435">
          <cell r="A435">
            <v>9915</v>
          </cell>
          <cell r="B435">
            <v>19296.787599000003</v>
          </cell>
          <cell r="C435">
            <v>3320.9116210000002</v>
          </cell>
          <cell r="D435">
            <v>4115.3291019999997</v>
          </cell>
        </row>
        <row r="436">
          <cell r="A436">
            <v>9919</v>
          </cell>
          <cell r="B436">
            <v>37854.897461</v>
          </cell>
          <cell r="C436">
            <v>9297.2861329999996</v>
          </cell>
          <cell r="D436">
            <v>3575.4819339999999</v>
          </cell>
        </row>
        <row r="437">
          <cell r="A437">
            <v>9930</v>
          </cell>
          <cell r="B437">
            <v>48341.449462999997</v>
          </cell>
          <cell r="C437">
            <v>8353.1425780000009</v>
          </cell>
          <cell r="D437">
            <v>9806.2080079999996</v>
          </cell>
        </row>
        <row r="438">
          <cell r="A438">
            <v>9931</v>
          </cell>
          <cell r="B438">
            <v>22250.267532999998</v>
          </cell>
          <cell r="C438">
            <v>599.65142800000001</v>
          </cell>
          <cell r="D438">
            <v>7481.6591799999997</v>
          </cell>
        </row>
        <row r="439">
          <cell r="A439">
            <v>9953</v>
          </cell>
          <cell r="B439">
            <v>34610.914427999996</v>
          </cell>
          <cell r="C439">
            <v>4421.3164059999999</v>
          </cell>
          <cell r="D439">
            <v>8493.9511719999991</v>
          </cell>
        </row>
        <row r="440">
          <cell r="A440">
            <v>10002</v>
          </cell>
          <cell r="B440">
            <v>30916.601562</v>
          </cell>
          <cell r="C440">
            <v>6401.8901370000003</v>
          </cell>
          <cell r="D440">
            <v>3780.9726559999999</v>
          </cell>
        </row>
        <row r="441">
          <cell r="A441">
            <v>10003</v>
          </cell>
          <cell r="B441">
            <v>31981.162841999998</v>
          </cell>
          <cell r="C441">
            <v>3098.4965820000002</v>
          </cell>
          <cell r="D441">
            <v>8648.0517579999996</v>
          </cell>
        </row>
        <row r="442">
          <cell r="A442">
            <v>10013</v>
          </cell>
          <cell r="B442">
            <v>22239.767532999998</v>
          </cell>
          <cell r="C442">
            <v>599.65142800000001</v>
          </cell>
          <cell r="D442">
            <v>7471.1591799999997</v>
          </cell>
        </row>
        <row r="443">
          <cell r="A443">
            <v>10015</v>
          </cell>
          <cell r="B443">
            <v>29188.676605000001</v>
          </cell>
          <cell r="C443">
            <v>7993.7490230000003</v>
          </cell>
          <cell r="D443">
            <v>1967.7967530000001</v>
          </cell>
        </row>
        <row r="444">
          <cell r="A444">
            <v>10016</v>
          </cell>
          <cell r="B444">
            <v>29656.561524000001</v>
          </cell>
          <cell r="C444">
            <v>731.03772000000004</v>
          </cell>
          <cell r="D444">
            <v>11046.689453000001</v>
          </cell>
        </row>
        <row r="445">
          <cell r="A445">
            <v>10044</v>
          </cell>
          <cell r="B445">
            <v>34610.914427999996</v>
          </cell>
          <cell r="C445">
            <v>4421.3164059999999</v>
          </cell>
          <cell r="D445">
            <v>8493.9511719999991</v>
          </cell>
        </row>
        <row r="446">
          <cell r="A446">
            <v>10056</v>
          </cell>
          <cell r="B446">
            <v>53012.694581000003</v>
          </cell>
          <cell r="C446">
            <v>9755.2548829999996</v>
          </cell>
          <cell r="D446">
            <v>11025.977539</v>
          </cell>
        </row>
        <row r="447">
          <cell r="A447">
            <v>10057</v>
          </cell>
          <cell r="B447">
            <v>48282.488770000004</v>
          </cell>
          <cell r="C447">
            <v>8270.0830079999996</v>
          </cell>
          <cell r="D447">
            <v>10515.410156</v>
          </cell>
        </row>
        <row r="448">
          <cell r="A448">
            <v>10067</v>
          </cell>
          <cell r="B448">
            <v>35634.716675000003</v>
          </cell>
          <cell r="C448">
            <v>4436.8168949999999</v>
          </cell>
          <cell r="D448">
            <v>8890.0214840000008</v>
          </cell>
        </row>
        <row r="449">
          <cell r="A449">
            <v>10158</v>
          </cell>
          <cell r="B449">
            <v>73767.939209000004</v>
          </cell>
          <cell r="C449">
            <v>14969.420898</v>
          </cell>
          <cell r="D449">
            <v>18448.203125</v>
          </cell>
        </row>
        <row r="450">
          <cell r="A450">
            <v>10159</v>
          </cell>
          <cell r="B450">
            <v>36970.429687000003</v>
          </cell>
          <cell r="C450">
            <v>6277.7402339999999</v>
          </cell>
          <cell r="D450">
            <v>10117.319336</v>
          </cell>
        </row>
        <row r="451">
          <cell r="A451">
            <v>10177</v>
          </cell>
          <cell r="B451">
            <v>83782.305664</v>
          </cell>
          <cell r="C451">
            <v>17758.839843999998</v>
          </cell>
          <cell r="D451">
            <v>21269.275390999999</v>
          </cell>
        </row>
        <row r="452">
          <cell r="A452">
            <v>10238</v>
          </cell>
          <cell r="B452">
            <v>5249.9406740000004</v>
          </cell>
          <cell r="C452">
            <v>1738.9960940000001</v>
          </cell>
          <cell r="D452">
            <v>1180.147461</v>
          </cell>
        </row>
        <row r="453">
          <cell r="A453">
            <v>10241</v>
          </cell>
          <cell r="B453">
            <v>5249.9406740000004</v>
          </cell>
          <cell r="C453">
            <v>1738.9960940000001</v>
          </cell>
          <cell r="D453">
            <v>1180.147461</v>
          </cell>
        </row>
        <row r="454">
          <cell r="A454">
            <v>10243</v>
          </cell>
          <cell r="B454">
            <v>6891.1660460000003</v>
          </cell>
          <cell r="C454">
            <v>1061.383789</v>
          </cell>
          <cell r="D454">
            <v>1920.259155</v>
          </cell>
        </row>
        <row r="455">
          <cell r="A455">
            <v>10248</v>
          </cell>
          <cell r="B455">
            <v>6891.1660460000003</v>
          </cell>
          <cell r="C455">
            <v>1061.383789</v>
          </cell>
          <cell r="D455">
            <v>1920.259155</v>
          </cell>
        </row>
        <row r="456">
          <cell r="A456">
            <v>10252</v>
          </cell>
          <cell r="B456">
            <v>65157.327027000007</v>
          </cell>
          <cell r="C456">
            <v>9580.9189449999994</v>
          </cell>
          <cell r="D456">
            <v>19733.259765999999</v>
          </cell>
        </row>
        <row r="457">
          <cell r="A457">
            <v>10255</v>
          </cell>
          <cell r="B457">
            <v>14132.415283999999</v>
          </cell>
          <cell r="C457">
            <v>5493.8710940000001</v>
          </cell>
          <cell r="D457">
            <v>2716.0551759999998</v>
          </cell>
        </row>
        <row r="458">
          <cell r="A458">
            <v>10257</v>
          </cell>
          <cell r="B458">
            <v>17268.315063000002</v>
          </cell>
          <cell r="C458">
            <v>7185.1240230000003</v>
          </cell>
          <cell r="D458">
            <v>3221.8562010000001</v>
          </cell>
        </row>
        <row r="459">
          <cell r="A459">
            <v>10389</v>
          </cell>
          <cell r="B459">
            <v>25875.315032999999</v>
          </cell>
          <cell r="C459">
            <v>3201.5664059999999</v>
          </cell>
          <cell r="D459">
            <v>10448.829102</v>
          </cell>
        </row>
        <row r="460">
          <cell r="A460">
            <v>10390</v>
          </cell>
          <cell r="B460">
            <v>30960.349579000002</v>
          </cell>
          <cell r="C460">
            <v>3432.2790530000002</v>
          </cell>
          <cell r="D460">
            <v>10981.469727</v>
          </cell>
        </row>
        <row r="461">
          <cell r="A461">
            <v>10486</v>
          </cell>
          <cell r="B461">
            <v>102678.1167</v>
          </cell>
          <cell r="C461">
            <v>17771.003906000002</v>
          </cell>
          <cell r="D461">
            <v>26307.041015999999</v>
          </cell>
        </row>
        <row r="462">
          <cell r="A462">
            <v>10572</v>
          </cell>
          <cell r="B462">
            <v>78478.922850999996</v>
          </cell>
          <cell r="C462">
            <v>14593.205078000001</v>
          </cell>
          <cell r="D462">
            <v>18970.683593999998</v>
          </cell>
        </row>
        <row r="463">
          <cell r="A463">
            <v>10575</v>
          </cell>
          <cell r="B463">
            <v>1523.445923</v>
          </cell>
          <cell r="C463">
            <v>1523.445923</v>
          </cell>
          <cell r="D463">
            <v>0</v>
          </cell>
        </row>
        <row r="464">
          <cell r="A464">
            <v>10633</v>
          </cell>
          <cell r="B464">
            <v>68941.083008000001</v>
          </cell>
          <cell r="C464">
            <v>12997.71875</v>
          </cell>
          <cell r="D464">
            <v>14929.143555000001</v>
          </cell>
        </row>
        <row r="465">
          <cell r="A465">
            <v>10658</v>
          </cell>
          <cell r="B465">
            <v>1985.8908690000001</v>
          </cell>
          <cell r="C465">
            <v>0</v>
          </cell>
          <cell r="D465">
            <v>1985.8908690000001</v>
          </cell>
        </row>
        <row r="466">
          <cell r="A466">
            <v>10790</v>
          </cell>
          <cell r="B466">
            <v>62771.333251999997</v>
          </cell>
          <cell r="C466">
            <v>11219.791015999999</v>
          </cell>
          <cell r="D466">
            <v>17562.330077999999</v>
          </cell>
        </row>
        <row r="467">
          <cell r="A467">
            <v>10791</v>
          </cell>
          <cell r="B467">
            <v>62771.333251999997</v>
          </cell>
          <cell r="C467">
            <v>11219.791015999999</v>
          </cell>
          <cell r="D467">
            <v>17562.330077999999</v>
          </cell>
        </row>
        <row r="468">
          <cell r="A468">
            <v>10792</v>
          </cell>
          <cell r="B468">
            <v>60128.536376999997</v>
          </cell>
          <cell r="C468">
            <v>13799.072265999999</v>
          </cell>
          <cell r="D468">
            <v>13115.177734000001</v>
          </cell>
        </row>
        <row r="469">
          <cell r="A469">
            <v>10793</v>
          </cell>
          <cell r="B469">
            <v>60128.536376999997</v>
          </cell>
          <cell r="C469">
            <v>13799.072265999999</v>
          </cell>
          <cell r="D469">
            <v>13115.177734000001</v>
          </cell>
        </row>
        <row r="470">
          <cell r="A470">
            <v>10859</v>
          </cell>
          <cell r="B470">
            <v>109574.31689500001</v>
          </cell>
          <cell r="C470">
            <v>16726.292968999998</v>
          </cell>
          <cell r="D470">
            <v>33039.964844000002</v>
          </cell>
        </row>
        <row r="471">
          <cell r="A471">
            <v>10913</v>
          </cell>
          <cell r="B471">
            <v>83796.097167</v>
          </cell>
          <cell r="C471">
            <v>17005.582031000002</v>
          </cell>
          <cell r="D471">
            <v>23263.601562</v>
          </cell>
        </row>
        <row r="472">
          <cell r="A472">
            <v>10963</v>
          </cell>
          <cell r="B472">
            <v>77126.366211</v>
          </cell>
          <cell r="C472">
            <v>14522.558594</v>
          </cell>
          <cell r="D472">
            <v>22867.796875</v>
          </cell>
        </row>
        <row r="473">
          <cell r="A473">
            <v>10965</v>
          </cell>
          <cell r="B473">
            <v>86249.348631999994</v>
          </cell>
          <cell r="C473">
            <v>19292.994140999999</v>
          </cell>
          <cell r="D473">
            <v>22186.445312</v>
          </cell>
        </row>
        <row r="474">
          <cell r="A474">
            <v>10966</v>
          </cell>
          <cell r="B474">
            <v>85314.962159000002</v>
          </cell>
          <cell r="C474">
            <v>17964.173827999999</v>
          </cell>
          <cell r="D474">
            <v>20985.71875</v>
          </cell>
        </row>
        <row r="475">
          <cell r="A475">
            <v>10967</v>
          </cell>
          <cell r="B475">
            <v>92445.914795000004</v>
          </cell>
          <cell r="C475">
            <v>19977.818359000001</v>
          </cell>
          <cell r="D475">
            <v>23959.0625</v>
          </cell>
        </row>
        <row r="476">
          <cell r="A476">
            <v>10968</v>
          </cell>
          <cell r="B476">
            <v>86918.596191000004</v>
          </cell>
          <cell r="C476">
            <v>18654.705077999999</v>
          </cell>
          <cell r="D476">
            <v>22514.90625</v>
          </cell>
        </row>
        <row r="477">
          <cell r="A477">
            <v>10969</v>
          </cell>
          <cell r="B477">
            <v>81159.642090000008</v>
          </cell>
          <cell r="C477">
            <v>17817.130859000001</v>
          </cell>
          <cell r="D477">
            <v>20273.744140999999</v>
          </cell>
        </row>
        <row r="478">
          <cell r="A478">
            <v>10970</v>
          </cell>
          <cell r="B478">
            <v>90718.994384999998</v>
          </cell>
          <cell r="C478">
            <v>19093.224609000001</v>
          </cell>
          <cell r="D478">
            <v>22313.994140999999</v>
          </cell>
        </row>
        <row r="479">
          <cell r="A479">
            <v>10979</v>
          </cell>
          <cell r="B479">
            <v>77841.061035999999</v>
          </cell>
          <cell r="C479">
            <v>19950.466797000001</v>
          </cell>
          <cell r="D479">
            <v>16957.322265999999</v>
          </cell>
        </row>
        <row r="480">
          <cell r="A480">
            <v>10981</v>
          </cell>
          <cell r="B480">
            <v>102396.30419900001</v>
          </cell>
          <cell r="C480">
            <v>26174.771484000001</v>
          </cell>
          <cell r="D480">
            <v>22095.4375</v>
          </cell>
        </row>
        <row r="481">
          <cell r="A481">
            <v>10982</v>
          </cell>
          <cell r="B481">
            <v>91655.474610000005</v>
          </cell>
          <cell r="C481">
            <v>24285.4375</v>
          </cell>
          <cell r="D481">
            <v>19137.306640999999</v>
          </cell>
        </row>
        <row r="482">
          <cell r="A482">
            <v>10991</v>
          </cell>
          <cell r="B482">
            <v>66487.554686000003</v>
          </cell>
          <cell r="C482">
            <v>18436.318359000001</v>
          </cell>
          <cell r="D482">
            <v>13016.474609000001</v>
          </cell>
        </row>
        <row r="483">
          <cell r="A483">
            <v>10994</v>
          </cell>
          <cell r="B483">
            <v>78573.751464000001</v>
          </cell>
          <cell r="C483">
            <v>21250.988281000002</v>
          </cell>
          <cell r="D483">
            <v>15905.451171999999</v>
          </cell>
        </row>
        <row r="484">
          <cell r="A484">
            <v>10996</v>
          </cell>
          <cell r="B484">
            <v>115821.92187399999</v>
          </cell>
          <cell r="C484">
            <v>18598.175781000002</v>
          </cell>
          <cell r="D484">
            <v>35032.519530999998</v>
          </cell>
        </row>
        <row r="485">
          <cell r="A485">
            <v>10998</v>
          </cell>
          <cell r="B485">
            <v>125515.99804800001</v>
          </cell>
          <cell r="C485">
            <v>31121.064452999999</v>
          </cell>
          <cell r="D485">
            <v>27040.994140999999</v>
          </cell>
        </row>
        <row r="486">
          <cell r="A486">
            <v>11035</v>
          </cell>
          <cell r="B486">
            <v>109716.44311600001</v>
          </cell>
          <cell r="C486">
            <v>16887.619140999999</v>
          </cell>
          <cell r="D486">
            <v>32062.892577999999</v>
          </cell>
        </row>
        <row r="487">
          <cell r="A487">
            <v>11050</v>
          </cell>
          <cell r="B487">
            <v>40109.136962999997</v>
          </cell>
          <cell r="C487">
            <v>9755.9042969999991</v>
          </cell>
          <cell r="D487">
            <v>9114.9042969999991</v>
          </cell>
        </row>
        <row r="488">
          <cell r="A488">
            <v>11054</v>
          </cell>
          <cell r="B488">
            <v>83458.795897999997</v>
          </cell>
          <cell r="C488">
            <v>14888.864258</v>
          </cell>
          <cell r="D488">
            <v>23383.609375</v>
          </cell>
        </row>
        <row r="489">
          <cell r="A489">
            <v>11055</v>
          </cell>
          <cell r="B489">
            <v>76902.867675999994</v>
          </cell>
          <cell r="C489">
            <v>13569.3125</v>
          </cell>
          <cell r="D489">
            <v>21720.689452999999</v>
          </cell>
        </row>
        <row r="490">
          <cell r="A490">
            <v>11056</v>
          </cell>
          <cell r="B490">
            <v>84432.899902000005</v>
          </cell>
          <cell r="C490">
            <v>20796.472656000002</v>
          </cell>
          <cell r="D490">
            <v>19057.802734000001</v>
          </cell>
        </row>
        <row r="491">
          <cell r="A491">
            <v>11057</v>
          </cell>
          <cell r="B491">
            <v>89603.861816999997</v>
          </cell>
          <cell r="C491">
            <v>21749.462890999999</v>
          </cell>
          <cell r="D491">
            <v>20140.886718999998</v>
          </cell>
        </row>
        <row r="492">
          <cell r="A492">
            <v>11058</v>
          </cell>
          <cell r="B492">
            <v>81957.134032999995</v>
          </cell>
          <cell r="C492">
            <v>14411.744140999999</v>
          </cell>
          <cell r="D492">
            <v>23035.083984000001</v>
          </cell>
        </row>
        <row r="493">
          <cell r="A493">
            <v>11095</v>
          </cell>
          <cell r="B493">
            <v>48597.989867999997</v>
          </cell>
          <cell r="C493">
            <v>11598.720703000001</v>
          </cell>
          <cell r="D493">
            <v>14191.337890999999</v>
          </cell>
        </row>
        <row r="494">
          <cell r="A494">
            <v>11097</v>
          </cell>
          <cell r="B494">
            <v>30377.574951000002</v>
          </cell>
          <cell r="C494">
            <v>6941.7377930000002</v>
          </cell>
          <cell r="D494">
            <v>9390.0566409999992</v>
          </cell>
        </row>
        <row r="495">
          <cell r="A495">
            <v>11100</v>
          </cell>
          <cell r="B495">
            <v>29674.674072000005</v>
          </cell>
          <cell r="C495">
            <v>7877.6342770000001</v>
          </cell>
          <cell r="D495">
            <v>7475.0463870000003</v>
          </cell>
        </row>
        <row r="496">
          <cell r="A496">
            <v>11101</v>
          </cell>
          <cell r="B496">
            <v>68947.416259000005</v>
          </cell>
          <cell r="C496">
            <v>14573.889648</v>
          </cell>
          <cell r="D496">
            <v>18900.074218999998</v>
          </cell>
        </row>
        <row r="497">
          <cell r="A497">
            <v>11102</v>
          </cell>
          <cell r="B497">
            <v>68262.208008000001</v>
          </cell>
          <cell r="C497">
            <v>17178.513672000001</v>
          </cell>
          <cell r="D497">
            <v>17090.572265999999</v>
          </cell>
        </row>
        <row r="498">
          <cell r="A498">
            <v>11103</v>
          </cell>
          <cell r="B498">
            <v>70297.652344999995</v>
          </cell>
          <cell r="C498">
            <v>14745.679688</v>
          </cell>
          <cell r="D498">
            <v>19357.279297000001</v>
          </cell>
        </row>
        <row r="499">
          <cell r="A499">
            <v>11106</v>
          </cell>
          <cell r="B499">
            <v>61263.683593000002</v>
          </cell>
          <cell r="C499">
            <v>16006.320312</v>
          </cell>
          <cell r="D499">
            <v>13876.410156</v>
          </cell>
        </row>
        <row r="500">
          <cell r="A500">
            <v>11107</v>
          </cell>
          <cell r="B500">
            <v>40157.910155999998</v>
          </cell>
          <cell r="C500">
            <v>12770.491211</v>
          </cell>
          <cell r="D500">
            <v>7529.5283200000003</v>
          </cell>
        </row>
        <row r="501">
          <cell r="A501">
            <v>11109</v>
          </cell>
          <cell r="B501">
            <v>72477.599122</v>
          </cell>
          <cell r="C501">
            <v>19013.25</v>
          </cell>
          <cell r="D501">
            <v>15909.641602</v>
          </cell>
        </row>
        <row r="502">
          <cell r="A502">
            <v>11110</v>
          </cell>
          <cell r="B502">
            <v>54584.378418</v>
          </cell>
          <cell r="C502">
            <v>14783.674805000001</v>
          </cell>
          <cell r="D502">
            <v>12702.263671999999</v>
          </cell>
        </row>
        <row r="503">
          <cell r="A503">
            <v>11112</v>
          </cell>
          <cell r="B503">
            <v>46216.018312</v>
          </cell>
          <cell r="C503">
            <v>7033.4941410000001</v>
          </cell>
          <cell r="D503">
            <v>17137.078125</v>
          </cell>
        </row>
        <row r="504">
          <cell r="A504">
            <v>11113</v>
          </cell>
          <cell r="B504">
            <v>59922.313475999996</v>
          </cell>
          <cell r="C504">
            <v>9687.3583980000003</v>
          </cell>
          <cell r="D504">
            <v>20184.587890999999</v>
          </cell>
        </row>
        <row r="505">
          <cell r="A505">
            <v>11120</v>
          </cell>
          <cell r="B505">
            <v>57768.855712999997</v>
          </cell>
          <cell r="C505">
            <v>8693.3359380000002</v>
          </cell>
          <cell r="D505">
            <v>19443.099609000001</v>
          </cell>
        </row>
        <row r="506">
          <cell r="A506">
            <v>11123</v>
          </cell>
          <cell r="B506">
            <v>54889.263184000003</v>
          </cell>
          <cell r="C506">
            <v>15009.778319999999</v>
          </cell>
          <cell r="D506">
            <v>11403.620117</v>
          </cell>
        </row>
        <row r="507">
          <cell r="A507">
            <v>11124</v>
          </cell>
          <cell r="B507">
            <v>53542.108643000007</v>
          </cell>
          <cell r="C507">
            <v>8872.7929690000001</v>
          </cell>
          <cell r="D507">
            <v>17693.544922000001</v>
          </cell>
        </row>
        <row r="508">
          <cell r="A508">
            <v>11125</v>
          </cell>
          <cell r="B508">
            <v>1985.8908690000001</v>
          </cell>
          <cell r="C508">
            <v>0</v>
          </cell>
          <cell r="D508">
            <v>1985.8908690000001</v>
          </cell>
        </row>
        <row r="509">
          <cell r="A509">
            <v>11245</v>
          </cell>
          <cell r="B509">
            <v>55042.769044000001</v>
          </cell>
          <cell r="C509">
            <v>8390.3554690000001</v>
          </cell>
          <cell r="D509">
            <v>16510.029297000001</v>
          </cell>
        </row>
        <row r="510">
          <cell r="A510">
            <v>11263</v>
          </cell>
          <cell r="B510">
            <v>93544.090821000005</v>
          </cell>
          <cell r="C510">
            <v>22750.673827999999</v>
          </cell>
          <cell r="D510">
            <v>21119.693359000001</v>
          </cell>
        </row>
        <row r="511">
          <cell r="A511">
            <v>11266</v>
          </cell>
          <cell r="B511">
            <v>112818.246094</v>
          </cell>
          <cell r="C511">
            <v>25919.021484000001</v>
          </cell>
          <cell r="D511">
            <v>24171.101562</v>
          </cell>
        </row>
        <row r="512">
          <cell r="A512">
            <v>11268</v>
          </cell>
          <cell r="B512">
            <v>115377.34496999999</v>
          </cell>
          <cell r="C512">
            <v>19859.449218999998</v>
          </cell>
          <cell r="D512">
            <v>32211.630859000001</v>
          </cell>
        </row>
        <row r="513">
          <cell r="A513">
            <v>11271</v>
          </cell>
          <cell r="B513">
            <v>109588.44433599999</v>
          </cell>
          <cell r="C513">
            <v>19042.371093999998</v>
          </cell>
          <cell r="D513">
            <v>30557.748047000001</v>
          </cell>
        </row>
        <row r="514">
          <cell r="A514">
            <v>11275</v>
          </cell>
          <cell r="B514">
            <v>32123.406981999997</v>
          </cell>
          <cell r="C514">
            <v>7639.236328</v>
          </cell>
          <cell r="D514">
            <v>7623.7744140000004</v>
          </cell>
        </row>
        <row r="515">
          <cell r="A515">
            <v>11278</v>
          </cell>
          <cell r="B515">
            <v>83740.163331000003</v>
          </cell>
          <cell r="C515">
            <v>12936.449219</v>
          </cell>
          <cell r="D515">
            <v>24746.496093999998</v>
          </cell>
        </row>
        <row r="516">
          <cell r="A516">
            <v>11280</v>
          </cell>
          <cell r="B516">
            <v>68973.774902999998</v>
          </cell>
          <cell r="C516">
            <v>18306.150390999999</v>
          </cell>
          <cell r="D516">
            <v>13810.814453000001</v>
          </cell>
        </row>
        <row r="517">
          <cell r="A517">
            <v>11282</v>
          </cell>
          <cell r="B517">
            <v>84785.055664999993</v>
          </cell>
          <cell r="C517">
            <v>21540.402343999998</v>
          </cell>
          <cell r="D517">
            <v>17259.384765999999</v>
          </cell>
        </row>
        <row r="518">
          <cell r="A518">
            <v>11284</v>
          </cell>
          <cell r="B518">
            <v>29189.227661000001</v>
          </cell>
          <cell r="C518">
            <v>6354.21875</v>
          </cell>
          <cell r="D518">
            <v>8346.3701170000004</v>
          </cell>
        </row>
        <row r="519">
          <cell r="A519">
            <v>11285</v>
          </cell>
          <cell r="B519">
            <v>24059.237304000002</v>
          </cell>
          <cell r="C519">
            <v>5499.3154299999997</v>
          </cell>
          <cell r="D519">
            <v>6708.1098629999997</v>
          </cell>
        </row>
        <row r="520">
          <cell r="A520">
            <v>11287</v>
          </cell>
          <cell r="B520">
            <v>52329.284546000003</v>
          </cell>
          <cell r="C520">
            <v>7985.4418949999999</v>
          </cell>
          <cell r="D520">
            <v>15660.980469</v>
          </cell>
        </row>
        <row r="521">
          <cell r="A521">
            <v>11288</v>
          </cell>
          <cell r="B521">
            <v>59592.463256999996</v>
          </cell>
          <cell r="C521">
            <v>9096.890625</v>
          </cell>
          <cell r="D521">
            <v>17927.300781000002</v>
          </cell>
        </row>
        <row r="522">
          <cell r="A522">
            <v>11289</v>
          </cell>
          <cell r="B522">
            <v>106890.3125</v>
          </cell>
          <cell r="C522">
            <v>24904.076172000001</v>
          </cell>
          <cell r="D522">
            <v>22829.388672000001</v>
          </cell>
        </row>
        <row r="523">
          <cell r="A523">
            <v>11290</v>
          </cell>
          <cell r="B523">
            <v>58213.771727999992</v>
          </cell>
          <cell r="C523">
            <v>14851.255859000001</v>
          </cell>
          <cell r="D523">
            <v>11659.515625</v>
          </cell>
        </row>
        <row r="524">
          <cell r="A524">
            <v>11291</v>
          </cell>
          <cell r="B524">
            <v>37996.839598999999</v>
          </cell>
          <cell r="C524">
            <v>9309.5507809999999</v>
          </cell>
          <cell r="D524">
            <v>8672.8232420000004</v>
          </cell>
        </row>
        <row r="525">
          <cell r="A525">
            <v>11293</v>
          </cell>
          <cell r="B525">
            <v>86055.356690000001</v>
          </cell>
          <cell r="C525">
            <v>18983.015625</v>
          </cell>
          <cell r="D525">
            <v>20763.099609000001</v>
          </cell>
        </row>
        <row r="526">
          <cell r="A526">
            <v>11294</v>
          </cell>
          <cell r="B526">
            <v>80126.821533000009</v>
          </cell>
          <cell r="C526">
            <v>16418.175781000002</v>
          </cell>
          <cell r="D526">
            <v>20634.964843999998</v>
          </cell>
        </row>
        <row r="527">
          <cell r="A527">
            <v>11296</v>
          </cell>
          <cell r="B527">
            <v>98270.107910000006</v>
          </cell>
          <cell r="C527">
            <v>21236.132812</v>
          </cell>
          <cell r="D527">
            <v>23732.277343999998</v>
          </cell>
        </row>
        <row r="528">
          <cell r="A528">
            <v>11297</v>
          </cell>
          <cell r="B528">
            <v>91707.798340999987</v>
          </cell>
          <cell r="C528">
            <v>18637.072265999999</v>
          </cell>
          <cell r="D528">
            <v>23503.652343999998</v>
          </cell>
        </row>
        <row r="529">
          <cell r="A529">
            <v>11311</v>
          </cell>
          <cell r="B529">
            <v>36807.967895000002</v>
          </cell>
          <cell r="C529">
            <v>6277.1025390000004</v>
          </cell>
          <cell r="D529">
            <v>10175.048828000001</v>
          </cell>
        </row>
        <row r="530">
          <cell r="A530">
            <v>11312</v>
          </cell>
          <cell r="B530">
            <v>35687.241821000003</v>
          </cell>
          <cell r="C530">
            <v>6014.0834960000002</v>
          </cell>
          <cell r="D530">
            <v>9911.4345699999994</v>
          </cell>
        </row>
        <row r="531">
          <cell r="A531">
            <v>11326</v>
          </cell>
          <cell r="B531">
            <v>52826.163086</v>
          </cell>
          <cell r="C531">
            <v>11868.574219</v>
          </cell>
          <cell r="D531">
            <v>13999.235352</v>
          </cell>
        </row>
        <row r="532">
          <cell r="A532">
            <v>11327</v>
          </cell>
          <cell r="B532">
            <v>75592.974121000007</v>
          </cell>
          <cell r="C532">
            <v>15831.673828000001</v>
          </cell>
          <cell r="D532">
            <v>19397.427734000001</v>
          </cell>
        </row>
        <row r="533">
          <cell r="A533">
            <v>11329</v>
          </cell>
          <cell r="B533">
            <v>70309.541259999998</v>
          </cell>
          <cell r="C533">
            <v>14746.330078000001</v>
          </cell>
          <cell r="D533">
            <v>18245.25</v>
          </cell>
        </row>
        <row r="534">
          <cell r="A534">
            <v>11370</v>
          </cell>
          <cell r="B534">
            <v>30377.574951000002</v>
          </cell>
          <cell r="C534">
            <v>6941.7377930000002</v>
          </cell>
          <cell r="D534">
            <v>9390.0566409999992</v>
          </cell>
        </row>
        <row r="535">
          <cell r="A535">
            <v>11371</v>
          </cell>
          <cell r="B535">
            <v>66244.214842999994</v>
          </cell>
          <cell r="C535">
            <v>19373.535156000002</v>
          </cell>
          <cell r="D535">
            <v>13229.370117</v>
          </cell>
        </row>
        <row r="536">
          <cell r="A536">
            <v>11379</v>
          </cell>
          <cell r="B536">
            <v>28646.955994000004</v>
          </cell>
          <cell r="C536">
            <v>5354.7338870000003</v>
          </cell>
          <cell r="D536">
            <v>8538.0449219999991</v>
          </cell>
        </row>
        <row r="537">
          <cell r="A537">
            <v>11382</v>
          </cell>
          <cell r="B537">
            <v>37115.869628</v>
          </cell>
          <cell r="C537">
            <v>10164.479492</v>
          </cell>
          <cell r="D537">
            <v>8477.9013670000004</v>
          </cell>
        </row>
        <row r="538">
          <cell r="A538">
            <v>11481</v>
          </cell>
          <cell r="B538">
            <v>64551.978757999997</v>
          </cell>
          <cell r="C538">
            <v>9440.6025389999995</v>
          </cell>
          <cell r="D538">
            <v>20151.021484000001</v>
          </cell>
        </row>
        <row r="539">
          <cell r="A539">
            <v>11483</v>
          </cell>
          <cell r="B539">
            <v>72327.478027999998</v>
          </cell>
          <cell r="C539">
            <v>10480.032227</v>
          </cell>
          <cell r="D539">
            <v>23833.796875</v>
          </cell>
        </row>
        <row r="540">
          <cell r="A540">
            <v>12007</v>
          </cell>
          <cell r="B540">
            <v>70536.924316000004</v>
          </cell>
          <cell r="C540">
            <v>16515.789062</v>
          </cell>
          <cell r="D540">
            <v>17324.595702999999</v>
          </cell>
        </row>
        <row r="541">
          <cell r="A541">
            <v>12009</v>
          </cell>
          <cell r="B541">
            <v>72450.113770000011</v>
          </cell>
          <cell r="C541">
            <v>16000.425781</v>
          </cell>
          <cell r="D541">
            <v>21101.384765999999</v>
          </cell>
        </row>
        <row r="542">
          <cell r="A542">
            <v>12010</v>
          </cell>
          <cell r="B542">
            <v>77742.973633000001</v>
          </cell>
          <cell r="C542">
            <v>17543.939452999999</v>
          </cell>
          <cell r="D542">
            <v>18711.841797000001</v>
          </cell>
        </row>
        <row r="543">
          <cell r="A543">
            <v>12065</v>
          </cell>
          <cell r="B543">
            <v>27327.619750000002</v>
          </cell>
          <cell r="C543">
            <v>4899.388672</v>
          </cell>
          <cell r="D543">
            <v>7908.3774409999996</v>
          </cell>
        </row>
        <row r="544">
          <cell r="A544">
            <v>12193</v>
          </cell>
          <cell r="B544">
            <v>10309.898341</v>
          </cell>
          <cell r="C544">
            <v>4466.4716799999997</v>
          </cell>
          <cell r="D544">
            <v>1132.622803</v>
          </cell>
        </row>
        <row r="545">
          <cell r="A545">
            <v>12238</v>
          </cell>
          <cell r="B545">
            <v>94625.680664</v>
          </cell>
          <cell r="C545">
            <v>20056.074218999998</v>
          </cell>
          <cell r="D545">
            <v>19654.570312</v>
          </cell>
        </row>
        <row r="546">
          <cell r="A546">
            <v>12239</v>
          </cell>
          <cell r="B546">
            <v>96909.632813000004</v>
          </cell>
          <cell r="C546">
            <v>17843.978515999999</v>
          </cell>
          <cell r="D546">
            <v>25367.148438</v>
          </cell>
        </row>
        <row r="547">
          <cell r="A547">
            <v>12241</v>
          </cell>
          <cell r="B547">
            <v>91075.8125</v>
          </cell>
          <cell r="C547">
            <v>19530.878906000002</v>
          </cell>
          <cell r="D547">
            <v>18670.767577999999</v>
          </cell>
        </row>
        <row r="548">
          <cell r="A548">
            <v>12242</v>
          </cell>
          <cell r="B548">
            <v>94547.620117999992</v>
          </cell>
          <cell r="C548">
            <v>17322.166015999999</v>
          </cell>
          <cell r="D548">
            <v>24837.267577999999</v>
          </cell>
        </row>
        <row r="549">
          <cell r="A549">
            <v>12245</v>
          </cell>
          <cell r="B549">
            <v>102974.18408199999</v>
          </cell>
          <cell r="C549">
            <v>18384.480468999998</v>
          </cell>
          <cell r="D549">
            <v>27485.919922000001</v>
          </cell>
        </row>
        <row r="550">
          <cell r="A550">
            <v>12247</v>
          </cell>
          <cell r="B550">
            <v>97054.380858999997</v>
          </cell>
          <cell r="C550">
            <v>20823.876952999999</v>
          </cell>
          <cell r="D550">
            <v>19640.533202999999</v>
          </cell>
        </row>
        <row r="551">
          <cell r="A551">
            <v>12253</v>
          </cell>
          <cell r="B551">
            <v>100722.992186</v>
          </cell>
          <cell r="C551">
            <v>18003.660156000002</v>
          </cell>
          <cell r="D551">
            <v>26965.445312</v>
          </cell>
        </row>
        <row r="552">
          <cell r="A552">
            <v>12267</v>
          </cell>
          <cell r="B552">
            <v>75866.817871000007</v>
          </cell>
          <cell r="C552">
            <v>15284.499023</v>
          </cell>
          <cell r="D552">
            <v>18465.181640999999</v>
          </cell>
        </row>
        <row r="553">
          <cell r="A553">
            <v>12268</v>
          </cell>
          <cell r="B553">
            <v>59105.393311</v>
          </cell>
          <cell r="C553">
            <v>12334.335938</v>
          </cell>
          <cell r="D553">
            <v>14461.248046999999</v>
          </cell>
        </row>
        <row r="554">
          <cell r="A554">
            <v>12270</v>
          </cell>
          <cell r="B554">
            <v>78630.277344000002</v>
          </cell>
          <cell r="C554">
            <v>15366.870117</v>
          </cell>
          <cell r="D554">
            <v>17113.328125</v>
          </cell>
        </row>
        <row r="555">
          <cell r="A555">
            <v>12547</v>
          </cell>
          <cell r="B555">
            <v>56855.946776999997</v>
          </cell>
          <cell r="C555">
            <v>12685.331055000001</v>
          </cell>
          <cell r="D555">
            <v>12113.695312</v>
          </cell>
        </row>
        <row r="556">
          <cell r="A556">
            <v>12571</v>
          </cell>
          <cell r="B556">
            <v>64289.620848999999</v>
          </cell>
          <cell r="C556">
            <v>14209.038086</v>
          </cell>
          <cell r="D556">
            <v>14225.608398</v>
          </cell>
        </row>
        <row r="557">
          <cell r="A557">
            <v>12572</v>
          </cell>
          <cell r="B557">
            <v>64289.620848999999</v>
          </cell>
          <cell r="C557">
            <v>14209.038086</v>
          </cell>
          <cell r="D557">
            <v>14225.608398</v>
          </cell>
        </row>
        <row r="558">
          <cell r="A558">
            <v>12573</v>
          </cell>
          <cell r="B558">
            <v>63573.535155999998</v>
          </cell>
          <cell r="C558">
            <v>10878.098633</v>
          </cell>
          <cell r="D558">
            <v>16805.021484000001</v>
          </cell>
        </row>
        <row r="559">
          <cell r="A559">
            <v>12574</v>
          </cell>
          <cell r="B559">
            <v>63573.535155999998</v>
          </cell>
          <cell r="C559">
            <v>10878.098633</v>
          </cell>
          <cell r="D559">
            <v>16805.021484000001</v>
          </cell>
        </row>
        <row r="560">
          <cell r="A560">
            <v>12578</v>
          </cell>
          <cell r="B560">
            <v>50143.667969000002</v>
          </cell>
          <cell r="C560">
            <v>11617.752930000001</v>
          </cell>
          <cell r="D560">
            <v>11507.895508</v>
          </cell>
        </row>
        <row r="561">
          <cell r="A561">
            <v>12579</v>
          </cell>
          <cell r="B561">
            <v>55336.939940999997</v>
          </cell>
          <cell r="C561">
            <v>12633.308594</v>
          </cell>
          <cell r="D561">
            <v>12686.825194999999</v>
          </cell>
        </row>
        <row r="562">
          <cell r="A562">
            <v>12582</v>
          </cell>
          <cell r="B562">
            <v>98463.736327000006</v>
          </cell>
          <cell r="C562">
            <v>23230.130859000001</v>
          </cell>
          <cell r="D562">
            <v>18480.890625</v>
          </cell>
        </row>
        <row r="563">
          <cell r="A563">
            <v>12583</v>
          </cell>
          <cell r="B563">
            <v>92882.272950000013</v>
          </cell>
          <cell r="C563">
            <v>22251.259765999999</v>
          </cell>
          <cell r="D563">
            <v>17223.634765999999</v>
          </cell>
        </row>
        <row r="564">
          <cell r="A564">
            <v>12584</v>
          </cell>
          <cell r="B564">
            <v>93827.263182999988</v>
          </cell>
          <cell r="C564">
            <v>14679.879883</v>
          </cell>
          <cell r="D564">
            <v>27545.283202999999</v>
          </cell>
        </row>
        <row r="565">
          <cell r="A565">
            <v>12585</v>
          </cell>
          <cell r="B565">
            <v>102189.707518</v>
          </cell>
          <cell r="C565">
            <v>16192.010742</v>
          </cell>
          <cell r="D565">
            <v>29846.333984000001</v>
          </cell>
        </row>
        <row r="566">
          <cell r="A566">
            <v>12586</v>
          </cell>
          <cell r="B566">
            <v>99561.201172000001</v>
          </cell>
          <cell r="C566">
            <v>23332.591797000001</v>
          </cell>
          <cell r="D566">
            <v>18752.53125</v>
          </cell>
        </row>
        <row r="567">
          <cell r="A567">
            <v>12589</v>
          </cell>
          <cell r="B567">
            <v>96212.436522999997</v>
          </cell>
          <cell r="C567">
            <v>22549.060547000001</v>
          </cell>
          <cell r="D567">
            <v>18015.130859000001</v>
          </cell>
        </row>
        <row r="568">
          <cell r="A568">
            <v>12591</v>
          </cell>
          <cell r="B568">
            <v>101315.645019</v>
          </cell>
          <cell r="C568">
            <v>16100.813477</v>
          </cell>
          <cell r="D568">
            <v>29602.607422000001</v>
          </cell>
        </row>
        <row r="569">
          <cell r="A569">
            <v>12592</v>
          </cell>
          <cell r="B569">
            <v>95558.247558999996</v>
          </cell>
          <cell r="C569">
            <v>14813.873046999999</v>
          </cell>
          <cell r="D569">
            <v>27735.917968999998</v>
          </cell>
        </row>
        <row r="570">
          <cell r="A570">
            <v>12593</v>
          </cell>
          <cell r="B570">
            <v>100002.846192</v>
          </cell>
          <cell r="C570">
            <v>15797.801758</v>
          </cell>
          <cell r="D570">
            <v>29019.921875</v>
          </cell>
        </row>
        <row r="571">
          <cell r="A571">
            <v>12749</v>
          </cell>
          <cell r="B571">
            <v>94714.805664</v>
          </cell>
          <cell r="C571">
            <v>16685.503906000002</v>
          </cell>
          <cell r="D571">
            <v>26809.587890999999</v>
          </cell>
        </row>
        <row r="572">
          <cell r="A572">
            <v>12750</v>
          </cell>
          <cell r="B572">
            <v>59986.001464999994</v>
          </cell>
          <cell r="C572">
            <v>11551.797852</v>
          </cell>
          <cell r="D572">
            <v>13022.711914</v>
          </cell>
        </row>
        <row r="573">
          <cell r="A573">
            <v>12753</v>
          </cell>
          <cell r="B573">
            <v>59330.226561999996</v>
          </cell>
          <cell r="C573">
            <v>11453.200194999999</v>
          </cell>
          <cell r="D573">
            <v>12721.300781</v>
          </cell>
        </row>
        <row r="574">
          <cell r="A574">
            <v>12758</v>
          </cell>
          <cell r="B574">
            <v>59286.931641000003</v>
          </cell>
          <cell r="C574">
            <v>11434.401367</v>
          </cell>
          <cell r="D574">
            <v>12716.701171999999</v>
          </cell>
        </row>
        <row r="575">
          <cell r="A575">
            <v>12759</v>
          </cell>
          <cell r="B575">
            <v>57944.099853</v>
          </cell>
          <cell r="C575">
            <v>12632.448242</v>
          </cell>
          <cell r="D575">
            <v>13906.3125</v>
          </cell>
        </row>
        <row r="576">
          <cell r="A576">
            <v>12761</v>
          </cell>
          <cell r="B576">
            <v>57994.660400000001</v>
          </cell>
          <cell r="C576">
            <v>12637.748046999999</v>
          </cell>
          <cell r="D576">
            <v>13924.809569999999</v>
          </cell>
        </row>
        <row r="577">
          <cell r="A577">
            <v>12767</v>
          </cell>
          <cell r="B577">
            <v>67661.430053999997</v>
          </cell>
          <cell r="C577">
            <v>14524.577148</v>
          </cell>
          <cell r="D577">
            <v>17537.328125</v>
          </cell>
        </row>
        <row r="578">
          <cell r="A578">
            <v>12768</v>
          </cell>
          <cell r="B578">
            <v>68332.135252000007</v>
          </cell>
          <cell r="C578">
            <v>12941.224609000001</v>
          </cell>
          <cell r="D578">
            <v>14852.045898</v>
          </cell>
        </row>
        <row r="579">
          <cell r="A579">
            <v>12823</v>
          </cell>
          <cell r="B579">
            <v>42594.265380000004</v>
          </cell>
          <cell r="C579">
            <v>10891.842773</v>
          </cell>
          <cell r="D579">
            <v>9939.8212889999995</v>
          </cell>
        </row>
        <row r="580">
          <cell r="A580">
            <v>12830</v>
          </cell>
          <cell r="B580">
            <v>37321.340330999999</v>
          </cell>
          <cell r="C580">
            <v>9759.0644530000009</v>
          </cell>
          <cell r="D580">
            <v>8341.484375</v>
          </cell>
        </row>
        <row r="581">
          <cell r="A581">
            <v>12833</v>
          </cell>
          <cell r="B581">
            <v>50684.825561999998</v>
          </cell>
          <cell r="C581">
            <v>7991.2041019999997</v>
          </cell>
          <cell r="D581">
            <v>13138.708984000001</v>
          </cell>
        </row>
        <row r="582">
          <cell r="A582">
            <v>12834</v>
          </cell>
          <cell r="B582">
            <v>47183.153808999996</v>
          </cell>
          <cell r="C582">
            <v>12050.674805000001</v>
          </cell>
          <cell r="D582">
            <v>10890.09375</v>
          </cell>
        </row>
        <row r="583">
          <cell r="A583">
            <v>12836</v>
          </cell>
          <cell r="B583">
            <v>37048.966187000005</v>
          </cell>
          <cell r="C583">
            <v>6104.8212890000004</v>
          </cell>
          <cell r="D583">
            <v>9007.8154300000006</v>
          </cell>
        </row>
        <row r="584">
          <cell r="A584">
            <v>12837</v>
          </cell>
          <cell r="B584">
            <v>92878.752928999995</v>
          </cell>
          <cell r="C584">
            <v>19054.685547000001</v>
          </cell>
          <cell r="D584">
            <v>22530.097656000002</v>
          </cell>
        </row>
        <row r="585">
          <cell r="A585">
            <v>12838</v>
          </cell>
          <cell r="B585">
            <v>95406.507812000011</v>
          </cell>
          <cell r="C585">
            <v>18074.189452999999</v>
          </cell>
          <cell r="D585">
            <v>22969.519531000002</v>
          </cell>
        </row>
        <row r="586">
          <cell r="A586">
            <v>12841</v>
          </cell>
          <cell r="B586">
            <v>41508.326173000001</v>
          </cell>
          <cell r="C586">
            <v>6657.2929690000001</v>
          </cell>
          <cell r="D586">
            <v>10515.212890999999</v>
          </cell>
        </row>
        <row r="587">
          <cell r="A587">
            <v>12929</v>
          </cell>
          <cell r="B587">
            <v>101768.646485</v>
          </cell>
          <cell r="C587">
            <v>17545.470702999999</v>
          </cell>
          <cell r="D587">
            <v>29044.328125</v>
          </cell>
        </row>
        <row r="588">
          <cell r="A588">
            <v>12932</v>
          </cell>
          <cell r="B588">
            <v>113677.74316300001</v>
          </cell>
          <cell r="C588">
            <v>25795.355468999998</v>
          </cell>
          <cell r="D588">
            <v>23927.894531000002</v>
          </cell>
        </row>
        <row r="589">
          <cell r="A589">
            <v>12935</v>
          </cell>
          <cell r="B589">
            <v>107539.45849600001</v>
          </cell>
          <cell r="C589">
            <v>17357.521484000001</v>
          </cell>
          <cell r="D589">
            <v>29328.707031000002</v>
          </cell>
        </row>
        <row r="590">
          <cell r="A590">
            <v>12943</v>
          </cell>
          <cell r="B590">
            <v>107482.219727</v>
          </cell>
          <cell r="C590">
            <v>24823.419922000001</v>
          </cell>
          <cell r="D590">
            <v>22804.449218999998</v>
          </cell>
        </row>
        <row r="591">
          <cell r="A591">
            <v>12944</v>
          </cell>
          <cell r="B591">
            <v>102463.02636799999</v>
          </cell>
          <cell r="C591">
            <v>24061.494140999999</v>
          </cell>
          <cell r="D591">
            <v>21718.832031000002</v>
          </cell>
        </row>
        <row r="592">
          <cell r="A592">
            <v>12945</v>
          </cell>
          <cell r="B592">
            <v>104888.98535100001</v>
          </cell>
          <cell r="C592">
            <v>24644.240234000001</v>
          </cell>
          <cell r="D592">
            <v>21780.533202999999</v>
          </cell>
        </row>
        <row r="593">
          <cell r="A593">
            <v>12946</v>
          </cell>
          <cell r="B593">
            <v>102674.81054599999</v>
          </cell>
          <cell r="C593">
            <v>23820.419922000001</v>
          </cell>
          <cell r="D593">
            <v>21684.171875</v>
          </cell>
        </row>
        <row r="594">
          <cell r="A594">
            <v>12949</v>
          </cell>
          <cell r="B594">
            <v>115601.652831</v>
          </cell>
          <cell r="C594">
            <v>19781.630859000001</v>
          </cell>
          <cell r="D594">
            <v>33448.988280999998</v>
          </cell>
        </row>
        <row r="595">
          <cell r="A595">
            <v>12950</v>
          </cell>
          <cell r="B595">
            <v>122361.115234</v>
          </cell>
          <cell r="C595">
            <v>28362.517577999999</v>
          </cell>
          <cell r="D595">
            <v>25555.226562</v>
          </cell>
        </row>
        <row r="596">
          <cell r="A596">
            <v>12952</v>
          </cell>
          <cell r="B596">
            <v>104296.42773499999</v>
          </cell>
          <cell r="C596">
            <v>24323.759765999999</v>
          </cell>
          <cell r="D596">
            <v>22115.740234000001</v>
          </cell>
        </row>
        <row r="597">
          <cell r="A597">
            <v>12955</v>
          </cell>
          <cell r="B597">
            <v>94714.805664</v>
          </cell>
          <cell r="C597">
            <v>16685.503906000002</v>
          </cell>
          <cell r="D597">
            <v>26809.587890999999</v>
          </cell>
        </row>
        <row r="598">
          <cell r="A598">
            <v>12957</v>
          </cell>
          <cell r="B598">
            <v>99640.453125</v>
          </cell>
          <cell r="C598">
            <v>17665.701172000001</v>
          </cell>
          <cell r="D598">
            <v>29579.943359000001</v>
          </cell>
        </row>
        <row r="599">
          <cell r="A599">
            <v>13034</v>
          </cell>
          <cell r="B599">
            <v>38825.861572000002</v>
          </cell>
          <cell r="C599">
            <v>9487.5</v>
          </cell>
          <cell r="D599">
            <v>9639.2617190000001</v>
          </cell>
        </row>
        <row r="600">
          <cell r="A600">
            <v>13035</v>
          </cell>
          <cell r="B600">
            <v>64972.508055999999</v>
          </cell>
          <cell r="C600">
            <v>13560.695312</v>
          </cell>
          <cell r="D600">
            <v>17803.623047000001</v>
          </cell>
        </row>
        <row r="601">
          <cell r="A601">
            <v>13036</v>
          </cell>
          <cell r="B601">
            <v>57423.339111000001</v>
          </cell>
          <cell r="C601">
            <v>12152.282227</v>
          </cell>
          <cell r="D601">
            <v>15911.983398</v>
          </cell>
        </row>
        <row r="602">
          <cell r="A602">
            <v>13037</v>
          </cell>
          <cell r="B602">
            <v>63557.515380000004</v>
          </cell>
          <cell r="C602">
            <v>13821.153319999999</v>
          </cell>
          <cell r="D602">
            <v>14824.036133</v>
          </cell>
        </row>
        <row r="603">
          <cell r="A603">
            <v>13046</v>
          </cell>
          <cell r="B603">
            <v>52806.280028000001</v>
          </cell>
          <cell r="C603">
            <v>11312.724609000001</v>
          </cell>
          <cell r="D603">
            <v>12374.019531</v>
          </cell>
        </row>
        <row r="604">
          <cell r="A604">
            <v>13051</v>
          </cell>
          <cell r="B604">
            <v>59972.597413000003</v>
          </cell>
          <cell r="C604">
            <v>12613.921875</v>
          </cell>
          <cell r="D604">
            <v>13995.181640999999</v>
          </cell>
        </row>
        <row r="605">
          <cell r="A605">
            <v>13052</v>
          </cell>
          <cell r="B605">
            <v>65073.629884000009</v>
          </cell>
          <cell r="C605">
            <v>13928.250977</v>
          </cell>
          <cell r="D605">
            <v>17999.335938</v>
          </cell>
        </row>
        <row r="606">
          <cell r="A606">
            <v>13053</v>
          </cell>
          <cell r="B606">
            <v>27888.634886999997</v>
          </cell>
          <cell r="C606">
            <v>7205.5004879999997</v>
          </cell>
          <cell r="D606">
            <v>7129.5629879999997</v>
          </cell>
        </row>
        <row r="607">
          <cell r="A607">
            <v>13056</v>
          </cell>
          <cell r="B607">
            <v>53754.617677000002</v>
          </cell>
          <cell r="C607">
            <v>11764.704102</v>
          </cell>
          <cell r="D607">
            <v>14541.053711</v>
          </cell>
        </row>
        <row r="608">
          <cell r="A608">
            <v>13099</v>
          </cell>
          <cell r="B608">
            <v>88369.321777999998</v>
          </cell>
          <cell r="C608">
            <v>17593.75</v>
          </cell>
          <cell r="D608">
            <v>22679.404297000001</v>
          </cell>
        </row>
        <row r="609">
          <cell r="A609">
            <v>13100</v>
          </cell>
          <cell r="B609">
            <v>94113.780763000002</v>
          </cell>
          <cell r="C609">
            <v>20825.554688</v>
          </cell>
          <cell r="D609">
            <v>22651.033202999999</v>
          </cell>
        </row>
        <row r="610">
          <cell r="A610">
            <v>13115</v>
          </cell>
          <cell r="B610">
            <v>39420.285094999999</v>
          </cell>
          <cell r="C610">
            <v>5739.9975590000004</v>
          </cell>
          <cell r="D610">
            <v>12007.851562</v>
          </cell>
        </row>
        <row r="611">
          <cell r="A611">
            <v>13116</v>
          </cell>
          <cell r="B611">
            <v>36140.441284</v>
          </cell>
          <cell r="C611">
            <v>5248.7978519999997</v>
          </cell>
          <cell r="D611">
            <v>10999.694336</v>
          </cell>
        </row>
        <row r="612">
          <cell r="A612">
            <v>13117</v>
          </cell>
          <cell r="B612">
            <v>46885.750975999996</v>
          </cell>
          <cell r="C612">
            <v>11521.599609000001</v>
          </cell>
          <cell r="D612">
            <v>9357.0136719999991</v>
          </cell>
        </row>
        <row r="613">
          <cell r="A613">
            <v>13118</v>
          </cell>
          <cell r="B613">
            <v>40614.454589999994</v>
          </cell>
          <cell r="C613">
            <v>10105.431640999999</v>
          </cell>
          <cell r="D613">
            <v>8165.951172</v>
          </cell>
        </row>
        <row r="614">
          <cell r="A614">
            <v>13123</v>
          </cell>
          <cell r="B614">
            <v>39374.789917000002</v>
          </cell>
          <cell r="C614">
            <v>5876.1826170000004</v>
          </cell>
          <cell r="D614">
            <v>11807.069336</v>
          </cell>
        </row>
        <row r="615">
          <cell r="A615">
            <v>13124</v>
          </cell>
          <cell r="B615">
            <v>42653.839599999992</v>
          </cell>
          <cell r="C615">
            <v>10622.259765999999</v>
          </cell>
          <cell r="D615">
            <v>8775.3291019999997</v>
          </cell>
        </row>
        <row r="616">
          <cell r="A616">
            <v>13128</v>
          </cell>
          <cell r="B616">
            <v>36284.544677999998</v>
          </cell>
          <cell r="C616">
            <v>9357.2109380000002</v>
          </cell>
          <cell r="D616">
            <v>7484.3544920000004</v>
          </cell>
        </row>
        <row r="617">
          <cell r="A617">
            <v>13135</v>
          </cell>
          <cell r="B617">
            <v>39188.494751000006</v>
          </cell>
          <cell r="C617">
            <v>10076.329102</v>
          </cell>
          <cell r="D617">
            <v>8243.4296880000002</v>
          </cell>
        </row>
        <row r="618">
          <cell r="A618">
            <v>13141</v>
          </cell>
          <cell r="B618">
            <v>29196.496095000002</v>
          </cell>
          <cell r="C618">
            <v>7357.3623049999997</v>
          </cell>
          <cell r="D618">
            <v>6298.9892579999996</v>
          </cell>
        </row>
        <row r="619">
          <cell r="A619">
            <v>13149</v>
          </cell>
          <cell r="B619">
            <v>29599.663086</v>
          </cell>
          <cell r="C619">
            <v>7424.9213870000003</v>
          </cell>
          <cell r="D619">
            <v>6400.1777339999999</v>
          </cell>
        </row>
        <row r="620">
          <cell r="A620">
            <v>13153</v>
          </cell>
          <cell r="B620">
            <v>23520.254029000003</v>
          </cell>
          <cell r="C620">
            <v>5695.328125</v>
          </cell>
          <cell r="D620">
            <v>5018.7978519999997</v>
          </cell>
        </row>
        <row r="621">
          <cell r="A621">
            <v>13263</v>
          </cell>
          <cell r="B621">
            <v>65350.618164000007</v>
          </cell>
          <cell r="C621">
            <v>14722.316406</v>
          </cell>
          <cell r="D621">
            <v>15481.395508</v>
          </cell>
        </row>
        <row r="622">
          <cell r="A622">
            <v>13273</v>
          </cell>
          <cell r="B622">
            <v>86057.715821000005</v>
          </cell>
          <cell r="C622">
            <v>20730.048827999999</v>
          </cell>
          <cell r="D622">
            <v>16280.399414</v>
          </cell>
        </row>
        <row r="623">
          <cell r="A623">
            <v>13274</v>
          </cell>
          <cell r="B623">
            <v>93996.571289</v>
          </cell>
          <cell r="C623">
            <v>22453.443359000001</v>
          </cell>
          <cell r="D623">
            <v>17840.519531000002</v>
          </cell>
        </row>
        <row r="624">
          <cell r="A624">
            <v>13275</v>
          </cell>
          <cell r="B624">
            <v>93280.563964999994</v>
          </cell>
          <cell r="C624">
            <v>15272.649414</v>
          </cell>
          <cell r="D624">
            <v>27713.517577999999</v>
          </cell>
        </row>
        <row r="625">
          <cell r="A625">
            <v>13277</v>
          </cell>
          <cell r="B625">
            <v>84636.968261999995</v>
          </cell>
          <cell r="C625">
            <v>14139.898438</v>
          </cell>
          <cell r="D625">
            <v>25315.132812</v>
          </cell>
        </row>
        <row r="626">
          <cell r="A626">
            <v>13279</v>
          </cell>
          <cell r="B626">
            <v>95912.235840000008</v>
          </cell>
          <cell r="C626">
            <v>16198.105469</v>
          </cell>
          <cell r="D626">
            <v>27984.470702999999</v>
          </cell>
        </row>
        <row r="627">
          <cell r="A627">
            <v>13281</v>
          </cell>
          <cell r="B627">
            <v>92815.700194999998</v>
          </cell>
          <cell r="C627">
            <v>21556.613281000002</v>
          </cell>
          <cell r="D627">
            <v>17845.003906000002</v>
          </cell>
        </row>
        <row r="628">
          <cell r="A628">
            <v>13282</v>
          </cell>
          <cell r="B628">
            <v>95590.143555999995</v>
          </cell>
          <cell r="C628">
            <v>22422.867188</v>
          </cell>
          <cell r="D628">
            <v>19295.306640999999</v>
          </cell>
        </row>
        <row r="629">
          <cell r="A629">
            <v>13438</v>
          </cell>
          <cell r="B629">
            <v>52177.149414</v>
          </cell>
          <cell r="C629">
            <v>9407.6162110000005</v>
          </cell>
          <cell r="D629">
            <v>13124.444336</v>
          </cell>
        </row>
        <row r="630">
          <cell r="A630">
            <v>13527</v>
          </cell>
          <cell r="B630">
            <v>109676.666992</v>
          </cell>
          <cell r="C630">
            <v>17630.037109000001</v>
          </cell>
          <cell r="D630">
            <v>33316.832030999998</v>
          </cell>
        </row>
        <row r="631">
          <cell r="A631">
            <v>13579</v>
          </cell>
          <cell r="B631">
            <v>102997.212403</v>
          </cell>
          <cell r="C631">
            <v>16758.509765999999</v>
          </cell>
          <cell r="D631">
            <v>30674.664062</v>
          </cell>
        </row>
        <row r="632">
          <cell r="A632">
            <v>13580</v>
          </cell>
          <cell r="B632">
            <v>103291.27441399998</v>
          </cell>
          <cell r="C632">
            <v>25313.105468999998</v>
          </cell>
          <cell r="D632">
            <v>19964.664062</v>
          </cell>
        </row>
        <row r="633">
          <cell r="A633">
            <v>13581</v>
          </cell>
          <cell r="B633">
            <v>98914.734375</v>
          </cell>
          <cell r="C633">
            <v>15898.860352</v>
          </cell>
          <cell r="D633">
            <v>29582.496093999998</v>
          </cell>
        </row>
        <row r="634">
          <cell r="A634">
            <v>13582</v>
          </cell>
          <cell r="B634">
            <v>99577.021483999997</v>
          </cell>
          <cell r="C634">
            <v>24745.205077999999</v>
          </cell>
          <cell r="D634">
            <v>19064.914062</v>
          </cell>
        </row>
        <row r="635">
          <cell r="A635">
            <v>13585</v>
          </cell>
          <cell r="B635">
            <v>106264.166017</v>
          </cell>
          <cell r="C635">
            <v>26270.416015999999</v>
          </cell>
          <cell r="D635">
            <v>20606.423827999999</v>
          </cell>
        </row>
        <row r="636">
          <cell r="A636">
            <v>13586</v>
          </cell>
          <cell r="B636">
            <v>106076.684569</v>
          </cell>
          <cell r="C636">
            <v>17162.330077999999</v>
          </cell>
          <cell r="D636">
            <v>31611.265625</v>
          </cell>
        </row>
        <row r="637">
          <cell r="A637">
            <v>13588</v>
          </cell>
          <cell r="B637">
            <v>101788.471191</v>
          </cell>
          <cell r="C637">
            <v>16423.154297000001</v>
          </cell>
          <cell r="D637">
            <v>30507.140625</v>
          </cell>
        </row>
        <row r="638">
          <cell r="A638">
            <v>13589</v>
          </cell>
          <cell r="B638">
            <v>101499.545899</v>
          </cell>
          <cell r="C638">
            <v>25633.527343999998</v>
          </cell>
          <cell r="D638">
            <v>19428.822265999999</v>
          </cell>
        </row>
        <row r="639">
          <cell r="A639">
            <v>13590</v>
          </cell>
          <cell r="B639">
            <v>107139.283203</v>
          </cell>
          <cell r="C639">
            <v>27427.078125</v>
          </cell>
          <cell r="D639">
            <v>20684.109375</v>
          </cell>
        </row>
        <row r="640">
          <cell r="A640">
            <v>13593</v>
          </cell>
          <cell r="B640">
            <v>109816.90332100001</v>
          </cell>
          <cell r="C640">
            <v>17673.271484000001</v>
          </cell>
          <cell r="D640">
            <v>33322.902344000002</v>
          </cell>
        </row>
        <row r="641">
          <cell r="A641">
            <v>13594</v>
          </cell>
          <cell r="B641">
            <v>122521.512694</v>
          </cell>
          <cell r="C641">
            <v>30686.132812</v>
          </cell>
          <cell r="D641">
            <v>23280.683593999998</v>
          </cell>
        </row>
        <row r="642">
          <cell r="A642">
            <v>13595</v>
          </cell>
          <cell r="B642">
            <v>124591.485839</v>
          </cell>
          <cell r="C642">
            <v>19773.238281000002</v>
          </cell>
          <cell r="D642">
            <v>37820.757812000003</v>
          </cell>
        </row>
        <row r="643">
          <cell r="A643">
            <v>13597</v>
          </cell>
          <cell r="B643">
            <v>107730.947267</v>
          </cell>
          <cell r="C643">
            <v>26166.292968999998</v>
          </cell>
          <cell r="D643">
            <v>20878.109375</v>
          </cell>
        </row>
        <row r="644">
          <cell r="A644">
            <v>13598</v>
          </cell>
          <cell r="B644">
            <v>99697.825194999998</v>
          </cell>
          <cell r="C644">
            <v>24022.318359000001</v>
          </cell>
          <cell r="D644">
            <v>18697.166015999999</v>
          </cell>
        </row>
        <row r="645">
          <cell r="A645">
            <v>13599</v>
          </cell>
          <cell r="B645">
            <v>115532.406739</v>
          </cell>
          <cell r="C645">
            <v>18258.955077999999</v>
          </cell>
          <cell r="D645">
            <v>35768.035155999998</v>
          </cell>
        </row>
        <row r="646">
          <cell r="A646">
            <v>13600</v>
          </cell>
          <cell r="B646">
            <v>111052.08642600001</v>
          </cell>
          <cell r="C646">
            <v>17685.429688</v>
          </cell>
          <cell r="D646">
            <v>32117.257812</v>
          </cell>
        </row>
        <row r="647">
          <cell r="A647">
            <v>13637</v>
          </cell>
          <cell r="B647">
            <v>109877.17871199999</v>
          </cell>
          <cell r="C647">
            <v>17295.384765999999</v>
          </cell>
          <cell r="D647">
            <v>32644.353515999999</v>
          </cell>
        </row>
        <row r="648">
          <cell r="A648">
            <v>13639</v>
          </cell>
          <cell r="B648">
            <v>99262.482910000006</v>
          </cell>
          <cell r="C648">
            <v>15938.177734000001</v>
          </cell>
          <cell r="D648">
            <v>29717.554688</v>
          </cell>
        </row>
        <row r="649">
          <cell r="A649">
            <v>13640</v>
          </cell>
          <cell r="B649">
            <v>109334.555177</v>
          </cell>
          <cell r="C649">
            <v>17410.167968999998</v>
          </cell>
          <cell r="D649">
            <v>32120.431640999999</v>
          </cell>
        </row>
        <row r="650">
          <cell r="A650">
            <v>13642</v>
          </cell>
          <cell r="B650">
            <v>115506.758789</v>
          </cell>
          <cell r="C650">
            <v>18546.673827999999</v>
          </cell>
          <cell r="D650">
            <v>33736.074219000002</v>
          </cell>
        </row>
        <row r="651">
          <cell r="A651">
            <v>13646</v>
          </cell>
          <cell r="B651">
            <v>116811.021484</v>
          </cell>
          <cell r="C651">
            <v>28764.388672000001</v>
          </cell>
          <cell r="D651">
            <v>22404.412109000001</v>
          </cell>
        </row>
        <row r="652">
          <cell r="A652">
            <v>13648</v>
          </cell>
          <cell r="B652">
            <v>102612.864747</v>
          </cell>
          <cell r="C652">
            <v>16196.831055000001</v>
          </cell>
          <cell r="D652">
            <v>31013.923827999999</v>
          </cell>
        </row>
        <row r="653">
          <cell r="A653">
            <v>13649</v>
          </cell>
          <cell r="B653">
            <v>107769.430664</v>
          </cell>
          <cell r="C653">
            <v>26643.207031000002</v>
          </cell>
          <cell r="D653">
            <v>20416.167968999998</v>
          </cell>
        </row>
        <row r="654">
          <cell r="A654">
            <v>13652</v>
          </cell>
          <cell r="B654">
            <v>105989.027344</v>
          </cell>
          <cell r="C654">
            <v>26482.472656000002</v>
          </cell>
          <cell r="D654">
            <v>20131.929688</v>
          </cell>
        </row>
        <row r="655">
          <cell r="A655">
            <v>13653</v>
          </cell>
          <cell r="B655">
            <v>114854.942383</v>
          </cell>
          <cell r="C655">
            <v>27883.5</v>
          </cell>
          <cell r="D655">
            <v>21767.917968999998</v>
          </cell>
        </row>
        <row r="656">
          <cell r="A656">
            <v>13658</v>
          </cell>
          <cell r="B656">
            <v>98467.038572999998</v>
          </cell>
          <cell r="C656">
            <v>16157.75</v>
          </cell>
          <cell r="D656">
            <v>31056.007812</v>
          </cell>
        </row>
        <row r="657">
          <cell r="A657">
            <v>13661</v>
          </cell>
          <cell r="B657">
            <v>105776.12890699999</v>
          </cell>
          <cell r="C657">
            <v>27246.892577999999</v>
          </cell>
          <cell r="D657">
            <v>20548.189452999999</v>
          </cell>
        </row>
        <row r="658">
          <cell r="A658">
            <v>13662</v>
          </cell>
          <cell r="B658">
            <v>113713.866211</v>
          </cell>
          <cell r="C658">
            <v>18434.839843999998</v>
          </cell>
          <cell r="D658">
            <v>34559.582030999998</v>
          </cell>
        </row>
        <row r="659">
          <cell r="A659">
            <v>13664</v>
          </cell>
          <cell r="B659">
            <v>120321.925781</v>
          </cell>
          <cell r="C659">
            <v>29651.246093999998</v>
          </cell>
          <cell r="D659">
            <v>23023.044922000001</v>
          </cell>
        </row>
        <row r="660">
          <cell r="A660">
            <v>13672</v>
          </cell>
          <cell r="B660">
            <v>104901.986817</v>
          </cell>
          <cell r="C660">
            <v>17181.804688</v>
          </cell>
          <cell r="D660">
            <v>32506.59375</v>
          </cell>
        </row>
        <row r="661">
          <cell r="A661">
            <v>13673</v>
          </cell>
          <cell r="B661">
            <v>111731.280273</v>
          </cell>
          <cell r="C661">
            <v>27977.533202999999</v>
          </cell>
          <cell r="D661">
            <v>20931.857422000001</v>
          </cell>
        </row>
        <row r="662">
          <cell r="A662">
            <v>13861</v>
          </cell>
          <cell r="B662">
            <v>105390.141602</v>
          </cell>
          <cell r="C662">
            <v>16789.910156000002</v>
          </cell>
          <cell r="D662">
            <v>30935.710938</v>
          </cell>
        </row>
        <row r="663">
          <cell r="A663">
            <v>13869</v>
          </cell>
          <cell r="B663">
            <v>104508.120606</v>
          </cell>
          <cell r="C663">
            <v>16624.234375</v>
          </cell>
          <cell r="D663">
            <v>30474.693359000001</v>
          </cell>
        </row>
        <row r="664">
          <cell r="A664">
            <v>13870</v>
          </cell>
          <cell r="B664">
            <v>107983.348633</v>
          </cell>
          <cell r="C664">
            <v>17101.193359000001</v>
          </cell>
          <cell r="D664">
            <v>31341.732422000001</v>
          </cell>
        </row>
        <row r="665">
          <cell r="A665">
            <v>13974</v>
          </cell>
          <cell r="B665">
            <v>33230.838134999998</v>
          </cell>
          <cell r="C665">
            <v>6631.1313479999999</v>
          </cell>
          <cell r="D665">
            <v>7534.109375</v>
          </cell>
        </row>
        <row r="666">
          <cell r="A666">
            <v>13975</v>
          </cell>
          <cell r="B666">
            <v>27484.833801000001</v>
          </cell>
          <cell r="C666">
            <v>5248.8422849999997</v>
          </cell>
          <cell r="D666">
            <v>6680.2446289999998</v>
          </cell>
        </row>
        <row r="667">
          <cell r="A667">
            <v>13991</v>
          </cell>
          <cell r="B667">
            <v>23825.957947000003</v>
          </cell>
          <cell r="C667">
            <v>4693.2456050000001</v>
          </cell>
          <cell r="D667">
            <v>5303.4736329999996</v>
          </cell>
        </row>
        <row r="668">
          <cell r="A668">
            <v>13992</v>
          </cell>
          <cell r="B668">
            <v>28807.183348999999</v>
          </cell>
          <cell r="C668">
            <v>6135.9155270000001</v>
          </cell>
          <cell r="D668">
            <v>6346.4755859999996</v>
          </cell>
        </row>
        <row r="669">
          <cell r="A669">
            <v>13993</v>
          </cell>
          <cell r="B669">
            <v>28691.362426</v>
          </cell>
          <cell r="C669">
            <v>5309.2329099999997</v>
          </cell>
          <cell r="D669">
            <v>6742.6552730000003</v>
          </cell>
        </row>
        <row r="670">
          <cell r="A670">
            <v>13994</v>
          </cell>
          <cell r="B670">
            <v>35138.218016999999</v>
          </cell>
          <cell r="C670">
            <v>6409.2641599999997</v>
          </cell>
          <cell r="D670">
            <v>8418.0605469999991</v>
          </cell>
        </row>
        <row r="671">
          <cell r="A671">
            <v>14022</v>
          </cell>
          <cell r="B671">
            <v>6891.1660460000003</v>
          </cell>
          <cell r="C671">
            <v>1061.383789</v>
          </cell>
          <cell r="D671">
            <v>1920.259155</v>
          </cell>
        </row>
        <row r="672">
          <cell r="A672">
            <v>14024</v>
          </cell>
          <cell r="B672">
            <v>6891.1660460000003</v>
          </cell>
          <cell r="C672">
            <v>1061.383789</v>
          </cell>
          <cell r="D672">
            <v>1920.259155</v>
          </cell>
        </row>
        <row r="673">
          <cell r="A673">
            <v>14025</v>
          </cell>
          <cell r="B673">
            <v>5249.9406740000004</v>
          </cell>
          <cell r="C673">
            <v>1738.9960940000001</v>
          </cell>
          <cell r="D673">
            <v>1180.147461</v>
          </cell>
        </row>
        <row r="674">
          <cell r="A674">
            <v>14026</v>
          </cell>
          <cell r="B674">
            <v>5249.9406740000004</v>
          </cell>
          <cell r="C674">
            <v>1738.9960940000001</v>
          </cell>
          <cell r="D674">
            <v>1180.147461</v>
          </cell>
        </row>
        <row r="675">
          <cell r="A675">
            <v>14142</v>
          </cell>
          <cell r="B675">
            <v>59101.780274000004</v>
          </cell>
          <cell r="C675">
            <v>16223.854492</v>
          </cell>
          <cell r="D675">
            <v>11792.741211</v>
          </cell>
        </row>
        <row r="676">
          <cell r="A676">
            <v>14143</v>
          </cell>
          <cell r="B676">
            <v>57261.552857000002</v>
          </cell>
          <cell r="C676">
            <v>9383.3076170000004</v>
          </cell>
          <cell r="D676">
            <v>17350.5</v>
          </cell>
        </row>
        <row r="677">
          <cell r="A677">
            <v>14144</v>
          </cell>
          <cell r="B677">
            <v>51366.133301999995</v>
          </cell>
          <cell r="C677">
            <v>14375.500977</v>
          </cell>
          <cell r="D677">
            <v>10434.219727</v>
          </cell>
        </row>
        <row r="678">
          <cell r="A678">
            <v>14151</v>
          </cell>
          <cell r="B678">
            <v>49771.000001000008</v>
          </cell>
          <cell r="C678">
            <v>8215.4628909999992</v>
          </cell>
          <cell r="D678">
            <v>15216.630859000001</v>
          </cell>
        </row>
        <row r="679">
          <cell r="A679">
            <v>14153</v>
          </cell>
          <cell r="B679">
            <v>52088.999147000002</v>
          </cell>
          <cell r="C679">
            <v>8993.2685550000006</v>
          </cell>
          <cell r="D679">
            <v>15781.353515999999</v>
          </cell>
        </row>
        <row r="680">
          <cell r="A680">
            <v>14154</v>
          </cell>
          <cell r="B680">
            <v>53777.092527999994</v>
          </cell>
          <cell r="C680">
            <v>14786.738281</v>
          </cell>
          <cell r="D680">
            <v>11185.122069999999</v>
          </cell>
        </row>
        <row r="681">
          <cell r="A681">
            <v>14155</v>
          </cell>
          <cell r="B681">
            <v>46425.361815999997</v>
          </cell>
          <cell r="C681">
            <v>12824.385742</v>
          </cell>
          <cell r="D681">
            <v>9904.4990230000003</v>
          </cell>
        </row>
        <row r="682">
          <cell r="A682">
            <v>14176</v>
          </cell>
          <cell r="B682">
            <v>54182.286620999999</v>
          </cell>
          <cell r="C682">
            <v>14140.762694999999</v>
          </cell>
          <cell r="D682">
            <v>12125.403319999999</v>
          </cell>
        </row>
        <row r="683">
          <cell r="A683">
            <v>14192</v>
          </cell>
          <cell r="B683">
            <v>1985.8908690000001</v>
          </cell>
          <cell r="C683">
            <v>0</v>
          </cell>
          <cell r="D683">
            <v>1985.8908690000001</v>
          </cell>
        </row>
        <row r="684">
          <cell r="A684">
            <v>14193</v>
          </cell>
          <cell r="B684">
            <v>64972.454834999997</v>
          </cell>
          <cell r="C684">
            <v>10828.248046999999</v>
          </cell>
          <cell r="D684">
            <v>19877.898438</v>
          </cell>
        </row>
        <row r="685">
          <cell r="A685">
            <v>14194</v>
          </cell>
          <cell r="B685">
            <v>2347.6059570000002</v>
          </cell>
          <cell r="C685">
            <v>2347.6059570000002</v>
          </cell>
          <cell r="D685">
            <v>0</v>
          </cell>
        </row>
        <row r="686">
          <cell r="A686">
            <v>14199</v>
          </cell>
          <cell r="B686">
            <v>3320.1020509999998</v>
          </cell>
          <cell r="C686">
            <v>0</v>
          </cell>
          <cell r="D686">
            <v>3320.1020509999998</v>
          </cell>
        </row>
        <row r="687">
          <cell r="A687">
            <v>14202</v>
          </cell>
          <cell r="B687">
            <v>3320.1020509999998</v>
          </cell>
          <cell r="C687">
            <v>0</v>
          </cell>
          <cell r="D687">
            <v>3320.1020509999998</v>
          </cell>
        </row>
        <row r="688">
          <cell r="A688">
            <v>14203</v>
          </cell>
          <cell r="B688">
            <v>2347.6059570000002</v>
          </cell>
          <cell r="C688">
            <v>2347.6059570000002</v>
          </cell>
          <cell r="D688">
            <v>0</v>
          </cell>
        </row>
        <row r="689">
          <cell r="A689">
            <v>14205</v>
          </cell>
          <cell r="B689">
            <v>2192.3159179999998</v>
          </cell>
          <cell r="C689">
            <v>2192.3159179999998</v>
          </cell>
          <cell r="D689">
            <v>0</v>
          </cell>
        </row>
        <row r="690">
          <cell r="A690">
            <v>14211</v>
          </cell>
          <cell r="B690">
            <v>3320.1020509999998</v>
          </cell>
          <cell r="C690">
            <v>0</v>
          </cell>
          <cell r="D690">
            <v>3320.1020509999998</v>
          </cell>
        </row>
        <row r="691">
          <cell r="A691">
            <v>14213</v>
          </cell>
          <cell r="B691">
            <v>64972.454834999997</v>
          </cell>
          <cell r="C691">
            <v>10828.248046999999</v>
          </cell>
          <cell r="D691">
            <v>19877.898438</v>
          </cell>
        </row>
        <row r="692">
          <cell r="A692">
            <v>14232</v>
          </cell>
          <cell r="B692">
            <v>43026.740722999995</v>
          </cell>
          <cell r="C692">
            <v>8436.0419920000004</v>
          </cell>
          <cell r="D692">
            <v>11540.101562</v>
          </cell>
        </row>
        <row r="693">
          <cell r="A693">
            <v>14246</v>
          </cell>
          <cell r="B693">
            <v>118191.672852</v>
          </cell>
          <cell r="C693">
            <v>29021.605468999998</v>
          </cell>
          <cell r="D693">
            <v>23011.384765999999</v>
          </cell>
        </row>
        <row r="694">
          <cell r="A694">
            <v>14247</v>
          </cell>
          <cell r="B694">
            <v>107157.80566500001</v>
          </cell>
          <cell r="C694">
            <v>26802.228515999999</v>
          </cell>
          <cell r="D694">
            <v>20670.119140999999</v>
          </cell>
        </row>
        <row r="695">
          <cell r="A695">
            <v>14248</v>
          </cell>
          <cell r="B695">
            <v>119226.45703200001</v>
          </cell>
          <cell r="C695">
            <v>19107.929688</v>
          </cell>
          <cell r="D695">
            <v>34674.292969000002</v>
          </cell>
        </row>
        <row r="696">
          <cell r="A696">
            <v>14252</v>
          </cell>
          <cell r="B696">
            <v>110949.981933</v>
          </cell>
          <cell r="C696">
            <v>17428.955077999999</v>
          </cell>
          <cell r="D696">
            <v>32495.892577999999</v>
          </cell>
        </row>
        <row r="697">
          <cell r="A697">
            <v>14255</v>
          </cell>
          <cell r="B697">
            <v>97859.224608999997</v>
          </cell>
          <cell r="C697">
            <v>21808.476562</v>
          </cell>
          <cell r="D697">
            <v>19650.345702999999</v>
          </cell>
        </row>
        <row r="698">
          <cell r="A698">
            <v>14256</v>
          </cell>
          <cell r="B698">
            <v>102734.513184</v>
          </cell>
          <cell r="C698">
            <v>16014.115234000001</v>
          </cell>
          <cell r="D698">
            <v>29994.886718999998</v>
          </cell>
        </row>
        <row r="699">
          <cell r="A699">
            <v>14262</v>
          </cell>
          <cell r="B699">
            <v>107996.785644</v>
          </cell>
          <cell r="C699">
            <v>16974.195312</v>
          </cell>
          <cell r="D699">
            <v>31562.857422000001</v>
          </cell>
        </row>
        <row r="700">
          <cell r="A700">
            <v>14263</v>
          </cell>
          <cell r="B700">
            <v>69459.320311999996</v>
          </cell>
          <cell r="C700">
            <v>19596.189452999999</v>
          </cell>
          <cell r="D700">
            <v>13394.523438</v>
          </cell>
        </row>
        <row r="701">
          <cell r="A701">
            <v>14265</v>
          </cell>
          <cell r="B701">
            <v>47745.805907999995</v>
          </cell>
          <cell r="C701">
            <v>7284.3852539999998</v>
          </cell>
          <cell r="D701">
            <v>15294.254883</v>
          </cell>
        </row>
        <row r="702">
          <cell r="A702">
            <v>14269</v>
          </cell>
          <cell r="B702">
            <v>98829.285155999998</v>
          </cell>
          <cell r="C702">
            <v>20569.888672000001</v>
          </cell>
          <cell r="D702">
            <v>24211.787109000001</v>
          </cell>
        </row>
        <row r="703">
          <cell r="A703">
            <v>14271</v>
          </cell>
          <cell r="B703">
            <v>96312.503417999993</v>
          </cell>
          <cell r="C703">
            <v>20482.992188</v>
          </cell>
          <cell r="D703">
            <v>23914.396484000001</v>
          </cell>
        </row>
        <row r="704">
          <cell r="A704">
            <v>14286</v>
          </cell>
          <cell r="B704">
            <v>64043.228514999995</v>
          </cell>
          <cell r="C704">
            <v>16775.169922000001</v>
          </cell>
          <cell r="D704">
            <v>14800.663086</v>
          </cell>
        </row>
        <row r="705">
          <cell r="A705">
            <v>14288</v>
          </cell>
          <cell r="B705">
            <v>90446.629394000003</v>
          </cell>
          <cell r="C705">
            <v>15589.226562</v>
          </cell>
          <cell r="D705">
            <v>27401.541015999999</v>
          </cell>
        </row>
        <row r="706">
          <cell r="A706">
            <v>14289</v>
          </cell>
          <cell r="B706">
            <v>87837.930175999994</v>
          </cell>
          <cell r="C706">
            <v>23114.003906000002</v>
          </cell>
          <cell r="D706">
            <v>19516.800781000002</v>
          </cell>
        </row>
        <row r="707">
          <cell r="A707">
            <v>14290</v>
          </cell>
          <cell r="B707">
            <v>68282.215576000002</v>
          </cell>
          <cell r="C707">
            <v>12425.148438</v>
          </cell>
          <cell r="D707">
            <v>19797.003906000002</v>
          </cell>
        </row>
        <row r="708">
          <cell r="A708">
            <v>14291</v>
          </cell>
          <cell r="B708">
            <v>80208.755126000004</v>
          </cell>
          <cell r="C708">
            <v>16815.263672000001</v>
          </cell>
          <cell r="D708">
            <v>21237.671875</v>
          </cell>
        </row>
        <row r="709">
          <cell r="A709">
            <v>14383</v>
          </cell>
          <cell r="B709">
            <v>141657.884765</v>
          </cell>
          <cell r="C709">
            <v>34775.171875</v>
          </cell>
          <cell r="D709">
            <v>26727.076172000001</v>
          </cell>
        </row>
        <row r="710">
          <cell r="A710">
            <v>14384</v>
          </cell>
          <cell r="B710">
            <v>144656.63037</v>
          </cell>
          <cell r="C710">
            <v>22520.003906000002</v>
          </cell>
          <cell r="D710">
            <v>43489.957030999998</v>
          </cell>
        </row>
        <row r="711">
          <cell r="A711">
            <v>14386</v>
          </cell>
          <cell r="B711">
            <v>130197.726563</v>
          </cell>
          <cell r="C711">
            <v>19745.699218999998</v>
          </cell>
          <cell r="D711">
            <v>39695.21875</v>
          </cell>
        </row>
        <row r="712">
          <cell r="A712">
            <v>14391</v>
          </cell>
          <cell r="B712">
            <v>133660.035156</v>
          </cell>
          <cell r="C712">
            <v>34101.433594000002</v>
          </cell>
          <cell r="D712">
            <v>26668.796875</v>
          </cell>
        </row>
        <row r="713">
          <cell r="A713">
            <v>14392</v>
          </cell>
          <cell r="B713">
            <v>140532.62646500001</v>
          </cell>
          <cell r="C713">
            <v>22043.535156000002</v>
          </cell>
          <cell r="D713">
            <v>42583.085937999997</v>
          </cell>
        </row>
        <row r="714">
          <cell r="A714">
            <v>14397</v>
          </cell>
          <cell r="B714">
            <v>140068.11669900001</v>
          </cell>
          <cell r="C714">
            <v>22464.345702999999</v>
          </cell>
          <cell r="D714">
            <v>42583.855469000002</v>
          </cell>
        </row>
        <row r="715">
          <cell r="A715">
            <v>14399</v>
          </cell>
          <cell r="B715">
            <v>146023.98681599999</v>
          </cell>
          <cell r="C715">
            <v>24518.380859000001</v>
          </cell>
          <cell r="D715">
            <v>43987.738280999998</v>
          </cell>
        </row>
        <row r="716">
          <cell r="A716">
            <v>14400</v>
          </cell>
          <cell r="B716">
            <v>139475.22753899998</v>
          </cell>
          <cell r="C716">
            <v>34746.800780999998</v>
          </cell>
          <cell r="D716">
            <v>27969.427734000001</v>
          </cell>
        </row>
        <row r="717">
          <cell r="A717">
            <v>14402</v>
          </cell>
          <cell r="B717">
            <v>133544.388183</v>
          </cell>
          <cell r="C717">
            <v>21660.480468999998</v>
          </cell>
          <cell r="D717">
            <v>40934.28125</v>
          </cell>
        </row>
        <row r="718">
          <cell r="A718">
            <v>14403</v>
          </cell>
          <cell r="B718">
            <v>150773.695312</v>
          </cell>
          <cell r="C718">
            <v>36196.941405999998</v>
          </cell>
          <cell r="D718">
            <v>29777.359375</v>
          </cell>
        </row>
        <row r="719">
          <cell r="A719">
            <v>14407</v>
          </cell>
          <cell r="B719">
            <v>140503.24902400002</v>
          </cell>
          <cell r="C719">
            <v>33749.796875</v>
          </cell>
          <cell r="D719">
            <v>28587.242188</v>
          </cell>
        </row>
        <row r="720">
          <cell r="A720">
            <v>14409</v>
          </cell>
          <cell r="B720">
            <v>135622.93017499999</v>
          </cell>
          <cell r="C720">
            <v>23632.974609000001</v>
          </cell>
          <cell r="D720">
            <v>39932.179687999997</v>
          </cell>
        </row>
        <row r="721">
          <cell r="A721">
            <v>14410</v>
          </cell>
          <cell r="B721">
            <v>159578.21386600001</v>
          </cell>
          <cell r="C721">
            <v>28927.302734000001</v>
          </cell>
          <cell r="D721">
            <v>44996.722655999998</v>
          </cell>
        </row>
        <row r="722">
          <cell r="A722">
            <v>14411</v>
          </cell>
          <cell r="B722">
            <v>151004.91796799999</v>
          </cell>
          <cell r="C722">
            <v>35628.707030999998</v>
          </cell>
          <cell r="D722">
            <v>30836.078125</v>
          </cell>
        </row>
        <row r="723">
          <cell r="A723">
            <v>14412</v>
          </cell>
          <cell r="B723">
            <v>161836.73339800001</v>
          </cell>
          <cell r="C723">
            <v>36516.914062000003</v>
          </cell>
          <cell r="D723">
            <v>32198.744140999999</v>
          </cell>
        </row>
        <row r="724">
          <cell r="A724">
            <v>14413</v>
          </cell>
          <cell r="B724">
            <v>144925.18603500002</v>
          </cell>
          <cell r="C724">
            <v>24419.003906000002</v>
          </cell>
          <cell r="D724">
            <v>43621.199219000002</v>
          </cell>
        </row>
        <row r="725">
          <cell r="A725">
            <v>14418</v>
          </cell>
          <cell r="B725">
            <v>163049.44433599999</v>
          </cell>
          <cell r="C725">
            <v>36568.359375</v>
          </cell>
          <cell r="D725">
            <v>33734.023437999997</v>
          </cell>
        </row>
        <row r="726">
          <cell r="A726">
            <v>14419</v>
          </cell>
          <cell r="B726">
            <v>164622.349609</v>
          </cell>
          <cell r="C726">
            <v>36832.417969000002</v>
          </cell>
          <cell r="D726">
            <v>34108.730469000002</v>
          </cell>
        </row>
        <row r="727">
          <cell r="A727">
            <v>14429</v>
          </cell>
          <cell r="B727">
            <v>11087.354249</v>
          </cell>
          <cell r="C727">
            <v>4281.0913090000004</v>
          </cell>
          <cell r="D727">
            <v>2194.9157709999999</v>
          </cell>
        </row>
        <row r="728">
          <cell r="A728">
            <v>14515</v>
          </cell>
          <cell r="B728">
            <v>120533.007813</v>
          </cell>
          <cell r="C728">
            <v>20022.341797000001</v>
          </cell>
          <cell r="D728">
            <v>35585.417969000002</v>
          </cell>
        </row>
        <row r="729">
          <cell r="A729">
            <v>14635</v>
          </cell>
          <cell r="B729">
            <v>105989.027344</v>
          </cell>
          <cell r="C729">
            <v>26482.472656000002</v>
          </cell>
          <cell r="D729">
            <v>20131.929688</v>
          </cell>
        </row>
        <row r="730">
          <cell r="A730">
            <v>14637</v>
          </cell>
          <cell r="B730">
            <v>115365.708008</v>
          </cell>
          <cell r="C730">
            <v>27627.736327999999</v>
          </cell>
          <cell r="D730">
            <v>21245.775390999999</v>
          </cell>
        </row>
        <row r="731">
          <cell r="A731">
            <v>14639</v>
          </cell>
          <cell r="B731">
            <v>113329.181641</v>
          </cell>
          <cell r="C731">
            <v>17341.175781000002</v>
          </cell>
          <cell r="D731">
            <v>33945.460937999997</v>
          </cell>
        </row>
        <row r="732">
          <cell r="A732">
            <v>14644</v>
          </cell>
          <cell r="B732">
            <v>125285.97265499999</v>
          </cell>
          <cell r="C732">
            <v>30707.158202999999</v>
          </cell>
          <cell r="D732">
            <v>23679.675781000002</v>
          </cell>
        </row>
        <row r="733">
          <cell r="A733">
            <v>14645</v>
          </cell>
          <cell r="B733">
            <v>105989.027344</v>
          </cell>
          <cell r="C733">
            <v>26482.472656000002</v>
          </cell>
          <cell r="D733">
            <v>20131.929688</v>
          </cell>
        </row>
        <row r="734">
          <cell r="A734">
            <v>14647</v>
          </cell>
          <cell r="B734">
            <v>117999.827149</v>
          </cell>
          <cell r="C734">
            <v>19193.759765999999</v>
          </cell>
          <cell r="D734">
            <v>35983.09375</v>
          </cell>
        </row>
        <row r="735">
          <cell r="A735">
            <v>14650</v>
          </cell>
          <cell r="B735">
            <v>103154.953125</v>
          </cell>
          <cell r="C735">
            <v>15992.952148</v>
          </cell>
          <cell r="D735">
            <v>30967.765625</v>
          </cell>
        </row>
        <row r="736">
          <cell r="A736">
            <v>14652</v>
          </cell>
          <cell r="B736">
            <v>108062.24121000001</v>
          </cell>
          <cell r="C736">
            <v>18320.689452999999</v>
          </cell>
          <cell r="D736">
            <v>34676.007812000003</v>
          </cell>
        </row>
        <row r="737">
          <cell r="A737">
            <v>14658</v>
          </cell>
          <cell r="B737">
            <v>125375.153319</v>
          </cell>
          <cell r="C737">
            <v>30219.203125</v>
          </cell>
          <cell r="D737">
            <v>23392.332031000002</v>
          </cell>
        </row>
        <row r="738">
          <cell r="A738">
            <v>14660</v>
          </cell>
          <cell r="B738">
            <v>112659.34668</v>
          </cell>
          <cell r="C738">
            <v>27307.8125</v>
          </cell>
          <cell r="D738">
            <v>20698.996093999998</v>
          </cell>
        </row>
        <row r="739">
          <cell r="A739">
            <v>14666</v>
          </cell>
          <cell r="B739">
            <v>137543.81347599998</v>
          </cell>
          <cell r="C739">
            <v>33047.667969000002</v>
          </cell>
          <cell r="D739">
            <v>25753.644531000002</v>
          </cell>
        </row>
        <row r="740">
          <cell r="A740">
            <v>14682</v>
          </cell>
          <cell r="B740">
            <v>157958.20410199999</v>
          </cell>
          <cell r="C740">
            <v>28733.421875</v>
          </cell>
          <cell r="D740">
            <v>44456.273437999997</v>
          </cell>
        </row>
        <row r="741">
          <cell r="A741">
            <v>14715</v>
          </cell>
          <cell r="B741">
            <v>65675.240967000005</v>
          </cell>
          <cell r="C741">
            <v>12710.152344</v>
          </cell>
          <cell r="D741">
            <v>16780.613281000002</v>
          </cell>
        </row>
        <row r="742">
          <cell r="A742">
            <v>14782</v>
          </cell>
          <cell r="B742">
            <v>67071.010741999999</v>
          </cell>
          <cell r="C742">
            <v>16315.949219</v>
          </cell>
          <cell r="D742">
            <v>12578.014648</v>
          </cell>
        </row>
        <row r="743">
          <cell r="A743">
            <v>14949</v>
          </cell>
          <cell r="B743">
            <v>71601.594970999999</v>
          </cell>
          <cell r="C743">
            <v>12213.869140999999</v>
          </cell>
          <cell r="D743">
            <v>20818.507812</v>
          </cell>
        </row>
        <row r="744">
          <cell r="A744">
            <v>14953</v>
          </cell>
          <cell r="B744">
            <v>125526.35937600001</v>
          </cell>
          <cell r="C744">
            <v>20338.275390999999</v>
          </cell>
          <cell r="D744">
            <v>36448.117187999997</v>
          </cell>
        </row>
        <row r="745">
          <cell r="A745">
            <v>15010</v>
          </cell>
          <cell r="B745">
            <v>85956.281738999998</v>
          </cell>
          <cell r="C745">
            <v>20499.169922000001</v>
          </cell>
          <cell r="D745">
            <v>21137.429688</v>
          </cell>
        </row>
        <row r="746">
          <cell r="A746">
            <v>15020</v>
          </cell>
          <cell r="B746">
            <v>74799.414551000009</v>
          </cell>
          <cell r="C746">
            <v>17783.273438</v>
          </cell>
          <cell r="D746">
            <v>18539.802734000001</v>
          </cell>
        </row>
        <row r="747">
          <cell r="A747">
            <v>15035</v>
          </cell>
          <cell r="B747">
            <v>76633.459229</v>
          </cell>
          <cell r="C747">
            <v>17709.931640999999</v>
          </cell>
          <cell r="D747">
            <v>23333.398438</v>
          </cell>
        </row>
        <row r="748">
          <cell r="A748">
            <v>15036</v>
          </cell>
          <cell r="B748">
            <v>76085.940185999993</v>
          </cell>
          <cell r="C748">
            <v>18008.921875</v>
          </cell>
          <cell r="D748">
            <v>19409.296875</v>
          </cell>
        </row>
        <row r="749">
          <cell r="A749">
            <v>15037</v>
          </cell>
          <cell r="B749">
            <v>68101.709472999995</v>
          </cell>
          <cell r="C749">
            <v>16132.878906</v>
          </cell>
          <cell r="D749">
            <v>17342.371093999998</v>
          </cell>
        </row>
        <row r="750">
          <cell r="A750">
            <v>15038</v>
          </cell>
          <cell r="B750">
            <v>59456.793701000002</v>
          </cell>
          <cell r="C750">
            <v>13885.3125</v>
          </cell>
          <cell r="D750">
            <v>15634.189453000001</v>
          </cell>
        </row>
        <row r="751">
          <cell r="A751">
            <v>15039</v>
          </cell>
          <cell r="B751">
            <v>70889.292480000004</v>
          </cell>
          <cell r="C751">
            <v>16315.221680000001</v>
          </cell>
          <cell r="D751">
            <v>21410.935547000001</v>
          </cell>
        </row>
        <row r="752">
          <cell r="A752">
            <v>15041</v>
          </cell>
          <cell r="B752">
            <v>64598.917967999994</v>
          </cell>
          <cell r="C752">
            <v>15262.159180000001</v>
          </cell>
          <cell r="D752">
            <v>18916.675781000002</v>
          </cell>
        </row>
        <row r="753">
          <cell r="A753">
            <v>15064</v>
          </cell>
          <cell r="B753">
            <v>103811.31933499999</v>
          </cell>
          <cell r="C753">
            <v>23501.302734000001</v>
          </cell>
          <cell r="D753">
            <v>22865.240234000001</v>
          </cell>
        </row>
        <row r="754">
          <cell r="A754">
            <v>15065</v>
          </cell>
          <cell r="B754">
            <v>99870.664550000001</v>
          </cell>
          <cell r="C754">
            <v>18966.238281000002</v>
          </cell>
          <cell r="D754">
            <v>26757.148438</v>
          </cell>
        </row>
        <row r="755">
          <cell r="A755">
            <v>15081</v>
          </cell>
          <cell r="B755">
            <v>116859.00683500001</v>
          </cell>
          <cell r="C755">
            <v>26708.664062</v>
          </cell>
          <cell r="D755">
            <v>25737.396484000001</v>
          </cell>
        </row>
        <row r="756">
          <cell r="A756">
            <v>15082</v>
          </cell>
          <cell r="B756">
            <v>120496.99316299999</v>
          </cell>
          <cell r="C756">
            <v>27437.066406000002</v>
          </cell>
          <cell r="D756">
            <v>26741.289062</v>
          </cell>
        </row>
        <row r="757">
          <cell r="A757">
            <v>15083</v>
          </cell>
          <cell r="B757">
            <v>118720.908692</v>
          </cell>
          <cell r="C757">
            <v>21392.876952999999</v>
          </cell>
          <cell r="D757">
            <v>31391.683593999998</v>
          </cell>
        </row>
        <row r="758">
          <cell r="A758">
            <v>15157</v>
          </cell>
          <cell r="B758">
            <v>49271.727293999997</v>
          </cell>
          <cell r="C758">
            <v>11248.993164</v>
          </cell>
          <cell r="D758">
            <v>12089.399414</v>
          </cell>
        </row>
        <row r="759">
          <cell r="A759">
            <v>15187</v>
          </cell>
          <cell r="B759">
            <v>100920.398436</v>
          </cell>
          <cell r="C759">
            <v>21740.162109000001</v>
          </cell>
          <cell r="D759">
            <v>25285.912109000001</v>
          </cell>
        </row>
        <row r="760">
          <cell r="A760">
            <v>15188</v>
          </cell>
          <cell r="B760">
            <v>115209.22070199999</v>
          </cell>
          <cell r="C760">
            <v>24331.222656000002</v>
          </cell>
          <cell r="D760">
            <v>31245.378906000002</v>
          </cell>
        </row>
        <row r="761">
          <cell r="A761">
            <v>15191</v>
          </cell>
          <cell r="B761">
            <v>111298.34228499999</v>
          </cell>
          <cell r="C761">
            <v>23175.066406000002</v>
          </cell>
          <cell r="D761">
            <v>28499.787109000001</v>
          </cell>
        </row>
        <row r="762">
          <cell r="A762">
            <v>15196</v>
          </cell>
          <cell r="B762">
            <v>96895.338379000008</v>
          </cell>
          <cell r="C762">
            <v>21199.449218999998</v>
          </cell>
          <cell r="D762">
            <v>24547.953125</v>
          </cell>
        </row>
        <row r="763">
          <cell r="A763">
            <v>15206</v>
          </cell>
          <cell r="B763">
            <v>65203.155273999997</v>
          </cell>
          <cell r="C763">
            <v>9407.7587889999995</v>
          </cell>
          <cell r="D763">
            <v>21461.546875</v>
          </cell>
        </row>
        <row r="764">
          <cell r="A764">
            <v>15207</v>
          </cell>
          <cell r="B764">
            <v>64373.479003999993</v>
          </cell>
          <cell r="C764">
            <v>18154.228515999999</v>
          </cell>
          <cell r="D764">
            <v>12489.604492</v>
          </cell>
        </row>
        <row r="765">
          <cell r="A765">
            <v>15208</v>
          </cell>
          <cell r="B765">
            <v>79513.440430000002</v>
          </cell>
          <cell r="C765">
            <v>21980.800781000002</v>
          </cell>
          <cell r="D765">
            <v>15954.714844</v>
          </cell>
        </row>
        <row r="766">
          <cell r="A766">
            <v>15209</v>
          </cell>
          <cell r="B766">
            <v>83109.330323000002</v>
          </cell>
          <cell r="C766">
            <v>12489.699219</v>
          </cell>
          <cell r="D766">
            <v>26945.484375</v>
          </cell>
        </row>
        <row r="767">
          <cell r="A767">
            <v>15211</v>
          </cell>
          <cell r="B767">
            <v>72947.916748000003</v>
          </cell>
          <cell r="C767">
            <v>13932.015625</v>
          </cell>
          <cell r="D767">
            <v>21569.205077999999</v>
          </cell>
        </row>
        <row r="768">
          <cell r="A768">
            <v>15230</v>
          </cell>
          <cell r="B768">
            <v>83393.964355999997</v>
          </cell>
          <cell r="C768">
            <v>17887.419922000001</v>
          </cell>
          <cell r="D768">
            <v>21932.765625</v>
          </cell>
        </row>
        <row r="769">
          <cell r="A769">
            <v>15236</v>
          </cell>
          <cell r="B769">
            <v>61621.090087999997</v>
          </cell>
          <cell r="C769">
            <v>9511.3574219999991</v>
          </cell>
          <cell r="D769">
            <v>20860.212890999999</v>
          </cell>
        </row>
        <row r="770">
          <cell r="A770">
            <v>15238</v>
          </cell>
          <cell r="B770">
            <v>66244.214842999994</v>
          </cell>
          <cell r="C770">
            <v>19373.535156000002</v>
          </cell>
          <cell r="D770">
            <v>13229.370117</v>
          </cell>
        </row>
        <row r="771">
          <cell r="A771">
            <v>15239</v>
          </cell>
          <cell r="B771">
            <v>51397.245117999999</v>
          </cell>
          <cell r="C771">
            <v>8336.0576170000004</v>
          </cell>
          <cell r="D771">
            <v>17307.417968999998</v>
          </cell>
        </row>
        <row r="772">
          <cell r="A772">
            <v>15277</v>
          </cell>
          <cell r="B772">
            <v>54889.263184000003</v>
          </cell>
          <cell r="C772">
            <v>15009.778319999999</v>
          </cell>
          <cell r="D772">
            <v>11403.620117</v>
          </cell>
        </row>
        <row r="773">
          <cell r="A773">
            <v>15279</v>
          </cell>
          <cell r="B773">
            <v>47549.141602999996</v>
          </cell>
          <cell r="C773">
            <v>8156.1191410000001</v>
          </cell>
          <cell r="D773">
            <v>15637.797852</v>
          </cell>
        </row>
        <row r="774">
          <cell r="A774">
            <v>15280</v>
          </cell>
          <cell r="B774">
            <v>39005.035034</v>
          </cell>
          <cell r="C774">
            <v>6473.0141599999997</v>
          </cell>
          <cell r="D774">
            <v>12339.363281</v>
          </cell>
        </row>
        <row r="775">
          <cell r="A775">
            <v>15304</v>
          </cell>
          <cell r="B775">
            <v>33410.058836999997</v>
          </cell>
          <cell r="C775">
            <v>8213.6455079999996</v>
          </cell>
          <cell r="D775">
            <v>7814.6831050000001</v>
          </cell>
        </row>
        <row r="776">
          <cell r="A776">
            <v>15305</v>
          </cell>
          <cell r="B776">
            <v>35154.190673999998</v>
          </cell>
          <cell r="C776">
            <v>8657.2421880000002</v>
          </cell>
          <cell r="D776">
            <v>8217.1591800000006</v>
          </cell>
        </row>
        <row r="777">
          <cell r="A777">
            <v>15311</v>
          </cell>
          <cell r="B777">
            <v>56026.090576999995</v>
          </cell>
          <cell r="C777">
            <v>12255.667969</v>
          </cell>
          <cell r="D777">
            <v>14608.256836</v>
          </cell>
        </row>
        <row r="778">
          <cell r="A778">
            <v>15315</v>
          </cell>
          <cell r="B778">
            <v>79110.601561999996</v>
          </cell>
          <cell r="C778">
            <v>16648.115234000001</v>
          </cell>
          <cell r="D778">
            <v>21226.417968999998</v>
          </cell>
        </row>
        <row r="779">
          <cell r="A779">
            <v>15317</v>
          </cell>
          <cell r="B779">
            <v>70983.138185000003</v>
          </cell>
          <cell r="C779">
            <v>10946.8125</v>
          </cell>
          <cell r="D779">
            <v>23101.960938</v>
          </cell>
        </row>
        <row r="780">
          <cell r="A780">
            <v>15318</v>
          </cell>
          <cell r="B780">
            <v>73138.025878999993</v>
          </cell>
          <cell r="C780">
            <v>11346.643555000001</v>
          </cell>
          <cell r="D780">
            <v>23725.357422000001</v>
          </cell>
        </row>
        <row r="781">
          <cell r="A781">
            <v>15406</v>
          </cell>
          <cell r="B781">
            <v>44287.284912000003</v>
          </cell>
          <cell r="C781">
            <v>9607.9228519999997</v>
          </cell>
          <cell r="D781">
            <v>10643.773438</v>
          </cell>
        </row>
        <row r="782">
          <cell r="A782">
            <v>15412</v>
          </cell>
          <cell r="B782">
            <v>42016.145384999996</v>
          </cell>
          <cell r="C782">
            <v>8651.3369139999995</v>
          </cell>
          <cell r="D782">
            <v>11272.927734000001</v>
          </cell>
        </row>
        <row r="783">
          <cell r="A783">
            <v>15425</v>
          </cell>
          <cell r="B783">
            <v>107972.553711</v>
          </cell>
          <cell r="C783">
            <v>29456.232422000001</v>
          </cell>
          <cell r="D783">
            <v>22000.673827999999</v>
          </cell>
        </row>
        <row r="784">
          <cell r="A784">
            <v>15429</v>
          </cell>
          <cell r="B784">
            <v>127879.59838900001</v>
          </cell>
          <cell r="C784">
            <v>20792.771484000001</v>
          </cell>
          <cell r="D784">
            <v>37595.375</v>
          </cell>
        </row>
        <row r="785">
          <cell r="A785">
            <v>15430</v>
          </cell>
          <cell r="B785">
            <v>119693.70996200001</v>
          </cell>
          <cell r="C785">
            <v>31886.228515999999</v>
          </cell>
          <cell r="D785">
            <v>24292.134765999999</v>
          </cell>
        </row>
        <row r="786">
          <cell r="A786">
            <v>15432</v>
          </cell>
          <cell r="B786">
            <v>134723.90161199999</v>
          </cell>
          <cell r="C786">
            <v>22054.015625</v>
          </cell>
          <cell r="D786">
            <v>39223.183594000002</v>
          </cell>
        </row>
        <row r="787">
          <cell r="A787">
            <v>15435</v>
          </cell>
          <cell r="B787">
            <v>125526.35937600001</v>
          </cell>
          <cell r="C787">
            <v>20338.275390999999</v>
          </cell>
          <cell r="D787">
            <v>36448.117187999997</v>
          </cell>
        </row>
        <row r="788">
          <cell r="A788">
            <v>15439</v>
          </cell>
          <cell r="B788">
            <v>109780.574219</v>
          </cell>
          <cell r="C788">
            <v>29458.878906000002</v>
          </cell>
          <cell r="D788">
            <v>22167.529297000001</v>
          </cell>
        </row>
        <row r="789">
          <cell r="A789">
            <v>15442</v>
          </cell>
          <cell r="B789">
            <v>114843.82324099999</v>
          </cell>
          <cell r="C789">
            <v>30546.146484000001</v>
          </cell>
          <cell r="D789">
            <v>23376.226562</v>
          </cell>
        </row>
        <row r="790">
          <cell r="A790">
            <v>15443</v>
          </cell>
          <cell r="B790">
            <v>130413.414795</v>
          </cell>
          <cell r="C790">
            <v>21069.347656000002</v>
          </cell>
          <cell r="D790">
            <v>37989.25</v>
          </cell>
        </row>
        <row r="791">
          <cell r="A791">
            <v>15456</v>
          </cell>
          <cell r="B791">
            <v>98293.822755000001</v>
          </cell>
          <cell r="C791">
            <v>26522.824218999998</v>
          </cell>
          <cell r="D791">
            <v>19621.810547000001</v>
          </cell>
        </row>
        <row r="792">
          <cell r="A792">
            <v>15457</v>
          </cell>
          <cell r="B792">
            <v>99758.154053000006</v>
          </cell>
          <cell r="C792">
            <v>14998.050781</v>
          </cell>
          <cell r="D792">
            <v>29659.685547000001</v>
          </cell>
        </row>
        <row r="793">
          <cell r="A793">
            <v>15458</v>
          </cell>
          <cell r="B793">
            <v>109592.65332</v>
          </cell>
          <cell r="C793">
            <v>28707.257812</v>
          </cell>
          <cell r="D793">
            <v>21832.712890999999</v>
          </cell>
        </row>
        <row r="794">
          <cell r="A794">
            <v>15459</v>
          </cell>
          <cell r="B794">
            <v>110905.085937</v>
          </cell>
          <cell r="C794">
            <v>16499.037109000001</v>
          </cell>
          <cell r="D794">
            <v>32558.337890999999</v>
          </cell>
        </row>
        <row r="795">
          <cell r="A795">
            <v>15676</v>
          </cell>
          <cell r="B795">
            <v>2914.5375979999999</v>
          </cell>
          <cell r="C795">
            <v>0</v>
          </cell>
          <cell r="D795">
            <v>2914.5375979999999</v>
          </cell>
        </row>
        <row r="796">
          <cell r="A796">
            <v>15680</v>
          </cell>
          <cell r="B796">
            <v>2192.3159179999998</v>
          </cell>
          <cell r="C796">
            <v>2192.3159179999998</v>
          </cell>
          <cell r="D796">
            <v>0</v>
          </cell>
        </row>
        <row r="797">
          <cell r="A797">
            <v>15681</v>
          </cell>
          <cell r="B797">
            <v>2914.5375979999999</v>
          </cell>
          <cell r="C797">
            <v>0</v>
          </cell>
          <cell r="D797">
            <v>2914.5375979999999</v>
          </cell>
        </row>
        <row r="798">
          <cell r="A798">
            <v>15682</v>
          </cell>
          <cell r="B798">
            <v>2192.3159179999998</v>
          </cell>
          <cell r="C798">
            <v>2192.3159179999998</v>
          </cell>
          <cell r="D798">
            <v>0</v>
          </cell>
        </row>
        <row r="799">
          <cell r="A799">
            <v>15683</v>
          </cell>
          <cell r="B799">
            <v>2914.5375979999999</v>
          </cell>
          <cell r="C799">
            <v>0</v>
          </cell>
          <cell r="D799">
            <v>2914.5375979999999</v>
          </cell>
        </row>
        <row r="800">
          <cell r="A800">
            <v>15684</v>
          </cell>
          <cell r="B800">
            <v>67071.010741999999</v>
          </cell>
          <cell r="C800">
            <v>16315.949219</v>
          </cell>
          <cell r="D800">
            <v>12578.014648</v>
          </cell>
        </row>
        <row r="801">
          <cell r="A801">
            <v>15688</v>
          </cell>
          <cell r="B801">
            <v>90864.208007000008</v>
          </cell>
          <cell r="C801">
            <v>18736.410156000002</v>
          </cell>
          <cell r="D801">
            <v>24033.806640999999</v>
          </cell>
        </row>
        <row r="802">
          <cell r="A802">
            <v>15689</v>
          </cell>
          <cell r="B802">
            <v>64109.414551000002</v>
          </cell>
          <cell r="C802">
            <v>15473.127930000001</v>
          </cell>
          <cell r="D802">
            <v>14404.287109000001</v>
          </cell>
        </row>
        <row r="803">
          <cell r="A803">
            <v>15690</v>
          </cell>
          <cell r="B803">
            <v>65099.466308000003</v>
          </cell>
          <cell r="C803">
            <v>13474.986328000001</v>
          </cell>
          <cell r="D803">
            <v>18458.734375</v>
          </cell>
        </row>
        <row r="804">
          <cell r="A804">
            <v>15696</v>
          </cell>
          <cell r="B804">
            <v>89179.755858999997</v>
          </cell>
          <cell r="C804">
            <v>19652.033202999999</v>
          </cell>
          <cell r="D804">
            <v>21091.041015999999</v>
          </cell>
        </row>
        <row r="805">
          <cell r="A805">
            <v>15699</v>
          </cell>
          <cell r="B805">
            <v>98751.049316000004</v>
          </cell>
          <cell r="C805">
            <v>20662.84375</v>
          </cell>
          <cell r="D805">
            <v>26745.513672000001</v>
          </cell>
        </row>
        <row r="806">
          <cell r="A806">
            <v>15700</v>
          </cell>
          <cell r="B806">
            <v>107200.28662</v>
          </cell>
          <cell r="C806">
            <v>22622.617188</v>
          </cell>
          <cell r="D806">
            <v>28661.802734000001</v>
          </cell>
        </row>
        <row r="807">
          <cell r="A807">
            <v>15703</v>
          </cell>
          <cell r="B807">
            <v>98493.361327999999</v>
          </cell>
          <cell r="C807">
            <v>21196.597656000002</v>
          </cell>
          <cell r="D807">
            <v>24365.044922000001</v>
          </cell>
        </row>
        <row r="808">
          <cell r="A808">
            <v>15705</v>
          </cell>
          <cell r="B808">
            <v>86097.863282000006</v>
          </cell>
          <cell r="C808">
            <v>18578.1875</v>
          </cell>
          <cell r="D808">
            <v>21550.384765999999</v>
          </cell>
        </row>
        <row r="809">
          <cell r="A809">
            <v>15709</v>
          </cell>
          <cell r="B809">
            <v>90720.610840000008</v>
          </cell>
          <cell r="C809">
            <v>19330.017577999999</v>
          </cell>
          <cell r="D809">
            <v>23135.636718999998</v>
          </cell>
        </row>
        <row r="810">
          <cell r="A810">
            <v>15710</v>
          </cell>
          <cell r="B810">
            <v>96347.756837000008</v>
          </cell>
          <cell r="C810">
            <v>20977.275390999999</v>
          </cell>
          <cell r="D810">
            <v>25352.980468999998</v>
          </cell>
        </row>
        <row r="811">
          <cell r="A811">
            <v>15714</v>
          </cell>
          <cell r="B811">
            <v>109237.30957000001</v>
          </cell>
          <cell r="C811">
            <v>23536.158202999999</v>
          </cell>
          <cell r="D811">
            <v>28339.908202999999</v>
          </cell>
        </row>
        <row r="812">
          <cell r="A812">
            <v>15715</v>
          </cell>
          <cell r="B812">
            <v>96001.756834999993</v>
          </cell>
          <cell r="C812">
            <v>20660.070312</v>
          </cell>
          <cell r="D812">
            <v>24406.072265999999</v>
          </cell>
        </row>
        <row r="813">
          <cell r="A813">
            <v>15720</v>
          </cell>
          <cell r="B813">
            <v>90690.072509999998</v>
          </cell>
          <cell r="C813">
            <v>19795.445312</v>
          </cell>
          <cell r="D813">
            <v>23347.375</v>
          </cell>
        </row>
        <row r="814">
          <cell r="A814">
            <v>15722</v>
          </cell>
          <cell r="B814">
            <v>84182.224608999997</v>
          </cell>
          <cell r="C814">
            <v>18563.863281000002</v>
          </cell>
          <cell r="D814">
            <v>21519.048827999999</v>
          </cell>
        </row>
        <row r="815">
          <cell r="A815">
            <v>15767</v>
          </cell>
          <cell r="B815">
            <v>141545.43115300001</v>
          </cell>
          <cell r="C815">
            <v>25771.091797000001</v>
          </cell>
          <cell r="D815">
            <v>38798.351562000003</v>
          </cell>
        </row>
        <row r="816">
          <cell r="A816">
            <v>15768</v>
          </cell>
          <cell r="B816">
            <v>116403.64209000001</v>
          </cell>
          <cell r="C816">
            <v>21476.40625</v>
          </cell>
          <cell r="D816">
            <v>31958.804688</v>
          </cell>
        </row>
        <row r="817">
          <cell r="A817">
            <v>15775</v>
          </cell>
          <cell r="B817">
            <v>60279.085694000001</v>
          </cell>
          <cell r="C817">
            <v>11610.282227</v>
          </cell>
          <cell r="D817">
            <v>16992.044922000001</v>
          </cell>
        </row>
        <row r="818">
          <cell r="A818">
            <v>15776</v>
          </cell>
          <cell r="B818">
            <v>134657.20410100001</v>
          </cell>
          <cell r="C818">
            <v>32706.273438</v>
          </cell>
          <cell r="D818">
            <v>29934.923827999999</v>
          </cell>
        </row>
        <row r="819">
          <cell r="A819">
            <v>15849</v>
          </cell>
          <cell r="B819">
            <v>82163.900391000003</v>
          </cell>
          <cell r="C819">
            <v>10884.457031</v>
          </cell>
          <cell r="D819">
            <v>25434.550781000002</v>
          </cell>
        </row>
        <row r="820">
          <cell r="A820">
            <v>15850</v>
          </cell>
          <cell r="B820">
            <v>91523.275391000003</v>
          </cell>
          <cell r="C820">
            <v>21995.466797000001</v>
          </cell>
          <cell r="D820">
            <v>15129.652344</v>
          </cell>
        </row>
        <row r="821">
          <cell r="A821">
            <v>15851</v>
          </cell>
          <cell r="B821">
            <v>93172.658934999999</v>
          </cell>
          <cell r="C821">
            <v>12355.678711</v>
          </cell>
          <cell r="D821">
            <v>27909.564452999999</v>
          </cell>
        </row>
        <row r="822">
          <cell r="A822">
            <v>15852</v>
          </cell>
          <cell r="B822">
            <v>82960.606935000003</v>
          </cell>
          <cell r="C822">
            <v>20735.728515999999</v>
          </cell>
          <cell r="D822">
            <v>13498.969727</v>
          </cell>
        </row>
        <row r="823">
          <cell r="A823">
            <v>15853</v>
          </cell>
          <cell r="B823">
            <v>86233.886352999994</v>
          </cell>
          <cell r="C823">
            <v>11240.518555000001</v>
          </cell>
          <cell r="D823">
            <v>26780.556640999999</v>
          </cell>
        </row>
        <row r="824">
          <cell r="A824">
            <v>15854</v>
          </cell>
          <cell r="B824">
            <v>86318.728516000003</v>
          </cell>
          <cell r="C824">
            <v>21357.535156000002</v>
          </cell>
          <cell r="D824">
            <v>14145.419921999999</v>
          </cell>
        </row>
        <row r="825">
          <cell r="A825">
            <v>15855</v>
          </cell>
          <cell r="B825">
            <v>76956.469727000003</v>
          </cell>
          <cell r="C825">
            <v>9750.7041019999997</v>
          </cell>
          <cell r="D825">
            <v>25083.037109000001</v>
          </cell>
        </row>
        <row r="826">
          <cell r="A826">
            <v>15856</v>
          </cell>
          <cell r="B826">
            <v>77635.268066999997</v>
          </cell>
          <cell r="C826">
            <v>19609.826172000001</v>
          </cell>
          <cell r="D826">
            <v>12521.715819999999</v>
          </cell>
        </row>
        <row r="827">
          <cell r="A827">
            <v>15857</v>
          </cell>
          <cell r="B827">
            <v>78963.024414999993</v>
          </cell>
          <cell r="C827">
            <v>19676.207031000002</v>
          </cell>
          <cell r="D827">
            <v>12742.094727</v>
          </cell>
        </row>
        <row r="828">
          <cell r="A828">
            <v>15858</v>
          </cell>
          <cell r="B828">
            <v>78246.388426999998</v>
          </cell>
          <cell r="C828">
            <v>10102.602539</v>
          </cell>
          <cell r="D828">
            <v>25215.914062</v>
          </cell>
        </row>
        <row r="829">
          <cell r="A829">
            <v>15859</v>
          </cell>
          <cell r="B829">
            <v>73445.380615999995</v>
          </cell>
          <cell r="C829">
            <v>9269.9179690000001</v>
          </cell>
          <cell r="D829">
            <v>24066.369140999999</v>
          </cell>
        </row>
        <row r="830">
          <cell r="A830">
            <v>15862</v>
          </cell>
          <cell r="B830">
            <v>74033.680176000009</v>
          </cell>
          <cell r="C830">
            <v>18577.074218999998</v>
          </cell>
          <cell r="D830">
            <v>11834.413086</v>
          </cell>
        </row>
        <row r="831">
          <cell r="A831">
            <v>15863</v>
          </cell>
          <cell r="B831">
            <v>31325.550902999999</v>
          </cell>
          <cell r="C831">
            <v>8186.5375979999999</v>
          </cell>
          <cell r="D831">
            <v>5167.0859380000002</v>
          </cell>
        </row>
        <row r="832">
          <cell r="A832">
            <v>15869</v>
          </cell>
          <cell r="B832">
            <v>2914.5375979999999</v>
          </cell>
          <cell r="C832">
            <v>0</v>
          </cell>
          <cell r="D832">
            <v>2914.5375979999999</v>
          </cell>
        </row>
        <row r="833">
          <cell r="A833">
            <v>15870</v>
          </cell>
          <cell r="B833">
            <v>74621.187987999991</v>
          </cell>
          <cell r="C833">
            <v>21932.548827999999</v>
          </cell>
          <cell r="D833">
            <v>14083.180664</v>
          </cell>
        </row>
        <row r="834">
          <cell r="A834">
            <v>15874</v>
          </cell>
          <cell r="B834">
            <v>81186.712159000002</v>
          </cell>
          <cell r="C834">
            <v>12701.025390999999</v>
          </cell>
          <cell r="D834">
            <v>26420.966797000001</v>
          </cell>
        </row>
        <row r="835">
          <cell r="A835">
            <v>15877</v>
          </cell>
          <cell r="B835">
            <v>75729.483886999995</v>
          </cell>
          <cell r="C835">
            <v>16770.921875</v>
          </cell>
          <cell r="D835">
            <v>18744.759765999999</v>
          </cell>
        </row>
        <row r="836">
          <cell r="A836">
            <v>15914</v>
          </cell>
          <cell r="B836">
            <v>68139.271727999992</v>
          </cell>
          <cell r="C836">
            <v>13933.518555000001</v>
          </cell>
          <cell r="D836">
            <v>16453.330077999999</v>
          </cell>
        </row>
        <row r="837">
          <cell r="A837">
            <v>15916</v>
          </cell>
          <cell r="B837">
            <v>52710.945435000001</v>
          </cell>
          <cell r="C837">
            <v>11603.422852</v>
          </cell>
          <cell r="D837">
            <v>13545.405273</v>
          </cell>
        </row>
        <row r="838">
          <cell r="A838">
            <v>15917</v>
          </cell>
          <cell r="B838">
            <v>44373.544677999998</v>
          </cell>
          <cell r="C838">
            <v>9476.8388670000004</v>
          </cell>
          <cell r="D838">
            <v>10274.478515999999</v>
          </cell>
        </row>
        <row r="839">
          <cell r="A839">
            <v>16032</v>
          </cell>
          <cell r="B839">
            <v>104575.312744</v>
          </cell>
          <cell r="C839">
            <v>17863.767577999999</v>
          </cell>
          <cell r="D839">
            <v>30294.996093999998</v>
          </cell>
        </row>
        <row r="840">
          <cell r="A840">
            <v>16037</v>
          </cell>
          <cell r="B840">
            <v>63844.493897</v>
          </cell>
          <cell r="C840">
            <v>13693.813477</v>
          </cell>
          <cell r="D840">
            <v>16112.940430000001</v>
          </cell>
        </row>
        <row r="841">
          <cell r="A841">
            <v>16038</v>
          </cell>
          <cell r="B841">
            <v>97528.432373000003</v>
          </cell>
          <cell r="C841">
            <v>19150.326172000001</v>
          </cell>
          <cell r="D841">
            <v>25766.71875</v>
          </cell>
        </row>
        <row r="842">
          <cell r="A842">
            <v>16040</v>
          </cell>
          <cell r="B842">
            <v>79256.172852000003</v>
          </cell>
          <cell r="C842">
            <v>16546.439452999999</v>
          </cell>
          <cell r="D842">
            <v>19162.619140999999</v>
          </cell>
        </row>
        <row r="843">
          <cell r="A843">
            <v>16041</v>
          </cell>
          <cell r="B843">
            <v>77892.566162000003</v>
          </cell>
          <cell r="C843">
            <v>15628.459961</v>
          </cell>
          <cell r="D843">
            <v>20642.330077999999</v>
          </cell>
        </row>
        <row r="844">
          <cell r="A844">
            <v>16045</v>
          </cell>
          <cell r="B844">
            <v>51317.916749000004</v>
          </cell>
          <cell r="C844">
            <v>11318.892578000001</v>
          </cell>
          <cell r="D844">
            <v>11890.033203000001</v>
          </cell>
        </row>
        <row r="845">
          <cell r="A845">
            <v>16046</v>
          </cell>
          <cell r="B845">
            <v>60498.271729</v>
          </cell>
          <cell r="C845">
            <v>11626.188477</v>
          </cell>
          <cell r="D845">
            <v>15635.049805000001</v>
          </cell>
        </row>
        <row r="846">
          <cell r="A846">
            <v>16054</v>
          </cell>
          <cell r="B846">
            <v>57531.534910999995</v>
          </cell>
          <cell r="C846">
            <v>10322.167969</v>
          </cell>
          <cell r="D846">
            <v>13983.130859000001</v>
          </cell>
        </row>
        <row r="847">
          <cell r="A847">
            <v>16057</v>
          </cell>
          <cell r="B847">
            <v>60339.976561999996</v>
          </cell>
          <cell r="C847">
            <v>10681.179688</v>
          </cell>
          <cell r="D847">
            <v>15009.258789</v>
          </cell>
        </row>
        <row r="848">
          <cell r="A848">
            <v>16059</v>
          </cell>
          <cell r="B848">
            <v>134657.20410100001</v>
          </cell>
          <cell r="C848">
            <v>32706.273438</v>
          </cell>
          <cell r="D848">
            <v>29934.923827999999</v>
          </cell>
        </row>
        <row r="849">
          <cell r="A849">
            <v>16084</v>
          </cell>
          <cell r="B849">
            <v>93614.011230999997</v>
          </cell>
          <cell r="C849">
            <v>24977.136718999998</v>
          </cell>
          <cell r="D849">
            <v>18894.875</v>
          </cell>
        </row>
        <row r="850">
          <cell r="A850">
            <v>16085</v>
          </cell>
          <cell r="B850">
            <v>105749.79296799999</v>
          </cell>
          <cell r="C850">
            <v>27084.253906000002</v>
          </cell>
          <cell r="D850">
            <v>22583.816406000002</v>
          </cell>
        </row>
        <row r="851">
          <cell r="A851">
            <v>16096</v>
          </cell>
          <cell r="B851">
            <v>77976.014160000006</v>
          </cell>
          <cell r="C851">
            <v>12629.768555000001</v>
          </cell>
          <cell r="D851">
            <v>24158.677734000001</v>
          </cell>
        </row>
        <row r="852">
          <cell r="A852">
            <v>16125</v>
          </cell>
          <cell r="B852">
            <v>104916.87451199999</v>
          </cell>
          <cell r="C852">
            <v>16681.457031000002</v>
          </cell>
          <cell r="D852">
            <v>30691.626952999999</v>
          </cell>
        </row>
        <row r="853">
          <cell r="A853">
            <v>16126</v>
          </cell>
          <cell r="B853">
            <v>60279.085694000001</v>
          </cell>
          <cell r="C853">
            <v>11610.282227</v>
          </cell>
          <cell r="D853">
            <v>16992.044922000001</v>
          </cell>
        </row>
        <row r="854">
          <cell r="A854">
            <v>16127</v>
          </cell>
          <cell r="B854">
            <v>71263.434814999986</v>
          </cell>
          <cell r="C854">
            <v>14212.154296999999</v>
          </cell>
          <cell r="D854">
            <v>18554.042968999998</v>
          </cell>
        </row>
        <row r="855">
          <cell r="A855">
            <v>16128</v>
          </cell>
          <cell r="B855">
            <v>68503.46557700001</v>
          </cell>
          <cell r="C855">
            <v>13774.829102</v>
          </cell>
          <cell r="D855">
            <v>17869.894531000002</v>
          </cell>
        </row>
        <row r="856">
          <cell r="A856">
            <v>16131</v>
          </cell>
          <cell r="B856">
            <v>63957.225584999993</v>
          </cell>
          <cell r="C856">
            <v>14748.958008</v>
          </cell>
          <cell r="D856">
            <v>15078.673828000001</v>
          </cell>
        </row>
        <row r="857">
          <cell r="A857">
            <v>16136</v>
          </cell>
          <cell r="B857">
            <v>77775.528078000003</v>
          </cell>
          <cell r="C857">
            <v>16727.212890999999</v>
          </cell>
          <cell r="D857">
            <v>20433.730468999998</v>
          </cell>
        </row>
        <row r="858">
          <cell r="A858">
            <v>16138</v>
          </cell>
          <cell r="B858">
            <v>65350.618164000007</v>
          </cell>
          <cell r="C858">
            <v>14722.316406</v>
          </cell>
          <cell r="D858">
            <v>15481.395508</v>
          </cell>
        </row>
        <row r="859">
          <cell r="A859">
            <v>16144</v>
          </cell>
          <cell r="B859">
            <v>36346.167847000004</v>
          </cell>
          <cell r="C859">
            <v>6713.5556640000004</v>
          </cell>
          <cell r="D859">
            <v>10832.131836</v>
          </cell>
        </row>
        <row r="860">
          <cell r="A860">
            <v>16162</v>
          </cell>
          <cell r="B860">
            <v>79462.97119099999</v>
          </cell>
          <cell r="C860">
            <v>21703.060547000001</v>
          </cell>
          <cell r="D860">
            <v>13179.798828000001</v>
          </cell>
        </row>
        <row r="861">
          <cell r="A861">
            <v>16163</v>
          </cell>
          <cell r="B861">
            <v>82266.702636999995</v>
          </cell>
          <cell r="C861">
            <v>22383.804688</v>
          </cell>
          <cell r="D861">
            <v>15696.981444999999</v>
          </cell>
        </row>
        <row r="862">
          <cell r="A862">
            <v>16164</v>
          </cell>
          <cell r="B862">
            <v>76242.338867999992</v>
          </cell>
          <cell r="C862">
            <v>20437.181640999999</v>
          </cell>
          <cell r="D862">
            <v>13165.134765999999</v>
          </cell>
        </row>
        <row r="863">
          <cell r="A863">
            <v>16167</v>
          </cell>
          <cell r="B863">
            <v>164917.22949200001</v>
          </cell>
          <cell r="C863">
            <v>31075.611327999999</v>
          </cell>
          <cell r="D863">
            <v>45366.53125</v>
          </cell>
        </row>
        <row r="864">
          <cell r="A864">
            <v>16170</v>
          </cell>
          <cell r="B864">
            <v>45068.761720000002</v>
          </cell>
          <cell r="C864">
            <v>10840.502930000001</v>
          </cell>
          <cell r="D864">
            <v>8923.125</v>
          </cell>
        </row>
        <row r="865">
          <cell r="A865">
            <v>16183</v>
          </cell>
          <cell r="B865">
            <v>67227.285157000006</v>
          </cell>
          <cell r="C865">
            <v>13381.326171999999</v>
          </cell>
          <cell r="D865">
            <v>15686.220703000001</v>
          </cell>
        </row>
        <row r="866">
          <cell r="A866">
            <v>16271</v>
          </cell>
          <cell r="B866">
            <v>96256.835938000004</v>
          </cell>
          <cell r="C866">
            <v>23652.900390999999</v>
          </cell>
          <cell r="D866">
            <v>18388.466797000001</v>
          </cell>
        </row>
        <row r="867">
          <cell r="A867">
            <v>16272</v>
          </cell>
          <cell r="B867">
            <v>104064.771485</v>
          </cell>
          <cell r="C867">
            <v>25094.447265999999</v>
          </cell>
          <cell r="D867">
            <v>20066.865234000001</v>
          </cell>
        </row>
        <row r="868">
          <cell r="A868">
            <v>16274</v>
          </cell>
          <cell r="B868">
            <v>95828.199706999992</v>
          </cell>
          <cell r="C868">
            <v>15560.994140999999</v>
          </cell>
          <cell r="D868">
            <v>28702.935547000001</v>
          </cell>
        </row>
        <row r="869">
          <cell r="A869">
            <v>16275</v>
          </cell>
          <cell r="B869">
            <v>103534.216308</v>
          </cell>
          <cell r="C869">
            <v>16606.162109000001</v>
          </cell>
          <cell r="D869">
            <v>30655.644531000002</v>
          </cell>
        </row>
        <row r="870">
          <cell r="A870">
            <v>16290</v>
          </cell>
          <cell r="B870">
            <v>96944.878417999993</v>
          </cell>
          <cell r="C870">
            <v>15686.058594</v>
          </cell>
          <cell r="D870">
            <v>28770.027343999998</v>
          </cell>
        </row>
        <row r="871">
          <cell r="A871">
            <v>16291</v>
          </cell>
          <cell r="B871">
            <v>102193.75683599999</v>
          </cell>
          <cell r="C871">
            <v>16630.859375</v>
          </cell>
          <cell r="D871">
            <v>30049.851562</v>
          </cell>
        </row>
        <row r="872">
          <cell r="A872">
            <v>16350</v>
          </cell>
          <cell r="B872">
            <v>36382.117858999998</v>
          </cell>
          <cell r="C872">
            <v>5501.9443359999996</v>
          </cell>
          <cell r="D872">
            <v>12247.650390999999</v>
          </cell>
        </row>
        <row r="873">
          <cell r="A873">
            <v>16351</v>
          </cell>
          <cell r="B873">
            <v>37044.159912000003</v>
          </cell>
          <cell r="C873">
            <v>11230.451171999999</v>
          </cell>
          <cell r="D873">
            <v>7528.3403319999998</v>
          </cell>
        </row>
        <row r="874">
          <cell r="A874">
            <v>16352</v>
          </cell>
          <cell r="B874">
            <v>42968.357908999998</v>
          </cell>
          <cell r="C874">
            <v>11609.635742</v>
          </cell>
          <cell r="D874">
            <v>9097.2070309999999</v>
          </cell>
        </row>
        <row r="875">
          <cell r="A875">
            <v>16353</v>
          </cell>
          <cell r="B875">
            <v>41523.233887000002</v>
          </cell>
          <cell r="C875">
            <v>6920.0991210000002</v>
          </cell>
          <cell r="D875">
            <v>12556.775390999999</v>
          </cell>
        </row>
        <row r="876">
          <cell r="A876">
            <v>16354</v>
          </cell>
          <cell r="B876">
            <v>30360.235107</v>
          </cell>
          <cell r="C876">
            <v>8836.1484380000002</v>
          </cell>
          <cell r="D876">
            <v>6504.1083980000003</v>
          </cell>
        </row>
        <row r="877">
          <cell r="A877">
            <v>16355</v>
          </cell>
          <cell r="B877">
            <v>29615.406189999998</v>
          </cell>
          <cell r="C877">
            <v>4920.3935549999997</v>
          </cell>
          <cell r="D877">
            <v>9191.1005860000005</v>
          </cell>
        </row>
        <row r="878">
          <cell r="A878">
            <v>16356</v>
          </cell>
          <cell r="B878">
            <v>42504.120238999996</v>
          </cell>
          <cell r="C878">
            <v>6353.8051759999998</v>
          </cell>
          <cell r="D878">
            <v>14247.068359000001</v>
          </cell>
        </row>
        <row r="879">
          <cell r="A879">
            <v>16357</v>
          </cell>
          <cell r="B879">
            <v>41904.077147999997</v>
          </cell>
          <cell r="C879">
            <v>12752.264648</v>
          </cell>
          <cell r="D879">
            <v>8087.0600590000004</v>
          </cell>
        </row>
        <row r="880">
          <cell r="A880">
            <v>16358</v>
          </cell>
          <cell r="B880">
            <v>37044.159912000003</v>
          </cell>
          <cell r="C880">
            <v>11230.451171999999</v>
          </cell>
          <cell r="D880">
            <v>7528.3403319999998</v>
          </cell>
        </row>
        <row r="881">
          <cell r="A881">
            <v>16359</v>
          </cell>
          <cell r="B881">
            <v>33323.1875</v>
          </cell>
          <cell r="C881">
            <v>10527.173828000001</v>
          </cell>
          <cell r="D881">
            <v>6405.9536129999997</v>
          </cell>
        </row>
        <row r="882">
          <cell r="A882">
            <v>16360</v>
          </cell>
          <cell r="B882">
            <v>36382.117858999998</v>
          </cell>
          <cell r="C882">
            <v>5501.9443359999996</v>
          </cell>
          <cell r="D882">
            <v>12247.650390999999</v>
          </cell>
        </row>
        <row r="883">
          <cell r="A883">
            <v>16361</v>
          </cell>
          <cell r="B883">
            <v>37044.159912000003</v>
          </cell>
          <cell r="C883">
            <v>11230.451171999999</v>
          </cell>
          <cell r="D883">
            <v>7528.3403319999998</v>
          </cell>
        </row>
        <row r="884">
          <cell r="A884">
            <v>16362</v>
          </cell>
          <cell r="B884">
            <v>36382.117858999998</v>
          </cell>
          <cell r="C884">
            <v>5501.9443359999996</v>
          </cell>
          <cell r="D884">
            <v>12247.650390999999</v>
          </cell>
        </row>
        <row r="885">
          <cell r="A885">
            <v>16370</v>
          </cell>
          <cell r="B885">
            <v>81468.671386000002</v>
          </cell>
          <cell r="C885">
            <v>15661.618164</v>
          </cell>
          <cell r="D885">
            <v>17710.476562</v>
          </cell>
        </row>
        <row r="886">
          <cell r="A886">
            <v>16427</v>
          </cell>
          <cell r="B886">
            <v>59838.676025000008</v>
          </cell>
          <cell r="C886">
            <v>11664.999023</v>
          </cell>
          <cell r="D886">
            <v>16431.582031000002</v>
          </cell>
        </row>
        <row r="887">
          <cell r="A887">
            <v>16428</v>
          </cell>
          <cell r="B887">
            <v>83241.574705999999</v>
          </cell>
          <cell r="C887">
            <v>17545.382812</v>
          </cell>
          <cell r="D887">
            <v>18340.689452999999</v>
          </cell>
        </row>
        <row r="888">
          <cell r="A888">
            <v>16429</v>
          </cell>
          <cell r="B888">
            <v>70303.766114000013</v>
          </cell>
          <cell r="C888">
            <v>13892.773438</v>
          </cell>
          <cell r="D888">
            <v>18836.291015999999</v>
          </cell>
        </row>
        <row r="889">
          <cell r="A889">
            <v>16430</v>
          </cell>
          <cell r="B889">
            <v>59838.676025000008</v>
          </cell>
          <cell r="C889">
            <v>11664.999023</v>
          </cell>
          <cell r="D889">
            <v>16431.582031000002</v>
          </cell>
        </row>
        <row r="890">
          <cell r="A890">
            <v>16431</v>
          </cell>
          <cell r="B890">
            <v>79684.667235999994</v>
          </cell>
          <cell r="C890">
            <v>14384.403319999999</v>
          </cell>
          <cell r="D890">
            <v>21085.214843999998</v>
          </cell>
        </row>
        <row r="891">
          <cell r="A891">
            <v>16445</v>
          </cell>
          <cell r="B891">
            <v>95192.84130900001</v>
          </cell>
          <cell r="C891">
            <v>18901.763672000001</v>
          </cell>
          <cell r="D891">
            <v>22041.919922000001</v>
          </cell>
        </row>
        <row r="892">
          <cell r="A892">
            <v>16446</v>
          </cell>
          <cell r="B892">
            <v>81504.338379000008</v>
          </cell>
          <cell r="C892">
            <v>16597.160156000002</v>
          </cell>
          <cell r="D892">
            <v>19198.648438</v>
          </cell>
        </row>
        <row r="893">
          <cell r="A893">
            <v>16447</v>
          </cell>
          <cell r="B893">
            <v>93467.473633000001</v>
          </cell>
          <cell r="C893">
            <v>18206.996093999998</v>
          </cell>
          <cell r="D893">
            <v>23013.443359000001</v>
          </cell>
        </row>
        <row r="894">
          <cell r="A894">
            <v>16450</v>
          </cell>
          <cell r="B894">
            <v>90224.03759800001</v>
          </cell>
          <cell r="C894">
            <v>17655.375</v>
          </cell>
          <cell r="D894">
            <v>22068.265625</v>
          </cell>
        </row>
        <row r="895">
          <cell r="A895">
            <v>16489</v>
          </cell>
          <cell r="B895">
            <v>60616.046143</v>
          </cell>
          <cell r="C895">
            <v>9967.7109380000002</v>
          </cell>
          <cell r="D895">
            <v>16772.240234000001</v>
          </cell>
        </row>
        <row r="896">
          <cell r="A896">
            <v>16490</v>
          </cell>
          <cell r="B896">
            <v>29128.786865000002</v>
          </cell>
          <cell r="C896">
            <v>6814.5986329999996</v>
          </cell>
          <cell r="D896">
            <v>5938.5527339999999</v>
          </cell>
        </row>
        <row r="897">
          <cell r="A897">
            <v>16491</v>
          </cell>
          <cell r="B897">
            <v>30262.207276000001</v>
          </cell>
          <cell r="C897">
            <v>5560.7915039999998</v>
          </cell>
          <cell r="D897">
            <v>7355.5791019999997</v>
          </cell>
        </row>
        <row r="898">
          <cell r="A898">
            <v>16495</v>
          </cell>
          <cell r="B898">
            <v>31015.604491999999</v>
          </cell>
          <cell r="C898">
            <v>6993.564453</v>
          </cell>
          <cell r="D898">
            <v>6519.4516599999997</v>
          </cell>
        </row>
        <row r="899">
          <cell r="A899">
            <v>16499</v>
          </cell>
          <cell r="B899">
            <v>30581.819090999998</v>
          </cell>
          <cell r="C899">
            <v>5598.1440430000002</v>
          </cell>
          <cell r="D899">
            <v>7451.8164059999999</v>
          </cell>
        </row>
        <row r="900">
          <cell r="A900">
            <v>16523</v>
          </cell>
          <cell r="B900">
            <v>32963.433532000003</v>
          </cell>
          <cell r="C900">
            <v>6602.626953</v>
          </cell>
          <cell r="D900">
            <v>9648.4882809999999</v>
          </cell>
        </row>
        <row r="901">
          <cell r="A901">
            <v>16524</v>
          </cell>
          <cell r="B901">
            <v>32963.433532000003</v>
          </cell>
          <cell r="C901">
            <v>6602.626953</v>
          </cell>
          <cell r="D901">
            <v>9648.4882809999999</v>
          </cell>
        </row>
        <row r="902">
          <cell r="A902">
            <v>16533</v>
          </cell>
          <cell r="B902">
            <v>71614.246580999999</v>
          </cell>
          <cell r="C902">
            <v>19091.4375</v>
          </cell>
          <cell r="D902">
            <v>14407.948242</v>
          </cell>
        </row>
        <row r="903">
          <cell r="A903">
            <v>16534</v>
          </cell>
          <cell r="B903">
            <v>77320.666504000008</v>
          </cell>
          <cell r="C903">
            <v>20371.705077999999</v>
          </cell>
          <cell r="D903">
            <v>15827.060546999999</v>
          </cell>
        </row>
        <row r="904">
          <cell r="A904">
            <v>16564</v>
          </cell>
          <cell r="B904">
            <v>52545.099365000002</v>
          </cell>
          <cell r="C904">
            <v>11692.603515999999</v>
          </cell>
          <cell r="D904">
            <v>12627.659180000001</v>
          </cell>
        </row>
        <row r="905">
          <cell r="A905">
            <v>16565</v>
          </cell>
          <cell r="B905">
            <v>65155.948730000004</v>
          </cell>
          <cell r="C905">
            <v>12413.745117</v>
          </cell>
          <cell r="D905">
            <v>15961.9375</v>
          </cell>
        </row>
        <row r="906">
          <cell r="A906">
            <v>16566</v>
          </cell>
          <cell r="B906">
            <v>52036.995116999999</v>
          </cell>
          <cell r="C906">
            <v>9908.8095699999994</v>
          </cell>
          <cell r="D906">
            <v>13378.260742</v>
          </cell>
        </row>
        <row r="907">
          <cell r="A907">
            <v>16567</v>
          </cell>
          <cell r="B907">
            <v>63536.019775000001</v>
          </cell>
          <cell r="C907">
            <v>13452.879883</v>
          </cell>
          <cell r="D907">
            <v>15426.324219</v>
          </cell>
        </row>
        <row r="908">
          <cell r="A908">
            <v>16570</v>
          </cell>
          <cell r="B908">
            <v>129325.28027300001</v>
          </cell>
          <cell r="C908">
            <v>23441.519531000002</v>
          </cell>
          <cell r="D908">
            <v>34693.183594000002</v>
          </cell>
        </row>
        <row r="909">
          <cell r="A909">
            <v>16578</v>
          </cell>
          <cell r="B909">
            <v>98143.375243999995</v>
          </cell>
          <cell r="C909">
            <v>19042.759765999999</v>
          </cell>
          <cell r="D909">
            <v>27787.896484000001</v>
          </cell>
        </row>
        <row r="910">
          <cell r="A910">
            <v>16580</v>
          </cell>
          <cell r="B910">
            <v>110617.201172</v>
          </cell>
          <cell r="C910">
            <v>25493.132812</v>
          </cell>
          <cell r="D910">
            <v>25391.142577999999</v>
          </cell>
        </row>
        <row r="911">
          <cell r="A911">
            <v>16584</v>
          </cell>
          <cell r="B911">
            <v>101244.10498</v>
          </cell>
          <cell r="C911">
            <v>24329.863281000002</v>
          </cell>
          <cell r="D911">
            <v>23477.322265999999</v>
          </cell>
        </row>
        <row r="912">
          <cell r="A912">
            <v>16759</v>
          </cell>
          <cell r="B912">
            <v>84172.974608999997</v>
          </cell>
          <cell r="C912">
            <v>15692.1875</v>
          </cell>
          <cell r="D912">
            <v>22878.976562</v>
          </cell>
        </row>
        <row r="913">
          <cell r="A913">
            <v>16760</v>
          </cell>
          <cell r="B913">
            <v>89963.902343000009</v>
          </cell>
          <cell r="C913">
            <v>21399.552734000001</v>
          </cell>
          <cell r="D913">
            <v>21360.294922000001</v>
          </cell>
        </row>
        <row r="914">
          <cell r="A914">
            <v>16761</v>
          </cell>
          <cell r="B914">
            <v>73745.183349999992</v>
          </cell>
          <cell r="C914">
            <v>13727.182617</v>
          </cell>
          <cell r="D914">
            <v>19930.167968999998</v>
          </cell>
        </row>
        <row r="915">
          <cell r="A915">
            <v>17300</v>
          </cell>
          <cell r="B915">
            <v>66244.214842999994</v>
          </cell>
          <cell r="C915">
            <v>19373.535156000002</v>
          </cell>
          <cell r="D915">
            <v>13229.370117</v>
          </cell>
        </row>
        <row r="916">
          <cell r="A916">
            <v>18949</v>
          </cell>
          <cell r="B916">
            <v>64177.479491999991</v>
          </cell>
          <cell r="C916">
            <v>10234.153319999999</v>
          </cell>
          <cell r="D916">
            <v>21258.558593999998</v>
          </cell>
        </row>
        <row r="917">
          <cell r="A917">
            <v>19152</v>
          </cell>
          <cell r="B917">
            <v>73767.939209000004</v>
          </cell>
          <cell r="C917">
            <v>14969.420898</v>
          </cell>
          <cell r="D917">
            <v>18448.203125</v>
          </cell>
        </row>
        <row r="918">
          <cell r="A918">
            <v>19455</v>
          </cell>
          <cell r="B918">
            <v>1985.8908690000001</v>
          </cell>
          <cell r="C918">
            <v>0</v>
          </cell>
          <cell r="D918">
            <v>1985.8908690000001</v>
          </cell>
        </row>
        <row r="919">
          <cell r="A919">
            <v>19481</v>
          </cell>
          <cell r="B919">
            <v>53542.108643000007</v>
          </cell>
          <cell r="C919">
            <v>8872.7929690000001</v>
          </cell>
          <cell r="D919">
            <v>17693.544922000001</v>
          </cell>
        </row>
        <row r="920">
          <cell r="A920">
            <v>19564</v>
          </cell>
          <cell r="B920">
            <v>11562.204605000001</v>
          </cell>
          <cell r="C920">
            <v>1964.1599120000001</v>
          </cell>
          <cell r="D920">
            <v>4056.467529</v>
          </cell>
        </row>
        <row r="921">
          <cell r="A921">
            <v>19571</v>
          </cell>
          <cell r="B921">
            <v>72595.742677000002</v>
          </cell>
          <cell r="C921">
            <v>15505.157227</v>
          </cell>
          <cell r="D921">
            <v>16209.459961</v>
          </cell>
        </row>
        <row r="922">
          <cell r="A922">
            <v>19605</v>
          </cell>
          <cell r="B922">
            <v>81904.721678999995</v>
          </cell>
          <cell r="C922">
            <v>16225.400390999999</v>
          </cell>
          <cell r="D922">
            <v>21316.160156000002</v>
          </cell>
        </row>
        <row r="923">
          <cell r="A923">
            <v>19671</v>
          </cell>
          <cell r="B923">
            <v>103101.28051699999</v>
          </cell>
          <cell r="C923">
            <v>18063.820312</v>
          </cell>
          <cell r="D923">
            <v>28600.302734000001</v>
          </cell>
        </row>
        <row r="924">
          <cell r="A924">
            <v>20457</v>
          </cell>
          <cell r="B924">
            <v>107795.107911</v>
          </cell>
          <cell r="C924">
            <v>27844.5</v>
          </cell>
          <cell r="D924">
            <v>23573.1875</v>
          </cell>
        </row>
        <row r="925">
          <cell r="A925">
            <v>20458</v>
          </cell>
          <cell r="B925">
            <v>84888.5</v>
          </cell>
          <cell r="C925">
            <v>20149.626952999999</v>
          </cell>
          <cell r="D925">
            <v>19803.167968999998</v>
          </cell>
        </row>
        <row r="926">
          <cell r="A926">
            <v>20463</v>
          </cell>
          <cell r="B926">
            <v>76885.875732</v>
          </cell>
          <cell r="C926">
            <v>14944.110352</v>
          </cell>
          <cell r="D926">
            <v>20716.410156000002</v>
          </cell>
        </row>
        <row r="927">
          <cell r="A927">
            <v>20464</v>
          </cell>
          <cell r="B927">
            <v>57042.065430000002</v>
          </cell>
          <cell r="C927">
            <v>13399.163086</v>
          </cell>
          <cell r="D927">
            <v>10422.435546999999</v>
          </cell>
        </row>
        <row r="928">
          <cell r="A928">
            <v>20465</v>
          </cell>
          <cell r="B928">
            <v>125469.050781</v>
          </cell>
          <cell r="C928">
            <v>31574.546875</v>
          </cell>
          <cell r="D928">
            <v>26961.078125</v>
          </cell>
        </row>
        <row r="929">
          <cell r="A929">
            <v>20466</v>
          </cell>
          <cell r="B929">
            <v>85171.169921999986</v>
          </cell>
          <cell r="C929">
            <v>23059.662109000001</v>
          </cell>
          <cell r="D929">
            <v>17586.066406000002</v>
          </cell>
        </row>
        <row r="930">
          <cell r="A930">
            <v>20467</v>
          </cell>
          <cell r="B930">
            <v>91208.391111999998</v>
          </cell>
          <cell r="C930">
            <v>24907.46875</v>
          </cell>
          <cell r="D930">
            <v>18888.876952999999</v>
          </cell>
        </row>
        <row r="931">
          <cell r="A931">
            <v>20471</v>
          </cell>
          <cell r="B931">
            <v>84417.898923999994</v>
          </cell>
          <cell r="C931">
            <v>22079.601562</v>
          </cell>
          <cell r="D931">
            <v>18965.191406000002</v>
          </cell>
        </row>
        <row r="932">
          <cell r="A932">
            <v>20472</v>
          </cell>
          <cell r="B932">
            <v>84417.898923999994</v>
          </cell>
          <cell r="C932">
            <v>22079.601562</v>
          </cell>
          <cell r="D932">
            <v>18965.191406000002</v>
          </cell>
        </row>
        <row r="933">
          <cell r="A933">
            <v>20487</v>
          </cell>
          <cell r="B933">
            <v>115220.123536</v>
          </cell>
          <cell r="C933">
            <v>28120.542968999998</v>
          </cell>
          <cell r="D933">
            <v>24274.605468999998</v>
          </cell>
        </row>
        <row r="934">
          <cell r="A934">
            <v>20529</v>
          </cell>
          <cell r="B934">
            <v>107795.118164</v>
          </cell>
          <cell r="C934">
            <v>24758.912109000001</v>
          </cell>
          <cell r="D934">
            <v>24870.359375</v>
          </cell>
        </row>
        <row r="935">
          <cell r="A935">
            <v>20549</v>
          </cell>
          <cell r="B935">
            <v>83410.932862000001</v>
          </cell>
          <cell r="C935">
            <v>18647.763672000001</v>
          </cell>
          <cell r="D935">
            <v>20102.849609000001</v>
          </cell>
        </row>
        <row r="936">
          <cell r="A936">
            <v>20588</v>
          </cell>
          <cell r="B936">
            <v>76190.536620000013</v>
          </cell>
          <cell r="C936">
            <v>16894.966797000001</v>
          </cell>
          <cell r="D936">
            <v>18593.142577999999</v>
          </cell>
        </row>
        <row r="937">
          <cell r="A937">
            <v>20600</v>
          </cell>
          <cell r="B937">
            <v>63622.935301999998</v>
          </cell>
          <cell r="C937">
            <v>13373.135742</v>
          </cell>
          <cell r="D937">
            <v>16188.6875</v>
          </cell>
        </row>
        <row r="938">
          <cell r="A938">
            <v>20639</v>
          </cell>
          <cell r="B938">
            <v>76520.421386999995</v>
          </cell>
          <cell r="C938">
            <v>16047.072265999999</v>
          </cell>
          <cell r="D938">
            <v>20131.03125</v>
          </cell>
        </row>
        <row r="939">
          <cell r="A939">
            <v>20640</v>
          </cell>
          <cell r="B939">
            <v>82476.882322999998</v>
          </cell>
          <cell r="C939">
            <v>19487.347656000002</v>
          </cell>
          <cell r="D939">
            <v>20442.128906000002</v>
          </cell>
        </row>
        <row r="940">
          <cell r="A940">
            <v>20654</v>
          </cell>
          <cell r="B940">
            <v>98655.479493000006</v>
          </cell>
          <cell r="C940">
            <v>21053.550781000002</v>
          </cell>
          <cell r="D940">
            <v>20020.542968999998</v>
          </cell>
        </row>
        <row r="941">
          <cell r="A941">
            <v>20684</v>
          </cell>
          <cell r="B941">
            <v>85323.487793000008</v>
          </cell>
          <cell r="C941">
            <v>18416.769531000002</v>
          </cell>
          <cell r="D941">
            <v>23282.759765999999</v>
          </cell>
        </row>
        <row r="942">
          <cell r="A942">
            <v>20685</v>
          </cell>
          <cell r="B942">
            <v>60981.913819000001</v>
          </cell>
          <cell r="C942">
            <v>13964.517578000001</v>
          </cell>
          <cell r="D942">
            <v>16075.109375</v>
          </cell>
        </row>
        <row r="943">
          <cell r="A943">
            <v>20689</v>
          </cell>
          <cell r="B943">
            <v>94508.444824000006</v>
          </cell>
          <cell r="C943">
            <v>21188.769531000002</v>
          </cell>
          <cell r="D943">
            <v>23875.779297000001</v>
          </cell>
        </row>
        <row r="944">
          <cell r="A944">
            <v>20693</v>
          </cell>
          <cell r="B944">
            <v>69568.827393</v>
          </cell>
          <cell r="C944">
            <v>14573.935546999999</v>
          </cell>
          <cell r="D944">
            <v>19312.359375</v>
          </cell>
        </row>
        <row r="945">
          <cell r="A945">
            <v>20694</v>
          </cell>
          <cell r="B945">
            <v>76211.167724999992</v>
          </cell>
          <cell r="C945">
            <v>15527.898438</v>
          </cell>
          <cell r="D945">
            <v>20951.939452999999</v>
          </cell>
        </row>
        <row r="946">
          <cell r="A946">
            <v>20696</v>
          </cell>
          <cell r="B946">
            <v>102507.399659</v>
          </cell>
          <cell r="C946">
            <v>19317.814452999999</v>
          </cell>
          <cell r="D946">
            <v>29025.148438</v>
          </cell>
        </row>
        <row r="947">
          <cell r="A947">
            <v>20700</v>
          </cell>
          <cell r="B947">
            <v>86556.853759000005</v>
          </cell>
          <cell r="C947">
            <v>15543.966796999999</v>
          </cell>
          <cell r="D947">
            <v>25383.552734000001</v>
          </cell>
        </row>
        <row r="948">
          <cell r="A948">
            <v>20701</v>
          </cell>
          <cell r="B948">
            <v>117066.637695</v>
          </cell>
          <cell r="C948">
            <v>19946.667968999998</v>
          </cell>
          <cell r="D948">
            <v>32733.568359000001</v>
          </cell>
        </row>
        <row r="949">
          <cell r="A949">
            <v>20703</v>
          </cell>
          <cell r="B949">
            <v>137221.83544900001</v>
          </cell>
          <cell r="C949">
            <v>22685.449218999998</v>
          </cell>
          <cell r="D949">
            <v>38693.664062000003</v>
          </cell>
        </row>
        <row r="950">
          <cell r="A950">
            <v>20705</v>
          </cell>
          <cell r="B950">
            <v>53746.491089999996</v>
          </cell>
          <cell r="C950">
            <v>9864.2080079999996</v>
          </cell>
          <cell r="D950">
            <v>15784.447265999999</v>
          </cell>
        </row>
        <row r="951">
          <cell r="A951">
            <v>20706</v>
          </cell>
          <cell r="B951">
            <v>88950.539794000011</v>
          </cell>
          <cell r="C951">
            <v>15441.083984000001</v>
          </cell>
          <cell r="D951">
            <v>25966.361327999999</v>
          </cell>
        </row>
        <row r="952">
          <cell r="A952">
            <v>20709</v>
          </cell>
          <cell r="B952">
            <v>100148.005859</v>
          </cell>
          <cell r="C952">
            <v>17643.931640999999</v>
          </cell>
          <cell r="D952">
            <v>28713.763672000001</v>
          </cell>
        </row>
        <row r="953">
          <cell r="A953">
            <v>20710</v>
          </cell>
          <cell r="B953">
            <v>79108.114379999999</v>
          </cell>
          <cell r="C953">
            <v>12913.521484000001</v>
          </cell>
          <cell r="D953">
            <v>23523.273438</v>
          </cell>
        </row>
        <row r="954">
          <cell r="A954">
            <v>20711</v>
          </cell>
          <cell r="B954">
            <v>90106.084715999998</v>
          </cell>
          <cell r="C954">
            <v>13677.481444999999</v>
          </cell>
          <cell r="D954">
            <v>27141.736327999999</v>
          </cell>
        </row>
        <row r="955">
          <cell r="A955">
            <v>20713</v>
          </cell>
          <cell r="B955">
            <v>86618.803954999996</v>
          </cell>
          <cell r="C955">
            <v>12994.892578000001</v>
          </cell>
          <cell r="D955">
            <v>26047.121093999998</v>
          </cell>
        </row>
        <row r="956">
          <cell r="A956">
            <v>20717</v>
          </cell>
          <cell r="B956">
            <v>104761.09497000001</v>
          </cell>
          <cell r="C956">
            <v>16845.705077999999</v>
          </cell>
          <cell r="D956">
            <v>30615.253906000002</v>
          </cell>
        </row>
        <row r="957">
          <cell r="A957">
            <v>20719</v>
          </cell>
          <cell r="B957">
            <v>77085.708251999997</v>
          </cell>
          <cell r="C957">
            <v>12215.450194999999</v>
          </cell>
          <cell r="D957">
            <v>23689.3125</v>
          </cell>
        </row>
        <row r="958">
          <cell r="A958">
            <v>20725</v>
          </cell>
          <cell r="B958">
            <v>46484.251952000006</v>
          </cell>
          <cell r="C958">
            <v>7117.1323240000002</v>
          </cell>
          <cell r="D958">
            <v>14225.834961</v>
          </cell>
        </row>
        <row r="959">
          <cell r="A959">
            <v>20726</v>
          </cell>
          <cell r="B959">
            <v>40999.901245000001</v>
          </cell>
          <cell r="C959">
            <v>6268.7661129999997</v>
          </cell>
          <cell r="D959">
            <v>12728.309569999999</v>
          </cell>
        </row>
        <row r="960">
          <cell r="A960">
            <v>20727</v>
          </cell>
          <cell r="B960">
            <v>43811.605468999995</v>
          </cell>
          <cell r="C960">
            <v>11848.559569999999</v>
          </cell>
          <cell r="D960">
            <v>8359.4755860000005</v>
          </cell>
        </row>
        <row r="961">
          <cell r="A961">
            <v>20730</v>
          </cell>
          <cell r="B961">
            <v>81490.567871999985</v>
          </cell>
          <cell r="C961">
            <v>20616.929688</v>
          </cell>
          <cell r="D961">
            <v>17801.740234000001</v>
          </cell>
        </row>
        <row r="962">
          <cell r="A962">
            <v>20731</v>
          </cell>
          <cell r="B962">
            <v>71691.417969000002</v>
          </cell>
          <cell r="C962">
            <v>19748.984375</v>
          </cell>
          <cell r="D962">
            <v>14669.231444999999</v>
          </cell>
        </row>
        <row r="963">
          <cell r="A963">
            <v>20741</v>
          </cell>
          <cell r="B963">
            <v>110719.53808700001</v>
          </cell>
          <cell r="C963">
            <v>26375.542968999998</v>
          </cell>
          <cell r="D963">
            <v>23349.59375</v>
          </cell>
        </row>
        <row r="964">
          <cell r="A964">
            <v>20743</v>
          </cell>
          <cell r="B964">
            <v>98801.037108999997</v>
          </cell>
          <cell r="C964">
            <v>24348.445312</v>
          </cell>
          <cell r="D964">
            <v>20558.769531000002</v>
          </cell>
        </row>
        <row r="965">
          <cell r="A965">
            <v>20747</v>
          </cell>
          <cell r="B965">
            <v>104192.07421799999</v>
          </cell>
          <cell r="C965">
            <v>24956.226562</v>
          </cell>
          <cell r="D965">
            <v>20713.548827999999</v>
          </cell>
        </row>
        <row r="966">
          <cell r="A966">
            <v>20749</v>
          </cell>
          <cell r="B966">
            <v>125591.12109300001</v>
          </cell>
          <cell r="C966">
            <v>33761.382812000003</v>
          </cell>
          <cell r="D966">
            <v>25049.494140999999</v>
          </cell>
        </row>
        <row r="967">
          <cell r="A967">
            <v>20750</v>
          </cell>
          <cell r="B967">
            <v>85406.226073999991</v>
          </cell>
          <cell r="C967">
            <v>24777.916015999999</v>
          </cell>
          <cell r="D967">
            <v>15794.630859000001</v>
          </cell>
        </row>
        <row r="968">
          <cell r="A968">
            <v>20755</v>
          </cell>
          <cell r="B968">
            <v>82837.830077999999</v>
          </cell>
          <cell r="C968">
            <v>23822.955077999999</v>
          </cell>
          <cell r="D968">
            <v>14790.169921999999</v>
          </cell>
        </row>
        <row r="969">
          <cell r="A969">
            <v>20762</v>
          </cell>
          <cell r="B969">
            <v>82553.732420999993</v>
          </cell>
          <cell r="C969">
            <v>13099.863281</v>
          </cell>
          <cell r="D969">
            <v>24508.279297000001</v>
          </cell>
        </row>
        <row r="970">
          <cell r="A970">
            <v>20781</v>
          </cell>
          <cell r="B970">
            <v>80609.461914</v>
          </cell>
          <cell r="C970">
            <v>21569.832031000002</v>
          </cell>
          <cell r="D970">
            <v>16690.216797000001</v>
          </cell>
        </row>
        <row r="971">
          <cell r="A971">
            <v>20782</v>
          </cell>
          <cell r="B971">
            <v>82609.129394000003</v>
          </cell>
          <cell r="C971">
            <v>13036.791992</v>
          </cell>
          <cell r="D971">
            <v>26535.144531000002</v>
          </cell>
        </row>
        <row r="972">
          <cell r="A972">
            <v>20787</v>
          </cell>
          <cell r="B972">
            <v>91883.411133000001</v>
          </cell>
          <cell r="C972">
            <v>14058.711914</v>
          </cell>
          <cell r="D972">
            <v>29693.169922000001</v>
          </cell>
        </row>
        <row r="973">
          <cell r="A973">
            <v>20788</v>
          </cell>
          <cell r="B973">
            <v>107884.41015800001</v>
          </cell>
          <cell r="C973">
            <v>18152.304688</v>
          </cell>
          <cell r="D973">
            <v>28952.546875</v>
          </cell>
        </row>
        <row r="974">
          <cell r="A974">
            <v>20789</v>
          </cell>
          <cell r="B974">
            <v>104018.279297</v>
          </cell>
          <cell r="C974">
            <v>18357.128906000002</v>
          </cell>
          <cell r="D974">
            <v>28318.865234000001</v>
          </cell>
        </row>
        <row r="975">
          <cell r="A975">
            <v>20790</v>
          </cell>
          <cell r="B975">
            <v>116356.201172</v>
          </cell>
          <cell r="C975">
            <v>20008.695312</v>
          </cell>
          <cell r="D975">
            <v>30701.773438</v>
          </cell>
        </row>
        <row r="976">
          <cell r="A976">
            <v>21781</v>
          </cell>
          <cell r="B976">
            <v>16776.500885000001</v>
          </cell>
          <cell r="C976">
            <v>2816.0104980000001</v>
          </cell>
          <cell r="D976">
            <v>4953.2900390000004</v>
          </cell>
        </row>
        <row r="977">
          <cell r="A977">
            <v>21782</v>
          </cell>
          <cell r="B977">
            <v>52177.149414</v>
          </cell>
          <cell r="C977">
            <v>9407.6162110000005</v>
          </cell>
          <cell r="D977">
            <v>13124.444336</v>
          </cell>
        </row>
        <row r="978">
          <cell r="A978">
            <v>21822</v>
          </cell>
          <cell r="B978">
            <v>56026.090576999995</v>
          </cell>
          <cell r="C978">
            <v>12255.667969</v>
          </cell>
          <cell r="D978">
            <v>14608.256836</v>
          </cell>
        </row>
        <row r="979">
          <cell r="A979">
            <v>21848</v>
          </cell>
          <cell r="B979">
            <v>54855.059327000003</v>
          </cell>
          <cell r="C979">
            <v>11678.511719</v>
          </cell>
          <cell r="D979">
            <v>12370.199219</v>
          </cell>
        </row>
        <row r="980">
          <cell r="A980">
            <v>21849</v>
          </cell>
          <cell r="B980">
            <v>66191.439941999997</v>
          </cell>
          <cell r="C980">
            <v>13164.947265999999</v>
          </cell>
          <cell r="D980">
            <v>15807.711914</v>
          </cell>
        </row>
        <row r="981">
          <cell r="A981">
            <v>21850</v>
          </cell>
          <cell r="B981">
            <v>14990.447021</v>
          </cell>
          <cell r="C981">
            <v>3614.3564449999999</v>
          </cell>
          <cell r="D981">
            <v>3628.3874510000001</v>
          </cell>
        </row>
        <row r="982">
          <cell r="A982">
            <v>21860</v>
          </cell>
          <cell r="B982">
            <v>28891.207763000002</v>
          </cell>
          <cell r="C982">
            <v>4947.0361329999996</v>
          </cell>
          <cell r="D982">
            <v>7792.4501950000003</v>
          </cell>
        </row>
        <row r="983">
          <cell r="A983">
            <v>21880</v>
          </cell>
          <cell r="B983">
            <v>27216.033691000001</v>
          </cell>
          <cell r="C983">
            <v>6413.9599609999996</v>
          </cell>
          <cell r="D983">
            <v>6404.9365230000003</v>
          </cell>
        </row>
        <row r="984">
          <cell r="A984">
            <v>21940</v>
          </cell>
          <cell r="B984">
            <v>43799.091675999996</v>
          </cell>
          <cell r="C984">
            <v>8894.9541019999997</v>
          </cell>
          <cell r="D984">
            <v>10731.844727</v>
          </cell>
        </row>
        <row r="985">
          <cell r="A985">
            <v>21941</v>
          </cell>
          <cell r="B985">
            <v>35358.841673999996</v>
          </cell>
          <cell r="C985">
            <v>5454.6826170000004</v>
          </cell>
          <cell r="D985">
            <v>9174.0595699999994</v>
          </cell>
        </row>
        <row r="986">
          <cell r="A986">
            <v>21942</v>
          </cell>
          <cell r="B986">
            <v>35792.005126000004</v>
          </cell>
          <cell r="C986">
            <v>8354.6777340000008</v>
          </cell>
          <cell r="D986">
            <v>8255.8037110000005</v>
          </cell>
        </row>
        <row r="987">
          <cell r="A987">
            <v>22077</v>
          </cell>
          <cell r="B987">
            <v>13547.961914</v>
          </cell>
          <cell r="C987">
            <v>2060.8642580000001</v>
          </cell>
          <cell r="D987">
            <v>6483.7470700000003</v>
          </cell>
        </row>
        <row r="988">
          <cell r="A988">
            <v>22146</v>
          </cell>
          <cell r="B988">
            <v>81468.671386000002</v>
          </cell>
          <cell r="C988">
            <v>15661.618164</v>
          </cell>
          <cell r="D988">
            <v>17710.476562</v>
          </cell>
        </row>
        <row r="989">
          <cell r="A989">
            <v>22157</v>
          </cell>
          <cell r="B989">
            <v>95676.079590000008</v>
          </cell>
          <cell r="C989">
            <v>16672.796875</v>
          </cell>
          <cell r="D989">
            <v>23564.941406000002</v>
          </cell>
        </row>
        <row r="990">
          <cell r="A990">
            <v>22158</v>
          </cell>
          <cell r="B990">
            <v>95676.079590000008</v>
          </cell>
          <cell r="C990">
            <v>16672.796875</v>
          </cell>
          <cell r="D990">
            <v>23564.941406000002</v>
          </cell>
        </row>
        <row r="991">
          <cell r="A991">
            <v>22275</v>
          </cell>
          <cell r="B991">
            <v>16175.667572</v>
          </cell>
          <cell r="C991">
            <v>6074.2607420000004</v>
          </cell>
          <cell r="D991">
            <v>2846.9760740000002</v>
          </cell>
        </row>
        <row r="992">
          <cell r="A992">
            <v>22603</v>
          </cell>
          <cell r="B992">
            <v>102734.513184</v>
          </cell>
          <cell r="C992">
            <v>16014.115234000001</v>
          </cell>
          <cell r="D992">
            <v>29994.886718999998</v>
          </cell>
        </row>
        <row r="993">
          <cell r="A993">
            <v>22715</v>
          </cell>
          <cell r="B993">
            <v>83091.062988000005</v>
          </cell>
          <cell r="C993">
            <v>21892.751952999999</v>
          </cell>
          <cell r="D993">
            <v>16646.431640999999</v>
          </cell>
        </row>
        <row r="994">
          <cell r="A994">
            <v>22716</v>
          </cell>
          <cell r="B994">
            <v>81576.473876999997</v>
          </cell>
          <cell r="C994">
            <v>14596.849609000001</v>
          </cell>
          <cell r="D994">
            <v>24890.080077999999</v>
          </cell>
        </row>
        <row r="995">
          <cell r="A995">
            <v>22740</v>
          </cell>
          <cell r="B995">
            <v>73773.267579000007</v>
          </cell>
          <cell r="C995">
            <v>18636.103515999999</v>
          </cell>
          <cell r="D995">
            <v>16837.259765999999</v>
          </cell>
        </row>
        <row r="996">
          <cell r="A996">
            <v>22743</v>
          </cell>
          <cell r="B996">
            <v>73383.968261999995</v>
          </cell>
          <cell r="C996">
            <v>15794.90625</v>
          </cell>
          <cell r="D996">
            <v>19608.105468999998</v>
          </cell>
        </row>
        <row r="997">
          <cell r="A997">
            <v>22756</v>
          </cell>
          <cell r="B997">
            <v>75729.483886999995</v>
          </cell>
          <cell r="C997">
            <v>16770.921875</v>
          </cell>
          <cell r="D997">
            <v>18744.759765999999</v>
          </cell>
        </row>
        <row r="998">
          <cell r="A998">
            <v>22757</v>
          </cell>
          <cell r="B998">
            <v>44373.544677999998</v>
          </cell>
          <cell r="C998">
            <v>9476.8388670000004</v>
          </cell>
          <cell r="D998">
            <v>10274.478515999999</v>
          </cell>
        </row>
        <row r="999">
          <cell r="A999">
            <v>22761</v>
          </cell>
          <cell r="B999">
            <v>64839.009276999997</v>
          </cell>
          <cell r="C999">
            <v>19493.849609000001</v>
          </cell>
          <cell r="D999">
            <v>11687.135742</v>
          </cell>
        </row>
        <row r="1000">
          <cell r="A1000">
            <v>22937</v>
          </cell>
          <cell r="B1000">
            <v>56026.090576999995</v>
          </cell>
          <cell r="C1000">
            <v>12255.667969</v>
          </cell>
          <cell r="D1000">
            <v>14608.256836</v>
          </cell>
        </row>
        <row r="1001">
          <cell r="A1001">
            <v>22953</v>
          </cell>
          <cell r="B1001">
            <v>77224.376952999999</v>
          </cell>
          <cell r="C1001">
            <v>16337.680664</v>
          </cell>
          <cell r="D1001">
            <v>20422.271484000001</v>
          </cell>
        </row>
        <row r="1002">
          <cell r="A1002">
            <v>23000</v>
          </cell>
          <cell r="B1002">
            <v>54855.059327000003</v>
          </cell>
          <cell r="C1002">
            <v>11678.511719</v>
          </cell>
          <cell r="D1002">
            <v>12370.199219</v>
          </cell>
        </row>
        <row r="1003">
          <cell r="A1003">
            <v>23044</v>
          </cell>
          <cell r="B1003">
            <v>22570.076187999999</v>
          </cell>
          <cell r="C1003">
            <v>3786.7377929999998</v>
          </cell>
          <cell r="D1003">
            <v>9327.5654300000006</v>
          </cell>
        </row>
        <row r="1004">
          <cell r="A1004">
            <v>23053</v>
          </cell>
          <cell r="B1004">
            <v>22948.723755999999</v>
          </cell>
          <cell r="C1004">
            <v>3485.6503910000001</v>
          </cell>
          <cell r="D1004">
            <v>10056.764648</v>
          </cell>
        </row>
        <row r="1005">
          <cell r="A1005">
            <v>23128</v>
          </cell>
          <cell r="B1005">
            <v>20060.137237999999</v>
          </cell>
          <cell r="C1005">
            <v>8070.5820309999999</v>
          </cell>
          <cell r="D1005">
            <v>3654.3554690000001</v>
          </cell>
        </row>
        <row r="1006">
          <cell r="A1006">
            <v>23142</v>
          </cell>
          <cell r="B1006">
            <v>23252.484629999999</v>
          </cell>
          <cell r="C1006">
            <v>9661.7236329999996</v>
          </cell>
          <cell r="D1006">
            <v>5428.9711909999996</v>
          </cell>
        </row>
        <row r="1007">
          <cell r="A1007">
            <v>23435</v>
          </cell>
          <cell r="B1007">
            <v>22557.289672000003</v>
          </cell>
          <cell r="C1007">
            <v>3808.6347660000001</v>
          </cell>
          <cell r="D1007">
            <v>4749.0805659999996</v>
          </cell>
        </row>
        <row r="1008">
          <cell r="A1008">
            <v>23557</v>
          </cell>
          <cell r="B1008">
            <v>95475.370604999989</v>
          </cell>
          <cell r="C1008">
            <v>18862.144531000002</v>
          </cell>
          <cell r="D1008">
            <v>22982.552734000001</v>
          </cell>
        </row>
        <row r="1009">
          <cell r="A1009">
            <v>23851</v>
          </cell>
          <cell r="B1009">
            <v>83835.271972999995</v>
          </cell>
          <cell r="C1009">
            <v>18561.277343999998</v>
          </cell>
          <cell r="D1009">
            <v>19374.949218999998</v>
          </cell>
        </row>
        <row r="1010">
          <cell r="A1010">
            <v>23867</v>
          </cell>
          <cell r="B1010">
            <v>40157.910155999998</v>
          </cell>
          <cell r="C1010">
            <v>12770.491211</v>
          </cell>
          <cell r="D1010">
            <v>7529.5283200000003</v>
          </cell>
        </row>
        <row r="1011">
          <cell r="A1011">
            <v>23885</v>
          </cell>
          <cell r="B1011">
            <v>29196.397217999998</v>
          </cell>
          <cell r="C1011">
            <v>9534.4628909999992</v>
          </cell>
          <cell r="D1011">
            <v>5363.0053710000002</v>
          </cell>
        </row>
        <row r="1012">
          <cell r="A1012">
            <v>24091</v>
          </cell>
          <cell r="B1012">
            <v>61263.683593000002</v>
          </cell>
          <cell r="C1012">
            <v>16006.320312</v>
          </cell>
          <cell r="D1012">
            <v>13876.410156</v>
          </cell>
        </row>
        <row r="1013">
          <cell r="A1013">
            <v>24140</v>
          </cell>
          <cell r="B1013">
            <v>79601.837402999998</v>
          </cell>
          <cell r="C1013">
            <v>17016.806640999999</v>
          </cell>
          <cell r="D1013">
            <v>17950.041015999999</v>
          </cell>
        </row>
        <row r="1014">
          <cell r="A1014">
            <v>24143</v>
          </cell>
          <cell r="B1014">
            <v>78478.922850999996</v>
          </cell>
          <cell r="C1014">
            <v>14593.205078000001</v>
          </cell>
          <cell r="D1014">
            <v>18970.683593999998</v>
          </cell>
        </row>
        <row r="1015">
          <cell r="A1015">
            <v>24158</v>
          </cell>
          <cell r="B1015">
            <v>61621.090087999997</v>
          </cell>
          <cell r="C1015">
            <v>9511.3574219999991</v>
          </cell>
          <cell r="D1015">
            <v>20860.212890999999</v>
          </cell>
        </row>
        <row r="1016">
          <cell r="A1016">
            <v>24173</v>
          </cell>
          <cell r="B1016">
            <v>3653.5550070000004</v>
          </cell>
          <cell r="C1016">
            <v>1338.3201899999999</v>
          </cell>
          <cell r="D1016">
            <v>241.96954299999999</v>
          </cell>
        </row>
        <row r="1017">
          <cell r="A1017">
            <v>24186</v>
          </cell>
          <cell r="B1017">
            <v>66244.214842999994</v>
          </cell>
          <cell r="C1017">
            <v>19373.535156000002</v>
          </cell>
          <cell r="D1017">
            <v>13229.370117</v>
          </cell>
        </row>
        <row r="1018">
          <cell r="A1018">
            <v>24212</v>
          </cell>
          <cell r="B1018">
            <v>1828.7254640000001</v>
          </cell>
          <cell r="C1018">
            <v>1828.7254640000001</v>
          </cell>
          <cell r="D1018">
            <v>0</v>
          </cell>
        </row>
        <row r="1019">
          <cell r="A1019">
            <v>24224</v>
          </cell>
          <cell r="B1019">
            <v>1985.8908690000001</v>
          </cell>
          <cell r="C1019">
            <v>0</v>
          </cell>
          <cell r="D1019">
            <v>1985.8908690000001</v>
          </cell>
        </row>
        <row r="1020">
          <cell r="A1020">
            <v>24499</v>
          </cell>
          <cell r="B1020">
            <v>92708.025879000008</v>
          </cell>
          <cell r="C1020">
            <v>20608.318359000001</v>
          </cell>
          <cell r="D1020">
            <v>23117.041015999999</v>
          </cell>
        </row>
        <row r="1021">
          <cell r="A1021">
            <v>24523</v>
          </cell>
          <cell r="B1021">
            <v>111696.537109</v>
          </cell>
          <cell r="C1021">
            <v>22564.828125</v>
          </cell>
          <cell r="D1021">
            <v>29776.359375</v>
          </cell>
        </row>
        <row r="1022">
          <cell r="A1022">
            <v>24696</v>
          </cell>
          <cell r="B1022">
            <v>59012.345948000002</v>
          </cell>
          <cell r="C1022">
            <v>12334.335938</v>
          </cell>
          <cell r="D1022">
            <v>14461.248046999999</v>
          </cell>
        </row>
        <row r="1023">
          <cell r="A1023">
            <v>24703</v>
          </cell>
          <cell r="B1023">
            <v>80498.100097000002</v>
          </cell>
          <cell r="C1023">
            <v>16210.225586</v>
          </cell>
          <cell r="D1023">
            <v>21097.476562</v>
          </cell>
        </row>
        <row r="1024">
          <cell r="A1024">
            <v>24704</v>
          </cell>
          <cell r="B1024">
            <v>118720.908692</v>
          </cell>
          <cell r="C1024">
            <v>21392.876952999999</v>
          </cell>
          <cell r="D1024">
            <v>31391.683593999998</v>
          </cell>
        </row>
        <row r="1025">
          <cell r="A1025">
            <v>24714</v>
          </cell>
          <cell r="B1025">
            <v>13777.652832999998</v>
          </cell>
          <cell r="C1025">
            <v>3608.2148440000001</v>
          </cell>
          <cell r="D1025">
            <v>2560.2475589999999</v>
          </cell>
        </row>
        <row r="1026">
          <cell r="A1026">
            <v>24750</v>
          </cell>
          <cell r="B1026">
            <v>14328.058105999999</v>
          </cell>
          <cell r="C1026">
            <v>3814.3076169999999</v>
          </cell>
          <cell r="D1026">
            <v>4319.5708009999998</v>
          </cell>
        </row>
        <row r="1027">
          <cell r="A1027">
            <v>24770</v>
          </cell>
          <cell r="B1027">
            <v>17267.160339999999</v>
          </cell>
          <cell r="C1027">
            <v>3984.5429690000001</v>
          </cell>
          <cell r="D1027">
            <v>4798.4726559999999</v>
          </cell>
        </row>
        <row r="1028">
          <cell r="A1028">
            <v>25025</v>
          </cell>
          <cell r="B1028">
            <v>64839.009276999997</v>
          </cell>
          <cell r="C1028">
            <v>19493.849609000001</v>
          </cell>
          <cell r="D1028">
            <v>11687.135742</v>
          </cell>
        </row>
        <row r="1029">
          <cell r="A1029">
            <v>25099</v>
          </cell>
          <cell r="B1029">
            <v>125727.16503999999</v>
          </cell>
          <cell r="C1029">
            <v>19846.544922000001</v>
          </cell>
          <cell r="D1029">
            <v>38712.15625</v>
          </cell>
        </row>
        <row r="1030">
          <cell r="A1030">
            <v>25100</v>
          </cell>
          <cell r="B1030">
            <v>126564.438477</v>
          </cell>
          <cell r="C1030">
            <v>31393.589843999998</v>
          </cell>
          <cell r="D1030">
            <v>23310.728515999999</v>
          </cell>
        </row>
        <row r="1031">
          <cell r="A1031">
            <v>25104</v>
          </cell>
          <cell r="B1031">
            <v>124849.977539</v>
          </cell>
          <cell r="C1031">
            <v>31482.712890999999</v>
          </cell>
          <cell r="D1031">
            <v>23598.763672000001</v>
          </cell>
        </row>
        <row r="1032">
          <cell r="A1032">
            <v>25105</v>
          </cell>
          <cell r="B1032">
            <v>159703.032225</v>
          </cell>
          <cell r="C1032">
            <v>35762.140625</v>
          </cell>
          <cell r="D1032">
            <v>31977.820312</v>
          </cell>
        </row>
        <row r="1033">
          <cell r="A1033">
            <v>25128</v>
          </cell>
          <cell r="B1033">
            <v>109237.30957000001</v>
          </cell>
          <cell r="C1033">
            <v>23536.158202999999</v>
          </cell>
          <cell r="D1033">
            <v>28339.908202999999</v>
          </cell>
        </row>
        <row r="1034">
          <cell r="A1034">
            <v>25142</v>
          </cell>
          <cell r="B1034">
            <v>96001.756834999993</v>
          </cell>
          <cell r="C1034">
            <v>20660.070312</v>
          </cell>
          <cell r="D1034">
            <v>24406.072265999999</v>
          </cell>
        </row>
        <row r="1035">
          <cell r="A1035">
            <v>25162</v>
          </cell>
          <cell r="B1035">
            <v>19265.899047999999</v>
          </cell>
          <cell r="C1035">
            <v>3798.6584469999998</v>
          </cell>
          <cell r="D1035">
            <v>4057.8901369999999</v>
          </cell>
        </row>
        <row r="1036">
          <cell r="A1036">
            <v>25163</v>
          </cell>
          <cell r="B1036">
            <v>84182.224608999997</v>
          </cell>
          <cell r="C1036">
            <v>18563.863281000002</v>
          </cell>
          <cell r="D1036">
            <v>21519.048827999999</v>
          </cell>
        </row>
        <row r="1037">
          <cell r="A1037">
            <v>25259</v>
          </cell>
          <cell r="B1037">
            <v>19265.899047999999</v>
          </cell>
          <cell r="C1037">
            <v>3798.6584469999998</v>
          </cell>
          <cell r="D1037">
            <v>4057.8901369999999</v>
          </cell>
        </row>
        <row r="1038">
          <cell r="A1038">
            <v>25357</v>
          </cell>
          <cell r="B1038">
            <v>4818.6818970000004</v>
          </cell>
          <cell r="C1038">
            <v>692.96118200000001</v>
          </cell>
          <cell r="D1038">
            <v>2340.505615</v>
          </cell>
        </row>
        <row r="1039">
          <cell r="A1039">
            <v>25364</v>
          </cell>
          <cell r="B1039">
            <v>6979.8714290000007</v>
          </cell>
          <cell r="C1039">
            <v>1397.292236</v>
          </cell>
          <cell r="D1039">
            <v>2420.904297</v>
          </cell>
        </row>
        <row r="1040">
          <cell r="A1040">
            <v>25381</v>
          </cell>
          <cell r="B1040">
            <v>13547.961914</v>
          </cell>
          <cell r="C1040">
            <v>2060.8642580000001</v>
          </cell>
          <cell r="D1040">
            <v>6483.7470700000003</v>
          </cell>
        </row>
        <row r="1041">
          <cell r="A1041">
            <v>25386</v>
          </cell>
          <cell r="B1041">
            <v>11064.571824000001</v>
          </cell>
          <cell r="C1041">
            <v>1810.005249</v>
          </cell>
          <cell r="D1041">
            <v>4525.5776370000003</v>
          </cell>
        </row>
        <row r="1042">
          <cell r="A1042">
            <v>25387</v>
          </cell>
          <cell r="B1042">
            <v>119337.416015</v>
          </cell>
          <cell r="C1042">
            <v>19060.839843999998</v>
          </cell>
          <cell r="D1042">
            <v>33859.6875</v>
          </cell>
        </row>
        <row r="1043">
          <cell r="A1043">
            <v>25406</v>
          </cell>
          <cell r="B1043">
            <v>117944.192383</v>
          </cell>
          <cell r="C1043">
            <v>28774.125</v>
          </cell>
          <cell r="D1043">
            <v>23011.384765999999</v>
          </cell>
        </row>
        <row r="1044">
          <cell r="A1044">
            <v>25409</v>
          </cell>
          <cell r="B1044">
            <v>62734.365722000002</v>
          </cell>
          <cell r="C1044">
            <v>9940.6669920000004</v>
          </cell>
          <cell r="D1044">
            <v>18226.771484000001</v>
          </cell>
        </row>
        <row r="1045">
          <cell r="A1045">
            <v>25467</v>
          </cell>
          <cell r="B1045">
            <v>12337.464295000002</v>
          </cell>
          <cell r="C1045">
            <v>6284.8833009999998</v>
          </cell>
          <cell r="D1045">
            <v>1665.15625</v>
          </cell>
        </row>
        <row r="1046">
          <cell r="A1046">
            <v>25531</v>
          </cell>
          <cell r="B1046">
            <v>29246.889404000001</v>
          </cell>
          <cell r="C1046">
            <v>5271.0214839999999</v>
          </cell>
          <cell r="D1046">
            <v>6142.1508789999998</v>
          </cell>
        </row>
        <row r="1047">
          <cell r="A1047">
            <v>25532</v>
          </cell>
          <cell r="B1047">
            <v>29246.889404000001</v>
          </cell>
          <cell r="C1047">
            <v>5271.0214839999999</v>
          </cell>
          <cell r="D1047">
            <v>6142.1508789999998</v>
          </cell>
        </row>
        <row r="1048">
          <cell r="A1048">
            <v>25533</v>
          </cell>
          <cell r="B1048">
            <v>30902.489135</v>
          </cell>
          <cell r="C1048">
            <v>4783.8789059999999</v>
          </cell>
          <cell r="D1048">
            <v>7642.4145509999998</v>
          </cell>
        </row>
        <row r="1049">
          <cell r="A1049">
            <v>25742</v>
          </cell>
          <cell r="B1049">
            <v>66791.018066000004</v>
          </cell>
          <cell r="C1049">
            <v>17196.115234000001</v>
          </cell>
          <cell r="D1049">
            <v>14624.327148</v>
          </cell>
        </row>
        <row r="1050">
          <cell r="A1050">
            <v>25749</v>
          </cell>
          <cell r="B1050">
            <v>15697.252960000002</v>
          </cell>
          <cell r="C1050">
            <v>6218.9858400000003</v>
          </cell>
          <cell r="D1050">
            <v>2576.515625</v>
          </cell>
        </row>
        <row r="1051">
          <cell r="A1051">
            <v>25750</v>
          </cell>
          <cell r="B1051">
            <v>103337.96044900001</v>
          </cell>
          <cell r="C1051">
            <v>18090.667968999998</v>
          </cell>
          <cell r="D1051">
            <v>30023.519531000002</v>
          </cell>
        </row>
        <row r="1052">
          <cell r="A1052">
            <v>25751</v>
          </cell>
          <cell r="B1052">
            <v>111463.05859300001</v>
          </cell>
          <cell r="C1052">
            <v>25397.861327999999</v>
          </cell>
          <cell r="D1052">
            <v>23435.019531000002</v>
          </cell>
        </row>
        <row r="1053">
          <cell r="A1053">
            <v>25811</v>
          </cell>
          <cell r="B1053">
            <v>36606.112061</v>
          </cell>
          <cell r="C1053">
            <v>7744.5722660000001</v>
          </cell>
          <cell r="D1053">
            <v>9140.53125</v>
          </cell>
        </row>
        <row r="1054">
          <cell r="A1054">
            <v>25812</v>
          </cell>
          <cell r="B1054">
            <v>36606.112061</v>
          </cell>
          <cell r="C1054">
            <v>7744.5722660000001</v>
          </cell>
          <cell r="D1054">
            <v>9140.53125</v>
          </cell>
        </row>
        <row r="1055">
          <cell r="A1055">
            <v>25822</v>
          </cell>
          <cell r="B1055">
            <v>9459.9804079999994</v>
          </cell>
          <cell r="C1055">
            <v>1003.921143</v>
          </cell>
          <cell r="D1055">
            <v>3218.482422</v>
          </cell>
        </row>
        <row r="1056">
          <cell r="A1056">
            <v>25842</v>
          </cell>
          <cell r="B1056">
            <v>101788.471191</v>
          </cell>
          <cell r="C1056">
            <v>16423.154297000001</v>
          </cell>
          <cell r="D1056">
            <v>30507.140625</v>
          </cell>
        </row>
        <row r="1057">
          <cell r="A1057">
            <v>25843</v>
          </cell>
          <cell r="B1057">
            <v>101499.545899</v>
          </cell>
          <cell r="C1057">
            <v>25633.527343999998</v>
          </cell>
          <cell r="D1057">
            <v>19428.822265999999</v>
          </cell>
        </row>
        <row r="1058">
          <cell r="A1058">
            <v>25848</v>
          </cell>
          <cell r="B1058">
            <v>112043.30468799999</v>
          </cell>
          <cell r="C1058">
            <v>22931.871093999998</v>
          </cell>
          <cell r="D1058">
            <v>24022.767577999999</v>
          </cell>
        </row>
        <row r="1059">
          <cell r="A1059">
            <v>25849</v>
          </cell>
          <cell r="B1059">
            <v>92043.354980000004</v>
          </cell>
          <cell r="C1059">
            <v>24080.132812</v>
          </cell>
          <cell r="D1059">
            <v>15504.049805000001</v>
          </cell>
        </row>
        <row r="1060">
          <cell r="A1060">
            <v>25866</v>
          </cell>
          <cell r="B1060">
            <v>62128.381346999988</v>
          </cell>
          <cell r="C1060">
            <v>17362.896484000001</v>
          </cell>
          <cell r="D1060">
            <v>11886.195312</v>
          </cell>
        </row>
        <row r="1061">
          <cell r="A1061">
            <v>25867</v>
          </cell>
          <cell r="B1061">
            <v>110480.172852</v>
          </cell>
          <cell r="C1061">
            <v>17225.052734000001</v>
          </cell>
          <cell r="D1061">
            <v>33521.027344000002</v>
          </cell>
        </row>
        <row r="1062">
          <cell r="A1062">
            <v>25869</v>
          </cell>
          <cell r="B1062">
            <v>104433.079101</v>
          </cell>
          <cell r="C1062">
            <v>24302.384765999999</v>
          </cell>
          <cell r="D1062">
            <v>21332.662109000001</v>
          </cell>
        </row>
        <row r="1063">
          <cell r="A1063">
            <v>25878</v>
          </cell>
          <cell r="B1063">
            <v>90446.629394000003</v>
          </cell>
          <cell r="C1063">
            <v>15589.226562</v>
          </cell>
          <cell r="D1063">
            <v>27401.541015999999</v>
          </cell>
        </row>
        <row r="1064">
          <cell r="A1064">
            <v>25879</v>
          </cell>
          <cell r="B1064">
            <v>87837.930175999994</v>
          </cell>
          <cell r="C1064">
            <v>23114.003906000002</v>
          </cell>
          <cell r="D1064">
            <v>19516.800781000002</v>
          </cell>
        </row>
        <row r="1065">
          <cell r="A1065">
            <v>25883</v>
          </cell>
          <cell r="B1065">
            <v>46309.335449999999</v>
          </cell>
          <cell r="C1065">
            <v>10158.123046999999</v>
          </cell>
          <cell r="D1065">
            <v>11005.991211</v>
          </cell>
        </row>
        <row r="1066">
          <cell r="A1066">
            <v>25886</v>
          </cell>
          <cell r="B1066">
            <v>6255.6988139999994</v>
          </cell>
          <cell r="C1066">
            <v>1301.852905</v>
          </cell>
          <cell r="D1066">
            <v>1674.975952</v>
          </cell>
        </row>
        <row r="1067">
          <cell r="A1067">
            <v>25887</v>
          </cell>
          <cell r="B1067">
            <v>43026.740722999995</v>
          </cell>
          <cell r="C1067">
            <v>8436.0419920000004</v>
          </cell>
          <cell r="D1067">
            <v>11540.101562</v>
          </cell>
        </row>
        <row r="1068">
          <cell r="A1068">
            <v>25889</v>
          </cell>
          <cell r="B1068">
            <v>43026.740722999995</v>
          </cell>
          <cell r="C1068">
            <v>8436.0419920000004</v>
          </cell>
          <cell r="D1068">
            <v>11540.101562</v>
          </cell>
        </row>
        <row r="1069">
          <cell r="A1069">
            <v>25890</v>
          </cell>
          <cell r="B1069">
            <v>43799.091675999996</v>
          </cell>
          <cell r="C1069">
            <v>8894.9541019999997</v>
          </cell>
          <cell r="D1069">
            <v>10731.844727</v>
          </cell>
        </row>
        <row r="1070">
          <cell r="A1070">
            <v>25891</v>
          </cell>
          <cell r="B1070">
            <v>43799.091675999996</v>
          </cell>
          <cell r="C1070">
            <v>8894.9541019999997</v>
          </cell>
          <cell r="D1070">
            <v>10731.844727</v>
          </cell>
        </row>
        <row r="1071">
          <cell r="A1071">
            <v>25938</v>
          </cell>
          <cell r="B1071">
            <v>68804.772949999999</v>
          </cell>
          <cell r="C1071">
            <v>20099.703125</v>
          </cell>
          <cell r="D1071">
            <v>14314.711914</v>
          </cell>
        </row>
        <row r="1072">
          <cell r="A1072">
            <v>25985</v>
          </cell>
          <cell r="B1072" t="e">
            <v>#N/A</v>
          </cell>
          <cell r="C1072" t="e">
            <v>#N/A</v>
          </cell>
          <cell r="D1072" t="e">
            <v>#N/A</v>
          </cell>
        </row>
        <row r="1073">
          <cell r="A1073">
            <v>26014</v>
          </cell>
          <cell r="B1073">
            <v>87387.312988999998</v>
          </cell>
          <cell r="C1073">
            <v>20167.023438</v>
          </cell>
          <cell r="D1073">
            <v>20734.320312</v>
          </cell>
        </row>
        <row r="1074">
          <cell r="A1074">
            <v>26017</v>
          </cell>
          <cell r="B1074">
            <v>93138.640137000009</v>
          </cell>
          <cell r="C1074">
            <v>20076.070312</v>
          </cell>
          <cell r="D1074">
            <v>26429.449218999998</v>
          </cell>
        </row>
        <row r="1075">
          <cell r="A1075">
            <v>26064</v>
          </cell>
          <cell r="B1075">
            <v>87387.312988999998</v>
          </cell>
          <cell r="C1075">
            <v>20167.023438</v>
          </cell>
          <cell r="D1075">
            <v>20734.320312</v>
          </cell>
        </row>
        <row r="1076">
          <cell r="A1076">
            <v>26065</v>
          </cell>
          <cell r="B1076">
            <v>93138.640137000009</v>
          </cell>
          <cell r="C1076">
            <v>20076.070312</v>
          </cell>
          <cell r="D1076">
            <v>26429.449218999998</v>
          </cell>
        </row>
        <row r="1077">
          <cell r="A1077">
            <v>26117</v>
          </cell>
          <cell r="B1077">
            <v>14372.068604</v>
          </cell>
          <cell r="C1077">
            <v>5114.9853519999997</v>
          </cell>
          <cell r="D1077">
            <v>2686.0783689999998</v>
          </cell>
        </row>
        <row r="1079">
          <cell r="A1079">
            <v>26279</v>
          </cell>
          <cell r="B1079">
            <v>110480.172852</v>
          </cell>
          <cell r="C1079">
            <v>17225.052734000001</v>
          </cell>
          <cell r="D1079">
            <v>33521.027344000002</v>
          </cell>
        </row>
        <row r="1080">
          <cell r="A1080">
            <v>26293</v>
          </cell>
          <cell r="B1080">
            <v>102506.099122</v>
          </cell>
          <cell r="C1080">
            <v>16198.090819999999</v>
          </cell>
          <cell r="D1080">
            <v>29805.939452999999</v>
          </cell>
        </row>
        <row r="1081">
          <cell r="A1081">
            <v>26294</v>
          </cell>
          <cell r="B1081">
            <v>114317.379883</v>
          </cell>
          <cell r="C1081">
            <v>29384.787109000001</v>
          </cell>
          <cell r="D1081">
            <v>21383.244140999999</v>
          </cell>
        </row>
        <row r="1082">
          <cell r="A1082">
            <v>26417</v>
          </cell>
          <cell r="B1082">
            <v>104345.700195</v>
          </cell>
          <cell r="C1082">
            <v>23302.654297000001</v>
          </cell>
          <cell r="D1082">
            <v>21206.832031000002</v>
          </cell>
        </row>
        <row r="1083">
          <cell r="A1083">
            <v>26523</v>
          </cell>
          <cell r="B1083">
            <v>98914.734375</v>
          </cell>
          <cell r="C1083">
            <v>15898.860352</v>
          </cell>
          <cell r="D1083">
            <v>29582.496093999998</v>
          </cell>
        </row>
        <row r="1084">
          <cell r="A1084">
            <v>26546</v>
          </cell>
          <cell r="B1084">
            <v>90248.988282000006</v>
          </cell>
          <cell r="C1084">
            <v>14893.682617</v>
          </cell>
          <cell r="D1084">
            <v>26676.529297000001</v>
          </cell>
        </row>
        <row r="1085">
          <cell r="A1085">
            <v>26547</v>
          </cell>
          <cell r="B1085">
            <v>95558.247558999996</v>
          </cell>
          <cell r="C1085">
            <v>14813.873046999999</v>
          </cell>
          <cell r="D1085">
            <v>27735.917968999998</v>
          </cell>
        </row>
        <row r="1086">
          <cell r="A1086">
            <v>26561</v>
          </cell>
          <cell r="B1086">
            <v>94547.620117999992</v>
          </cell>
          <cell r="C1086">
            <v>17322.166015999999</v>
          </cell>
          <cell r="D1086">
            <v>24837.267577999999</v>
          </cell>
        </row>
        <row r="1087">
          <cell r="A1087">
            <v>26562</v>
          </cell>
          <cell r="B1087">
            <v>91075.8125</v>
          </cell>
          <cell r="C1087">
            <v>19530.878906000002</v>
          </cell>
          <cell r="D1087">
            <v>18670.767577999999</v>
          </cell>
        </row>
        <row r="1088">
          <cell r="A1088">
            <v>26563</v>
          </cell>
          <cell r="B1088">
            <v>94304.983396999989</v>
          </cell>
          <cell r="C1088">
            <v>22666.785156000002</v>
          </cell>
          <cell r="D1088">
            <v>17459.945312</v>
          </cell>
        </row>
        <row r="1089">
          <cell r="A1089">
            <v>26564</v>
          </cell>
          <cell r="B1089">
            <v>90090.123045999993</v>
          </cell>
          <cell r="C1089">
            <v>21472.263672000001</v>
          </cell>
          <cell r="D1089">
            <v>17917.552734000001</v>
          </cell>
        </row>
        <row r="1090">
          <cell r="A1090">
            <v>26622</v>
          </cell>
          <cell r="B1090">
            <v>99577.021483999997</v>
          </cell>
          <cell r="C1090">
            <v>24745.205077999999</v>
          </cell>
          <cell r="D1090">
            <v>19064.914062</v>
          </cell>
        </row>
        <row r="1091">
          <cell r="A1091">
            <v>26623</v>
          </cell>
          <cell r="B1091">
            <v>60277.864259000002</v>
          </cell>
          <cell r="C1091">
            <v>11892.954102</v>
          </cell>
          <cell r="D1091">
            <v>12647.763671999999</v>
          </cell>
        </row>
        <row r="1092">
          <cell r="A1092">
            <v>26667</v>
          </cell>
          <cell r="B1092">
            <v>59719.736571999994</v>
          </cell>
          <cell r="C1092">
            <v>11804.970703000001</v>
          </cell>
          <cell r="D1092">
            <v>16794.769531000002</v>
          </cell>
        </row>
        <row r="1093">
          <cell r="A1093">
            <v>26675</v>
          </cell>
          <cell r="B1093">
            <v>59458.420899000004</v>
          </cell>
          <cell r="C1093">
            <v>12607.731444999999</v>
          </cell>
          <cell r="D1093">
            <v>12195.829102</v>
          </cell>
        </row>
        <row r="1094">
          <cell r="A1094">
            <v>26707</v>
          </cell>
          <cell r="B1094">
            <v>103039.417724</v>
          </cell>
          <cell r="C1094">
            <v>23244.925781000002</v>
          </cell>
          <cell r="D1094">
            <v>26332.072265999999</v>
          </cell>
        </row>
        <row r="1095">
          <cell r="A1095">
            <v>26708</v>
          </cell>
          <cell r="B1095">
            <v>95449.440430000002</v>
          </cell>
          <cell r="C1095">
            <v>21675.144531000002</v>
          </cell>
          <cell r="D1095">
            <v>24569.109375</v>
          </cell>
        </row>
        <row r="1096">
          <cell r="A1096">
            <v>26722</v>
          </cell>
          <cell r="B1096">
            <v>108557.426758</v>
          </cell>
          <cell r="C1096">
            <v>23754.277343999998</v>
          </cell>
          <cell r="D1096">
            <v>27119.654297000001</v>
          </cell>
        </row>
        <row r="1097">
          <cell r="A1097">
            <v>26788</v>
          </cell>
          <cell r="B1097">
            <v>98829.285155999998</v>
          </cell>
          <cell r="C1097">
            <v>20569.888672000001</v>
          </cell>
          <cell r="D1097">
            <v>24211.787109000001</v>
          </cell>
        </row>
        <row r="1098">
          <cell r="A1098">
            <v>26791</v>
          </cell>
          <cell r="B1098">
            <v>96312.503417999993</v>
          </cell>
          <cell r="C1098">
            <v>20482.992188</v>
          </cell>
          <cell r="D1098">
            <v>23914.396484000001</v>
          </cell>
        </row>
        <row r="1099">
          <cell r="A1099">
            <v>26870</v>
          </cell>
          <cell r="B1099">
            <v>110784.33837900001</v>
          </cell>
          <cell r="C1099">
            <v>18877.945312</v>
          </cell>
          <cell r="D1099">
            <v>32537.75</v>
          </cell>
        </row>
        <row r="1100">
          <cell r="A1100">
            <v>26879</v>
          </cell>
          <cell r="B1100">
            <v>118255.37207</v>
          </cell>
          <cell r="C1100">
            <v>27838.642577999999</v>
          </cell>
          <cell r="D1100">
            <v>24528.134765999999</v>
          </cell>
        </row>
        <row r="1101">
          <cell r="A1101">
            <v>26911</v>
          </cell>
          <cell r="B1101">
            <v>59838.676025000008</v>
          </cell>
          <cell r="C1101">
            <v>11664.999023</v>
          </cell>
          <cell r="D1101">
            <v>16431.582031000002</v>
          </cell>
        </row>
        <row r="1102">
          <cell r="A1102">
            <v>27014</v>
          </cell>
          <cell r="B1102">
            <v>32957.96875</v>
          </cell>
          <cell r="C1102">
            <v>7343.2226559999999</v>
          </cell>
          <cell r="D1102">
            <v>7920.5029299999997</v>
          </cell>
        </row>
        <row r="1103">
          <cell r="A1103">
            <v>27015</v>
          </cell>
          <cell r="B1103">
            <v>18846.714905000001</v>
          </cell>
          <cell r="C1103">
            <v>3824.1142580000001</v>
          </cell>
          <cell r="D1103">
            <v>5423.7290039999998</v>
          </cell>
        </row>
        <row r="1104">
          <cell r="A1104">
            <v>27131</v>
          </cell>
          <cell r="B1104">
            <v>112435.571045</v>
          </cell>
          <cell r="C1104">
            <v>18766.605468999998</v>
          </cell>
          <cell r="D1104">
            <v>33104.984375</v>
          </cell>
        </row>
        <row r="1105">
          <cell r="A1105">
            <v>27154</v>
          </cell>
          <cell r="B1105">
            <v>14483.251465000001</v>
          </cell>
          <cell r="C1105">
            <v>3301.9038089999999</v>
          </cell>
          <cell r="D1105">
            <v>1684.1098629999999</v>
          </cell>
        </row>
        <row r="1106">
          <cell r="A1106">
            <v>27155</v>
          </cell>
          <cell r="B1106">
            <v>13456.109299</v>
          </cell>
          <cell r="C1106">
            <v>1006.072632</v>
          </cell>
          <cell r="D1106">
            <v>4334.888672</v>
          </cell>
        </row>
        <row r="1107">
          <cell r="A1107">
            <v>27157</v>
          </cell>
          <cell r="B1107">
            <v>28270.834534000001</v>
          </cell>
          <cell r="C1107">
            <v>4783.7211909999996</v>
          </cell>
          <cell r="D1107">
            <v>8251.5351559999999</v>
          </cell>
        </row>
        <row r="1108">
          <cell r="A1108">
            <v>27161</v>
          </cell>
          <cell r="B1108">
            <v>18517.627806999997</v>
          </cell>
          <cell r="C1108">
            <v>4674.2724609999996</v>
          </cell>
          <cell r="D1108">
            <v>4987.1166990000002</v>
          </cell>
        </row>
        <row r="1109">
          <cell r="A1109">
            <v>27162</v>
          </cell>
          <cell r="B1109">
            <v>30956.868897000004</v>
          </cell>
          <cell r="C1109">
            <v>6535.0239259999998</v>
          </cell>
          <cell r="D1109">
            <v>6379.0048829999996</v>
          </cell>
        </row>
        <row r="1110">
          <cell r="A1110">
            <v>27165</v>
          </cell>
          <cell r="B1110">
            <v>55905.849365000002</v>
          </cell>
          <cell r="C1110">
            <v>8662.7851559999999</v>
          </cell>
          <cell r="D1110">
            <v>17158.490234000001</v>
          </cell>
        </row>
        <row r="1111">
          <cell r="A1111">
            <v>27166</v>
          </cell>
          <cell r="B1111">
            <v>61964.208495999999</v>
          </cell>
          <cell r="C1111">
            <v>10524.731444999999</v>
          </cell>
          <cell r="D1111">
            <v>18797.330077999999</v>
          </cell>
        </row>
        <row r="1112">
          <cell r="A1112">
            <v>27167</v>
          </cell>
          <cell r="B1112">
            <v>64044.200684000003</v>
          </cell>
          <cell r="C1112">
            <v>15358.339844</v>
          </cell>
          <cell r="D1112">
            <v>12041.533203000001</v>
          </cell>
        </row>
        <row r="1113">
          <cell r="A1113">
            <v>27168</v>
          </cell>
          <cell r="B1113">
            <v>67071.010741999999</v>
          </cell>
          <cell r="C1113">
            <v>16315.949219</v>
          </cell>
          <cell r="D1113">
            <v>12578.014648</v>
          </cell>
        </row>
        <row r="1114">
          <cell r="A1114">
            <v>27169</v>
          </cell>
          <cell r="B1114">
            <v>66396.456055000002</v>
          </cell>
          <cell r="C1114">
            <v>12506.348633</v>
          </cell>
          <cell r="D1114">
            <v>19215.203125</v>
          </cell>
        </row>
        <row r="1115">
          <cell r="A1115">
            <v>27170</v>
          </cell>
          <cell r="B1115">
            <v>61334.170165999996</v>
          </cell>
          <cell r="C1115">
            <v>11208.321289</v>
          </cell>
          <cell r="D1115">
            <v>18071.298827999999</v>
          </cell>
        </row>
        <row r="1116">
          <cell r="A1116">
            <v>27171</v>
          </cell>
          <cell r="B1116">
            <v>65684.41943400001</v>
          </cell>
          <cell r="C1116">
            <v>14482.369140999999</v>
          </cell>
          <cell r="D1116">
            <v>13365.954102</v>
          </cell>
        </row>
        <row r="1117">
          <cell r="A1117">
            <v>27172</v>
          </cell>
          <cell r="B1117">
            <v>66187.962402000005</v>
          </cell>
          <cell r="C1117">
            <v>14523.963867</v>
          </cell>
          <cell r="D1117">
            <v>13632.411133</v>
          </cell>
        </row>
        <row r="1118">
          <cell r="A1118">
            <v>27173</v>
          </cell>
          <cell r="B1118">
            <v>62700.681641000003</v>
          </cell>
          <cell r="C1118">
            <v>14151.459961</v>
          </cell>
          <cell r="D1118">
            <v>12140.993164</v>
          </cell>
        </row>
        <row r="1119">
          <cell r="A1119">
            <v>27174</v>
          </cell>
          <cell r="B1119">
            <v>59719.736571999994</v>
          </cell>
          <cell r="C1119">
            <v>11804.970703000001</v>
          </cell>
          <cell r="D1119">
            <v>16794.769531000002</v>
          </cell>
        </row>
        <row r="1120">
          <cell r="A1120">
            <v>27175</v>
          </cell>
          <cell r="B1120">
            <v>59458.420899000004</v>
          </cell>
          <cell r="C1120">
            <v>12607.731444999999</v>
          </cell>
          <cell r="D1120">
            <v>12195.829102</v>
          </cell>
        </row>
        <row r="1121">
          <cell r="A1121">
            <v>27177</v>
          </cell>
          <cell r="B1121">
            <v>64222.132813000004</v>
          </cell>
          <cell r="C1121">
            <v>12393.706055000001</v>
          </cell>
          <cell r="D1121">
            <v>13526.514648</v>
          </cell>
        </row>
        <row r="1122">
          <cell r="A1122">
            <v>27178</v>
          </cell>
          <cell r="B1122">
            <v>63646.070189999999</v>
          </cell>
          <cell r="C1122">
            <v>13308.170898</v>
          </cell>
          <cell r="D1122">
            <v>16778.667968999998</v>
          </cell>
        </row>
        <row r="1123">
          <cell r="A1123">
            <v>27179</v>
          </cell>
          <cell r="B1123">
            <v>65379.12793000001</v>
          </cell>
          <cell r="C1123">
            <v>12653.835938</v>
          </cell>
          <cell r="D1123">
            <v>18696.785156000002</v>
          </cell>
        </row>
        <row r="1124">
          <cell r="A1124">
            <v>27180</v>
          </cell>
          <cell r="B1124">
            <v>67285.085936999996</v>
          </cell>
          <cell r="C1124">
            <v>14965.096680000001</v>
          </cell>
          <cell r="D1124">
            <v>13663.068359000001</v>
          </cell>
        </row>
        <row r="1125">
          <cell r="A1125">
            <v>27181</v>
          </cell>
          <cell r="B1125">
            <v>64972.454834999997</v>
          </cell>
          <cell r="C1125">
            <v>10828.248046999999</v>
          </cell>
          <cell r="D1125">
            <v>19877.898438</v>
          </cell>
        </row>
        <row r="1126">
          <cell r="A1126">
            <v>27182</v>
          </cell>
          <cell r="B1126">
            <v>60012.528319999998</v>
          </cell>
          <cell r="C1126">
            <v>15222.092773</v>
          </cell>
          <cell r="D1126">
            <v>10564.071289</v>
          </cell>
        </row>
        <row r="1127">
          <cell r="A1127">
            <v>27183</v>
          </cell>
          <cell r="B1127">
            <v>59078.984375000007</v>
          </cell>
          <cell r="C1127">
            <v>9293.4091800000006</v>
          </cell>
          <cell r="D1127">
            <v>18405.800781000002</v>
          </cell>
        </row>
        <row r="1128">
          <cell r="A1128">
            <v>27184</v>
          </cell>
          <cell r="B1128">
            <v>58137.002686000007</v>
          </cell>
          <cell r="C1128">
            <v>14754.159180000001</v>
          </cell>
          <cell r="D1128">
            <v>10145.104492</v>
          </cell>
        </row>
        <row r="1129">
          <cell r="A1129">
            <v>27187</v>
          </cell>
          <cell r="B1129">
            <v>61201.234863999998</v>
          </cell>
          <cell r="C1129">
            <v>9248.109375</v>
          </cell>
          <cell r="D1129">
            <v>19172.300781000002</v>
          </cell>
        </row>
        <row r="1130">
          <cell r="A1130">
            <v>27188</v>
          </cell>
          <cell r="B1130">
            <v>59779.564940000004</v>
          </cell>
          <cell r="C1130">
            <v>14378.457031</v>
          </cell>
          <cell r="D1130">
            <v>11473.588867</v>
          </cell>
        </row>
        <row r="1131">
          <cell r="A1131">
            <v>27189</v>
          </cell>
          <cell r="B1131">
            <v>68881.910157000006</v>
          </cell>
          <cell r="C1131">
            <v>13665.453125</v>
          </cell>
          <cell r="D1131">
            <v>14480.724609000001</v>
          </cell>
        </row>
        <row r="1132">
          <cell r="A1132">
            <v>27190</v>
          </cell>
          <cell r="B1132">
            <v>68881.910157000006</v>
          </cell>
          <cell r="C1132">
            <v>13665.453125</v>
          </cell>
          <cell r="D1132">
            <v>14480.724609000001</v>
          </cell>
        </row>
        <row r="1133">
          <cell r="A1133">
            <v>27191</v>
          </cell>
          <cell r="B1133">
            <v>68182.239623999994</v>
          </cell>
          <cell r="C1133">
            <v>13990.511719</v>
          </cell>
          <cell r="D1133">
            <v>18164.095702999999</v>
          </cell>
        </row>
        <row r="1134">
          <cell r="A1134">
            <v>27192</v>
          </cell>
          <cell r="B1134">
            <v>68182.239623999994</v>
          </cell>
          <cell r="C1134">
            <v>13990.511719</v>
          </cell>
          <cell r="D1134">
            <v>18164.095702999999</v>
          </cell>
        </row>
        <row r="1135">
          <cell r="A1135">
            <v>27193</v>
          </cell>
          <cell r="B1135">
            <v>68182.239623999994</v>
          </cell>
          <cell r="C1135">
            <v>13990.511719</v>
          </cell>
          <cell r="D1135">
            <v>18164.095702999999</v>
          </cell>
        </row>
        <row r="1136">
          <cell r="A1136">
            <v>27194</v>
          </cell>
          <cell r="B1136">
            <v>68881.910157000006</v>
          </cell>
          <cell r="C1136">
            <v>13665.453125</v>
          </cell>
          <cell r="D1136">
            <v>14480.724609000001</v>
          </cell>
        </row>
        <row r="1137">
          <cell r="A1137">
            <v>27195</v>
          </cell>
          <cell r="B1137">
            <v>67213.894409</v>
          </cell>
          <cell r="C1137">
            <v>14412.300781</v>
          </cell>
          <cell r="D1137">
            <v>17436.033202999999</v>
          </cell>
        </row>
        <row r="1138">
          <cell r="A1138">
            <v>27196</v>
          </cell>
          <cell r="B1138">
            <v>67858.091797000001</v>
          </cell>
          <cell r="C1138">
            <v>12871.772461</v>
          </cell>
          <cell r="D1138">
            <v>14727.751953000001</v>
          </cell>
        </row>
        <row r="1139">
          <cell r="A1139">
            <v>27204</v>
          </cell>
          <cell r="B1139">
            <v>5616.7401120000004</v>
          </cell>
          <cell r="C1139">
            <v>780.50915499999996</v>
          </cell>
          <cell r="D1139">
            <v>1742.283936</v>
          </cell>
        </row>
        <row r="1140">
          <cell r="A1140">
            <v>27205</v>
          </cell>
          <cell r="B1140">
            <v>6914.0859990000008</v>
          </cell>
          <cell r="C1140">
            <v>1829.9155270000001</v>
          </cell>
          <cell r="D1140">
            <v>831.814392</v>
          </cell>
        </row>
        <row r="1141">
          <cell r="A1141">
            <v>27206</v>
          </cell>
          <cell r="B1141">
            <v>7077.9960950000004</v>
          </cell>
          <cell r="C1141">
            <v>861.39410399999997</v>
          </cell>
          <cell r="D1141">
            <v>2280.0131839999999</v>
          </cell>
        </row>
        <row r="1142">
          <cell r="A1142">
            <v>27207</v>
          </cell>
          <cell r="B1142">
            <v>5976.1378169999998</v>
          </cell>
          <cell r="C1142">
            <v>737.90081799999996</v>
          </cell>
          <cell r="D1142">
            <v>1935.305298</v>
          </cell>
        </row>
        <row r="1143">
          <cell r="A1143">
            <v>27208</v>
          </cell>
          <cell r="B1143">
            <v>5338.1758420000006</v>
          </cell>
          <cell r="C1143">
            <v>711.99609399999997</v>
          </cell>
          <cell r="D1143">
            <v>1692.7813719999999</v>
          </cell>
        </row>
        <row r="1144">
          <cell r="A1144">
            <v>27209</v>
          </cell>
          <cell r="B1144">
            <v>6592.8826289999997</v>
          </cell>
          <cell r="C1144">
            <v>1808.559448</v>
          </cell>
          <cell r="D1144">
            <v>744.18994099999998</v>
          </cell>
        </row>
        <row r="1145">
          <cell r="A1145">
            <v>27210</v>
          </cell>
          <cell r="B1145">
            <v>6775.4545889999999</v>
          </cell>
          <cell r="C1145">
            <v>782.13433799999996</v>
          </cell>
          <cell r="D1145">
            <v>2218.6152339999999</v>
          </cell>
        </row>
        <row r="1146">
          <cell r="A1146">
            <v>27211</v>
          </cell>
          <cell r="B1146">
            <v>5814.5027769999997</v>
          </cell>
          <cell r="C1146">
            <v>1596.955688</v>
          </cell>
          <cell r="D1146">
            <v>627.80590800000004</v>
          </cell>
        </row>
        <row r="1147">
          <cell r="A1147">
            <v>27212</v>
          </cell>
          <cell r="B1147">
            <v>5124.519714</v>
          </cell>
          <cell r="C1147">
            <v>1405.52478</v>
          </cell>
          <cell r="D1147">
            <v>531.06604000000004</v>
          </cell>
        </row>
        <row r="1148">
          <cell r="A1148">
            <v>27213</v>
          </cell>
          <cell r="B1148">
            <v>5461.4886479999996</v>
          </cell>
          <cell r="C1148">
            <v>1478.1475829999999</v>
          </cell>
          <cell r="D1148">
            <v>609.76178000000004</v>
          </cell>
        </row>
        <row r="1149">
          <cell r="A1149">
            <v>27214</v>
          </cell>
          <cell r="B1149">
            <v>5462.7904669999998</v>
          </cell>
          <cell r="C1149">
            <v>1478.3745120000001</v>
          </cell>
          <cell r="D1149">
            <v>609.959656</v>
          </cell>
        </row>
        <row r="1150">
          <cell r="A1150">
            <v>27218</v>
          </cell>
          <cell r="B1150">
            <v>46797.504881999994</v>
          </cell>
          <cell r="C1150">
            <v>9137.3056639999995</v>
          </cell>
          <cell r="D1150">
            <v>12043.131836</v>
          </cell>
        </row>
        <row r="1151">
          <cell r="A1151">
            <v>27223</v>
          </cell>
          <cell r="B1151">
            <v>44789.526123999996</v>
          </cell>
          <cell r="C1151">
            <v>11400.869140999999</v>
          </cell>
          <cell r="D1151">
            <v>8879.09375</v>
          </cell>
        </row>
        <row r="1152">
          <cell r="A1152">
            <v>27224</v>
          </cell>
          <cell r="B1152">
            <v>40745.462401999997</v>
          </cell>
          <cell r="C1152">
            <v>10386.328125</v>
          </cell>
          <cell r="D1152">
            <v>8091.3305659999996</v>
          </cell>
        </row>
        <row r="1153">
          <cell r="A1153">
            <v>27229</v>
          </cell>
          <cell r="B1153">
            <v>48545.562254999997</v>
          </cell>
          <cell r="C1153">
            <v>7547.8608400000003</v>
          </cell>
          <cell r="D1153">
            <v>14889.771484000001</v>
          </cell>
        </row>
        <row r="1154">
          <cell r="A1154">
            <v>27230</v>
          </cell>
          <cell r="B1154">
            <v>41755.648681999999</v>
          </cell>
          <cell r="C1154">
            <v>6384.2880859999996</v>
          </cell>
          <cell r="D1154">
            <v>12950.25</v>
          </cell>
        </row>
        <row r="1155">
          <cell r="A1155">
            <v>27235</v>
          </cell>
          <cell r="B1155">
            <v>46309.335449999999</v>
          </cell>
          <cell r="C1155">
            <v>10158.123046999999</v>
          </cell>
          <cell r="D1155">
            <v>11005.991211</v>
          </cell>
        </row>
        <row r="1156">
          <cell r="A1156">
            <v>27236</v>
          </cell>
          <cell r="B1156">
            <v>40727.768799000005</v>
          </cell>
          <cell r="C1156">
            <v>6672.7719729999999</v>
          </cell>
          <cell r="D1156">
            <v>12513.676758</v>
          </cell>
        </row>
        <row r="1157">
          <cell r="A1157">
            <v>27237</v>
          </cell>
          <cell r="B1157">
            <v>38991.434325999995</v>
          </cell>
          <cell r="C1157">
            <v>10451.070312</v>
          </cell>
          <cell r="D1157">
            <v>7529.8754879999997</v>
          </cell>
        </row>
        <row r="1158">
          <cell r="A1158">
            <v>27238</v>
          </cell>
          <cell r="B1158">
            <v>40988.244871999996</v>
          </cell>
          <cell r="C1158">
            <v>10860.772461</v>
          </cell>
          <cell r="D1158">
            <v>8062.4379879999997</v>
          </cell>
        </row>
        <row r="1159">
          <cell r="A1159">
            <v>27241</v>
          </cell>
          <cell r="B1159">
            <v>46253.482421000001</v>
          </cell>
          <cell r="C1159">
            <v>11612.920898</v>
          </cell>
          <cell r="D1159">
            <v>9422.9111329999996</v>
          </cell>
        </row>
        <row r="1160">
          <cell r="A1160">
            <v>27245</v>
          </cell>
          <cell r="B1160">
            <v>50941.616211</v>
          </cell>
          <cell r="C1160">
            <v>8989.5839840000008</v>
          </cell>
          <cell r="D1160">
            <v>14316.778319999999</v>
          </cell>
        </row>
        <row r="1161">
          <cell r="A1161">
            <v>27247</v>
          </cell>
          <cell r="B1161">
            <v>61706.901856000004</v>
          </cell>
          <cell r="C1161">
            <v>12858.994140999999</v>
          </cell>
          <cell r="D1161">
            <v>13279.395508</v>
          </cell>
        </row>
        <row r="1162">
          <cell r="A1162">
            <v>27248</v>
          </cell>
          <cell r="B1162">
            <v>53608.726562999997</v>
          </cell>
          <cell r="C1162">
            <v>10938.902344</v>
          </cell>
          <cell r="D1162">
            <v>13471.100586</v>
          </cell>
        </row>
        <row r="1163">
          <cell r="A1163">
            <v>27262</v>
          </cell>
          <cell r="B1163">
            <v>87467.120115999991</v>
          </cell>
          <cell r="C1163">
            <v>23587.298827999999</v>
          </cell>
          <cell r="D1163">
            <v>18672.193359000001</v>
          </cell>
        </row>
        <row r="1164">
          <cell r="A1164">
            <v>27335</v>
          </cell>
          <cell r="B1164">
            <v>5617.8702389999999</v>
          </cell>
          <cell r="C1164">
            <v>780.69897500000002</v>
          </cell>
          <cell r="D1164">
            <v>1742.4642329999999</v>
          </cell>
        </row>
        <row r="1165">
          <cell r="A1165">
            <v>27351</v>
          </cell>
          <cell r="B1165">
            <v>70078.812501000008</v>
          </cell>
          <cell r="C1165">
            <v>16423.498047000001</v>
          </cell>
          <cell r="D1165">
            <v>13605.152344</v>
          </cell>
        </row>
        <row r="1166">
          <cell r="A1166">
            <v>27352</v>
          </cell>
          <cell r="B1166">
            <v>68247.732178999999</v>
          </cell>
          <cell r="C1166">
            <v>12153.744140999999</v>
          </cell>
          <cell r="D1166">
            <v>20315.898438</v>
          </cell>
        </row>
        <row r="1167">
          <cell r="A1167">
            <v>27412</v>
          </cell>
          <cell r="B1167">
            <v>26328.084778</v>
          </cell>
          <cell r="C1167">
            <v>3053.6577149999998</v>
          </cell>
          <cell r="D1167">
            <v>9782.2451170000004</v>
          </cell>
        </row>
        <row r="1168">
          <cell r="A1168">
            <v>27504</v>
          </cell>
          <cell r="B1168">
            <v>38501.084961</v>
          </cell>
          <cell r="C1168">
            <v>12486.902344</v>
          </cell>
          <cell r="D1168">
            <v>7121.3784180000002</v>
          </cell>
        </row>
        <row r="1169">
          <cell r="A1169">
            <v>27505</v>
          </cell>
          <cell r="B1169">
            <v>39451.684143999999</v>
          </cell>
          <cell r="C1169">
            <v>5276.517578</v>
          </cell>
          <cell r="D1169">
            <v>14180.369140999999</v>
          </cell>
        </row>
        <row r="1170">
          <cell r="A1170">
            <v>27507</v>
          </cell>
          <cell r="B1170">
            <v>42307.389099</v>
          </cell>
          <cell r="C1170">
            <v>5839.8515619999998</v>
          </cell>
          <cell r="D1170">
            <v>14967.219727</v>
          </cell>
        </row>
        <row r="1171">
          <cell r="A1171">
            <v>27511</v>
          </cell>
          <cell r="B1171">
            <v>25295.360596000002</v>
          </cell>
          <cell r="C1171">
            <v>4818.8383789999998</v>
          </cell>
          <cell r="D1171">
            <v>7364.1513670000004</v>
          </cell>
        </row>
        <row r="1172">
          <cell r="A1172">
            <v>27512</v>
          </cell>
          <cell r="B1172">
            <v>33948.848266000001</v>
          </cell>
          <cell r="C1172">
            <v>7416.4951170000004</v>
          </cell>
          <cell r="D1172">
            <v>8448.4638670000004</v>
          </cell>
        </row>
        <row r="1173">
          <cell r="A1173">
            <v>27517</v>
          </cell>
          <cell r="B1173">
            <v>58439.135740999991</v>
          </cell>
          <cell r="C1173">
            <v>11363.077148</v>
          </cell>
          <cell r="D1173">
            <v>12424.566406</v>
          </cell>
        </row>
        <row r="1174">
          <cell r="A1174">
            <v>27518</v>
          </cell>
          <cell r="B1174">
            <v>57088.834229</v>
          </cell>
          <cell r="C1174">
            <v>12338.063477</v>
          </cell>
          <cell r="D1174">
            <v>13764.880859000001</v>
          </cell>
        </row>
        <row r="1175">
          <cell r="A1175">
            <v>27519</v>
          </cell>
          <cell r="B1175">
            <v>59869.426512999999</v>
          </cell>
          <cell r="C1175">
            <v>12580.578125</v>
          </cell>
          <cell r="D1175">
            <v>14625.247069999999</v>
          </cell>
        </row>
        <row r="1176">
          <cell r="A1176">
            <v>27520</v>
          </cell>
          <cell r="B1176">
            <v>61195.490723000003</v>
          </cell>
          <cell r="C1176">
            <v>12007.855469</v>
          </cell>
          <cell r="D1176">
            <v>12921.991211</v>
          </cell>
        </row>
        <row r="1177">
          <cell r="A1177">
            <v>27521</v>
          </cell>
          <cell r="B1177">
            <v>61192.651853999989</v>
          </cell>
          <cell r="C1177">
            <v>12006.963867</v>
          </cell>
          <cell r="D1177">
            <v>12921.695312</v>
          </cell>
        </row>
        <row r="1178">
          <cell r="A1178">
            <v>27522</v>
          </cell>
          <cell r="B1178">
            <v>59866.968995000003</v>
          </cell>
          <cell r="C1178">
            <v>12580.236328000001</v>
          </cell>
          <cell r="D1178">
            <v>14624.066406</v>
          </cell>
        </row>
        <row r="1179">
          <cell r="A1179">
            <v>27534</v>
          </cell>
          <cell r="B1179">
            <v>8292.3859869999997</v>
          </cell>
          <cell r="C1179">
            <v>2189.5083009999998</v>
          </cell>
          <cell r="D1179">
            <v>1076.928467</v>
          </cell>
        </row>
        <row r="1180">
          <cell r="A1180">
            <v>27535</v>
          </cell>
          <cell r="B1180">
            <v>6877.9569099999999</v>
          </cell>
          <cell r="C1180">
            <v>789.48040800000001</v>
          </cell>
          <cell r="D1180">
            <v>2248.8051759999998</v>
          </cell>
        </row>
        <row r="1181">
          <cell r="A1181">
            <v>27536</v>
          </cell>
          <cell r="B1181">
            <v>6704.1066600000004</v>
          </cell>
          <cell r="C1181">
            <v>1859.0952150000001</v>
          </cell>
          <cell r="D1181">
            <v>753.733521</v>
          </cell>
        </row>
        <row r="1182">
          <cell r="A1182">
            <v>27537</v>
          </cell>
          <cell r="B1182">
            <v>5991.9162590000005</v>
          </cell>
          <cell r="C1182">
            <v>739.423767</v>
          </cell>
          <cell r="D1182">
            <v>1942.850952</v>
          </cell>
        </row>
        <row r="1183">
          <cell r="A1183">
            <v>27538</v>
          </cell>
          <cell r="B1183">
            <v>5826.5855099999999</v>
          </cell>
          <cell r="C1183">
            <v>1598.2470699999999</v>
          </cell>
          <cell r="D1183">
            <v>629.03430200000003</v>
          </cell>
        </row>
        <row r="1184">
          <cell r="A1184">
            <v>27539</v>
          </cell>
          <cell r="B1184">
            <v>5894.2195439999996</v>
          </cell>
          <cell r="C1184">
            <v>808.23895300000004</v>
          </cell>
          <cell r="D1184">
            <v>1830.634888</v>
          </cell>
        </row>
        <row r="1185">
          <cell r="A1185">
            <v>27540</v>
          </cell>
          <cell r="B1185">
            <v>5672.3826290000006</v>
          </cell>
          <cell r="C1185">
            <v>1527.168091</v>
          </cell>
          <cell r="D1185">
            <v>634.33215299999995</v>
          </cell>
        </row>
        <row r="1186">
          <cell r="A1186">
            <v>27541</v>
          </cell>
          <cell r="B1186">
            <v>5462.7904669999998</v>
          </cell>
          <cell r="C1186">
            <v>1478.3745120000001</v>
          </cell>
          <cell r="D1186">
            <v>609.959656</v>
          </cell>
        </row>
        <row r="1187">
          <cell r="A1187">
            <v>27542</v>
          </cell>
          <cell r="B1187">
            <v>5617.8702389999999</v>
          </cell>
          <cell r="C1187">
            <v>780.69897500000002</v>
          </cell>
          <cell r="D1187">
            <v>1742.4642329999999</v>
          </cell>
        </row>
        <row r="1188">
          <cell r="A1188">
            <v>27543</v>
          </cell>
          <cell r="B1188">
            <v>58607.228516000003</v>
          </cell>
          <cell r="C1188">
            <v>13271.922852</v>
          </cell>
          <cell r="D1188">
            <v>12539.163086</v>
          </cell>
        </row>
        <row r="1189">
          <cell r="A1189">
            <v>27544</v>
          </cell>
          <cell r="B1189">
            <v>58454.567872000007</v>
          </cell>
          <cell r="C1189">
            <v>10083.040039</v>
          </cell>
          <cell r="D1189">
            <v>16100.902344</v>
          </cell>
        </row>
        <row r="1190">
          <cell r="A1190">
            <v>27545</v>
          </cell>
          <cell r="B1190">
            <v>60434.115967999998</v>
          </cell>
          <cell r="C1190">
            <v>11950.212890999999</v>
          </cell>
          <cell r="D1190">
            <v>14558.893555000001</v>
          </cell>
        </row>
        <row r="1191">
          <cell r="A1191">
            <v>27551</v>
          </cell>
          <cell r="B1191">
            <v>90671.521240000002</v>
          </cell>
          <cell r="C1191">
            <v>16616.439452999999</v>
          </cell>
          <cell r="D1191">
            <v>24938.472656000002</v>
          </cell>
        </row>
        <row r="1192">
          <cell r="A1192">
            <v>27552</v>
          </cell>
          <cell r="B1192">
            <v>59478.474119999999</v>
          </cell>
          <cell r="C1192">
            <v>12143.707031</v>
          </cell>
          <cell r="D1192">
            <v>15306.872069999999</v>
          </cell>
        </row>
        <row r="1193">
          <cell r="A1193">
            <v>27554</v>
          </cell>
          <cell r="B1193">
            <v>99486.899170999997</v>
          </cell>
          <cell r="C1193">
            <v>24404.886718999998</v>
          </cell>
          <cell r="D1193">
            <v>23623.019531000002</v>
          </cell>
        </row>
        <row r="1194">
          <cell r="A1194">
            <v>27555</v>
          </cell>
          <cell r="B1194">
            <v>98641.967774999997</v>
          </cell>
          <cell r="C1194">
            <v>17747.523438</v>
          </cell>
          <cell r="D1194">
            <v>28146.46875</v>
          </cell>
        </row>
        <row r="1195">
          <cell r="A1195">
            <v>27577</v>
          </cell>
          <cell r="B1195">
            <v>87309.205323999995</v>
          </cell>
          <cell r="C1195">
            <v>16556.791015999999</v>
          </cell>
          <cell r="D1195">
            <v>23936.322265999999</v>
          </cell>
        </row>
        <row r="1196">
          <cell r="A1196">
            <v>27578</v>
          </cell>
          <cell r="B1196">
            <v>94474.618164999993</v>
          </cell>
          <cell r="C1196">
            <v>22521.900390999999</v>
          </cell>
          <cell r="D1196">
            <v>21529.166015999999</v>
          </cell>
        </row>
        <row r="1197">
          <cell r="A1197">
            <v>27589</v>
          </cell>
          <cell r="B1197">
            <v>72964.951660999999</v>
          </cell>
          <cell r="C1197">
            <v>19454.292968999998</v>
          </cell>
          <cell r="D1197">
            <v>14714.966796999999</v>
          </cell>
        </row>
        <row r="1198">
          <cell r="A1198">
            <v>27594</v>
          </cell>
          <cell r="B1198">
            <v>78321.966797000001</v>
          </cell>
          <cell r="C1198">
            <v>17743.125</v>
          </cell>
          <cell r="D1198">
            <v>14707.367188</v>
          </cell>
        </row>
        <row r="1199">
          <cell r="A1199">
            <v>27597</v>
          </cell>
          <cell r="B1199">
            <v>59866.968995000003</v>
          </cell>
          <cell r="C1199">
            <v>12580.236328000001</v>
          </cell>
          <cell r="D1199">
            <v>14624.066406</v>
          </cell>
        </row>
        <row r="1200">
          <cell r="A1200">
            <v>27598</v>
          </cell>
          <cell r="B1200">
            <v>61192.651853999989</v>
          </cell>
          <cell r="C1200">
            <v>12006.963867</v>
          </cell>
          <cell r="D1200">
            <v>12921.695312</v>
          </cell>
        </row>
        <row r="1201">
          <cell r="A1201">
            <v>27599</v>
          </cell>
          <cell r="B1201">
            <v>60277.864259000002</v>
          </cell>
          <cell r="C1201">
            <v>11892.954102</v>
          </cell>
          <cell r="D1201">
            <v>12647.763671999999</v>
          </cell>
        </row>
        <row r="1202">
          <cell r="A1202">
            <v>27600</v>
          </cell>
          <cell r="B1202">
            <v>84684.650878</v>
          </cell>
          <cell r="C1202">
            <v>20324.720702999999</v>
          </cell>
          <cell r="D1202">
            <v>20587.421875</v>
          </cell>
        </row>
        <row r="1203">
          <cell r="A1203">
            <v>27601</v>
          </cell>
          <cell r="B1203">
            <v>60280.554199999999</v>
          </cell>
          <cell r="C1203">
            <v>14291.500977</v>
          </cell>
          <cell r="D1203">
            <v>15310.893555000001</v>
          </cell>
        </row>
        <row r="1204">
          <cell r="A1204">
            <v>27602</v>
          </cell>
          <cell r="B1204">
            <v>76790.926026000001</v>
          </cell>
          <cell r="C1204">
            <v>14834.415039</v>
          </cell>
          <cell r="D1204">
            <v>20545.246093999998</v>
          </cell>
        </row>
        <row r="1205">
          <cell r="A1205">
            <v>27603</v>
          </cell>
          <cell r="B1205">
            <v>94377.211425999994</v>
          </cell>
          <cell r="C1205">
            <v>17329.324218999998</v>
          </cell>
          <cell r="D1205">
            <v>25837.550781000002</v>
          </cell>
        </row>
        <row r="1206">
          <cell r="A1206">
            <v>27605</v>
          </cell>
          <cell r="B1206">
            <v>98641.967774999997</v>
          </cell>
          <cell r="C1206">
            <v>17747.523438</v>
          </cell>
          <cell r="D1206">
            <v>28146.46875</v>
          </cell>
        </row>
        <row r="1207">
          <cell r="A1207">
            <v>27606</v>
          </cell>
          <cell r="B1207">
            <v>60322.235962000006</v>
          </cell>
          <cell r="C1207">
            <v>9683.0341800000006</v>
          </cell>
          <cell r="D1207">
            <v>19361.361327999999</v>
          </cell>
        </row>
        <row r="1208">
          <cell r="A1208">
            <v>27607</v>
          </cell>
          <cell r="B1208">
            <v>61888.104980999997</v>
          </cell>
          <cell r="C1208">
            <v>9659.6875</v>
          </cell>
          <cell r="D1208">
            <v>20099.919922000001</v>
          </cell>
        </row>
        <row r="1209">
          <cell r="A1209">
            <v>27613</v>
          </cell>
          <cell r="B1209">
            <v>66758.652830999999</v>
          </cell>
          <cell r="C1209">
            <v>17113.513672000001</v>
          </cell>
          <cell r="D1209">
            <v>11624.108398</v>
          </cell>
        </row>
        <row r="1210">
          <cell r="A1210">
            <v>27614</v>
          </cell>
          <cell r="B1210">
            <v>92043.354980000004</v>
          </cell>
          <cell r="C1210">
            <v>24080.132812</v>
          </cell>
          <cell r="D1210">
            <v>15504.049805000001</v>
          </cell>
        </row>
        <row r="1211">
          <cell r="A1211">
            <v>27615</v>
          </cell>
          <cell r="B1211">
            <v>3320.1020509999998</v>
          </cell>
          <cell r="C1211">
            <v>0</v>
          </cell>
          <cell r="D1211">
            <v>3320.1020509999998</v>
          </cell>
        </row>
        <row r="1212">
          <cell r="A1212">
            <v>27658</v>
          </cell>
          <cell r="B1212">
            <v>64842.929931999992</v>
          </cell>
          <cell r="C1212">
            <v>12329.487305000001</v>
          </cell>
          <cell r="D1212">
            <v>18644.552734000001</v>
          </cell>
        </row>
        <row r="1213">
          <cell r="A1213">
            <v>27659</v>
          </cell>
          <cell r="B1213">
            <v>65206.293701000002</v>
          </cell>
          <cell r="C1213">
            <v>12591.700194999999</v>
          </cell>
          <cell r="D1213">
            <v>18670.730468999998</v>
          </cell>
        </row>
        <row r="1214">
          <cell r="A1214">
            <v>27694</v>
          </cell>
          <cell r="B1214">
            <v>15189.066527999999</v>
          </cell>
          <cell r="C1214">
            <v>3486.2272950000001</v>
          </cell>
          <cell r="D1214">
            <v>1747.1206050000001</v>
          </cell>
        </row>
        <row r="1215">
          <cell r="A1215">
            <v>27706</v>
          </cell>
          <cell r="B1215">
            <v>31143.916747000003</v>
          </cell>
          <cell r="C1215">
            <v>7295.2148440000001</v>
          </cell>
          <cell r="D1215">
            <v>3429.8391109999998</v>
          </cell>
        </row>
        <row r="1216">
          <cell r="A1216">
            <v>27716</v>
          </cell>
          <cell r="B1216">
            <v>36830.992432999999</v>
          </cell>
          <cell r="C1216">
            <v>6554.9438479999999</v>
          </cell>
          <cell r="D1216">
            <v>7584.6748049999997</v>
          </cell>
        </row>
        <row r="1217">
          <cell r="A1217">
            <v>27717</v>
          </cell>
          <cell r="B1217">
            <v>40661.714233000006</v>
          </cell>
          <cell r="C1217">
            <v>6422.7871089999999</v>
          </cell>
          <cell r="D1217">
            <v>9006.8955079999996</v>
          </cell>
        </row>
        <row r="1218">
          <cell r="A1218">
            <v>27718</v>
          </cell>
          <cell r="B1218">
            <v>48341.449462999997</v>
          </cell>
          <cell r="C1218">
            <v>8353.1425780000009</v>
          </cell>
          <cell r="D1218">
            <v>9806.2080079999996</v>
          </cell>
        </row>
        <row r="1219">
          <cell r="A1219">
            <v>27719</v>
          </cell>
          <cell r="B1219">
            <v>44290.231444999998</v>
          </cell>
          <cell r="C1219">
            <v>7474.0717770000001</v>
          </cell>
          <cell r="D1219">
            <v>9526.1855469999991</v>
          </cell>
        </row>
        <row r="1220">
          <cell r="A1220">
            <v>27720</v>
          </cell>
          <cell r="B1220">
            <v>42740.978515000003</v>
          </cell>
          <cell r="C1220">
            <v>6507.0786129999997</v>
          </cell>
          <cell r="D1220">
            <v>9694.3769530000009</v>
          </cell>
        </row>
        <row r="1221">
          <cell r="A1221">
            <v>27721</v>
          </cell>
          <cell r="B1221">
            <v>39238.195557000006</v>
          </cell>
          <cell r="C1221">
            <v>7174.2963870000003</v>
          </cell>
          <cell r="D1221">
            <v>7753.8090819999998</v>
          </cell>
        </row>
        <row r="1222">
          <cell r="A1222">
            <v>27722</v>
          </cell>
          <cell r="B1222">
            <v>31981.162841999998</v>
          </cell>
          <cell r="C1222">
            <v>3098.4965820000002</v>
          </cell>
          <cell r="D1222">
            <v>8648.0517579999996</v>
          </cell>
        </row>
        <row r="1223">
          <cell r="A1223">
            <v>27724</v>
          </cell>
          <cell r="B1223">
            <v>34312.578613999998</v>
          </cell>
          <cell r="C1223">
            <v>6694.3994140000004</v>
          </cell>
          <cell r="D1223">
            <v>6076.7934569999998</v>
          </cell>
        </row>
        <row r="1224">
          <cell r="A1224">
            <v>27737</v>
          </cell>
          <cell r="B1224">
            <v>48341.449462999997</v>
          </cell>
          <cell r="C1224">
            <v>8353.1425780000009</v>
          </cell>
          <cell r="D1224">
            <v>9806.2080079999996</v>
          </cell>
        </row>
        <row r="1225">
          <cell r="A1225">
            <v>27738</v>
          </cell>
          <cell r="B1225">
            <v>47039.982176999998</v>
          </cell>
          <cell r="C1225">
            <v>8247.1230469999991</v>
          </cell>
          <cell r="D1225">
            <v>9700.7236329999996</v>
          </cell>
        </row>
        <row r="1226">
          <cell r="A1226">
            <v>27739</v>
          </cell>
          <cell r="B1226">
            <v>48341.449462999997</v>
          </cell>
          <cell r="C1226">
            <v>8353.1425780000009</v>
          </cell>
          <cell r="D1226">
            <v>9806.2080079999996</v>
          </cell>
        </row>
        <row r="1227">
          <cell r="A1227">
            <v>27740</v>
          </cell>
          <cell r="B1227">
            <v>44290.231444999998</v>
          </cell>
          <cell r="C1227">
            <v>7474.0717770000001</v>
          </cell>
          <cell r="D1227">
            <v>9526.1855469999991</v>
          </cell>
        </row>
        <row r="1228">
          <cell r="A1228">
            <v>27741</v>
          </cell>
          <cell r="B1228">
            <v>44290.231444999998</v>
          </cell>
          <cell r="C1228">
            <v>7474.0717770000001</v>
          </cell>
          <cell r="D1228">
            <v>9526.1855469999991</v>
          </cell>
        </row>
        <row r="1229">
          <cell r="A1229">
            <v>27742</v>
          </cell>
          <cell r="B1229">
            <v>43291.919676999998</v>
          </cell>
          <cell r="C1229">
            <v>7315.638672</v>
          </cell>
          <cell r="D1229">
            <v>9390.5439449999994</v>
          </cell>
        </row>
        <row r="1230">
          <cell r="A1230">
            <v>27743</v>
          </cell>
          <cell r="B1230">
            <v>11030.232360999998</v>
          </cell>
          <cell r="C1230">
            <v>478.739349</v>
          </cell>
          <cell r="D1230">
            <v>3962.7978520000001</v>
          </cell>
        </row>
        <row r="1231">
          <cell r="A1231">
            <v>27744</v>
          </cell>
          <cell r="B1231">
            <v>40348.681152999998</v>
          </cell>
          <cell r="C1231">
            <v>8414.0292969999991</v>
          </cell>
          <cell r="D1231">
            <v>9680.8662110000005</v>
          </cell>
        </row>
        <row r="1232">
          <cell r="A1232">
            <v>27766</v>
          </cell>
          <cell r="B1232">
            <v>43338.114502999997</v>
          </cell>
          <cell r="C1232">
            <v>10852.548828000001</v>
          </cell>
          <cell r="D1232">
            <v>9656.4921880000002</v>
          </cell>
        </row>
        <row r="1233">
          <cell r="A1233">
            <v>27774</v>
          </cell>
          <cell r="B1233">
            <v>27279.923338999997</v>
          </cell>
          <cell r="C1233">
            <v>5643.7314450000003</v>
          </cell>
          <cell r="D1233">
            <v>6162.6826170000004</v>
          </cell>
        </row>
        <row r="1234">
          <cell r="A1234">
            <v>27781</v>
          </cell>
          <cell r="B1234">
            <v>75228.366334000006</v>
          </cell>
          <cell r="C1234">
            <v>11114.334961</v>
          </cell>
          <cell r="D1234">
            <v>22787.998047000001</v>
          </cell>
        </row>
        <row r="1235">
          <cell r="A1235">
            <v>27789</v>
          </cell>
          <cell r="B1235">
            <v>83038.186034999992</v>
          </cell>
          <cell r="C1235">
            <v>22487.625</v>
          </cell>
          <cell r="D1235">
            <v>17719.207031000002</v>
          </cell>
        </row>
        <row r="1236">
          <cell r="A1236">
            <v>27790</v>
          </cell>
          <cell r="B1236">
            <v>100465.43700999999</v>
          </cell>
          <cell r="C1236">
            <v>16843.552734000001</v>
          </cell>
          <cell r="D1236">
            <v>29127.539062</v>
          </cell>
        </row>
        <row r="1237">
          <cell r="A1237">
            <v>27791</v>
          </cell>
          <cell r="B1237">
            <v>106706.897461</v>
          </cell>
          <cell r="C1237">
            <v>18226.330077999999</v>
          </cell>
          <cell r="D1237">
            <v>30361.771484000001</v>
          </cell>
        </row>
        <row r="1238">
          <cell r="A1238">
            <v>27792</v>
          </cell>
          <cell r="B1238">
            <v>104842.307617</v>
          </cell>
          <cell r="C1238">
            <v>27108.871093999998</v>
          </cell>
          <cell r="D1238">
            <v>23526.082031000002</v>
          </cell>
        </row>
        <row r="1239">
          <cell r="A1239">
            <v>27795</v>
          </cell>
          <cell r="B1239">
            <v>97051.800050000005</v>
          </cell>
          <cell r="C1239">
            <v>16929.775390999999</v>
          </cell>
          <cell r="D1239">
            <v>27776.804688</v>
          </cell>
        </row>
        <row r="1240">
          <cell r="A1240">
            <v>27796</v>
          </cell>
          <cell r="B1240">
            <v>91827.395506999994</v>
          </cell>
          <cell r="C1240">
            <v>24388.945312</v>
          </cell>
          <cell r="D1240">
            <v>20370.378906000002</v>
          </cell>
        </row>
        <row r="1241">
          <cell r="A1241">
            <v>27806</v>
          </cell>
          <cell r="B1241">
            <v>106361.348144</v>
          </cell>
          <cell r="C1241">
            <v>18609.199218999998</v>
          </cell>
          <cell r="D1241">
            <v>30405.193359000001</v>
          </cell>
        </row>
        <row r="1242">
          <cell r="A1242">
            <v>27807</v>
          </cell>
          <cell r="B1242">
            <v>103349.12597699999</v>
          </cell>
          <cell r="C1242">
            <v>26944.261718999998</v>
          </cell>
          <cell r="D1242">
            <v>23077.027343999998</v>
          </cell>
        </row>
        <row r="1243">
          <cell r="A1243">
            <v>27820</v>
          </cell>
          <cell r="B1243">
            <v>131254.50097699999</v>
          </cell>
          <cell r="C1243">
            <v>33429.550780999998</v>
          </cell>
          <cell r="D1243">
            <v>26549.888672000001</v>
          </cell>
        </row>
        <row r="1244">
          <cell r="A1244">
            <v>27824</v>
          </cell>
          <cell r="B1244">
            <v>100359.46118100001</v>
          </cell>
          <cell r="C1244">
            <v>16602.779297000001</v>
          </cell>
          <cell r="D1244">
            <v>29831.550781000002</v>
          </cell>
        </row>
        <row r="1245">
          <cell r="A1245">
            <v>27825</v>
          </cell>
          <cell r="B1245">
            <v>146493.18261799999</v>
          </cell>
          <cell r="C1245">
            <v>37117.875</v>
          </cell>
          <cell r="D1245">
            <v>29806.384765999999</v>
          </cell>
        </row>
        <row r="1246">
          <cell r="A1246">
            <v>27832</v>
          </cell>
          <cell r="B1246">
            <v>120517.23974599999</v>
          </cell>
          <cell r="C1246">
            <v>30924.265625</v>
          </cell>
          <cell r="D1246">
            <v>24912.363281000002</v>
          </cell>
        </row>
        <row r="1247">
          <cell r="A1247">
            <v>27834</v>
          </cell>
          <cell r="B1247">
            <v>108094.08544899999</v>
          </cell>
          <cell r="C1247">
            <v>18207.751952999999</v>
          </cell>
          <cell r="D1247">
            <v>31763.394531000002</v>
          </cell>
        </row>
        <row r="1248">
          <cell r="A1248">
            <v>27843</v>
          </cell>
          <cell r="B1248">
            <v>51811.125854999998</v>
          </cell>
          <cell r="C1248">
            <v>7106.625</v>
          </cell>
          <cell r="D1248">
            <v>15569.269531</v>
          </cell>
        </row>
        <row r="1249">
          <cell r="A1249">
            <v>27844</v>
          </cell>
          <cell r="B1249">
            <v>51432.074584999995</v>
          </cell>
          <cell r="C1249">
            <v>7054.7807620000003</v>
          </cell>
          <cell r="D1249">
            <v>15474.659180000001</v>
          </cell>
        </row>
        <row r="1250">
          <cell r="A1250">
            <v>27845</v>
          </cell>
          <cell r="B1250">
            <v>69527.721558000005</v>
          </cell>
          <cell r="C1250">
            <v>9828.7353519999997</v>
          </cell>
          <cell r="D1250">
            <v>19981.753906000002</v>
          </cell>
        </row>
        <row r="1251">
          <cell r="A1251">
            <v>27853</v>
          </cell>
          <cell r="B1251">
            <v>23037.229919999998</v>
          </cell>
          <cell r="C1251">
            <v>4364.1953119999998</v>
          </cell>
          <cell r="D1251">
            <v>5754.1259769999997</v>
          </cell>
        </row>
        <row r="1252">
          <cell r="A1252">
            <v>27855</v>
          </cell>
          <cell r="B1252">
            <v>27012.852721999996</v>
          </cell>
          <cell r="C1252">
            <v>5036.9692379999997</v>
          </cell>
          <cell r="D1252">
            <v>6988.6923829999996</v>
          </cell>
        </row>
        <row r="1253">
          <cell r="A1253">
            <v>27856</v>
          </cell>
          <cell r="B1253">
            <v>28104.758545999997</v>
          </cell>
          <cell r="C1253">
            <v>5903.1005859999996</v>
          </cell>
          <cell r="D1253">
            <v>6313.6069340000004</v>
          </cell>
        </row>
        <row r="1254">
          <cell r="A1254">
            <v>27857</v>
          </cell>
          <cell r="B1254">
            <v>5764.3624570000002</v>
          </cell>
          <cell r="C1254">
            <v>1532.5618899999999</v>
          </cell>
          <cell r="D1254">
            <v>1227.4792480000001</v>
          </cell>
        </row>
        <row r="1255">
          <cell r="A1255">
            <v>27858</v>
          </cell>
          <cell r="B1255">
            <v>5748.5657040000006</v>
          </cell>
          <cell r="C1255">
            <v>1524.7623289999999</v>
          </cell>
          <cell r="D1255">
            <v>1223.6798100000001</v>
          </cell>
        </row>
        <row r="1256">
          <cell r="A1256">
            <v>27860</v>
          </cell>
          <cell r="B1256">
            <v>23056.725128000002</v>
          </cell>
          <cell r="C1256">
            <v>2633.1154790000001</v>
          </cell>
          <cell r="D1256">
            <v>6869.3139650000003</v>
          </cell>
        </row>
        <row r="1257">
          <cell r="A1257">
            <v>27862</v>
          </cell>
          <cell r="B1257">
            <v>7041.0842899999998</v>
          </cell>
          <cell r="C1257">
            <v>1500.0546879999999</v>
          </cell>
          <cell r="D1257">
            <v>1812.751221</v>
          </cell>
        </row>
        <row r="1258">
          <cell r="A1258">
            <v>27864</v>
          </cell>
          <cell r="B1258">
            <v>22322.036499000002</v>
          </cell>
          <cell r="C1258">
            <v>2522.188232</v>
          </cell>
          <cell r="D1258">
            <v>6686.1040039999998</v>
          </cell>
        </row>
        <row r="1259">
          <cell r="A1259">
            <v>27866</v>
          </cell>
          <cell r="B1259">
            <v>7643.8927919999996</v>
          </cell>
          <cell r="C1259">
            <v>2124.905518</v>
          </cell>
          <cell r="D1259">
            <v>1521.834717</v>
          </cell>
        </row>
        <row r="1260">
          <cell r="A1260">
            <v>27868</v>
          </cell>
          <cell r="B1260">
            <v>7034.2506100000001</v>
          </cell>
          <cell r="C1260">
            <v>1498.892822</v>
          </cell>
          <cell r="D1260">
            <v>1810.5445560000001</v>
          </cell>
        </row>
        <row r="1261">
          <cell r="A1261">
            <v>27869</v>
          </cell>
          <cell r="B1261">
            <v>12810.222656</v>
          </cell>
          <cell r="C1261">
            <v>2179.5463869999999</v>
          </cell>
          <cell r="D1261">
            <v>3962.5190429999998</v>
          </cell>
        </row>
        <row r="1262">
          <cell r="A1262">
            <v>27870</v>
          </cell>
          <cell r="B1262">
            <v>8378.5814210000008</v>
          </cell>
          <cell r="C1262">
            <v>2235.8327640000002</v>
          </cell>
          <cell r="D1262">
            <v>1705.044678</v>
          </cell>
        </row>
        <row r="1263">
          <cell r="A1263">
            <v>27875</v>
          </cell>
          <cell r="B1263">
            <v>25831.031738999998</v>
          </cell>
          <cell r="C1263">
            <v>5745.3002930000002</v>
          </cell>
          <cell r="D1263">
            <v>4346.4350590000004</v>
          </cell>
        </row>
        <row r="1264">
          <cell r="A1264">
            <v>27877</v>
          </cell>
          <cell r="B1264">
            <v>27726.358153000005</v>
          </cell>
          <cell r="C1264">
            <v>6345.4433589999999</v>
          </cell>
          <cell r="D1264">
            <v>4644.5898440000001</v>
          </cell>
        </row>
        <row r="1265">
          <cell r="A1265">
            <v>27878</v>
          </cell>
          <cell r="B1265">
            <v>22315.203246999998</v>
          </cell>
          <cell r="C1265">
            <v>2521.0263669999999</v>
          </cell>
          <cell r="D1265">
            <v>6683.8979490000002</v>
          </cell>
        </row>
        <row r="1266">
          <cell r="A1266">
            <v>27880</v>
          </cell>
          <cell r="B1266">
            <v>26632.214355</v>
          </cell>
          <cell r="C1266">
            <v>5951.3017579999996</v>
          </cell>
          <cell r="D1266">
            <v>4488.0097660000001</v>
          </cell>
        </row>
        <row r="1267">
          <cell r="A1267">
            <v>27883</v>
          </cell>
          <cell r="B1267">
            <v>20222.242553</v>
          </cell>
          <cell r="C1267">
            <v>4226.0102539999998</v>
          </cell>
          <cell r="D1267">
            <v>3249.4638669999999</v>
          </cell>
        </row>
        <row r="1268">
          <cell r="A1268">
            <v>27884</v>
          </cell>
          <cell r="B1268">
            <v>21666.316162000003</v>
          </cell>
          <cell r="C1268">
            <v>4530.4501950000003</v>
          </cell>
          <cell r="D1268">
            <v>3501.806885</v>
          </cell>
        </row>
        <row r="1269">
          <cell r="A1269">
            <v>27887</v>
          </cell>
          <cell r="B1269">
            <v>17459.413573999998</v>
          </cell>
          <cell r="C1269">
            <v>1709.3781739999999</v>
          </cell>
          <cell r="D1269">
            <v>5251.6083980000003</v>
          </cell>
        </row>
        <row r="1270">
          <cell r="A1270">
            <v>27888</v>
          </cell>
          <cell r="B1270">
            <v>18336.914825</v>
          </cell>
          <cell r="C1270">
            <v>1766.3660890000001</v>
          </cell>
          <cell r="D1270">
            <v>5528.9291990000002</v>
          </cell>
        </row>
        <row r="1271">
          <cell r="A1271">
            <v>27893</v>
          </cell>
          <cell r="B1271">
            <v>49575.423339000001</v>
          </cell>
          <cell r="C1271">
            <v>10946.691406</v>
          </cell>
          <cell r="D1271">
            <v>9283.2207030000009</v>
          </cell>
        </row>
        <row r="1272">
          <cell r="A1272">
            <v>27894</v>
          </cell>
          <cell r="B1272">
            <v>45127.430175000001</v>
          </cell>
          <cell r="C1272">
            <v>10074.083984000001</v>
          </cell>
          <cell r="D1272">
            <v>8121.8735349999997</v>
          </cell>
        </row>
        <row r="1273">
          <cell r="A1273">
            <v>27898</v>
          </cell>
          <cell r="B1273">
            <v>49339.664061999996</v>
          </cell>
          <cell r="C1273">
            <v>6706.0869140000004</v>
          </cell>
          <cell r="D1273">
            <v>14597.083984000001</v>
          </cell>
        </row>
        <row r="1274">
          <cell r="A1274">
            <v>27901</v>
          </cell>
          <cell r="B1274">
            <v>57711.872071000005</v>
          </cell>
          <cell r="C1274">
            <v>7818.9897460000002</v>
          </cell>
          <cell r="D1274">
            <v>17182.175781000002</v>
          </cell>
        </row>
        <row r="1275">
          <cell r="A1275">
            <v>27902</v>
          </cell>
          <cell r="B1275">
            <v>45037.395569</v>
          </cell>
          <cell r="C1275">
            <v>5685.1059569999998</v>
          </cell>
          <cell r="D1275">
            <v>13641.490234000001</v>
          </cell>
        </row>
        <row r="1276">
          <cell r="A1276">
            <v>27903</v>
          </cell>
          <cell r="B1276">
            <v>48643.602537999999</v>
          </cell>
          <cell r="C1276">
            <v>11648.952148</v>
          </cell>
          <cell r="D1276">
            <v>8579.2246090000008</v>
          </cell>
        </row>
        <row r="1277">
          <cell r="A1277">
            <v>27914</v>
          </cell>
          <cell r="B1277">
            <v>79393.606933999996</v>
          </cell>
          <cell r="C1277">
            <v>18877.681640999999</v>
          </cell>
          <cell r="D1277">
            <v>15074.466796999999</v>
          </cell>
        </row>
        <row r="1278">
          <cell r="A1278">
            <v>27915</v>
          </cell>
          <cell r="B1278">
            <v>68221.211790999994</v>
          </cell>
          <cell r="C1278">
            <v>9707.2714840000008</v>
          </cell>
          <cell r="D1278">
            <v>19633.830077999999</v>
          </cell>
        </row>
        <row r="1279">
          <cell r="A1279">
            <v>27916</v>
          </cell>
          <cell r="B1279">
            <v>77707.596680000002</v>
          </cell>
          <cell r="C1279">
            <v>18513.3125</v>
          </cell>
          <cell r="D1279">
            <v>14822.768555000001</v>
          </cell>
        </row>
        <row r="1280">
          <cell r="A1280">
            <v>27918</v>
          </cell>
          <cell r="B1280">
            <v>75749.588136000006</v>
          </cell>
          <cell r="C1280">
            <v>11123.339844</v>
          </cell>
          <cell r="D1280">
            <v>21789.636718999998</v>
          </cell>
        </row>
        <row r="1281">
          <cell r="A1281">
            <v>27919</v>
          </cell>
          <cell r="B1281">
            <v>84617.391602000003</v>
          </cell>
          <cell r="C1281">
            <v>20017.160156000002</v>
          </cell>
          <cell r="D1281">
            <v>16491.09375</v>
          </cell>
        </row>
        <row r="1282">
          <cell r="A1282">
            <v>27921</v>
          </cell>
          <cell r="B1282">
            <v>78083.878419000001</v>
          </cell>
          <cell r="C1282">
            <v>18738.140625</v>
          </cell>
          <cell r="D1282">
            <v>15181.166015999999</v>
          </cell>
        </row>
        <row r="1283">
          <cell r="A1283">
            <v>27923</v>
          </cell>
          <cell r="B1283">
            <v>70729.323730000004</v>
          </cell>
          <cell r="C1283">
            <v>10674.173828000001</v>
          </cell>
          <cell r="D1283">
            <v>20465.859375</v>
          </cell>
        </row>
        <row r="1284">
          <cell r="A1284">
            <v>27924</v>
          </cell>
          <cell r="B1284">
            <v>80822.937378000002</v>
          </cell>
          <cell r="C1284">
            <v>12422.868164</v>
          </cell>
          <cell r="D1284">
            <v>23116.189452999999</v>
          </cell>
        </row>
        <row r="1285">
          <cell r="A1285">
            <v>27925</v>
          </cell>
          <cell r="B1285">
            <v>89506.399415000007</v>
          </cell>
          <cell r="C1285">
            <v>21459.089843999998</v>
          </cell>
          <cell r="D1285">
            <v>17924.015625</v>
          </cell>
        </row>
        <row r="1286">
          <cell r="A1286">
            <v>27928</v>
          </cell>
          <cell r="B1286">
            <v>77239.276488999996</v>
          </cell>
          <cell r="C1286">
            <v>11821.763671999999</v>
          </cell>
          <cell r="D1286">
            <v>22161.464843999998</v>
          </cell>
        </row>
        <row r="1287">
          <cell r="A1287">
            <v>27929</v>
          </cell>
          <cell r="B1287">
            <v>83554.545409999992</v>
          </cell>
          <cell r="C1287">
            <v>20146.841797000001</v>
          </cell>
          <cell r="D1287">
            <v>16651.548827999999</v>
          </cell>
        </row>
        <row r="1288">
          <cell r="A1288">
            <v>27930</v>
          </cell>
          <cell r="B1288">
            <v>86245.864258000001</v>
          </cell>
          <cell r="C1288">
            <v>13533.898438</v>
          </cell>
          <cell r="D1288">
            <v>24948.957031000002</v>
          </cell>
        </row>
        <row r="1289">
          <cell r="A1289">
            <v>27931</v>
          </cell>
          <cell r="B1289">
            <v>96832.112303999995</v>
          </cell>
          <cell r="C1289">
            <v>23451.03125</v>
          </cell>
          <cell r="D1289">
            <v>19925.195312</v>
          </cell>
        </row>
        <row r="1290">
          <cell r="A1290">
            <v>27933</v>
          </cell>
          <cell r="B1290">
            <v>91915.369139999995</v>
          </cell>
          <cell r="C1290">
            <v>22474.564452999999</v>
          </cell>
          <cell r="D1290">
            <v>18884.558593999998</v>
          </cell>
        </row>
        <row r="1291">
          <cell r="A1291">
            <v>27934</v>
          </cell>
          <cell r="B1291">
            <v>81308.573241999999</v>
          </cell>
          <cell r="C1291">
            <v>12995.840819999999</v>
          </cell>
          <cell r="D1291">
            <v>23565.056640999999</v>
          </cell>
        </row>
        <row r="1292">
          <cell r="A1292">
            <v>27936</v>
          </cell>
          <cell r="B1292">
            <v>101218.952148</v>
          </cell>
          <cell r="C1292">
            <v>25042.976562</v>
          </cell>
          <cell r="D1292">
            <v>21088.394531000002</v>
          </cell>
        </row>
        <row r="1293">
          <cell r="A1293">
            <v>27937</v>
          </cell>
          <cell r="B1293">
            <v>89977.278566000008</v>
          </cell>
          <cell r="C1293">
            <v>14618.398438</v>
          </cell>
          <cell r="D1293">
            <v>25948.105468999998</v>
          </cell>
        </row>
        <row r="1294">
          <cell r="A1294">
            <v>27940</v>
          </cell>
          <cell r="B1294">
            <v>83929.21875</v>
          </cell>
          <cell r="C1294">
            <v>13775.771484000001</v>
          </cell>
          <cell r="D1294">
            <v>24359.34375</v>
          </cell>
        </row>
        <row r="1295">
          <cell r="A1295">
            <v>27941</v>
          </cell>
          <cell r="B1295">
            <v>95211.194824000006</v>
          </cell>
          <cell r="C1295">
            <v>23750.044922000001</v>
          </cell>
          <cell r="D1295">
            <v>19877.478515999999</v>
          </cell>
        </row>
        <row r="1296">
          <cell r="A1296">
            <v>27942</v>
          </cell>
          <cell r="B1296">
            <v>93738.251708999989</v>
          </cell>
          <cell r="C1296">
            <v>15700.001953000001</v>
          </cell>
          <cell r="D1296">
            <v>26966.105468999998</v>
          </cell>
        </row>
        <row r="1297">
          <cell r="A1297">
            <v>27943</v>
          </cell>
          <cell r="B1297">
            <v>103635.41796799999</v>
          </cell>
          <cell r="C1297">
            <v>25315.082031000002</v>
          </cell>
          <cell r="D1297">
            <v>22032.414062</v>
          </cell>
        </row>
        <row r="1298">
          <cell r="A1298">
            <v>27945</v>
          </cell>
          <cell r="B1298">
            <v>93579.933105000004</v>
          </cell>
          <cell r="C1298">
            <v>15691.108398</v>
          </cell>
          <cell r="D1298">
            <v>26921.892577999999</v>
          </cell>
        </row>
        <row r="1299">
          <cell r="A1299">
            <v>27946</v>
          </cell>
          <cell r="B1299">
            <v>97849.979490999991</v>
          </cell>
          <cell r="C1299">
            <v>24137.789062</v>
          </cell>
          <cell r="D1299">
            <v>20735.953125</v>
          </cell>
        </row>
        <row r="1300">
          <cell r="A1300">
            <v>27948</v>
          </cell>
          <cell r="B1300">
            <v>79545.365234000012</v>
          </cell>
          <cell r="C1300">
            <v>20251.935547000001</v>
          </cell>
          <cell r="D1300">
            <v>15642.276367</v>
          </cell>
        </row>
        <row r="1301">
          <cell r="A1301">
            <v>27951</v>
          </cell>
          <cell r="B1301">
            <v>72268.324219000002</v>
          </cell>
          <cell r="C1301">
            <v>10833.426758</v>
          </cell>
          <cell r="D1301">
            <v>21844.917968999998</v>
          </cell>
        </row>
        <row r="1302">
          <cell r="A1302">
            <v>27952</v>
          </cell>
          <cell r="B1302">
            <v>89895.256592000005</v>
          </cell>
          <cell r="C1302">
            <v>15227.5</v>
          </cell>
          <cell r="D1302">
            <v>25951.447265999999</v>
          </cell>
        </row>
        <row r="1303">
          <cell r="A1303">
            <v>27956</v>
          </cell>
          <cell r="B1303">
            <v>44762.160398999993</v>
          </cell>
          <cell r="C1303">
            <v>12734.253906</v>
          </cell>
          <cell r="D1303">
            <v>9153.0332030000009</v>
          </cell>
        </row>
        <row r="1304">
          <cell r="A1304">
            <v>27957</v>
          </cell>
          <cell r="B1304">
            <v>55091.639159999999</v>
          </cell>
          <cell r="C1304">
            <v>14699.758789</v>
          </cell>
          <cell r="D1304">
            <v>11451.979492</v>
          </cell>
        </row>
        <row r="1305">
          <cell r="A1305">
            <v>27959</v>
          </cell>
          <cell r="B1305">
            <v>56645.648559000001</v>
          </cell>
          <cell r="C1305">
            <v>9170.1181639999995</v>
          </cell>
          <cell r="D1305">
            <v>16487.349609000001</v>
          </cell>
        </row>
        <row r="1306">
          <cell r="A1306">
            <v>27962</v>
          </cell>
          <cell r="B1306">
            <v>45546.821534000002</v>
          </cell>
          <cell r="C1306">
            <v>13004.350586</v>
          </cell>
          <cell r="D1306">
            <v>9119.6904300000006</v>
          </cell>
        </row>
        <row r="1307">
          <cell r="A1307">
            <v>27963</v>
          </cell>
          <cell r="B1307">
            <v>64192.699707</v>
          </cell>
          <cell r="C1307">
            <v>10624.395508</v>
          </cell>
          <cell r="D1307">
            <v>18710.189452999999</v>
          </cell>
        </row>
        <row r="1308">
          <cell r="A1308">
            <v>27964</v>
          </cell>
          <cell r="B1308">
            <v>56851.357177999998</v>
          </cell>
          <cell r="C1308">
            <v>15203.264648</v>
          </cell>
          <cell r="D1308">
            <v>11761.464844</v>
          </cell>
        </row>
        <row r="1309">
          <cell r="A1309">
            <v>27972</v>
          </cell>
          <cell r="B1309">
            <v>43357.428711</v>
          </cell>
          <cell r="C1309">
            <v>12646.889648</v>
          </cell>
          <cell r="D1309">
            <v>8840.0605469999991</v>
          </cell>
        </row>
        <row r="1310">
          <cell r="A1310">
            <v>27974</v>
          </cell>
          <cell r="B1310">
            <v>33057.580870999998</v>
          </cell>
          <cell r="C1310">
            <v>5088.7885740000002</v>
          </cell>
          <cell r="D1310">
            <v>10457.084961</v>
          </cell>
        </row>
        <row r="1311">
          <cell r="A1311">
            <v>27976</v>
          </cell>
          <cell r="B1311">
            <v>41674.779785999999</v>
          </cell>
          <cell r="C1311">
            <v>6322.0097660000001</v>
          </cell>
          <cell r="D1311">
            <v>13551.484375</v>
          </cell>
        </row>
        <row r="1312">
          <cell r="A1312">
            <v>27979</v>
          </cell>
          <cell r="B1312">
            <v>33096.613160000001</v>
          </cell>
          <cell r="C1312">
            <v>10527.979492</v>
          </cell>
          <cell r="D1312">
            <v>6901.5234380000002</v>
          </cell>
        </row>
        <row r="1313">
          <cell r="A1313">
            <v>27980</v>
          </cell>
          <cell r="B1313">
            <v>72096.049315000011</v>
          </cell>
          <cell r="C1313">
            <v>19700.380859000001</v>
          </cell>
          <cell r="D1313">
            <v>14239.611328000001</v>
          </cell>
        </row>
        <row r="1314">
          <cell r="A1314">
            <v>27981</v>
          </cell>
          <cell r="B1314">
            <v>77844.546875</v>
          </cell>
          <cell r="C1314">
            <v>20749.470702999999</v>
          </cell>
          <cell r="D1314">
            <v>15671.792969</v>
          </cell>
        </row>
        <row r="1315">
          <cell r="A1315">
            <v>27985</v>
          </cell>
          <cell r="B1315">
            <v>68425.235109000001</v>
          </cell>
          <cell r="C1315">
            <v>18244.431640999999</v>
          </cell>
          <cell r="D1315">
            <v>13500.250977</v>
          </cell>
        </row>
        <row r="1316">
          <cell r="A1316">
            <v>27987</v>
          </cell>
          <cell r="B1316">
            <v>77741.584961</v>
          </cell>
          <cell r="C1316">
            <v>19806.707031000002</v>
          </cell>
          <cell r="D1316">
            <v>15519.583008</v>
          </cell>
        </row>
        <row r="1317">
          <cell r="A1317">
            <v>27988</v>
          </cell>
          <cell r="B1317">
            <v>70754.963866999999</v>
          </cell>
          <cell r="C1317">
            <v>18167.726562</v>
          </cell>
          <cell r="D1317">
            <v>14042.169921999999</v>
          </cell>
        </row>
        <row r="1318">
          <cell r="A1318">
            <v>27989</v>
          </cell>
          <cell r="B1318">
            <v>65611.317383000001</v>
          </cell>
          <cell r="C1318">
            <v>10004.504883</v>
          </cell>
          <cell r="D1318">
            <v>21195.087890999999</v>
          </cell>
        </row>
        <row r="1319">
          <cell r="A1319">
            <v>27993</v>
          </cell>
          <cell r="B1319">
            <v>58823.560424999996</v>
          </cell>
          <cell r="C1319">
            <v>8835.6816409999992</v>
          </cell>
          <cell r="D1319">
            <v>19294.236327999999</v>
          </cell>
        </row>
        <row r="1320">
          <cell r="A1320">
            <v>27998</v>
          </cell>
          <cell r="B1320">
            <v>78146.478027000005</v>
          </cell>
          <cell r="C1320">
            <v>19299.111327999999</v>
          </cell>
          <cell r="D1320">
            <v>15682.532227</v>
          </cell>
        </row>
        <row r="1321">
          <cell r="A1321">
            <v>28000</v>
          </cell>
          <cell r="B1321">
            <v>73682.981445000012</v>
          </cell>
          <cell r="C1321">
            <v>18216.941406000002</v>
          </cell>
          <cell r="D1321">
            <v>14596.053711</v>
          </cell>
        </row>
        <row r="1322">
          <cell r="A1322">
            <v>28002</v>
          </cell>
          <cell r="B1322">
            <v>72454.075683999996</v>
          </cell>
          <cell r="C1322">
            <v>10726.250977</v>
          </cell>
          <cell r="D1322">
            <v>22162.855468999998</v>
          </cell>
        </row>
        <row r="1323">
          <cell r="A1323">
            <v>28007</v>
          </cell>
          <cell r="B1323">
            <v>68124.109620000003</v>
          </cell>
          <cell r="C1323">
            <v>16622.619140999999</v>
          </cell>
          <cell r="D1323">
            <v>13342.835938</v>
          </cell>
        </row>
        <row r="1324">
          <cell r="A1324">
            <v>28011</v>
          </cell>
          <cell r="B1324">
            <v>77290.395507000008</v>
          </cell>
          <cell r="C1324">
            <v>17897.035156000002</v>
          </cell>
          <cell r="D1324">
            <v>15583.491211</v>
          </cell>
        </row>
        <row r="1325">
          <cell r="A1325">
            <v>28012</v>
          </cell>
          <cell r="B1325">
            <v>74792.857300000003</v>
          </cell>
          <cell r="C1325">
            <v>11109.530273</v>
          </cell>
          <cell r="D1325">
            <v>21784.257812</v>
          </cell>
        </row>
        <row r="1326">
          <cell r="A1326">
            <v>28013</v>
          </cell>
          <cell r="B1326">
            <v>74792.857300000003</v>
          </cell>
          <cell r="C1326">
            <v>11109.530273</v>
          </cell>
          <cell r="D1326">
            <v>21784.257812</v>
          </cell>
        </row>
        <row r="1327">
          <cell r="A1327">
            <v>28016</v>
          </cell>
          <cell r="B1327">
            <v>66008.230469000002</v>
          </cell>
          <cell r="C1327">
            <v>15531.252930000001</v>
          </cell>
          <cell r="D1327">
            <v>13709.029296999999</v>
          </cell>
        </row>
        <row r="1328">
          <cell r="A1328">
            <v>28073</v>
          </cell>
          <cell r="B1328">
            <v>33761.564451999999</v>
          </cell>
          <cell r="C1328">
            <v>7093.6499020000001</v>
          </cell>
          <cell r="D1328">
            <v>9109.8583980000003</v>
          </cell>
        </row>
        <row r="1329">
          <cell r="A1329">
            <v>28084</v>
          </cell>
          <cell r="B1329">
            <v>44662.246337999997</v>
          </cell>
          <cell r="C1329">
            <v>9878.7373050000006</v>
          </cell>
          <cell r="D1329">
            <v>10532.325194999999</v>
          </cell>
        </row>
        <row r="1330">
          <cell r="A1330">
            <v>28085</v>
          </cell>
          <cell r="B1330">
            <v>50139.347412000003</v>
          </cell>
          <cell r="C1330">
            <v>9965.1054690000001</v>
          </cell>
          <cell r="D1330">
            <v>12899.105469</v>
          </cell>
        </row>
        <row r="1331">
          <cell r="A1331">
            <v>28086</v>
          </cell>
          <cell r="B1331">
            <v>53807.094117000001</v>
          </cell>
          <cell r="C1331">
            <v>11303.113281</v>
          </cell>
          <cell r="D1331">
            <v>12505.868164</v>
          </cell>
        </row>
        <row r="1332">
          <cell r="A1332">
            <v>28087</v>
          </cell>
          <cell r="B1332">
            <v>34289.511842</v>
          </cell>
          <cell r="C1332">
            <v>7340.9838870000003</v>
          </cell>
          <cell r="D1332">
            <v>8173.1972660000001</v>
          </cell>
        </row>
        <row r="1333">
          <cell r="A1333">
            <v>28093</v>
          </cell>
          <cell r="B1333">
            <v>57267.574217999994</v>
          </cell>
          <cell r="C1333">
            <v>9153.7363280000009</v>
          </cell>
          <cell r="D1333">
            <v>18574.082031000002</v>
          </cell>
        </row>
        <row r="1334">
          <cell r="A1334">
            <v>28096</v>
          </cell>
          <cell r="B1334">
            <v>85686.765258999993</v>
          </cell>
          <cell r="C1334">
            <v>13808.938477</v>
          </cell>
          <cell r="D1334">
            <v>27365.603515999999</v>
          </cell>
        </row>
        <row r="1335">
          <cell r="A1335">
            <v>28106</v>
          </cell>
          <cell r="B1335">
            <v>71486.612793000008</v>
          </cell>
          <cell r="C1335">
            <v>10846.821289</v>
          </cell>
          <cell r="D1335">
            <v>22810.544922000001</v>
          </cell>
        </row>
        <row r="1336">
          <cell r="A1336">
            <v>28118</v>
          </cell>
          <cell r="B1336">
            <v>86576.372071000005</v>
          </cell>
          <cell r="C1336">
            <v>22876.917968999998</v>
          </cell>
          <cell r="D1336">
            <v>17249.841797000001</v>
          </cell>
        </row>
        <row r="1337">
          <cell r="A1337">
            <v>28119</v>
          </cell>
          <cell r="B1337">
            <v>99373.561768</v>
          </cell>
          <cell r="C1337">
            <v>14946.709961</v>
          </cell>
          <cell r="D1337">
            <v>29204.890625</v>
          </cell>
        </row>
        <row r="1338">
          <cell r="A1338">
            <v>28120</v>
          </cell>
          <cell r="B1338">
            <v>92193.649413000006</v>
          </cell>
          <cell r="C1338">
            <v>23650.248047000001</v>
          </cell>
          <cell r="D1338">
            <v>18654.271484000001</v>
          </cell>
        </row>
        <row r="1339">
          <cell r="A1339">
            <v>28123</v>
          </cell>
          <cell r="B1339">
            <v>86944.617675000001</v>
          </cell>
          <cell r="C1339">
            <v>13557.068359000001</v>
          </cell>
          <cell r="D1339">
            <v>25169.216797000001</v>
          </cell>
        </row>
        <row r="1340">
          <cell r="A1340">
            <v>28124</v>
          </cell>
          <cell r="B1340">
            <v>82290.473633000001</v>
          </cell>
          <cell r="C1340">
            <v>21696.832031000002</v>
          </cell>
          <cell r="D1340">
            <v>16713.119140999999</v>
          </cell>
        </row>
        <row r="1341">
          <cell r="A1341">
            <v>28126</v>
          </cell>
          <cell r="B1341">
            <v>85229.592774999997</v>
          </cell>
          <cell r="C1341">
            <v>22029.748047000001</v>
          </cell>
          <cell r="D1341">
            <v>17142.869140999999</v>
          </cell>
        </row>
        <row r="1342">
          <cell r="A1342">
            <v>28127</v>
          </cell>
          <cell r="B1342">
            <v>93629.122069999998</v>
          </cell>
          <cell r="C1342">
            <v>14781.990234000001</v>
          </cell>
          <cell r="D1342">
            <v>27515.154297000001</v>
          </cell>
        </row>
        <row r="1343">
          <cell r="A1343">
            <v>28143</v>
          </cell>
          <cell r="B1343">
            <v>87235.179687000011</v>
          </cell>
          <cell r="C1343">
            <v>13463.596680000001</v>
          </cell>
          <cell r="D1343">
            <v>25857.818359000001</v>
          </cell>
        </row>
        <row r="1344">
          <cell r="A1344">
            <v>28144</v>
          </cell>
          <cell r="B1344">
            <v>84280.736327999999</v>
          </cell>
          <cell r="C1344">
            <v>22104.494140999999</v>
          </cell>
          <cell r="D1344">
            <v>17376.572265999999</v>
          </cell>
        </row>
        <row r="1345">
          <cell r="A1345">
            <v>28167</v>
          </cell>
          <cell r="B1345">
            <v>37686.534911999996</v>
          </cell>
          <cell r="C1345">
            <v>7740.375</v>
          </cell>
          <cell r="D1345">
            <v>8053.8217770000001</v>
          </cell>
        </row>
        <row r="1346">
          <cell r="A1346">
            <v>28178</v>
          </cell>
          <cell r="B1346">
            <v>65225.379883000001</v>
          </cell>
          <cell r="C1346">
            <v>15294.390625</v>
          </cell>
          <cell r="D1346">
            <v>11731.357421999999</v>
          </cell>
        </row>
        <row r="1347">
          <cell r="A1347">
            <v>28179</v>
          </cell>
          <cell r="B1347">
            <v>56286.808106999997</v>
          </cell>
          <cell r="C1347">
            <v>8476.2197269999997</v>
          </cell>
          <cell r="D1347">
            <v>17381.960938</v>
          </cell>
        </row>
        <row r="1348">
          <cell r="A1348">
            <v>28182</v>
          </cell>
          <cell r="B1348">
            <v>53967.615234999997</v>
          </cell>
          <cell r="C1348">
            <v>13068.890625</v>
          </cell>
          <cell r="D1348">
            <v>9588.1044920000004</v>
          </cell>
        </row>
        <row r="1349">
          <cell r="A1349">
            <v>28184</v>
          </cell>
          <cell r="B1349">
            <v>45584.899659000002</v>
          </cell>
          <cell r="C1349">
            <v>6469.4809569999998</v>
          </cell>
          <cell r="D1349">
            <v>14283.464844</v>
          </cell>
        </row>
        <row r="1350">
          <cell r="A1350">
            <v>28186</v>
          </cell>
          <cell r="B1350">
            <v>48349.313232</v>
          </cell>
          <cell r="C1350">
            <v>6902.5346680000002</v>
          </cell>
          <cell r="D1350">
            <v>15158.868164</v>
          </cell>
        </row>
        <row r="1351">
          <cell r="A1351">
            <v>28188</v>
          </cell>
          <cell r="B1351">
            <v>56428.235352000003</v>
          </cell>
          <cell r="C1351">
            <v>13567.011719</v>
          </cell>
          <cell r="D1351">
            <v>10108.418944999999</v>
          </cell>
        </row>
        <row r="1352">
          <cell r="A1352">
            <v>28191</v>
          </cell>
          <cell r="B1352">
            <v>34939.703796000002</v>
          </cell>
          <cell r="C1352">
            <v>4593.0190430000002</v>
          </cell>
          <cell r="D1352">
            <v>11792.359375</v>
          </cell>
        </row>
        <row r="1353">
          <cell r="A1353">
            <v>28193</v>
          </cell>
          <cell r="B1353">
            <v>37856.069823999998</v>
          </cell>
          <cell r="C1353">
            <v>10627.125</v>
          </cell>
          <cell r="D1353">
            <v>7187.8037109999996</v>
          </cell>
        </row>
        <row r="1354">
          <cell r="A1354">
            <v>28195</v>
          </cell>
          <cell r="B1354">
            <v>44173.334961</v>
          </cell>
          <cell r="C1354">
            <v>11826.216796999999</v>
          </cell>
          <cell r="D1354">
            <v>8561.9775389999995</v>
          </cell>
        </row>
        <row r="1355">
          <cell r="A1355">
            <v>28197</v>
          </cell>
          <cell r="B1355">
            <v>44173.334961</v>
          </cell>
          <cell r="C1355">
            <v>11826.216796999999</v>
          </cell>
          <cell r="D1355">
            <v>8561.9775389999995</v>
          </cell>
        </row>
        <row r="1356">
          <cell r="A1356">
            <v>28199</v>
          </cell>
          <cell r="B1356">
            <v>40479.989379999999</v>
          </cell>
          <cell r="C1356">
            <v>5500.3701170000004</v>
          </cell>
          <cell r="D1356">
            <v>13287.690430000001</v>
          </cell>
        </row>
        <row r="1357">
          <cell r="A1357">
            <v>28200</v>
          </cell>
          <cell r="B1357">
            <v>34975.858154000001</v>
          </cell>
          <cell r="C1357">
            <v>9621.9736329999996</v>
          </cell>
          <cell r="D1357">
            <v>6631.8139650000003</v>
          </cell>
        </row>
        <row r="1358">
          <cell r="A1358">
            <v>28203</v>
          </cell>
          <cell r="B1358">
            <v>26883.938292000003</v>
          </cell>
          <cell r="C1358">
            <v>3474.368164</v>
          </cell>
          <cell r="D1358">
            <v>9066.1757809999999</v>
          </cell>
        </row>
        <row r="1359">
          <cell r="A1359">
            <v>28205</v>
          </cell>
          <cell r="B1359">
            <v>24358.529417999998</v>
          </cell>
          <cell r="C1359">
            <v>7214.5146480000003</v>
          </cell>
          <cell r="D1359">
            <v>4675.9726559999999</v>
          </cell>
        </row>
        <row r="1360">
          <cell r="A1360">
            <v>28206</v>
          </cell>
          <cell r="B1360">
            <v>29259.247315000001</v>
          </cell>
          <cell r="C1360">
            <v>8327.9296880000002</v>
          </cell>
          <cell r="D1360">
            <v>5587.0834960000002</v>
          </cell>
        </row>
        <row r="1361">
          <cell r="A1361">
            <v>28208</v>
          </cell>
          <cell r="B1361">
            <v>27532.610169</v>
          </cell>
          <cell r="C1361">
            <v>3554.258789</v>
          </cell>
          <cell r="D1361">
            <v>9256.09375</v>
          </cell>
        </row>
        <row r="1362">
          <cell r="A1362">
            <v>28209</v>
          </cell>
          <cell r="B1362">
            <v>20709.442749000002</v>
          </cell>
          <cell r="C1362">
            <v>2485.3188479999999</v>
          </cell>
          <cell r="D1362">
            <v>7263.1601559999999</v>
          </cell>
        </row>
        <row r="1363">
          <cell r="A1363">
            <v>28211</v>
          </cell>
          <cell r="B1363">
            <v>21847.191284999997</v>
          </cell>
          <cell r="C1363">
            <v>6314.0429690000001</v>
          </cell>
          <cell r="D1363">
            <v>3941.7145999999998</v>
          </cell>
        </row>
        <row r="1364">
          <cell r="A1364">
            <v>28214</v>
          </cell>
          <cell r="B1364">
            <v>26826.903564000004</v>
          </cell>
          <cell r="C1364">
            <v>3407.8754880000001</v>
          </cell>
          <cell r="D1364">
            <v>8833.3300780000009</v>
          </cell>
        </row>
        <row r="1365">
          <cell r="A1365">
            <v>28215</v>
          </cell>
          <cell r="B1365">
            <v>27366.041749</v>
          </cell>
          <cell r="C1365">
            <v>7563.8413090000004</v>
          </cell>
          <cell r="D1365">
            <v>4961.3872069999998</v>
          </cell>
        </row>
        <row r="1366">
          <cell r="A1366">
            <v>28216</v>
          </cell>
          <cell r="B1366">
            <v>26998.320923000003</v>
          </cell>
          <cell r="C1366">
            <v>3437.295654</v>
          </cell>
          <cell r="D1366">
            <v>8869.7636719999991</v>
          </cell>
        </row>
        <row r="1367">
          <cell r="A1367">
            <v>28219</v>
          </cell>
          <cell r="B1367">
            <v>23431.244874000004</v>
          </cell>
          <cell r="C1367">
            <v>6288.2822269999997</v>
          </cell>
          <cell r="D1367">
            <v>4162.3920900000003</v>
          </cell>
        </row>
        <row r="1368">
          <cell r="A1368">
            <v>28222</v>
          </cell>
          <cell r="B1368">
            <v>23137.260557999998</v>
          </cell>
          <cell r="C1368">
            <v>2826.599365</v>
          </cell>
          <cell r="D1368">
            <v>7454.1044920000004</v>
          </cell>
        </row>
        <row r="1369">
          <cell r="A1369">
            <v>28223</v>
          </cell>
          <cell r="B1369">
            <v>24116.981933999999</v>
          </cell>
          <cell r="C1369">
            <v>6370.7866210000002</v>
          </cell>
          <cell r="D1369">
            <v>4323.0815430000002</v>
          </cell>
        </row>
        <row r="1370">
          <cell r="A1370">
            <v>28227</v>
          </cell>
          <cell r="B1370">
            <v>14660.814819000001</v>
          </cell>
          <cell r="C1370">
            <v>1711.619385</v>
          </cell>
          <cell r="D1370">
            <v>4778.9375</v>
          </cell>
        </row>
        <row r="1371">
          <cell r="A1371">
            <v>28229</v>
          </cell>
          <cell r="B1371">
            <v>14826.938111000001</v>
          </cell>
          <cell r="C1371">
            <v>3620.3176269999999</v>
          </cell>
          <cell r="D1371">
            <v>2578.943115</v>
          </cell>
        </row>
        <row r="1372">
          <cell r="A1372">
            <v>28231</v>
          </cell>
          <cell r="B1372">
            <v>15257.702882000001</v>
          </cell>
          <cell r="C1372">
            <v>3719.9663089999999</v>
          </cell>
          <cell r="D1372">
            <v>2650.8503420000002</v>
          </cell>
        </row>
        <row r="1373">
          <cell r="A1373">
            <v>28232</v>
          </cell>
          <cell r="B1373">
            <v>15083.209594</v>
          </cell>
          <cell r="C1373">
            <v>1759.2045900000001</v>
          </cell>
          <cell r="D1373">
            <v>4903.8422849999997</v>
          </cell>
        </row>
        <row r="1374">
          <cell r="A1374">
            <v>28235</v>
          </cell>
          <cell r="B1374">
            <v>11961.683594000002</v>
          </cell>
          <cell r="C1374">
            <v>1126.6442870000001</v>
          </cell>
          <cell r="D1374">
            <v>4146.1992190000001</v>
          </cell>
        </row>
        <row r="1375">
          <cell r="A1375">
            <v>28237</v>
          </cell>
          <cell r="B1375">
            <v>11896.60608</v>
          </cell>
          <cell r="C1375">
            <v>3123.2607419999999</v>
          </cell>
          <cell r="D1375">
            <v>1647.7623289999999</v>
          </cell>
        </row>
        <row r="1376">
          <cell r="A1376">
            <v>28239</v>
          </cell>
          <cell r="B1376">
            <v>12674.143188</v>
          </cell>
          <cell r="C1376">
            <v>3304.7158199999999</v>
          </cell>
          <cell r="D1376">
            <v>1823.909668</v>
          </cell>
        </row>
        <row r="1377">
          <cell r="A1377">
            <v>28240</v>
          </cell>
          <cell r="B1377">
            <v>12717.885925000002</v>
          </cell>
          <cell r="C1377">
            <v>1212.1864009999999</v>
          </cell>
          <cell r="D1377">
            <v>4418.017578</v>
          </cell>
        </row>
        <row r="1378">
          <cell r="A1378">
            <v>28244</v>
          </cell>
          <cell r="B1378">
            <v>12674.143188</v>
          </cell>
          <cell r="C1378">
            <v>3304.7158199999999</v>
          </cell>
          <cell r="D1378">
            <v>1823.909668</v>
          </cell>
        </row>
        <row r="1379">
          <cell r="A1379">
            <v>28245</v>
          </cell>
          <cell r="B1379">
            <v>12698.863831000002</v>
          </cell>
          <cell r="C1379">
            <v>1211.419678</v>
          </cell>
          <cell r="D1379">
            <v>4410.4433589999999</v>
          </cell>
        </row>
        <row r="1380">
          <cell r="A1380">
            <v>28246</v>
          </cell>
          <cell r="B1380">
            <v>13463.432983000001</v>
          </cell>
          <cell r="C1380">
            <v>3559.961914</v>
          </cell>
          <cell r="D1380">
            <v>1939.997314</v>
          </cell>
        </row>
        <row r="1381">
          <cell r="A1381">
            <v>28247</v>
          </cell>
          <cell r="B1381">
            <v>13447.165771000002</v>
          </cell>
          <cell r="C1381">
            <v>1281.4554439999999</v>
          </cell>
          <cell r="D1381">
            <v>4695.7729490000002</v>
          </cell>
        </row>
        <row r="1382">
          <cell r="A1382">
            <v>28250</v>
          </cell>
          <cell r="B1382">
            <v>9313.7163079999991</v>
          </cell>
          <cell r="C1382">
            <v>2495.2416990000002</v>
          </cell>
          <cell r="D1382">
            <v>1225.6157229999999</v>
          </cell>
        </row>
        <row r="1383">
          <cell r="A1383">
            <v>28253</v>
          </cell>
          <cell r="B1383">
            <v>9372.032776</v>
          </cell>
          <cell r="C1383">
            <v>983.316956</v>
          </cell>
          <cell r="D1383">
            <v>3198.0283199999999</v>
          </cell>
        </row>
        <row r="1384">
          <cell r="A1384">
            <v>28254</v>
          </cell>
          <cell r="B1384">
            <v>9434.932189000001</v>
          </cell>
          <cell r="C1384">
            <v>2524.11499</v>
          </cell>
          <cell r="D1384">
            <v>1243.587524</v>
          </cell>
        </row>
        <row r="1385">
          <cell r="A1385">
            <v>28257</v>
          </cell>
          <cell r="B1385">
            <v>8382.1976319999994</v>
          </cell>
          <cell r="C1385">
            <v>2218.5385740000002</v>
          </cell>
          <cell r="D1385">
            <v>1065.6884769999999</v>
          </cell>
        </row>
        <row r="1386">
          <cell r="A1386">
            <v>28258</v>
          </cell>
          <cell r="B1386">
            <v>8415.8284290000011</v>
          </cell>
          <cell r="C1386">
            <v>939.70666500000004</v>
          </cell>
          <cell r="D1386">
            <v>2779.976318</v>
          </cell>
        </row>
        <row r="1387">
          <cell r="A1387">
            <v>28260</v>
          </cell>
          <cell r="B1387">
            <v>8485.7618399999992</v>
          </cell>
          <cell r="C1387">
            <v>2244.3029790000001</v>
          </cell>
          <cell r="D1387">
            <v>1077.415283</v>
          </cell>
        </row>
        <row r="1388">
          <cell r="A1388">
            <v>28261</v>
          </cell>
          <cell r="B1388">
            <v>8689.0173949999989</v>
          </cell>
          <cell r="C1388">
            <v>1000.706177</v>
          </cell>
          <cell r="D1388">
            <v>2856.2309570000002</v>
          </cell>
        </row>
        <row r="1389">
          <cell r="A1389">
            <v>28264</v>
          </cell>
          <cell r="B1389">
            <v>8452.4223010000005</v>
          </cell>
          <cell r="C1389">
            <v>1006.406921</v>
          </cell>
          <cell r="D1389">
            <v>2771.463135</v>
          </cell>
        </row>
        <row r="1390">
          <cell r="A1390">
            <v>28265</v>
          </cell>
          <cell r="B1390">
            <v>8366.6096180000004</v>
          </cell>
          <cell r="C1390">
            <v>986.10015899999996</v>
          </cell>
          <cell r="D1390">
            <v>2746.592529</v>
          </cell>
        </row>
        <row r="1391">
          <cell r="A1391">
            <v>28267</v>
          </cell>
          <cell r="B1391">
            <v>8156.7335199999998</v>
          </cell>
          <cell r="C1391">
            <v>2154.8515619999998</v>
          </cell>
          <cell r="D1391">
            <v>1037.881226</v>
          </cell>
        </row>
        <row r="1392">
          <cell r="A1392">
            <v>28269</v>
          </cell>
          <cell r="B1392">
            <v>7189.8515020000004</v>
          </cell>
          <cell r="C1392">
            <v>870.25988800000005</v>
          </cell>
          <cell r="D1392">
            <v>2320.1208499999998</v>
          </cell>
        </row>
        <row r="1393">
          <cell r="A1393">
            <v>28270</v>
          </cell>
          <cell r="B1393">
            <v>7030.3587029999999</v>
          </cell>
          <cell r="C1393">
            <v>1887.7855219999999</v>
          </cell>
          <cell r="D1393">
            <v>847.37536599999999</v>
          </cell>
        </row>
        <row r="1394">
          <cell r="A1394">
            <v>28276</v>
          </cell>
          <cell r="B1394">
            <v>30754.473693999997</v>
          </cell>
          <cell r="C1394">
            <v>6397.7036129999997</v>
          </cell>
          <cell r="D1394">
            <v>9401.4326170000004</v>
          </cell>
        </row>
        <row r="1395">
          <cell r="A1395">
            <v>28279</v>
          </cell>
          <cell r="B1395">
            <v>34733.043335000002</v>
          </cell>
          <cell r="C1395">
            <v>9069.5253909999992</v>
          </cell>
          <cell r="D1395">
            <v>8158.8969729999999</v>
          </cell>
        </row>
        <row r="1396">
          <cell r="A1396">
            <v>28280</v>
          </cell>
          <cell r="B1396">
            <v>41379.889770000002</v>
          </cell>
          <cell r="C1396">
            <v>10243.155273</v>
          </cell>
          <cell r="D1396">
            <v>9955.1308590000008</v>
          </cell>
        </row>
        <row r="1397">
          <cell r="A1397">
            <v>28281</v>
          </cell>
          <cell r="B1397">
            <v>38868.621827000003</v>
          </cell>
          <cell r="C1397">
            <v>8883.75</v>
          </cell>
          <cell r="D1397">
            <v>11307.59375</v>
          </cell>
        </row>
        <row r="1398">
          <cell r="A1398">
            <v>28284</v>
          </cell>
          <cell r="B1398">
            <v>34644.494141000003</v>
          </cell>
          <cell r="C1398">
            <v>8111.9760740000002</v>
          </cell>
          <cell r="D1398">
            <v>10140.947265999999</v>
          </cell>
        </row>
        <row r="1399">
          <cell r="A1399">
            <v>28292</v>
          </cell>
          <cell r="B1399">
            <v>29196.397217999998</v>
          </cell>
          <cell r="C1399">
            <v>9534.4628909999992</v>
          </cell>
          <cell r="D1399">
            <v>5363.0053710000002</v>
          </cell>
        </row>
        <row r="1400">
          <cell r="A1400">
            <v>28379</v>
          </cell>
          <cell r="B1400">
            <v>39840.141601999996</v>
          </cell>
          <cell r="C1400">
            <v>10938.258789</v>
          </cell>
          <cell r="D1400">
            <v>7643.7426759999998</v>
          </cell>
        </row>
        <row r="1401">
          <cell r="A1401">
            <v>28380</v>
          </cell>
          <cell r="B1401">
            <v>37418.336180999999</v>
          </cell>
          <cell r="C1401">
            <v>4915.2729490000002</v>
          </cell>
          <cell r="D1401">
            <v>12497.608398</v>
          </cell>
        </row>
        <row r="1402">
          <cell r="A1402">
            <v>28381</v>
          </cell>
          <cell r="B1402">
            <v>37418.336180999999</v>
          </cell>
          <cell r="C1402">
            <v>4915.2729490000002</v>
          </cell>
          <cell r="D1402">
            <v>12497.608398</v>
          </cell>
        </row>
        <row r="1403">
          <cell r="A1403">
            <v>28390</v>
          </cell>
          <cell r="B1403">
            <v>83740.163331000003</v>
          </cell>
          <cell r="C1403">
            <v>12936.449219</v>
          </cell>
          <cell r="D1403">
            <v>24746.496093999998</v>
          </cell>
        </row>
        <row r="1404">
          <cell r="A1404">
            <v>28396</v>
          </cell>
          <cell r="B1404">
            <v>53854.957519000003</v>
          </cell>
          <cell r="C1404">
            <v>14137.495117</v>
          </cell>
          <cell r="D1404">
            <v>10692.170898</v>
          </cell>
        </row>
        <row r="1405">
          <cell r="A1405">
            <v>28397</v>
          </cell>
          <cell r="B1405">
            <v>80480.568849000003</v>
          </cell>
          <cell r="C1405">
            <v>20955.554688</v>
          </cell>
          <cell r="D1405">
            <v>16358.929688</v>
          </cell>
        </row>
        <row r="1406">
          <cell r="A1406">
            <v>28417</v>
          </cell>
          <cell r="B1406">
            <v>71087.661376000004</v>
          </cell>
          <cell r="C1406">
            <v>16164.899414</v>
          </cell>
          <cell r="D1406">
            <v>16870.421875</v>
          </cell>
        </row>
        <row r="1407">
          <cell r="A1407">
            <v>28418</v>
          </cell>
          <cell r="B1407">
            <v>71087.661376000004</v>
          </cell>
          <cell r="C1407">
            <v>16164.899414</v>
          </cell>
          <cell r="D1407">
            <v>16870.421875</v>
          </cell>
        </row>
        <row r="1408">
          <cell r="A1408">
            <v>28453</v>
          </cell>
          <cell r="B1408">
            <v>35185.529602000002</v>
          </cell>
          <cell r="C1408">
            <v>7138.0117190000001</v>
          </cell>
          <cell r="D1408">
            <v>9360.40625</v>
          </cell>
        </row>
        <row r="1409">
          <cell r="A1409">
            <v>28455</v>
          </cell>
          <cell r="B1409">
            <v>26756.490478000003</v>
          </cell>
          <cell r="C1409">
            <v>6979.9770509999998</v>
          </cell>
          <cell r="D1409">
            <v>7030.4902339999999</v>
          </cell>
        </row>
        <row r="1410">
          <cell r="A1410">
            <v>28465</v>
          </cell>
          <cell r="B1410">
            <v>39133.556639999995</v>
          </cell>
          <cell r="C1410">
            <v>7857.2749020000001</v>
          </cell>
          <cell r="D1410">
            <v>11827.590819999999</v>
          </cell>
        </row>
        <row r="1411">
          <cell r="A1411">
            <v>28466</v>
          </cell>
          <cell r="B1411">
            <v>31927.505736999999</v>
          </cell>
          <cell r="C1411">
            <v>6829.1284180000002</v>
          </cell>
          <cell r="D1411">
            <v>10440.34375</v>
          </cell>
        </row>
        <row r="1412">
          <cell r="A1412">
            <v>28472</v>
          </cell>
          <cell r="B1412">
            <v>18268.790710999998</v>
          </cell>
          <cell r="C1412">
            <v>5176.7817379999997</v>
          </cell>
          <cell r="D1412">
            <v>4151.9072269999997</v>
          </cell>
        </row>
        <row r="1413">
          <cell r="A1413">
            <v>28473</v>
          </cell>
          <cell r="B1413">
            <v>44425.488158</v>
          </cell>
          <cell r="C1413">
            <v>11586.198242</v>
          </cell>
          <cell r="D1413">
            <v>10650.793944999999</v>
          </cell>
        </row>
        <row r="1414">
          <cell r="A1414">
            <v>28477</v>
          </cell>
          <cell r="B1414">
            <v>17267.160339999999</v>
          </cell>
          <cell r="C1414">
            <v>3984.5429690000001</v>
          </cell>
          <cell r="D1414">
            <v>4798.4726559999999</v>
          </cell>
        </row>
        <row r="1415">
          <cell r="A1415">
            <v>28479</v>
          </cell>
          <cell r="B1415">
            <v>96312.503417999993</v>
          </cell>
          <cell r="C1415">
            <v>20482.992188</v>
          </cell>
          <cell r="D1415">
            <v>23914.396484000001</v>
          </cell>
        </row>
        <row r="1416">
          <cell r="A1416">
            <v>28486</v>
          </cell>
          <cell r="B1416">
            <v>59012.345948000002</v>
          </cell>
          <cell r="C1416">
            <v>12334.335938</v>
          </cell>
          <cell r="D1416">
            <v>14461.248046999999</v>
          </cell>
        </row>
        <row r="1417">
          <cell r="A1417">
            <v>28490</v>
          </cell>
          <cell r="B1417">
            <v>85059.228514999995</v>
          </cell>
          <cell r="C1417">
            <v>18011.990234000001</v>
          </cell>
          <cell r="D1417">
            <v>18208.244140999999</v>
          </cell>
        </row>
        <row r="1418">
          <cell r="A1418">
            <v>28492</v>
          </cell>
          <cell r="B1418">
            <v>89357.561522999997</v>
          </cell>
          <cell r="C1418">
            <v>18778.876952999999</v>
          </cell>
          <cell r="D1418">
            <v>18675.197265999999</v>
          </cell>
        </row>
        <row r="1419">
          <cell r="A1419">
            <v>28493</v>
          </cell>
          <cell r="B1419">
            <v>82051.222657000006</v>
          </cell>
          <cell r="C1419">
            <v>17403.367188</v>
          </cell>
          <cell r="D1419">
            <v>17498.544922000001</v>
          </cell>
        </row>
        <row r="1420">
          <cell r="A1420">
            <v>28495</v>
          </cell>
          <cell r="B1420">
            <v>77191.425292999993</v>
          </cell>
          <cell r="C1420">
            <v>14750.731444999999</v>
          </cell>
          <cell r="D1420">
            <v>20113.472656000002</v>
          </cell>
        </row>
        <row r="1421">
          <cell r="A1421">
            <v>28511</v>
          </cell>
          <cell r="B1421">
            <v>79065.366211999994</v>
          </cell>
          <cell r="C1421">
            <v>15061.523438</v>
          </cell>
          <cell r="D1421">
            <v>20515.982422000001</v>
          </cell>
        </row>
        <row r="1422">
          <cell r="A1422">
            <v>28512</v>
          </cell>
          <cell r="B1422">
            <v>70509.198730999997</v>
          </cell>
          <cell r="C1422">
            <v>13981.929688</v>
          </cell>
          <cell r="D1422">
            <v>17549.816406000002</v>
          </cell>
        </row>
        <row r="1423">
          <cell r="A1423">
            <v>28515</v>
          </cell>
          <cell r="B1423">
            <v>73643.76806599999</v>
          </cell>
          <cell r="C1423">
            <v>14853.079102</v>
          </cell>
          <cell r="D1423">
            <v>15723.182617</v>
          </cell>
        </row>
        <row r="1424">
          <cell r="A1424">
            <v>28534</v>
          </cell>
          <cell r="B1424">
            <v>53578.282714000008</v>
          </cell>
          <cell r="C1424">
            <v>12328.733398</v>
          </cell>
          <cell r="D1424">
            <v>11245.690430000001</v>
          </cell>
        </row>
        <row r="1425">
          <cell r="A1425">
            <v>28535</v>
          </cell>
          <cell r="B1425">
            <v>54338.020019000003</v>
          </cell>
          <cell r="C1425">
            <v>9223.9277340000008</v>
          </cell>
          <cell r="D1425">
            <v>14981.489258</v>
          </cell>
        </row>
        <row r="1426">
          <cell r="A1426">
            <v>28540</v>
          </cell>
          <cell r="B1426">
            <v>51952.552979</v>
          </cell>
          <cell r="C1426">
            <v>12237.663086</v>
          </cell>
          <cell r="D1426">
            <v>11301.975586</v>
          </cell>
        </row>
        <row r="1427">
          <cell r="A1427">
            <v>28564</v>
          </cell>
          <cell r="B1427">
            <v>67832.542967999994</v>
          </cell>
          <cell r="C1427">
            <v>12868.213867</v>
          </cell>
          <cell r="D1427">
            <v>14719.514648</v>
          </cell>
        </row>
        <row r="1428">
          <cell r="A1428">
            <v>28565</v>
          </cell>
          <cell r="B1428">
            <v>67169.822996999996</v>
          </cell>
          <cell r="C1428">
            <v>14399.467773</v>
          </cell>
          <cell r="D1428">
            <v>17428.458984000001</v>
          </cell>
        </row>
        <row r="1429">
          <cell r="A1429">
            <v>28568</v>
          </cell>
          <cell r="B1429">
            <v>62446.343017999992</v>
          </cell>
          <cell r="C1429">
            <v>9304.9228519999997</v>
          </cell>
          <cell r="D1429">
            <v>19546.058593999998</v>
          </cell>
        </row>
        <row r="1430">
          <cell r="A1430">
            <v>28569</v>
          </cell>
          <cell r="B1430">
            <v>59943.415040000007</v>
          </cell>
          <cell r="C1430">
            <v>15205.745117</v>
          </cell>
          <cell r="D1430">
            <v>10345.674805000001</v>
          </cell>
        </row>
        <row r="1431">
          <cell r="A1431">
            <v>28587</v>
          </cell>
          <cell r="B1431">
            <v>103381.331055</v>
          </cell>
          <cell r="C1431">
            <v>24211.847656000002</v>
          </cell>
          <cell r="D1431">
            <v>21829.029297000001</v>
          </cell>
        </row>
        <row r="1432">
          <cell r="A1432">
            <v>28588</v>
          </cell>
          <cell r="B1432">
            <v>93934.854003</v>
          </cell>
          <cell r="C1432">
            <v>15852.361328000001</v>
          </cell>
          <cell r="D1432">
            <v>27098.158202999999</v>
          </cell>
        </row>
        <row r="1433">
          <cell r="A1433">
            <v>28601</v>
          </cell>
          <cell r="B1433">
            <v>25865.979003</v>
          </cell>
          <cell r="C1433">
            <v>4559.2021480000003</v>
          </cell>
          <cell r="D1433">
            <v>7411.4907229999999</v>
          </cell>
        </row>
        <row r="1434">
          <cell r="A1434">
            <v>28611</v>
          </cell>
          <cell r="B1434">
            <v>34550.491760999997</v>
          </cell>
          <cell r="C1434">
            <v>5160.3930659999996</v>
          </cell>
          <cell r="D1434">
            <v>10332.333008</v>
          </cell>
        </row>
        <row r="1435">
          <cell r="A1435">
            <v>28613</v>
          </cell>
          <cell r="B1435">
            <v>36760.996886999994</v>
          </cell>
          <cell r="C1435">
            <v>5858.9091799999997</v>
          </cell>
          <cell r="D1435">
            <v>10968.207031</v>
          </cell>
        </row>
        <row r="1436">
          <cell r="A1436">
            <v>28615</v>
          </cell>
          <cell r="B1436">
            <v>28227.38391</v>
          </cell>
          <cell r="C1436">
            <v>4512.9897460000002</v>
          </cell>
          <cell r="D1436">
            <v>8470.2226559999999</v>
          </cell>
        </row>
        <row r="1437">
          <cell r="A1437">
            <v>28619</v>
          </cell>
          <cell r="B1437">
            <v>29607.183899</v>
          </cell>
          <cell r="C1437">
            <v>4809.9794920000004</v>
          </cell>
          <cell r="D1437">
            <v>8770.3779300000006</v>
          </cell>
        </row>
        <row r="1438">
          <cell r="A1438">
            <v>28623</v>
          </cell>
          <cell r="B1438">
            <v>27043.245178999998</v>
          </cell>
          <cell r="C1438">
            <v>4368.5131840000004</v>
          </cell>
          <cell r="D1438">
            <v>7749.8647460000002</v>
          </cell>
        </row>
        <row r="1439">
          <cell r="A1439">
            <v>28634</v>
          </cell>
          <cell r="B1439">
            <v>39840.141601999996</v>
          </cell>
          <cell r="C1439">
            <v>10938.258789</v>
          </cell>
          <cell r="D1439">
            <v>7643.7426759999998</v>
          </cell>
        </row>
        <row r="1440">
          <cell r="A1440">
            <v>28635</v>
          </cell>
          <cell r="B1440">
            <v>31811.605530999997</v>
          </cell>
          <cell r="C1440">
            <v>4109.2797849999997</v>
          </cell>
          <cell r="D1440">
            <v>10658.822265999999</v>
          </cell>
        </row>
        <row r="1441">
          <cell r="A1441">
            <v>28636</v>
          </cell>
          <cell r="B1441">
            <v>33941.855896000001</v>
          </cell>
          <cell r="C1441">
            <v>4426.6206050000001</v>
          </cell>
          <cell r="D1441">
            <v>11264.482421999999</v>
          </cell>
        </row>
        <row r="1442">
          <cell r="A1442">
            <v>28637</v>
          </cell>
          <cell r="B1442">
            <v>36620.582030999998</v>
          </cell>
          <cell r="C1442">
            <v>10012.582031</v>
          </cell>
          <cell r="D1442">
            <v>6945.7744140000004</v>
          </cell>
        </row>
        <row r="1443">
          <cell r="A1443">
            <v>28638</v>
          </cell>
          <cell r="B1443">
            <v>28529.928467000002</v>
          </cell>
          <cell r="C1443">
            <v>8149.1782229999999</v>
          </cell>
          <cell r="D1443">
            <v>5456.6054690000001</v>
          </cell>
        </row>
        <row r="1444">
          <cell r="A1444">
            <v>28673</v>
          </cell>
          <cell r="B1444">
            <v>81468.671386000002</v>
          </cell>
          <cell r="C1444">
            <v>15661.618164</v>
          </cell>
          <cell r="D1444">
            <v>17710.476562</v>
          </cell>
        </row>
        <row r="1445">
          <cell r="A1445">
            <v>28675</v>
          </cell>
          <cell r="B1445">
            <v>54854.111815999997</v>
          </cell>
          <cell r="C1445">
            <v>15509.9375</v>
          </cell>
          <cell r="D1445">
            <v>10629.482421999999</v>
          </cell>
        </row>
        <row r="1446">
          <cell r="A1446">
            <v>28676</v>
          </cell>
          <cell r="B1446">
            <v>60622.053954999996</v>
          </cell>
          <cell r="C1446">
            <v>9618.453125</v>
          </cell>
          <cell r="D1446">
            <v>18615.066406000002</v>
          </cell>
        </row>
        <row r="1447">
          <cell r="A1447">
            <v>28677</v>
          </cell>
          <cell r="B1447">
            <v>62128.381346999988</v>
          </cell>
          <cell r="C1447">
            <v>17362.896484000001</v>
          </cell>
          <cell r="D1447">
            <v>11886.195312</v>
          </cell>
        </row>
        <row r="1448">
          <cell r="A1448">
            <v>28678</v>
          </cell>
          <cell r="B1448">
            <v>53067.735718000004</v>
          </cell>
          <cell r="C1448">
            <v>8642.8730469999991</v>
          </cell>
          <cell r="D1448">
            <v>16295.623046999999</v>
          </cell>
        </row>
        <row r="1449">
          <cell r="A1449">
            <v>28695</v>
          </cell>
          <cell r="B1449">
            <v>105608.805664</v>
          </cell>
          <cell r="C1449">
            <v>28179.396484000001</v>
          </cell>
          <cell r="D1449">
            <v>20966.109375</v>
          </cell>
        </row>
        <row r="1450">
          <cell r="A1450">
            <v>28696</v>
          </cell>
          <cell r="B1450">
            <v>114533.09033200001</v>
          </cell>
          <cell r="C1450">
            <v>30409.080077999999</v>
          </cell>
          <cell r="D1450">
            <v>22586.113281000002</v>
          </cell>
        </row>
        <row r="1451">
          <cell r="A1451">
            <v>28698</v>
          </cell>
          <cell r="B1451">
            <v>89556.390137000009</v>
          </cell>
          <cell r="C1451">
            <v>22607.511718999998</v>
          </cell>
          <cell r="D1451">
            <v>17864.078125</v>
          </cell>
        </row>
        <row r="1452">
          <cell r="A1452">
            <v>28700</v>
          </cell>
          <cell r="B1452">
            <v>80208.961914</v>
          </cell>
          <cell r="C1452">
            <v>12027.144531</v>
          </cell>
          <cell r="D1452">
            <v>24203.761718999998</v>
          </cell>
        </row>
        <row r="1453">
          <cell r="A1453">
            <v>28701</v>
          </cell>
          <cell r="B1453">
            <v>104332.582276</v>
          </cell>
          <cell r="C1453">
            <v>15424.065430000001</v>
          </cell>
          <cell r="D1453">
            <v>31477.667968999998</v>
          </cell>
        </row>
        <row r="1454">
          <cell r="A1454">
            <v>28705</v>
          </cell>
          <cell r="B1454">
            <v>100769.21337899999</v>
          </cell>
          <cell r="C1454">
            <v>15192.310546999999</v>
          </cell>
          <cell r="D1454">
            <v>30268.927734000001</v>
          </cell>
        </row>
        <row r="1455">
          <cell r="A1455">
            <v>28706</v>
          </cell>
          <cell r="B1455">
            <v>93525.450194999998</v>
          </cell>
          <cell r="C1455">
            <v>13867.128906</v>
          </cell>
          <cell r="D1455">
            <v>28445.037109000001</v>
          </cell>
        </row>
        <row r="1456">
          <cell r="A1456">
            <v>28708</v>
          </cell>
          <cell r="B1456">
            <v>113958.16162100001</v>
          </cell>
          <cell r="C1456">
            <v>29554.521484000001</v>
          </cell>
          <cell r="D1456">
            <v>23063.677734000001</v>
          </cell>
        </row>
        <row r="1457">
          <cell r="A1457">
            <v>28710</v>
          </cell>
          <cell r="B1457">
            <v>101732.985839</v>
          </cell>
          <cell r="C1457">
            <v>26041.847656000002</v>
          </cell>
          <cell r="D1457">
            <v>21081.332031000002</v>
          </cell>
        </row>
        <row r="1458">
          <cell r="A1458">
            <v>28716</v>
          </cell>
          <cell r="B1458">
            <v>94546.249022999997</v>
          </cell>
          <cell r="C1458">
            <v>14331.902344</v>
          </cell>
          <cell r="D1458">
            <v>28257.107422000001</v>
          </cell>
        </row>
        <row r="1459">
          <cell r="A1459">
            <v>28717</v>
          </cell>
          <cell r="B1459">
            <v>100105.693848</v>
          </cell>
          <cell r="C1459">
            <v>15680.773438</v>
          </cell>
          <cell r="D1459">
            <v>29174.890625</v>
          </cell>
        </row>
        <row r="1460">
          <cell r="A1460">
            <v>28718</v>
          </cell>
          <cell r="B1460">
            <v>96212.413084999993</v>
          </cell>
          <cell r="C1460">
            <v>24540.734375</v>
          </cell>
          <cell r="D1460">
            <v>20088.693359000001</v>
          </cell>
        </row>
        <row r="1461">
          <cell r="A1461">
            <v>28722</v>
          </cell>
          <cell r="B1461">
            <v>95779.102295000004</v>
          </cell>
          <cell r="C1461">
            <v>14926.805664</v>
          </cell>
          <cell r="D1461">
            <v>28086.541015999999</v>
          </cell>
        </row>
        <row r="1462">
          <cell r="A1462">
            <v>28725</v>
          </cell>
          <cell r="B1462">
            <v>105193.97265499999</v>
          </cell>
          <cell r="C1462">
            <v>25871.923827999999</v>
          </cell>
          <cell r="D1462">
            <v>22583.847656000002</v>
          </cell>
        </row>
        <row r="1463">
          <cell r="A1463">
            <v>28726</v>
          </cell>
          <cell r="B1463">
            <v>110533.895263</v>
          </cell>
          <cell r="C1463">
            <v>17855.726562</v>
          </cell>
          <cell r="D1463">
            <v>31971.744140999999</v>
          </cell>
        </row>
        <row r="1464">
          <cell r="A1464">
            <v>28727</v>
          </cell>
          <cell r="B1464">
            <v>120748.767578</v>
          </cell>
          <cell r="C1464">
            <v>28715.763672000001</v>
          </cell>
          <cell r="D1464">
            <v>26484.007812</v>
          </cell>
        </row>
        <row r="1465">
          <cell r="A1465">
            <v>28730</v>
          </cell>
          <cell r="B1465">
            <v>114588.860351</v>
          </cell>
          <cell r="C1465">
            <v>27668.705077999999</v>
          </cell>
          <cell r="D1465">
            <v>24984.695312</v>
          </cell>
        </row>
        <row r="1466">
          <cell r="A1466">
            <v>28735</v>
          </cell>
          <cell r="B1466">
            <v>96759.058592999994</v>
          </cell>
          <cell r="C1466">
            <v>26069.232422000001</v>
          </cell>
          <cell r="D1466">
            <v>20065.240234000001</v>
          </cell>
        </row>
        <row r="1467">
          <cell r="A1467">
            <v>28736</v>
          </cell>
          <cell r="B1467">
            <v>94272.992066000006</v>
          </cell>
          <cell r="C1467">
            <v>14347.363281</v>
          </cell>
          <cell r="D1467">
            <v>28089.830077999999</v>
          </cell>
        </row>
        <row r="1468">
          <cell r="A1468">
            <v>28745</v>
          </cell>
          <cell r="B1468">
            <v>102976.635131</v>
          </cell>
          <cell r="C1468">
            <v>16553.787109000001</v>
          </cell>
          <cell r="D1468">
            <v>30196.068359000001</v>
          </cell>
        </row>
        <row r="1469">
          <cell r="A1469">
            <v>28746</v>
          </cell>
          <cell r="B1469">
            <v>98242.662597999995</v>
          </cell>
          <cell r="C1469">
            <v>26141.548827999999</v>
          </cell>
          <cell r="D1469">
            <v>21071.796875</v>
          </cell>
        </row>
        <row r="1470">
          <cell r="A1470">
            <v>28747</v>
          </cell>
          <cell r="B1470">
            <v>106458.479981</v>
          </cell>
          <cell r="C1470">
            <v>28071.298827999999</v>
          </cell>
          <cell r="D1470">
            <v>22748.791015999999</v>
          </cell>
        </row>
        <row r="1471">
          <cell r="A1471">
            <v>28752</v>
          </cell>
          <cell r="B1471">
            <v>47531.688292999999</v>
          </cell>
          <cell r="C1471">
            <v>7571.9633789999998</v>
          </cell>
          <cell r="D1471">
            <v>14381.490234000001</v>
          </cell>
        </row>
        <row r="1472">
          <cell r="A1472">
            <v>28779</v>
          </cell>
          <cell r="B1472">
            <v>8215.4687200000008</v>
          </cell>
          <cell r="C1472">
            <v>1414.8396</v>
          </cell>
          <cell r="D1472">
            <v>2501.0090329999998</v>
          </cell>
        </row>
        <row r="1473">
          <cell r="A1473">
            <v>28781</v>
          </cell>
          <cell r="B1473">
            <v>12337.464295000002</v>
          </cell>
          <cell r="C1473">
            <v>6284.8833009999998</v>
          </cell>
          <cell r="D1473">
            <v>1665.15625</v>
          </cell>
        </row>
        <row r="1474">
          <cell r="A1474">
            <v>28787</v>
          </cell>
          <cell r="B1474">
            <v>44677.649658000002</v>
          </cell>
          <cell r="C1474">
            <v>16893.279297000001</v>
          </cell>
          <cell r="D1474">
            <v>7923.1987300000001</v>
          </cell>
        </row>
        <row r="1475">
          <cell r="A1475">
            <v>28789</v>
          </cell>
          <cell r="B1475">
            <v>43440.612486999999</v>
          </cell>
          <cell r="C1475">
            <v>5821.4140619999998</v>
          </cell>
          <cell r="D1475">
            <v>14956.701171999999</v>
          </cell>
        </row>
        <row r="1476">
          <cell r="A1476">
            <v>28790</v>
          </cell>
          <cell r="B1476">
            <v>32406.731749999999</v>
          </cell>
          <cell r="C1476">
            <v>4246.6791990000002</v>
          </cell>
          <cell r="D1476">
            <v>11828.330078000001</v>
          </cell>
        </row>
        <row r="1477">
          <cell r="A1477">
            <v>28791</v>
          </cell>
          <cell r="B1477">
            <v>33707.909546000003</v>
          </cell>
          <cell r="C1477">
            <v>14155.25</v>
          </cell>
          <cell r="D1477">
            <v>5839.1928710000002</v>
          </cell>
        </row>
        <row r="1478">
          <cell r="A1478">
            <v>28792</v>
          </cell>
          <cell r="B1478">
            <v>45321.050293</v>
          </cell>
          <cell r="C1478">
            <v>16548.984375</v>
          </cell>
          <cell r="D1478">
            <v>8752.0771480000003</v>
          </cell>
        </row>
        <row r="1479">
          <cell r="A1479">
            <v>28793</v>
          </cell>
          <cell r="B1479">
            <v>59678.969236999998</v>
          </cell>
          <cell r="C1479">
            <v>13776.537109000001</v>
          </cell>
          <cell r="D1479">
            <v>12409.535156</v>
          </cell>
        </row>
        <row r="1480">
          <cell r="A1480">
            <v>28794</v>
          </cell>
          <cell r="B1480">
            <v>24323.662841999998</v>
          </cell>
          <cell r="C1480">
            <v>3750.8657229999999</v>
          </cell>
          <cell r="D1480">
            <v>8373.4824219999991</v>
          </cell>
        </row>
        <row r="1481">
          <cell r="A1481">
            <v>28795</v>
          </cell>
          <cell r="B1481">
            <v>44143.022948999998</v>
          </cell>
          <cell r="C1481">
            <v>6910.0620120000003</v>
          </cell>
          <cell r="D1481">
            <v>14654.988281</v>
          </cell>
        </row>
        <row r="1482">
          <cell r="A1482">
            <v>28796</v>
          </cell>
          <cell r="B1482">
            <v>62734.365722000002</v>
          </cell>
          <cell r="C1482">
            <v>9940.6669920000004</v>
          </cell>
          <cell r="D1482">
            <v>18226.771484000001</v>
          </cell>
        </row>
        <row r="1483">
          <cell r="A1483">
            <v>28797</v>
          </cell>
          <cell r="B1483">
            <v>19819.360169</v>
          </cell>
          <cell r="C1483">
            <v>3159.1958009999998</v>
          </cell>
          <cell r="D1483">
            <v>6281.5058589999999</v>
          </cell>
        </row>
        <row r="1484">
          <cell r="A1484">
            <v>28798</v>
          </cell>
          <cell r="B1484">
            <v>66983.400878999993</v>
          </cell>
          <cell r="C1484">
            <v>17388.498047000001</v>
          </cell>
          <cell r="D1484">
            <v>14624.327148</v>
          </cell>
        </row>
        <row r="1485">
          <cell r="A1485">
            <v>28805</v>
          </cell>
          <cell r="B1485">
            <v>85174.099122</v>
          </cell>
          <cell r="C1485">
            <v>16745.402343999998</v>
          </cell>
          <cell r="D1485">
            <v>22268.560547000001</v>
          </cell>
        </row>
        <row r="1486">
          <cell r="A1486">
            <v>28806</v>
          </cell>
          <cell r="B1486">
            <v>68660.273436999996</v>
          </cell>
          <cell r="C1486">
            <v>11584.186523</v>
          </cell>
          <cell r="D1486">
            <v>20098.789062</v>
          </cell>
        </row>
        <row r="1487">
          <cell r="A1487">
            <v>28809</v>
          </cell>
          <cell r="B1487">
            <v>124537.912109</v>
          </cell>
          <cell r="C1487">
            <v>31264.408202999999</v>
          </cell>
          <cell r="D1487">
            <v>23598.720702999999</v>
          </cell>
        </row>
        <row r="1488">
          <cell r="A1488">
            <v>28810</v>
          </cell>
          <cell r="B1488">
            <v>125237.45605499999</v>
          </cell>
          <cell r="C1488">
            <v>19821.917968999998</v>
          </cell>
          <cell r="D1488">
            <v>38480.796875</v>
          </cell>
        </row>
        <row r="1489">
          <cell r="A1489">
            <v>28839</v>
          </cell>
          <cell r="B1489">
            <v>67853.424804999988</v>
          </cell>
          <cell r="C1489">
            <v>13583.014648</v>
          </cell>
          <cell r="D1489">
            <v>14880.466796999999</v>
          </cell>
        </row>
        <row r="1490">
          <cell r="A1490">
            <v>28849</v>
          </cell>
          <cell r="B1490">
            <v>59762.524902999998</v>
          </cell>
          <cell r="C1490">
            <v>12306.304688</v>
          </cell>
          <cell r="D1490">
            <v>14762.392578000001</v>
          </cell>
        </row>
        <row r="1491">
          <cell r="A1491">
            <v>28850</v>
          </cell>
          <cell r="B1491">
            <v>60434.115967999998</v>
          </cell>
          <cell r="C1491">
            <v>11950.212890999999</v>
          </cell>
          <cell r="D1491">
            <v>14558.893555000001</v>
          </cell>
        </row>
        <row r="1492">
          <cell r="A1492">
            <v>28868</v>
          </cell>
          <cell r="B1492">
            <v>34338.786865999995</v>
          </cell>
          <cell r="C1492">
            <v>8320.0859380000002</v>
          </cell>
          <cell r="D1492">
            <v>8092.0366210000002</v>
          </cell>
        </row>
        <row r="1493">
          <cell r="A1493">
            <v>28899</v>
          </cell>
          <cell r="B1493">
            <v>80880.865722000002</v>
          </cell>
          <cell r="C1493">
            <v>18220.923827999999</v>
          </cell>
          <cell r="D1493">
            <v>19602.171875</v>
          </cell>
        </row>
        <row r="1494">
          <cell r="A1494">
            <v>28902</v>
          </cell>
          <cell r="B1494">
            <v>27903.319947000004</v>
          </cell>
          <cell r="C1494">
            <v>4365.3535160000001</v>
          </cell>
          <cell r="D1494">
            <v>9485.6591800000006</v>
          </cell>
        </row>
        <row r="1495">
          <cell r="A1495">
            <v>28904</v>
          </cell>
          <cell r="B1495">
            <v>37874.629151000001</v>
          </cell>
          <cell r="C1495">
            <v>5508.4106449999999</v>
          </cell>
          <cell r="D1495">
            <v>12705.788086</v>
          </cell>
        </row>
        <row r="1496">
          <cell r="A1496">
            <v>28916</v>
          </cell>
          <cell r="B1496">
            <v>39116.538817000001</v>
          </cell>
          <cell r="C1496">
            <v>10535.104492</v>
          </cell>
          <cell r="D1496">
            <v>7814.0058589999999</v>
          </cell>
        </row>
        <row r="1497">
          <cell r="A1497">
            <v>28920</v>
          </cell>
          <cell r="B1497">
            <v>17844.124238</v>
          </cell>
          <cell r="C1497">
            <v>3638.8291020000001</v>
          </cell>
          <cell r="D1497">
            <v>4565.0947269999997</v>
          </cell>
        </row>
        <row r="1498">
          <cell r="A1498">
            <v>28923</v>
          </cell>
          <cell r="B1498">
            <v>17781.193909000001</v>
          </cell>
          <cell r="C1498">
            <v>2991.3554690000001</v>
          </cell>
          <cell r="D1498">
            <v>4722.7475590000004</v>
          </cell>
        </row>
        <row r="1499">
          <cell r="A1499">
            <v>28924</v>
          </cell>
          <cell r="B1499">
            <v>36606.112061</v>
          </cell>
          <cell r="C1499">
            <v>7744.5722660000001</v>
          </cell>
          <cell r="D1499">
            <v>9140.53125</v>
          </cell>
        </row>
        <row r="1500">
          <cell r="A1500">
            <v>28925</v>
          </cell>
          <cell r="B1500">
            <v>19715.830383</v>
          </cell>
          <cell r="C1500">
            <v>3964.4982909999999</v>
          </cell>
          <cell r="D1500">
            <v>4813.5258789999998</v>
          </cell>
        </row>
        <row r="1501">
          <cell r="A1501">
            <v>28929</v>
          </cell>
          <cell r="B1501">
            <v>50154.671630999997</v>
          </cell>
          <cell r="C1501">
            <v>13832.594727</v>
          </cell>
          <cell r="D1501">
            <v>10272.673828000001</v>
          </cell>
        </row>
        <row r="1502">
          <cell r="A1502">
            <v>28938</v>
          </cell>
          <cell r="B1502">
            <v>38433.295897999997</v>
          </cell>
          <cell r="C1502">
            <v>7790.3964839999999</v>
          </cell>
          <cell r="D1502">
            <v>10223.458008</v>
          </cell>
        </row>
        <row r="1503">
          <cell r="A1503">
            <v>28939</v>
          </cell>
          <cell r="B1503">
            <v>39392.169311999998</v>
          </cell>
          <cell r="C1503">
            <v>8613.0039059999999</v>
          </cell>
          <cell r="D1503">
            <v>9474.3300780000009</v>
          </cell>
        </row>
        <row r="1504">
          <cell r="A1504">
            <v>28940</v>
          </cell>
          <cell r="B1504">
            <v>42203.840820000005</v>
          </cell>
          <cell r="C1504">
            <v>9038.5146480000003</v>
          </cell>
          <cell r="D1504">
            <v>10271.800781</v>
          </cell>
        </row>
        <row r="1505">
          <cell r="A1505">
            <v>28941</v>
          </cell>
          <cell r="B1505">
            <v>40953.102417000002</v>
          </cell>
          <cell r="C1505">
            <v>8270.6152340000008</v>
          </cell>
          <cell r="D1505">
            <v>10987.779296999999</v>
          </cell>
        </row>
        <row r="1506">
          <cell r="A1506">
            <v>28945</v>
          </cell>
          <cell r="B1506">
            <v>24655.691590000002</v>
          </cell>
          <cell r="C1506">
            <v>5124.7773440000001</v>
          </cell>
          <cell r="D1506">
            <v>6347.7446289999998</v>
          </cell>
        </row>
        <row r="1507">
          <cell r="A1507">
            <v>28948</v>
          </cell>
          <cell r="B1507">
            <v>24655.691590000002</v>
          </cell>
          <cell r="C1507">
            <v>5124.7773440000001</v>
          </cell>
          <cell r="D1507">
            <v>6347.7446289999998</v>
          </cell>
        </row>
        <row r="1508">
          <cell r="A1508">
            <v>28949</v>
          </cell>
          <cell r="B1508">
            <v>18846.714905000001</v>
          </cell>
          <cell r="C1508">
            <v>3824.1142580000001</v>
          </cell>
          <cell r="D1508">
            <v>5423.7290039999998</v>
          </cell>
        </row>
        <row r="1509">
          <cell r="A1509">
            <v>28950</v>
          </cell>
          <cell r="B1509">
            <v>28259.933471999997</v>
          </cell>
          <cell r="C1509">
            <v>5647.6020509999998</v>
          </cell>
          <cell r="D1509">
            <v>8111.9604490000002</v>
          </cell>
        </row>
        <row r="1510">
          <cell r="A1510">
            <v>29016</v>
          </cell>
          <cell r="B1510">
            <v>77013.278320000012</v>
          </cell>
          <cell r="C1510">
            <v>20631.347656000002</v>
          </cell>
          <cell r="D1510">
            <v>15430.521484000001</v>
          </cell>
        </row>
        <row r="1511">
          <cell r="A1511">
            <v>29018</v>
          </cell>
          <cell r="B1511">
            <v>91708.852539</v>
          </cell>
          <cell r="C1511">
            <v>23496.152343999998</v>
          </cell>
          <cell r="D1511">
            <v>17886.851562</v>
          </cell>
        </row>
        <row r="1512">
          <cell r="A1512">
            <v>29019</v>
          </cell>
          <cell r="B1512">
            <v>91344.603271</v>
          </cell>
          <cell r="C1512">
            <v>14046.832031</v>
          </cell>
          <cell r="D1512">
            <v>28481.693359000001</v>
          </cell>
        </row>
        <row r="1513">
          <cell r="A1513">
            <v>29023</v>
          </cell>
          <cell r="B1513">
            <v>87473.343750999993</v>
          </cell>
          <cell r="C1513">
            <v>13302.103515999999</v>
          </cell>
          <cell r="D1513">
            <v>27589.865234000001</v>
          </cell>
        </row>
        <row r="1514">
          <cell r="A1514">
            <v>29024</v>
          </cell>
          <cell r="B1514">
            <v>86175.765136000002</v>
          </cell>
          <cell r="C1514">
            <v>22537.705077999999</v>
          </cell>
          <cell r="D1514">
            <v>16564.037109000001</v>
          </cell>
        </row>
        <row r="1515">
          <cell r="A1515">
            <v>29025</v>
          </cell>
          <cell r="B1515">
            <v>78189.810303999999</v>
          </cell>
          <cell r="C1515">
            <v>11973.308594</v>
          </cell>
          <cell r="D1515">
            <v>24804.322265999999</v>
          </cell>
        </row>
        <row r="1516">
          <cell r="A1516">
            <v>29027</v>
          </cell>
          <cell r="B1516">
            <v>92664.511597000004</v>
          </cell>
          <cell r="C1516">
            <v>14266.623046999999</v>
          </cell>
          <cell r="D1516">
            <v>29407.886718999998</v>
          </cell>
        </row>
        <row r="1517">
          <cell r="A1517">
            <v>29028</v>
          </cell>
          <cell r="B1517">
            <v>89354.499022000004</v>
          </cell>
          <cell r="C1517">
            <v>24101.412109000001</v>
          </cell>
          <cell r="D1517">
            <v>17249.279297000001</v>
          </cell>
        </row>
        <row r="1518">
          <cell r="A1518">
            <v>29033</v>
          </cell>
          <cell r="B1518">
            <v>83534.725097000002</v>
          </cell>
          <cell r="C1518">
            <v>23025.257812</v>
          </cell>
          <cell r="D1518">
            <v>15831.125977</v>
          </cell>
        </row>
        <row r="1519">
          <cell r="A1519">
            <v>29035</v>
          </cell>
          <cell r="B1519">
            <v>88385.838134000005</v>
          </cell>
          <cell r="C1519">
            <v>13424.420898</v>
          </cell>
          <cell r="D1519">
            <v>28426.685547000001</v>
          </cell>
        </row>
        <row r="1520">
          <cell r="A1520">
            <v>29037</v>
          </cell>
          <cell r="B1520">
            <v>86709.765136000002</v>
          </cell>
          <cell r="C1520">
            <v>24473.023438</v>
          </cell>
          <cell r="D1520">
            <v>16941.630859000001</v>
          </cell>
        </row>
        <row r="1521">
          <cell r="A1521">
            <v>29039</v>
          </cell>
          <cell r="B1521">
            <v>105576.33422799999</v>
          </cell>
          <cell r="C1521">
            <v>16147.571289</v>
          </cell>
          <cell r="D1521">
            <v>32788.738280999998</v>
          </cell>
        </row>
        <row r="1522">
          <cell r="A1522">
            <v>29041</v>
          </cell>
          <cell r="B1522">
            <v>98226.981933000003</v>
          </cell>
          <cell r="C1522">
            <v>26265.095702999999</v>
          </cell>
          <cell r="D1522">
            <v>18551.257812</v>
          </cell>
        </row>
        <row r="1523">
          <cell r="A1523">
            <v>29042</v>
          </cell>
          <cell r="B1523">
            <v>104874.13037099999</v>
          </cell>
          <cell r="C1523">
            <v>27938.039062</v>
          </cell>
          <cell r="D1523">
            <v>19929.75</v>
          </cell>
        </row>
        <row r="1524">
          <cell r="A1524">
            <v>29045</v>
          </cell>
          <cell r="B1524">
            <v>100791.23425199999</v>
          </cell>
          <cell r="C1524">
            <v>15033.911133</v>
          </cell>
          <cell r="D1524">
            <v>31419.896484000001</v>
          </cell>
        </row>
        <row r="1525">
          <cell r="A1525">
            <v>29046</v>
          </cell>
          <cell r="B1525">
            <v>64839.009276999997</v>
          </cell>
          <cell r="C1525">
            <v>19493.849609000001</v>
          </cell>
          <cell r="D1525">
            <v>11687.135742</v>
          </cell>
        </row>
        <row r="1526">
          <cell r="A1526">
            <v>29047</v>
          </cell>
          <cell r="B1526">
            <v>58094.402587000004</v>
          </cell>
          <cell r="C1526">
            <v>7370.6811520000001</v>
          </cell>
          <cell r="D1526">
            <v>19735.253906000002</v>
          </cell>
        </row>
        <row r="1527">
          <cell r="A1527">
            <v>29049</v>
          </cell>
          <cell r="B1527">
            <v>83411.103027000005</v>
          </cell>
          <cell r="C1527">
            <v>22118.111327999999</v>
          </cell>
          <cell r="D1527">
            <v>13892.342773</v>
          </cell>
        </row>
        <row r="1528">
          <cell r="A1528">
            <v>29050</v>
          </cell>
          <cell r="B1528">
            <v>79342.339599999992</v>
          </cell>
          <cell r="C1528">
            <v>10023.782227</v>
          </cell>
          <cell r="D1528">
            <v>25982.712890999999</v>
          </cell>
        </row>
        <row r="1529">
          <cell r="A1529">
            <v>29051</v>
          </cell>
          <cell r="B1529">
            <v>76210.167969000002</v>
          </cell>
          <cell r="C1529">
            <v>19930.523438</v>
          </cell>
          <cell r="D1529">
            <v>12675.560546999999</v>
          </cell>
        </row>
        <row r="1530">
          <cell r="A1530">
            <v>29052</v>
          </cell>
          <cell r="B1530">
            <v>63427.707031999998</v>
          </cell>
          <cell r="C1530">
            <v>7716.6264650000003</v>
          </cell>
          <cell r="D1530">
            <v>20736.330077999999</v>
          </cell>
        </row>
        <row r="1531">
          <cell r="A1531">
            <v>29080</v>
          </cell>
          <cell r="B1531">
            <v>99486.899170999997</v>
          </cell>
          <cell r="C1531">
            <v>24404.886718999998</v>
          </cell>
          <cell r="D1531">
            <v>23623.019531000002</v>
          </cell>
        </row>
        <row r="1532">
          <cell r="A1532">
            <v>29082</v>
          </cell>
          <cell r="B1532">
            <v>92323.269532000006</v>
          </cell>
          <cell r="C1532">
            <v>22412.605468999998</v>
          </cell>
          <cell r="D1532">
            <v>21972.509765999999</v>
          </cell>
        </row>
        <row r="1533">
          <cell r="A1533">
            <v>29086</v>
          </cell>
          <cell r="B1533">
            <v>89786.500977000003</v>
          </cell>
          <cell r="C1533">
            <v>21920.806640999999</v>
          </cell>
          <cell r="D1533">
            <v>21304.689452999999</v>
          </cell>
        </row>
        <row r="1534">
          <cell r="A1534">
            <v>29088</v>
          </cell>
          <cell r="B1534">
            <v>98641.967774999997</v>
          </cell>
          <cell r="C1534">
            <v>17747.523438</v>
          </cell>
          <cell r="D1534">
            <v>28146.46875</v>
          </cell>
        </row>
        <row r="1535">
          <cell r="A1535">
            <v>29089</v>
          </cell>
          <cell r="B1535">
            <v>90279.428954000003</v>
          </cell>
          <cell r="C1535">
            <v>15970.838867</v>
          </cell>
          <cell r="D1535">
            <v>26247.490234000001</v>
          </cell>
        </row>
        <row r="1536">
          <cell r="A1536">
            <v>29090</v>
          </cell>
          <cell r="B1536">
            <v>99486.899170999997</v>
          </cell>
          <cell r="C1536">
            <v>24404.886718999998</v>
          </cell>
          <cell r="D1536">
            <v>23623.019531000002</v>
          </cell>
        </row>
        <row r="1537">
          <cell r="A1537">
            <v>29095</v>
          </cell>
          <cell r="B1537">
            <v>94014.860350999996</v>
          </cell>
          <cell r="C1537">
            <v>23768.820312</v>
          </cell>
          <cell r="D1537">
            <v>21921.298827999999</v>
          </cell>
        </row>
        <row r="1538">
          <cell r="A1538">
            <v>29097</v>
          </cell>
          <cell r="B1538">
            <v>56074.587159000002</v>
          </cell>
          <cell r="C1538">
            <v>15436.875</v>
          </cell>
          <cell r="D1538">
            <v>12230.083008</v>
          </cell>
        </row>
        <row r="1539">
          <cell r="A1539">
            <v>29105</v>
          </cell>
          <cell r="B1539">
            <v>89113.604858999999</v>
          </cell>
          <cell r="C1539">
            <v>13418.096680000001</v>
          </cell>
          <cell r="D1539">
            <v>28869.861327999999</v>
          </cell>
        </row>
        <row r="1540">
          <cell r="A1540">
            <v>29108</v>
          </cell>
          <cell r="B1540">
            <v>100200.139037</v>
          </cell>
          <cell r="C1540">
            <v>15528.375</v>
          </cell>
          <cell r="D1540">
            <v>32088.878906000002</v>
          </cell>
        </row>
        <row r="1541">
          <cell r="A1541">
            <v>29109</v>
          </cell>
          <cell r="B1541">
            <v>72995.832519999996</v>
          </cell>
          <cell r="C1541">
            <v>12132.925781</v>
          </cell>
          <cell r="D1541">
            <v>20790.304688</v>
          </cell>
        </row>
        <row r="1542">
          <cell r="A1542">
            <v>29111</v>
          </cell>
          <cell r="B1542">
            <v>74563.037110000005</v>
          </cell>
          <cell r="C1542">
            <v>12274.537109000001</v>
          </cell>
          <cell r="D1542">
            <v>21274.96875</v>
          </cell>
        </row>
        <row r="1543">
          <cell r="A1543">
            <v>29129</v>
          </cell>
          <cell r="B1543">
            <v>24390.560792</v>
          </cell>
          <cell r="C1543">
            <v>8755.6875</v>
          </cell>
          <cell r="D1543">
            <v>4471.3974609999996</v>
          </cell>
        </row>
        <row r="1544">
          <cell r="A1544">
            <v>29130</v>
          </cell>
          <cell r="B1544">
            <v>20930.489440999998</v>
          </cell>
          <cell r="C1544">
            <v>7793.2963870000003</v>
          </cell>
          <cell r="D1544">
            <v>4280.6787109999996</v>
          </cell>
        </row>
        <row r="1545">
          <cell r="A1545">
            <v>29146</v>
          </cell>
          <cell r="B1545">
            <v>3653.5550070000004</v>
          </cell>
          <cell r="C1545">
            <v>1338.3201899999999</v>
          </cell>
          <cell r="D1545">
            <v>241.96954299999999</v>
          </cell>
        </row>
        <row r="1546">
          <cell r="A1546">
            <v>29148</v>
          </cell>
          <cell r="B1546">
            <v>3653.5550070000004</v>
          </cell>
          <cell r="C1546">
            <v>1338.3201899999999</v>
          </cell>
          <cell r="D1546">
            <v>241.96954299999999</v>
          </cell>
        </row>
        <row r="1547">
          <cell r="A1547">
            <v>29150</v>
          </cell>
          <cell r="B1547">
            <v>4778.4044309999999</v>
          </cell>
          <cell r="C1547">
            <v>690.45709199999999</v>
          </cell>
          <cell r="D1547">
            <v>2332.5383299999999</v>
          </cell>
        </row>
        <row r="1548">
          <cell r="A1548">
            <v>29157</v>
          </cell>
          <cell r="B1548">
            <v>30916.601562</v>
          </cell>
          <cell r="C1548">
            <v>6401.8901370000003</v>
          </cell>
          <cell r="D1548">
            <v>3780.9726559999999</v>
          </cell>
        </row>
        <row r="1549">
          <cell r="A1549">
            <v>29158</v>
          </cell>
          <cell r="B1549">
            <v>29534.175049000001</v>
          </cell>
          <cell r="C1549">
            <v>6003.9428710000002</v>
          </cell>
          <cell r="D1549">
            <v>3744.255615</v>
          </cell>
        </row>
        <row r="1550">
          <cell r="A1550">
            <v>29159</v>
          </cell>
          <cell r="B1550">
            <v>34312.578613999998</v>
          </cell>
          <cell r="C1550">
            <v>6694.3994140000004</v>
          </cell>
          <cell r="D1550">
            <v>6076.7934569999998</v>
          </cell>
        </row>
        <row r="1551">
          <cell r="A1551">
            <v>29160</v>
          </cell>
          <cell r="B1551">
            <v>31981.162841999998</v>
          </cell>
          <cell r="C1551">
            <v>3098.4965820000002</v>
          </cell>
          <cell r="D1551">
            <v>8648.0517579999996</v>
          </cell>
        </row>
        <row r="1552">
          <cell r="A1552">
            <v>29161</v>
          </cell>
          <cell r="B1552">
            <v>31981.162841999998</v>
          </cell>
          <cell r="C1552">
            <v>3098.4965820000002</v>
          </cell>
          <cell r="D1552">
            <v>8648.0517579999996</v>
          </cell>
        </row>
        <row r="1553">
          <cell r="A1553">
            <v>29167</v>
          </cell>
          <cell r="B1553">
            <v>35309.215086999997</v>
          </cell>
          <cell r="C1553">
            <v>11619.046875</v>
          </cell>
          <cell r="D1553">
            <v>6414.8808589999999</v>
          </cell>
        </row>
        <row r="1554">
          <cell r="A1554">
            <v>29168</v>
          </cell>
          <cell r="B1554">
            <v>35265.848938999996</v>
          </cell>
          <cell r="C1554">
            <v>4862.1367190000001</v>
          </cell>
          <cell r="D1554">
            <v>12655.594727</v>
          </cell>
        </row>
        <row r="1555">
          <cell r="A1555">
            <v>29169</v>
          </cell>
          <cell r="B1555">
            <v>33328.720641999993</v>
          </cell>
          <cell r="C1555">
            <v>4614.1787109999996</v>
          </cell>
          <cell r="D1555">
            <v>11474.403319999999</v>
          </cell>
        </row>
        <row r="1556">
          <cell r="A1556">
            <v>29170</v>
          </cell>
          <cell r="B1556">
            <v>31087.118224999995</v>
          </cell>
          <cell r="C1556">
            <v>4650.2836909999996</v>
          </cell>
          <cell r="D1556">
            <v>10239.106444999999</v>
          </cell>
        </row>
        <row r="1557">
          <cell r="A1557">
            <v>29171</v>
          </cell>
          <cell r="B1557">
            <v>32677.409669000001</v>
          </cell>
          <cell r="C1557">
            <v>9443.4921880000002</v>
          </cell>
          <cell r="D1557">
            <v>6530.1904299999997</v>
          </cell>
        </row>
        <row r="1558">
          <cell r="A1558">
            <v>29172</v>
          </cell>
          <cell r="B1558">
            <v>32677.409669000001</v>
          </cell>
          <cell r="C1558">
            <v>9443.4921880000002</v>
          </cell>
          <cell r="D1558">
            <v>6530.1904299999997</v>
          </cell>
        </row>
        <row r="1559">
          <cell r="A1559">
            <v>29173</v>
          </cell>
          <cell r="B1559">
            <v>31087.118224999995</v>
          </cell>
          <cell r="C1559">
            <v>4650.2836909999996</v>
          </cell>
          <cell r="D1559">
            <v>10239.106444999999</v>
          </cell>
        </row>
        <row r="1560">
          <cell r="A1560">
            <v>29182</v>
          </cell>
          <cell r="B1560">
            <v>70921.72119099999</v>
          </cell>
          <cell r="C1560">
            <v>15583.546875</v>
          </cell>
          <cell r="D1560">
            <v>15430.165039</v>
          </cell>
        </row>
        <row r="1561">
          <cell r="A1561">
            <v>29183</v>
          </cell>
          <cell r="B1561">
            <v>71167.927977999992</v>
          </cell>
          <cell r="C1561">
            <v>13062.175781</v>
          </cell>
          <cell r="D1561">
            <v>18936.142577999999</v>
          </cell>
        </row>
        <row r="1562">
          <cell r="A1562">
            <v>29215</v>
          </cell>
          <cell r="B1562">
            <v>9459.9804079999994</v>
          </cell>
          <cell r="C1562">
            <v>1003.921143</v>
          </cell>
          <cell r="D1562">
            <v>3218.482422</v>
          </cell>
        </row>
        <row r="1563">
          <cell r="A1563">
            <v>29224</v>
          </cell>
          <cell r="B1563">
            <v>85629.893066000004</v>
          </cell>
          <cell r="C1563">
            <v>21802.398438</v>
          </cell>
          <cell r="D1563">
            <v>18601.316406000002</v>
          </cell>
        </row>
        <row r="1564">
          <cell r="A1564">
            <v>29232</v>
          </cell>
          <cell r="B1564">
            <v>98222.367186999996</v>
          </cell>
          <cell r="C1564">
            <v>25103.378906000002</v>
          </cell>
          <cell r="D1564">
            <v>20386.878906000002</v>
          </cell>
        </row>
        <row r="1565">
          <cell r="A1565">
            <v>29368</v>
          </cell>
          <cell r="B1565">
            <v>16863.139678999996</v>
          </cell>
          <cell r="C1565">
            <v>2737.727539</v>
          </cell>
          <cell r="D1565">
            <v>6289.7080079999996</v>
          </cell>
        </row>
        <row r="1566">
          <cell r="A1566">
            <v>29409</v>
          </cell>
          <cell r="B1566">
            <v>17671.231957</v>
          </cell>
          <cell r="C1566">
            <v>7024.1142579999996</v>
          </cell>
          <cell r="D1566">
            <v>3504.26001</v>
          </cell>
        </row>
        <row r="1567">
          <cell r="A1567">
            <v>29410</v>
          </cell>
          <cell r="B1567">
            <v>16057.740921999999</v>
          </cell>
          <cell r="C1567">
            <v>2142.8964839999999</v>
          </cell>
          <cell r="D1567">
            <v>7531.1679690000001</v>
          </cell>
        </row>
        <row r="1568">
          <cell r="A1568">
            <v>29415</v>
          </cell>
          <cell r="B1568">
            <v>19906.074665</v>
          </cell>
          <cell r="C1568">
            <v>8855.5058590000008</v>
          </cell>
          <cell r="D1568">
            <v>3672.7685550000001</v>
          </cell>
        </row>
        <row r="1569">
          <cell r="A1569">
            <v>29442</v>
          </cell>
          <cell r="B1569">
            <v>17911.429366999997</v>
          </cell>
          <cell r="C1569">
            <v>7042.8071289999998</v>
          </cell>
          <cell r="D1569">
            <v>2672.876221</v>
          </cell>
        </row>
        <row r="1570">
          <cell r="A1570">
            <v>29488</v>
          </cell>
          <cell r="B1570">
            <v>12649.312621999999</v>
          </cell>
          <cell r="C1570">
            <v>2874.3500979999999</v>
          </cell>
          <cell r="D1570">
            <v>3258.2177729999999</v>
          </cell>
        </row>
        <row r="1571">
          <cell r="A1571">
            <v>29490</v>
          </cell>
          <cell r="B1571">
            <v>13026.308594</v>
          </cell>
          <cell r="C1571">
            <v>2060.8642580000001</v>
          </cell>
          <cell r="D1571">
            <v>5962.09375</v>
          </cell>
        </row>
        <row r="1572">
          <cell r="A1572">
            <v>29492</v>
          </cell>
          <cell r="B1572">
            <v>13547.961914</v>
          </cell>
          <cell r="C1572">
            <v>2060.8642580000001</v>
          </cell>
          <cell r="D1572">
            <v>6483.7470700000003</v>
          </cell>
        </row>
        <row r="1573">
          <cell r="A1573">
            <v>29533</v>
          </cell>
          <cell r="B1573">
            <v>10979.915756</v>
          </cell>
          <cell r="C1573">
            <v>2879.6811520000001</v>
          </cell>
          <cell r="D1573">
            <v>3106.874268</v>
          </cell>
        </row>
        <row r="1574">
          <cell r="A1574">
            <v>29547</v>
          </cell>
          <cell r="B1574">
            <v>11064.571824000001</v>
          </cell>
          <cell r="C1574">
            <v>1810.005249</v>
          </cell>
          <cell r="D1574">
            <v>4525.5776370000003</v>
          </cell>
        </row>
        <row r="1575">
          <cell r="A1575">
            <v>29548</v>
          </cell>
          <cell r="B1575">
            <v>11092.756836</v>
          </cell>
          <cell r="C1575">
            <v>2740.6743160000001</v>
          </cell>
          <cell r="D1575">
            <v>2136.1215820000002</v>
          </cell>
        </row>
        <row r="1576">
          <cell r="A1576">
            <v>29550</v>
          </cell>
          <cell r="B1576">
            <v>13970.035644999998</v>
          </cell>
          <cell r="C1576">
            <v>3800.5976559999999</v>
          </cell>
          <cell r="D1576">
            <v>2560.2475589999999</v>
          </cell>
        </row>
        <row r="1577">
          <cell r="A1577">
            <v>29551</v>
          </cell>
          <cell r="B1577">
            <v>13970.035644999998</v>
          </cell>
          <cell r="C1577">
            <v>3800.5976559999999</v>
          </cell>
          <cell r="D1577">
            <v>2560.2475589999999</v>
          </cell>
        </row>
        <row r="1578">
          <cell r="A1578">
            <v>29553</v>
          </cell>
          <cell r="B1578">
            <v>11064.571824000001</v>
          </cell>
          <cell r="C1578">
            <v>1810.005249</v>
          </cell>
          <cell r="D1578">
            <v>4525.5776370000003</v>
          </cell>
        </row>
        <row r="1579">
          <cell r="A1579">
            <v>29559</v>
          </cell>
          <cell r="B1579">
            <v>14284.691407</v>
          </cell>
          <cell r="C1579">
            <v>4115.2534180000002</v>
          </cell>
          <cell r="D1579">
            <v>2560.2475589999999</v>
          </cell>
        </row>
        <row r="1580">
          <cell r="A1580">
            <v>29565</v>
          </cell>
          <cell r="B1580">
            <v>13547.961914</v>
          </cell>
          <cell r="C1580">
            <v>2060.8642580000001</v>
          </cell>
          <cell r="D1580">
            <v>6483.7470700000003</v>
          </cell>
        </row>
        <row r="1581">
          <cell r="A1581">
            <v>29570</v>
          </cell>
          <cell r="B1581">
            <v>14372.068604</v>
          </cell>
          <cell r="C1581">
            <v>5114.9853519999997</v>
          </cell>
          <cell r="D1581">
            <v>2686.0783689999998</v>
          </cell>
        </row>
        <row r="1582">
          <cell r="A1582">
            <v>29571</v>
          </cell>
          <cell r="B1582">
            <v>13547.961914</v>
          </cell>
          <cell r="C1582">
            <v>2060.8642580000001</v>
          </cell>
          <cell r="D1582">
            <v>6483.7470700000003</v>
          </cell>
        </row>
        <row r="1583">
          <cell r="A1583">
            <v>29573</v>
          </cell>
          <cell r="B1583">
            <v>14372.068604</v>
          </cell>
          <cell r="C1583">
            <v>5114.9853519999997</v>
          </cell>
          <cell r="D1583">
            <v>2686.0783689999998</v>
          </cell>
        </row>
        <row r="1584">
          <cell r="A1584">
            <v>29575</v>
          </cell>
          <cell r="B1584">
            <v>14372.068604</v>
          </cell>
          <cell r="C1584">
            <v>5114.9853519999997</v>
          </cell>
          <cell r="D1584">
            <v>2686.0783689999998</v>
          </cell>
        </row>
        <row r="1585">
          <cell r="A1585">
            <v>29577</v>
          </cell>
          <cell r="B1585">
            <v>14372.068604</v>
          </cell>
          <cell r="C1585">
            <v>5114.9853519999997</v>
          </cell>
          <cell r="D1585">
            <v>2686.0783689999998</v>
          </cell>
        </row>
        <row r="1586">
          <cell r="A1586">
            <v>29587</v>
          </cell>
          <cell r="B1586">
            <v>14619.549071999998</v>
          </cell>
          <cell r="C1586">
            <v>5362.4658200000003</v>
          </cell>
          <cell r="D1586">
            <v>2686.0783689999998</v>
          </cell>
        </row>
        <row r="1587">
          <cell r="A1587">
            <v>29716</v>
          </cell>
          <cell r="B1587">
            <v>14288.818236999999</v>
          </cell>
          <cell r="C1587">
            <v>2591.0607909999999</v>
          </cell>
          <cell r="D1587">
            <v>5959.4658200000003</v>
          </cell>
        </row>
        <row r="1588">
          <cell r="A1588">
            <v>29750</v>
          </cell>
          <cell r="B1588">
            <v>14328.058105999999</v>
          </cell>
          <cell r="C1588">
            <v>3814.3076169999999</v>
          </cell>
          <cell r="D1588">
            <v>4319.5708009999998</v>
          </cell>
        </row>
        <row r="1589">
          <cell r="A1589">
            <v>29752</v>
          </cell>
          <cell r="B1589">
            <v>17267.160339999999</v>
          </cell>
          <cell r="C1589">
            <v>3984.5429690000001</v>
          </cell>
          <cell r="D1589">
            <v>4798.4726559999999</v>
          </cell>
        </row>
        <row r="1590">
          <cell r="A1590">
            <v>29753</v>
          </cell>
          <cell r="B1590">
            <v>14328.058105999999</v>
          </cell>
          <cell r="C1590">
            <v>3814.3076169999999</v>
          </cell>
          <cell r="D1590">
            <v>4319.5708009999998</v>
          </cell>
        </row>
        <row r="1591">
          <cell r="A1591">
            <v>29756</v>
          </cell>
          <cell r="B1591">
            <v>85629.893066000004</v>
          </cell>
          <cell r="C1591">
            <v>21802.398438</v>
          </cell>
          <cell r="D1591">
            <v>18601.316406000002</v>
          </cell>
        </row>
        <row r="1592">
          <cell r="A1592">
            <v>29761</v>
          </cell>
          <cell r="B1592">
            <v>29246.889404000001</v>
          </cell>
          <cell r="C1592">
            <v>5271.0214839999999</v>
          </cell>
          <cell r="D1592">
            <v>6142.1508789999998</v>
          </cell>
        </row>
        <row r="1593">
          <cell r="A1593">
            <v>29772</v>
          </cell>
          <cell r="B1593">
            <v>30902.489135</v>
          </cell>
          <cell r="C1593">
            <v>4783.8789059999999</v>
          </cell>
          <cell r="D1593">
            <v>7642.4145509999998</v>
          </cell>
        </row>
        <row r="1594">
          <cell r="A1594">
            <v>29816</v>
          </cell>
          <cell r="B1594">
            <v>103534.216308</v>
          </cell>
          <cell r="C1594">
            <v>16606.162109000001</v>
          </cell>
          <cell r="D1594">
            <v>30655.644531000002</v>
          </cell>
        </row>
        <row r="1595">
          <cell r="A1595">
            <v>30080</v>
          </cell>
          <cell r="B1595">
            <v>83328.525391000003</v>
          </cell>
          <cell r="C1595">
            <v>16584.742188</v>
          </cell>
          <cell r="D1595">
            <v>20594.105468999998</v>
          </cell>
        </row>
        <row r="1596">
          <cell r="A1596">
            <v>30706</v>
          </cell>
          <cell r="B1596">
            <v>103039.417724</v>
          </cell>
          <cell r="C1596">
            <v>23244.925781000002</v>
          </cell>
          <cell r="D1596">
            <v>26332.072265999999</v>
          </cell>
        </row>
        <row r="1597">
          <cell r="A1597">
            <v>30776</v>
          </cell>
          <cell r="B1597">
            <v>104433.079101</v>
          </cell>
          <cell r="C1597">
            <v>24302.384765999999</v>
          </cell>
          <cell r="D1597">
            <v>21332.662109000001</v>
          </cell>
        </row>
        <row r="1598">
          <cell r="A1598">
            <v>30782</v>
          </cell>
          <cell r="B1598">
            <v>16023.942765</v>
          </cell>
          <cell r="C1598">
            <v>2561.4858399999998</v>
          </cell>
          <cell r="D1598">
            <v>5855.5986329999996</v>
          </cell>
        </row>
        <row r="1599">
          <cell r="A1599">
            <v>30784</v>
          </cell>
          <cell r="B1599">
            <v>22334.152464999999</v>
          </cell>
          <cell r="C1599">
            <v>6285.7124020000001</v>
          </cell>
          <cell r="D1599">
            <v>6446.4047849999997</v>
          </cell>
        </row>
        <row r="1600">
          <cell r="A1600">
            <v>30791</v>
          </cell>
          <cell r="B1600">
            <v>72595.742677000002</v>
          </cell>
          <cell r="C1600">
            <v>15505.157227</v>
          </cell>
          <cell r="D1600">
            <v>16209.459961</v>
          </cell>
        </row>
        <row r="1601">
          <cell r="A1601">
            <v>30792</v>
          </cell>
          <cell r="B1601">
            <v>75163.379883000001</v>
          </cell>
          <cell r="C1601">
            <v>15887.309569999999</v>
          </cell>
          <cell r="D1601">
            <v>17839.464843999998</v>
          </cell>
        </row>
        <row r="1602">
          <cell r="A1602">
            <v>30805</v>
          </cell>
          <cell r="B1602">
            <v>13547.961914</v>
          </cell>
          <cell r="C1602">
            <v>2060.8642580000001</v>
          </cell>
          <cell r="D1602">
            <v>6483.7470700000003</v>
          </cell>
        </row>
        <row r="1603">
          <cell r="A1603">
            <v>30813</v>
          </cell>
          <cell r="B1603">
            <v>85314.962159000002</v>
          </cell>
          <cell r="C1603">
            <v>17964.173827999999</v>
          </cell>
          <cell r="D1603">
            <v>20985.71875</v>
          </cell>
        </row>
        <row r="1604">
          <cell r="A1604">
            <v>30814</v>
          </cell>
          <cell r="B1604">
            <v>85314.962159000002</v>
          </cell>
          <cell r="C1604">
            <v>17964.173827999999</v>
          </cell>
          <cell r="D1604">
            <v>20985.71875</v>
          </cell>
        </row>
        <row r="1605">
          <cell r="A1605">
            <v>30815</v>
          </cell>
          <cell r="B1605">
            <v>108557.426758</v>
          </cell>
          <cell r="C1605">
            <v>23754.277343999998</v>
          </cell>
          <cell r="D1605">
            <v>27119.654297000001</v>
          </cell>
        </row>
        <row r="1606">
          <cell r="A1606">
            <v>30816</v>
          </cell>
          <cell r="B1606">
            <v>101326.182128</v>
          </cell>
          <cell r="C1606">
            <v>22150.912109000001</v>
          </cell>
          <cell r="D1606">
            <v>26810.771484000001</v>
          </cell>
        </row>
        <row r="1607">
          <cell r="A1607">
            <v>30817</v>
          </cell>
          <cell r="B1607">
            <v>86249.348631999994</v>
          </cell>
          <cell r="C1607">
            <v>19292.994140999999</v>
          </cell>
          <cell r="D1607">
            <v>22186.445312</v>
          </cell>
        </row>
        <row r="1608">
          <cell r="A1608">
            <v>30818</v>
          </cell>
          <cell r="B1608">
            <v>92445.914795000004</v>
          </cell>
          <cell r="C1608">
            <v>19977.818359000001</v>
          </cell>
          <cell r="D1608">
            <v>23959.0625</v>
          </cell>
        </row>
        <row r="1609">
          <cell r="A1609">
            <v>30820</v>
          </cell>
          <cell r="B1609">
            <v>50139.347412000003</v>
          </cell>
          <cell r="C1609">
            <v>9965.1054690000001</v>
          </cell>
          <cell r="D1609">
            <v>12899.105469</v>
          </cell>
        </row>
        <row r="1610">
          <cell r="A1610">
            <v>30841</v>
          </cell>
          <cell r="B1610">
            <v>91827.395506999994</v>
          </cell>
          <cell r="C1610">
            <v>24388.945312</v>
          </cell>
          <cell r="D1610">
            <v>20370.378906000002</v>
          </cell>
        </row>
        <row r="1611">
          <cell r="A1611">
            <v>30842</v>
          </cell>
          <cell r="B1611">
            <v>100465.43700999999</v>
          </cell>
          <cell r="C1611">
            <v>16843.552734000001</v>
          </cell>
          <cell r="D1611">
            <v>29127.539062</v>
          </cell>
        </row>
        <row r="1612">
          <cell r="A1612">
            <v>30860</v>
          </cell>
          <cell r="B1612">
            <v>83038.186034999992</v>
          </cell>
          <cell r="C1612">
            <v>22487.625</v>
          </cell>
          <cell r="D1612">
            <v>17719.207031000002</v>
          </cell>
        </row>
        <row r="1613">
          <cell r="A1613">
            <v>30862</v>
          </cell>
          <cell r="B1613">
            <v>131254.50097699999</v>
          </cell>
          <cell r="C1613">
            <v>33429.550780999998</v>
          </cell>
          <cell r="D1613">
            <v>26549.888672000001</v>
          </cell>
        </row>
        <row r="1614">
          <cell r="A1614">
            <v>30863</v>
          </cell>
          <cell r="B1614">
            <v>146493.18261799999</v>
          </cell>
          <cell r="C1614">
            <v>37117.875</v>
          </cell>
          <cell r="D1614">
            <v>29806.384765999999</v>
          </cell>
        </row>
        <row r="1615">
          <cell r="A1615">
            <v>30864</v>
          </cell>
          <cell r="B1615">
            <v>101244.10498</v>
          </cell>
          <cell r="C1615">
            <v>24329.863281000002</v>
          </cell>
          <cell r="D1615">
            <v>23477.322265999999</v>
          </cell>
        </row>
        <row r="1616">
          <cell r="A1616">
            <v>30865</v>
          </cell>
          <cell r="B1616">
            <v>79108.114379999999</v>
          </cell>
          <cell r="C1616">
            <v>12913.521484000001</v>
          </cell>
          <cell r="D1616">
            <v>23523.273438</v>
          </cell>
        </row>
        <row r="1617">
          <cell r="A1617">
            <v>30903</v>
          </cell>
          <cell r="B1617">
            <v>63815.966306999995</v>
          </cell>
          <cell r="C1617">
            <v>11665.832031</v>
          </cell>
          <cell r="D1617">
            <v>15310.130859000001</v>
          </cell>
        </row>
        <row r="1618">
          <cell r="A1618">
            <v>30904</v>
          </cell>
          <cell r="B1618">
            <v>73445.380615999995</v>
          </cell>
          <cell r="C1618">
            <v>9269.9179690000001</v>
          </cell>
          <cell r="D1618">
            <v>24066.369140999999</v>
          </cell>
        </row>
        <row r="1619">
          <cell r="A1619">
            <v>30981</v>
          </cell>
          <cell r="B1619">
            <v>4818.6818970000004</v>
          </cell>
          <cell r="C1619">
            <v>692.96118200000001</v>
          </cell>
          <cell r="D1619">
            <v>2340.505615</v>
          </cell>
        </row>
        <row r="1620">
          <cell r="A1620">
            <v>31013</v>
          </cell>
          <cell r="B1620">
            <v>6891.1660460000003</v>
          </cell>
          <cell r="C1620">
            <v>1061.383789</v>
          </cell>
          <cell r="D1620">
            <v>1920.259155</v>
          </cell>
        </row>
        <row r="1621">
          <cell r="A1621">
            <v>31014</v>
          </cell>
          <cell r="B1621">
            <v>5249.9406740000004</v>
          </cell>
          <cell r="C1621">
            <v>1738.9960940000001</v>
          </cell>
          <cell r="D1621">
            <v>1180.147461</v>
          </cell>
        </row>
        <row r="1622">
          <cell r="A1622">
            <v>31105</v>
          </cell>
          <cell r="B1622">
            <v>28891.207763000002</v>
          </cell>
          <cell r="C1622">
            <v>4947.0361329999996</v>
          </cell>
          <cell r="D1622">
            <v>7792.4501950000003</v>
          </cell>
        </row>
        <row r="1623">
          <cell r="A1623">
            <v>31108</v>
          </cell>
          <cell r="B1623">
            <v>27216.033691000001</v>
          </cell>
          <cell r="C1623">
            <v>6413.9599609999996</v>
          </cell>
          <cell r="D1623">
            <v>6404.9365230000003</v>
          </cell>
        </row>
        <row r="1624">
          <cell r="A1624">
            <v>31144</v>
          </cell>
          <cell r="B1624">
            <v>13979.755037000001</v>
          </cell>
          <cell r="C1624">
            <v>5182.3759769999997</v>
          </cell>
          <cell r="D1624">
            <v>3658.7685550000001</v>
          </cell>
        </row>
        <row r="1625">
          <cell r="A1625">
            <v>31167</v>
          </cell>
          <cell r="B1625">
            <v>8970.7749029999995</v>
          </cell>
          <cell r="C1625">
            <v>1560.292725</v>
          </cell>
          <cell r="D1625">
            <v>3393.5219729999999</v>
          </cell>
        </row>
        <row r="1626">
          <cell r="A1626">
            <v>31171</v>
          </cell>
          <cell r="B1626">
            <v>60128.536376999997</v>
          </cell>
          <cell r="C1626">
            <v>13799.072265999999</v>
          </cell>
          <cell r="D1626">
            <v>13115.177734000001</v>
          </cell>
        </row>
        <row r="1627">
          <cell r="A1627">
            <v>31172</v>
          </cell>
          <cell r="B1627">
            <v>62771.333251999997</v>
          </cell>
          <cell r="C1627">
            <v>11219.791015999999</v>
          </cell>
          <cell r="D1627">
            <v>17562.330077999999</v>
          </cell>
        </row>
        <row r="1628">
          <cell r="A1628">
            <v>31183</v>
          </cell>
          <cell r="B1628">
            <v>98751.049316000004</v>
          </cell>
          <cell r="C1628">
            <v>20662.84375</v>
          </cell>
          <cell r="D1628">
            <v>26745.513672000001</v>
          </cell>
        </row>
        <row r="1629">
          <cell r="A1629">
            <v>31184</v>
          </cell>
          <cell r="B1629">
            <v>89179.755858999997</v>
          </cell>
          <cell r="C1629">
            <v>19652.033202999999</v>
          </cell>
          <cell r="D1629">
            <v>21091.041015999999</v>
          </cell>
        </row>
        <row r="1630">
          <cell r="A1630">
            <v>31192</v>
          </cell>
          <cell r="B1630">
            <v>43632.089111000001</v>
          </cell>
          <cell r="C1630">
            <v>6678.8974609999996</v>
          </cell>
          <cell r="D1630">
            <v>12201.952148</v>
          </cell>
        </row>
        <row r="1631">
          <cell r="A1631">
            <v>31193</v>
          </cell>
          <cell r="B1631">
            <v>70089.463378999993</v>
          </cell>
          <cell r="C1631">
            <v>18844.929688</v>
          </cell>
          <cell r="D1631">
            <v>12606.211914</v>
          </cell>
        </row>
        <row r="1632">
          <cell r="A1632">
            <v>31198</v>
          </cell>
          <cell r="B1632">
            <v>82553.732420999993</v>
          </cell>
          <cell r="C1632">
            <v>13099.863281</v>
          </cell>
          <cell r="D1632">
            <v>24508.279297000001</v>
          </cell>
        </row>
        <row r="1633">
          <cell r="A1633">
            <v>31204</v>
          </cell>
          <cell r="B1633">
            <v>19562.676930000001</v>
          </cell>
          <cell r="C1633">
            <v>7710.6440430000002</v>
          </cell>
          <cell r="D1633">
            <v>3941.8483890000002</v>
          </cell>
        </row>
        <row r="1634">
          <cell r="A1634">
            <v>31205</v>
          </cell>
          <cell r="B1634">
            <v>112042.604492</v>
          </cell>
          <cell r="C1634">
            <v>17792.806640999999</v>
          </cell>
          <cell r="D1634">
            <v>33523.140625</v>
          </cell>
        </row>
        <row r="1635">
          <cell r="A1635">
            <v>31206</v>
          </cell>
          <cell r="B1635">
            <v>115506.758789</v>
          </cell>
          <cell r="C1635">
            <v>18546.673827999999</v>
          </cell>
          <cell r="D1635">
            <v>33736.074219000002</v>
          </cell>
        </row>
        <row r="1636">
          <cell r="A1636">
            <v>31207</v>
          </cell>
          <cell r="B1636">
            <v>115617.495117</v>
          </cell>
          <cell r="C1636">
            <v>27703.894531000002</v>
          </cell>
          <cell r="D1636">
            <v>22075.931640999999</v>
          </cell>
        </row>
        <row r="1637">
          <cell r="A1637">
            <v>31208</v>
          </cell>
          <cell r="B1637">
            <v>102389.11816399998</v>
          </cell>
          <cell r="C1637">
            <v>25610.507812</v>
          </cell>
          <cell r="D1637">
            <v>19453.318359000001</v>
          </cell>
        </row>
        <row r="1638">
          <cell r="A1638">
            <v>31210</v>
          </cell>
          <cell r="B1638">
            <v>90024.43994099999</v>
          </cell>
          <cell r="C1638">
            <v>12091.806640999999</v>
          </cell>
          <cell r="D1638">
            <v>27611.269531000002</v>
          </cell>
        </row>
        <row r="1639">
          <cell r="A1639">
            <v>31211</v>
          </cell>
          <cell r="B1639">
            <v>31325.550902999999</v>
          </cell>
          <cell r="C1639">
            <v>8186.5375979999999</v>
          </cell>
          <cell r="D1639">
            <v>5167.0859380000002</v>
          </cell>
        </row>
        <row r="1640">
          <cell r="A1640">
            <v>31212</v>
          </cell>
          <cell r="B1640">
            <v>86233.886352999994</v>
          </cell>
          <cell r="C1640">
            <v>11240.518555000001</v>
          </cell>
          <cell r="D1640">
            <v>26780.556640999999</v>
          </cell>
        </row>
        <row r="1641">
          <cell r="A1641">
            <v>31213</v>
          </cell>
          <cell r="B1641">
            <v>86318.728516000003</v>
          </cell>
          <cell r="C1641">
            <v>21357.535156000002</v>
          </cell>
          <cell r="D1641">
            <v>14145.419921999999</v>
          </cell>
        </row>
        <row r="1642">
          <cell r="A1642">
            <v>31308</v>
          </cell>
          <cell r="B1642">
            <v>79684.667235999994</v>
          </cell>
          <cell r="C1642">
            <v>14384.403319999999</v>
          </cell>
          <cell r="D1642">
            <v>21085.214843999998</v>
          </cell>
        </row>
        <row r="1643">
          <cell r="A1643">
            <v>31310</v>
          </cell>
          <cell r="B1643">
            <v>34312.578613999998</v>
          </cell>
          <cell r="C1643">
            <v>6694.3994140000004</v>
          </cell>
          <cell r="D1643">
            <v>6076.7934569999998</v>
          </cell>
        </row>
        <row r="1644">
          <cell r="A1644">
            <v>31311</v>
          </cell>
          <cell r="B1644">
            <v>91707.798340999987</v>
          </cell>
          <cell r="C1644">
            <v>18637.072265999999</v>
          </cell>
          <cell r="D1644">
            <v>23503.652343999998</v>
          </cell>
        </row>
        <row r="1645">
          <cell r="A1645">
            <v>31312</v>
          </cell>
          <cell r="B1645">
            <v>36140.441284</v>
          </cell>
          <cell r="C1645">
            <v>5248.7978519999997</v>
          </cell>
          <cell r="D1645">
            <v>10999.694336</v>
          </cell>
        </row>
        <row r="1646">
          <cell r="A1646">
            <v>36079</v>
          </cell>
          <cell r="B1646">
            <v>22615.388672000001</v>
          </cell>
          <cell r="C1646">
            <v>2761.9411620000001</v>
          </cell>
          <cell r="D1646">
            <v>7320.6557620000003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5 SB"/>
      <sheetName val="I-15 SB"/>
      <sheetName val="I-805 SB"/>
      <sheetName val="SR-163 SB"/>
      <sheetName val="SR-125 SB"/>
      <sheetName val="SR-67 SB"/>
      <sheetName val="SR-75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  <sheetName val="I-15 HOV NB"/>
      <sheetName val="I-15 HOV SB"/>
      <sheetName val="I-5 HOV NB"/>
      <sheetName val="I-5 HOV SB"/>
      <sheetName val="I-805 HOV NB"/>
      <sheetName val="I-5 NB AUX LOCAL ACC"/>
      <sheetName val="I-805 HOV SB"/>
    </sheetNames>
    <sheetDataSet>
      <sheetData sheetId="0">
        <row r="2">
          <cell r="C2">
            <v>21</v>
          </cell>
          <cell r="D2">
            <v>3</v>
          </cell>
          <cell r="E2">
            <v>9041</v>
          </cell>
          <cell r="F2">
            <v>1</v>
          </cell>
          <cell r="G2">
            <v>1</v>
          </cell>
          <cell r="H2" t="str">
            <v>SR-94 WB</v>
          </cell>
          <cell r="I2">
            <v>1</v>
          </cell>
          <cell r="J2">
            <v>0</v>
          </cell>
          <cell r="K2" t="str">
            <v>SR-125 SB</v>
          </cell>
          <cell r="L2" t="str">
            <v>SR-125 SB</v>
          </cell>
          <cell r="M2">
            <v>32509</v>
          </cell>
          <cell r="N2">
            <v>6971</v>
          </cell>
          <cell r="O2">
            <v>6056</v>
          </cell>
          <cell r="P2" t="str">
            <v>PeMS2016</v>
          </cell>
        </row>
        <row r="3">
          <cell r="C3">
            <v>21</v>
          </cell>
          <cell r="D3">
            <v>3</v>
          </cell>
          <cell r="E3">
            <v>28016</v>
          </cell>
          <cell r="F3">
            <v>1</v>
          </cell>
          <cell r="G3">
            <v>1</v>
          </cell>
          <cell r="H3" t="str">
            <v>SR-94 WB</v>
          </cell>
          <cell r="I3">
            <v>2</v>
          </cell>
          <cell r="J3">
            <v>0</v>
          </cell>
          <cell r="K3" t="str">
            <v>SR-125 SB</v>
          </cell>
          <cell r="L3" t="str">
            <v>SR-125 NB</v>
          </cell>
          <cell r="M3">
            <v>56995</v>
          </cell>
          <cell r="N3">
            <v>12966</v>
          </cell>
          <cell r="O3">
            <v>10717</v>
          </cell>
          <cell r="P3" t="str">
            <v>PeMS2016</v>
          </cell>
        </row>
        <row r="4">
          <cell r="C4">
            <v>21</v>
          </cell>
          <cell r="D4">
            <v>3</v>
          </cell>
          <cell r="E4">
            <v>28011</v>
          </cell>
          <cell r="F4">
            <v>1</v>
          </cell>
          <cell r="G4">
            <v>1</v>
          </cell>
          <cell r="H4" t="str">
            <v>SR-94 WB</v>
          </cell>
          <cell r="I4">
            <v>3</v>
          </cell>
          <cell r="J4">
            <v>0</v>
          </cell>
          <cell r="K4" t="str">
            <v>GROVE</v>
          </cell>
          <cell r="L4" t="str">
            <v>GROVE</v>
          </cell>
          <cell r="M4">
            <v>56995</v>
          </cell>
          <cell r="N4">
            <v>12966</v>
          </cell>
          <cell r="O4">
            <v>10717</v>
          </cell>
          <cell r="P4" t="str">
            <v>PeMS2016</v>
          </cell>
        </row>
        <row r="5">
          <cell r="C5">
            <v>21</v>
          </cell>
          <cell r="D5">
            <v>3</v>
          </cell>
          <cell r="E5">
            <v>28007</v>
          </cell>
          <cell r="F5">
            <v>1</v>
          </cell>
          <cell r="G5">
            <v>1</v>
          </cell>
          <cell r="H5" t="str">
            <v>SR-94 WB</v>
          </cell>
          <cell r="I5">
            <v>4</v>
          </cell>
          <cell r="J5">
            <v>0</v>
          </cell>
          <cell r="K5" t="str">
            <v>LEMON GROVE</v>
          </cell>
          <cell r="L5" t="str">
            <v>LEMON GROVE</v>
          </cell>
          <cell r="M5">
            <v>70327</v>
          </cell>
          <cell r="N5">
            <v>17069</v>
          </cell>
          <cell r="O5">
            <v>12928</v>
          </cell>
          <cell r="P5" t="str">
            <v>PeMS2016</v>
          </cell>
        </row>
        <row r="6">
          <cell r="C6">
            <v>21</v>
          </cell>
          <cell r="D6">
            <v>3</v>
          </cell>
          <cell r="E6">
            <v>28000</v>
          </cell>
          <cell r="F6">
            <v>1</v>
          </cell>
          <cell r="G6">
            <v>1</v>
          </cell>
          <cell r="H6" t="str">
            <v>SR-94 WB</v>
          </cell>
          <cell r="I6">
            <v>5</v>
          </cell>
          <cell r="J6">
            <v>0</v>
          </cell>
          <cell r="K6" t="str">
            <v>LEMON GROVE</v>
          </cell>
          <cell r="L6" t="str">
            <v>WAITE</v>
          </cell>
          <cell r="M6">
            <v>78513</v>
          </cell>
          <cell r="N6">
            <v>17714</v>
          </cell>
          <cell r="O6">
            <v>15038</v>
          </cell>
          <cell r="P6" t="str">
            <v>Caltran</v>
          </cell>
        </row>
        <row r="7">
          <cell r="C7">
            <v>21</v>
          </cell>
          <cell r="D7">
            <v>3</v>
          </cell>
          <cell r="E7">
            <v>27988</v>
          </cell>
          <cell r="F7">
            <v>1</v>
          </cell>
          <cell r="G7">
            <v>1</v>
          </cell>
          <cell r="H7" t="str">
            <v>SR-94 WB</v>
          </cell>
          <cell r="I7">
            <v>7</v>
          </cell>
          <cell r="J7">
            <v>0</v>
          </cell>
          <cell r="K7" t="str">
            <v>MASSACHUSETTS</v>
          </cell>
          <cell r="L7" t="str">
            <v>MASSACHUSETTS</v>
          </cell>
          <cell r="M7">
            <v>77212</v>
          </cell>
          <cell r="N7">
            <v>18765</v>
          </cell>
          <cell r="O7">
            <v>14242</v>
          </cell>
          <cell r="P7" t="str">
            <v>PeMS2016</v>
          </cell>
        </row>
        <row r="8">
          <cell r="C8">
            <v>21</v>
          </cell>
          <cell r="D8">
            <v>3</v>
          </cell>
          <cell r="E8">
            <v>27987</v>
          </cell>
          <cell r="F8">
            <v>1</v>
          </cell>
          <cell r="G8">
            <v>1</v>
          </cell>
          <cell r="H8" t="str">
            <v>SR-94 WB</v>
          </cell>
          <cell r="I8">
            <v>8</v>
          </cell>
          <cell r="J8">
            <v>0</v>
          </cell>
          <cell r="K8" t="str">
            <v>MASSACHUSETTS</v>
          </cell>
          <cell r="L8" t="str">
            <v>COLLEGE</v>
          </cell>
          <cell r="M8">
            <v>72788</v>
          </cell>
          <cell r="N8">
            <v>18169</v>
          </cell>
          <cell r="O8">
            <v>13093</v>
          </cell>
          <cell r="P8" t="str">
            <v>PeMS2016</v>
          </cell>
        </row>
        <row r="9">
          <cell r="C9">
            <v>21</v>
          </cell>
          <cell r="D9">
            <v>3</v>
          </cell>
          <cell r="E9">
            <v>29016</v>
          </cell>
          <cell r="F9">
            <v>1</v>
          </cell>
          <cell r="G9">
            <v>1</v>
          </cell>
          <cell r="H9" t="str">
            <v>SR-94 WB</v>
          </cell>
          <cell r="I9">
            <v>13</v>
          </cell>
          <cell r="J9">
            <v>1</v>
          </cell>
          <cell r="K9" t="str">
            <v>COLLEGE GROVE</v>
          </cell>
          <cell r="L9" t="str">
            <v>FEDERAL</v>
          </cell>
          <cell r="M9">
            <v>78697</v>
          </cell>
          <cell r="N9">
            <v>18276</v>
          </cell>
          <cell r="O9">
            <v>14371</v>
          </cell>
          <cell r="P9" t="str">
            <v>PeMS2016</v>
          </cell>
        </row>
        <row r="10">
          <cell r="C10">
            <v>21</v>
          </cell>
          <cell r="D10">
            <v>3</v>
          </cell>
          <cell r="E10">
            <v>29028</v>
          </cell>
          <cell r="F10">
            <v>1</v>
          </cell>
          <cell r="G10">
            <v>1</v>
          </cell>
          <cell r="H10" t="str">
            <v>SR-94 WB</v>
          </cell>
          <cell r="I10">
            <v>16</v>
          </cell>
          <cell r="J10">
            <v>0</v>
          </cell>
          <cell r="K10" t="str">
            <v>KELTON</v>
          </cell>
          <cell r="L10" t="str">
            <v>EUCLID</v>
          </cell>
          <cell r="M10">
            <v>86599</v>
          </cell>
          <cell r="N10">
            <v>20043</v>
          </cell>
          <cell r="O10">
            <v>15747</v>
          </cell>
          <cell r="P10" t="str">
            <v>PeMS2016</v>
          </cell>
        </row>
        <row r="11">
          <cell r="C11">
            <v>21</v>
          </cell>
          <cell r="D11">
            <v>3</v>
          </cell>
          <cell r="E11">
            <v>29037</v>
          </cell>
          <cell r="F11">
            <v>1</v>
          </cell>
          <cell r="G11">
            <v>1</v>
          </cell>
          <cell r="H11" t="str">
            <v>SR-94 WB</v>
          </cell>
          <cell r="I11">
            <v>18</v>
          </cell>
          <cell r="J11">
            <v>0</v>
          </cell>
          <cell r="K11" t="str">
            <v>EUCLID</v>
          </cell>
          <cell r="L11" t="str">
            <v>EUCLID</v>
          </cell>
          <cell r="M11">
            <v>83801</v>
          </cell>
          <cell r="N11">
            <v>19743</v>
          </cell>
          <cell r="O11">
            <v>15038</v>
          </cell>
          <cell r="P11" t="str">
            <v>PeMS2016</v>
          </cell>
        </row>
        <row r="12">
          <cell r="C12">
            <v>21</v>
          </cell>
          <cell r="D12">
            <v>3</v>
          </cell>
          <cell r="E12">
            <v>29041</v>
          </cell>
          <cell r="F12">
            <v>1</v>
          </cell>
          <cell r="G12">
            <v>1</v>
          </cell>
          <cell r="H12" t="str">
            <v>SR-94 WB</v>
          </cell>
          <cell r="I12">
            <v>19</v>
          </cell>
          <cell r="J12">
            <v>0</v>
          </cell>
          <cell r="K12" t="str">
            <v>EUCLID</v>
          </cell>
          <cell r="L12" t="str">
            <v>47TH</v>
          </cell>
          <cell r="M12">
            <v>100179</v>
          </cell>
          <cell r="N12">
            <v>22543</v>
          </cell>
          <cell r="O12">
            <v>18588</v>
          </cell>
          <cell r="P12" t="str">
            <v>PeMS2016</v>
          </cell>
        </row>
        <row r="13">
          <cell r="C13">
            <v>21</v>
          </cell>
          <cell r="D13">
            <v>3</v>
          </cell>
          <cell r="E13">
            <v>29046</v>
          </cell>
          <cell r="F13">
            <v>1</v>
          </cell>
          <cell r="G13">
            <v>1</v>
          </cell>
          <cell r="H13" t="str">
            <v>SR-94 WB</v>
          </cell>
          <cell r="I13">
            <v>23</v>
          </cell>
          <cell r="J13">
            <v>0</v>
          </cell>
          <cell r="K13" t="str">
            <v>I-805 NB</v>
          </cell>
          <cell r="L13" t="str">
            <v>I-805 NB</v>
          </cell>
          <cell r="M13">
            <v>58078</v>
          </cell>
          <cell r="N13">
            <v>16611</v>
          </cell>
          <cell r="O13">
            <v>9141</v>
          </cell>
          <cell r="P13" t="str">
            <v>PeMS2016</v>
          </cell>
        </row>
        <row r="14">
          <cell r="C14">
            <v>21</v>
          </cell>
          <cell r="D14">
            <v>3</v>
          </cell>
          <cell r="E14">
            <v>29049</v>
          </cell>
          <cell r="F14">
            <v>1</v>
          </cell>
          <cell r="G14">
            <v>1</v>
          </cell>
          <cell r="H14" t="str">
            <v>SR-94 WB</v>
          </cell>
          <cell r="I14">
            <v>24</v>
          </cell>
          <cell r="J14">
            <v>0</v>
          </cell>
          <cell r="K14" t="str">
            <v>I-805 NB</v>
          </cell>
          <cell r="L14" t="str">
            <v>HOME</v>
          </cell>
          <cell r="M14">
            <v>76826</v>
          </cell>
          <cell r="N14">
            <v>20181</v>
          </cell>
          <cell r="O14">
            <v>12622</v>
          </cell>
          <cell r="P14" t="str">
            <v>PeMS2016</v>
          </cell>
        </row>
        <row r="15">
          <cell r="C15">
            <v>21</v>
          </cell>
          <cell r="D15">
            <v>3</v>
          </cell>
          <cell r="E15">
            <v>27614</v>
          </cell>
          <cell r="F15">
            <v>1</v>
          </cell>
          <cell r="G15">
            <v>1</v>
          </cell>
          <cell r="H15" t="str">
            <v>SR-94 WB</v>
          </cell>
          <cell r="I15">
            <v>26</v>
          </cell>
          <cell r="J15">
            <v>0</v>
          </cell>
          <cell r="K15" t="str">
            <v>HOME</v>
          </cell>
          <cell r="L15" t="str">
            <v>SR-15 NB</v>
          </cell>
          <cell r="M15">
            <v>85967</v>
          </cell>
          <cell r="N15">
            <v>22168</v>
          </cell>
          <cell r="O15">
            <v>14485</v>
          </cell>
          <cell r="P15" t="str">
            <v>PeMS2016</v>
          </cell>
        </row>
        <row r="16">
          <cell r="C16">
            <v>21</v>
          </cell>
          <cell r="D16">
            <v>3</v>
          </cell>
          <cell r="E16">
            <v>29051</v>
          </cell>
          <cell r="F16">
            <v>1</v>
          </cell>
          <cell r="G16">
            <v>1</v>
          </cell>
          <cell r="H16" t="str">
            <v>SR-94 WB</v>
          </cell>
          <cell r="I16">
            <v>27</v>
          </cell>
          <cell r="J16">
            <v>0</v>
          </cell>
          <cell r="K16" t="str">
            <v>SR-15 SB</v>
          </cell>
          <cell r="L16" t="str">
            <v>SR-15 SB</v>
          </cell>
          <cell r="M16">
            <v>69267</v>
          </cell>
          <cell r="N16">
            <v>18040</v>
          </cell>
          <cell r="O16">
            <v>11868</v>
          </cell>
          <cell r="P16" t="str">
            <v>PeMS2016</v>
          </cell>
        </row>
        <row r="17">
          <cell r="C17">
            <v>21</v>
          </cell>
          <cell r="D17">
            <v>3</v>
          </cell>
          <cell r="E17">
            <v>15854</v>
          </cell>
          <cell r="F17">
            <v>1</v>
          </cell>
          <cell r="G17">
            <v>1</v>
          </cell>
          <cell r="H17" t="str">
            <v>SR-94 WB</v>
          </cell>
          <cell r="I17">
            <v>31</v>
          </cell>
          <cell r="J17">
            <v>0</v>
          </cell>
          <cell r="K17" t="str">
            <v>32ND</v>
          </cell>
          <cell r="L17" t="str">
            <v>28TH</v>
          </cell>
          <cell r="M17">
            <v>77626</v>
          </cell>
          <cell r="N17">
            <v>18916</v>
          </cell>
          <cell r="O17">
            <v>13758</v>
          </cell>
          <cell r="P17" t="str">
            <v>PeMS2016</v>
          </cell>
        </row>
        <row r="18">
          <cell r="C18">
            <v>21</v>
          </cell>
          <cell r="D18">
            <v>3</v>
          </cell>
          <cell r="E18">
            <v>15856</v>
          </cell>
          <cell r="F18">
            <v>1</v>
          </cell>
          <cell r="G18">
            <v>1</v>
          </cell>
          <cell r="H18" t="str">
            <v>SR-94 WB</v>
          </cell>
          <cell r="I18">
            <v>32</v>
          </cell>
          <cell r="J18">
            <v>0</v>
          </cell>
          <cell r="K18" t="str">
            <v>28TH</v>
          </cell>
          <cell r="L18" t="str">
            <v>28TH</v>
          </cell>
          <cell r="M18">
            <v>68770</v>
          </cell>
          <cell r="N18">
            <v>16495</v>
          </cell>
          <cell r="O18">
            <v>12035</v>
          </cell>
          <cell r="P18" t="str">
            <v>PeMS2016</v>
          </cell>
        </row>
        <row r="19">
          <cell r="C19">
            <v>21</v>
          </cell>
          <cell r="D19">
            <v>3</v>
          </cell>
          <cell r="E19">
            <v>15857</v>
          </cell>
          <cell r="F19">
            <v>1</v>
          </cell>
          <cell r="G19">
            <v>1</v>
          </cell>
          <cell r="H19" t="str">
            <v>SR-94 WB</v>
          </cell>
          <cell r="I19">
            <v>33</v>
          </cell>
          <cell r="J19">
            <v>0</v>
          </cell>
          <cell r="K19" t="str">
            <v>28TH</v>
          </cell>
          <cell r="L19" t="str">
            <v>25TH</v>
          </cell>
          <cell r="M19">
            <v>68770</v>
          </cell>
          <cell r="N19">
            <v>16495</v>
          </cell>
          <cell r="O19">
            <v>12035</v>
          </cell>
          <cell r="P19" t="str">
            <v>PeMS2016</v>
          </cell>
        </row>
        <row r="20">
          <cell r="C20">
            <v>21</v>
          </cell>
          <cell r="D20">
            <v>3</v>
          </cell>
          <cell r="E20">
            <v>15862</v>
          </cell>
          <cell r="F20">
            <v>1</v>
          </cell>
          <cell r="G20">
            <v>1</v>
          </cell>
          <cell r="H20" t="str">
            <v>SR-94 WB</v>
          </cell>
          <cell r="I20">
            <v>34</v>
          </cell>
          <cell r="J20">
            <v>0</v>
          </cell>
          <cell r="K20" t="str">
            <v>25TH</v>
          </cell>
          <cell r="L20" t="str">
            <v>I-5 NB</v>
          </cell>
          <cell r="M20">
            <v>65667</v>
          </cell>
          <cell r="N20">
            <v>15978</v>
          </cell>
          <cell r="O20">
            <v>11230</v>
          </cell>
          <cell r="P20" t="str">
            <v>PeMS2016</v>
          </cell>
        </row>
        <row r="21">
          <cell r="C21">
            <v>21</v>
          </cell>
          <cell r="D21">
            <v>3</v>
          </cell>
          <cell r="E21">
            <v>15863</v>
          </cell>
          <cell r="F21">
            <v>1</v>
          </cell>
          <cell r="G21">
            <v>1</v>
          </cell>
          <cell r="H21" t="str">
            <v>SR-94 WB</v>
          </cell>
          <cell r="I21">
            <v>36</v>
          </cell>
          <cell r="J21">
            <v>0</v>
          </cell>
          <cell r="K21" t="str">
            <v>F</v>
          </cell>
          <cell r="L21" t="str">
            <v>F</v>
          </cell>
          <cell r="M21">
            <v>28853</v>
          </cell>
          <cell r="N21">
            <v>8388</v>
          </cell>
          <cell r="O21">
            <v>4738</v>
          </cell>
          <cell r="P21" t="str">
            <v>PeMS2016</v>
          </cell>
        </row>
        <row r="22">
          <cell r="C22">
            <v>20</v>
          </cell>
          <cell r="D22">
            <v>3</v>
          </cell>
          <cell r="E22">
            <v>10015</v>
          </cell>
          <cell r="F22">
            <v>1</v>
          </cell>
          <cell r="G22">
            <v>1</v>
          </cell>
          <cell r="H22" t="str">
            <v>SR-905 WB</v>
          </cell>
          <cell r="I22">
            <v>1</v>
          </cell>
          <cell r="J22">
            <v>0</v>
          </cell>
          <cell r="K22" t="str">
            <v>MEXICAN BORDER</v>
          </cell>
          <cell r="L22" t="str">
            <v>LRT-905</v>
          </cell>
          <cell r="M22">
            <v>21531</v>
          </cell>
          <cell r="N22">
            <v>3645</v>
          </cell>
          <cell r="O22">
            <v>3469</v>
          </cell>
          <cell r="P22" t="str">
            <v>Caltran</v>
          </cell>
        </row>
        <row r="23">
          <cell r="C23">
            <v>20</v>
          </cell>
          <cell r="D23">
            <v>3</v>
          </cell>
          <cell r="E23">
            <v>8185</v>
          </cell>
          <cell r="F23">
            <v>1</v>
          </cell>
          <cell r="G23">
            <v>1</v>
          </cell>
          <cell r="H23" t="str">
            <v>SR-905 WB</v>
          </cell>
          <cell r="I23">
            <v>2</v>
          </cell>
          <cell r="J23">
            <v>0</v>
          </cell>
          <cell r="K23" t="str">
            <v>LRT-905</v>
          </cell>
          <cell r="L23" t="str">
            <v>LRT-905</v>
          </cell>
          <cell r="M23">
            <v>23716</v>
          </cell>
          <cell r="N23">
            <v>3497</v>
          </cell>
          <cell r="O23">
            <v>3809</v>
          </cell>
          <cell r="P23" t="str">
            <v>PeMS2016</v>
          </cell>
        </row>
        <row r="24">
          <cell r="C24">
            <v>20</v>
          </cell>
          <cell r="D24">
            <v>3</v>
          </cell>
          <cell r="E24">
            <v>10002</v>
          </cell>
          <cell r="F24">
            <v>1</v>
          </cell>
          <cell r="G24">
            <v>1</v>
          </cell>
          <cell r="H24" t="str">
            <v>SR-905 WB</v>
          </cell>
          <cell r="I24">
            <v>3</v>
          </cell>
          <cell r="J24">
            <v>0</v>
          </cell>
          <cell r="K24" t="str">
            <v>LRT-905</v>
          </cell>
          <cell r="L24" t="str">
            <v>SR-125 NB</v>
          </cell>
          <cell r="M24">
            <v>30153</v>
          </cell>
          <cell r="N24">
            <v>4014</v>
          </cell>
          <cell r="O24">
            <v>6715</v>
          </cell>
          <cell r="P24" t="str">
            <v>PeMS2016</v>
          </cell>
        </row>
        <row r="25">
          <cell r="C25">
            <v>20</v>
          </cell>
          <cell r="D25">
            <v>3</v>
          </cell>
          <cell r="E25">
            <v>29158</v>
          </cell>
          <cell r="F25">
            <v>1</v>
          </cell>
          <cell r="G25">
            <v>1</v>
          </cell>
          <cell r="H25" t="str">
            <v>SR-905 WB</v>
          </cell>
          <cell r="I25">
            <v>5</v>
          </cell>
          <cell r="J25">
            <v>0</v>
          </cell>
          <cell r="L25" t="str">
            <v>SR-125 SB</v>
          </cell>
          <cell r="M25">
            <v>25714</v>
          </cell>
          <cell r="N25">
            <v>3391</v>
          </cell>
          <cell r="O25">
            <v>5378</v>
          </cell>
          <cell r="P25" t="str">
            <v>PeMS2016</v>
          </cell>
        </row>
        <row r="26">
          <cell r="C26">
            <v>20</v>
          </cell>
          <cell r="D26">
            <v>3</v>
          </cell>
          <cell r="E26">
            <v>27724</v>
          </cell>
          <cell r="F26">
            <v>1</v>
          </cell>
          <cell r="G26">
            <v>1</v>
          </cell>
          <cell r="H26" t="str">
            <v>SR-905 WB</v>
          </cell>
          <cell r="I26">
            <v>8</v>
          </cell>
          <cell r="J26">
            <v>0</v>
          </cell>
          <cell r="K26" t="str">
            <v>SR-125 SB</v>
          </cell>
          <cell r="L26" t="str">
            <v>LA MEDIA</v>
          </cell>
          <cell r="M26">
            <v>28713</v>
          </cell>
          <cell r="N26">
            <v>3796</v>
          </cell>
          <cell r="O26">
            <v>6293</v>
          </cell>
          <cell r="P26" t="str">
            <v>PeMS2016</v>
          </cell>
        </row>
        <row r="27">
          <cell r="C27">
            <v>20</v>
          </cell>
          <cell r="D27">
            <v>3</v>
          </cell>
          <cell r="E27">
            <v>27721</v>
          </cell>
          <cell r="F27">
            <v>1</v>
          </cell>
          <cell r="G27">
            <v>1</v>
          </cell>
          <cell r="H27" t="str">
            <v>SR-905 WB</v>
          </cell>
          <cell r="I27">
            <v>10</v>
          </cell>
          <cell r="J27">
            <v>0</v>
          </cell>
          <cell r="K27" t="str">
            <v>LA MEDIA</v>
          </cell>
          <cell r="L27" t="str">
            <v>BRITANNIA</v>
          </cell>
          <cell r="M27">
            <v>37842</v>
          </cell>
          <cell r="N27">
            <v>4820</v>
          </cell>
          <cell r="O27">
            <v>8477</v>
          </cell>
          <cell r="P27" t="str">
            <v>PeMS2016</v>
          </cell>
        </row>
        <row r="28">
          <cell r="C28">
            <v>20</v>
          </cell>
          <cell r="D28">
            <v>3</v>
          </cell>
          <cell r="E28">
            <v>27716</v>
          </cell>
          <cell r="F28">
            <v>1</v>
          </cell>
          <cell r="G28">
            <v>1</v>
          </cell>
          <cell r="H28" t="str">
            <v>SR-905 WB</v>
          </cell>
          <cell r="I28">
            <v>11</v>
          </cell>
          <cell r="J28">
            <v>0</v>
          </cell>
          <cell r="K28" t="str">
            <v>BRITANNIA</v>
          </cell>
          <cell r="L28" t="str">
            <v>BRITANNIA</v>
          </cell>
          <cell r="M28">
            <v>31877</v>
          </cell>
          <cell r="N28">
            <v>3990</v>
          </cell>
          <cell r="O28">
            <v>7444</v>
          </cell>
          <cell r="P28" t="str">
            <v>PeMS2016</v>
          </cell>
        </row>
        <row r="29">
          <cell r="C29">
            <v>20</v>
          </cell>
          <cell r="D29">
            <v>3</v>
          </cell>
          <cell r="E29">
            <v>27719</v>
          </cell>
          <cell r="F29">
            <v>1</v>
          </cell>
          <cell r="G29">
            <v>1</v>
          </cell>
          <cell r="H29" t="str">
            <v>SR-905 WB</v>
          </cell>
          <cell r="I29">
            <v>12</v>
          </cell>
          <cell r="J29">
            <v>0</v>
          </cell>
          <cell r="K29" t="str">
            <v>BRITANNIA</v>
          </cell>
          <cell r="L29" t="str">
            <v>HERITAGE</v>
          </cell>
          <cell r="M29">
            <v>53469</v>
          </cell>
          <cell r="N29">
            <v>6403</v>
          </cell>
          <cell r="O29">
            <v>12493</v>
          </cell>
          <cell r="P29" t="str">
            <v>PeMS2016</v>
          </cell>
        </row>
        <row r="30">
          <cell r="C30">
            <v>20</v>
          </cell>
          <cell r="D30">
            <v>3</v>
          </cell>
          <cell r="E30">
            <v>27741</v>
          </cell>
          <cell r="F30">
            <v>1</v>
          </cell>
          <cell r="G30">
            <v>1</v>
          </cell>
          <cell r="H30" t="str">
            <v>SR-905 WB</v>
          </cell>
          <cell r="I30">
            <v>14</v>
          </cell>
          <cell r="J30">
            <v>0</v>
          </cell>
          <cell r="K30" t="str">
            <v>HERITAGE</v>
          </cell>
          <cell r="L30" t="str">
            <v>CALIENTE</v>
          </cell>
          <cell r="M30">
            <v>39613</v>
          </cell>
          <cell r="N30">
            <v>4687</v>
          </cell>
          <cell r="O30">
            <v>9861</v>
          </cell>
          <cell r="P30" t="str">
            <v>PeMS2016</v>
          </cell>
        </row>
        <row r="31">
          <cell r="C31">
            <v>20</v>
          </cell>
          <cell r="D31">
            <v>3</v>
          </cell>
          <cell r="E31">
            <v>27742</v>
          </cell>
          <cell r="F31">
            <v>1</v>
          </cell>
          <cell r="G31">
            <v>1</v>
          </cell>
          <cell r="H31" t="str">
            <v>SR-905 WB</v>
          </cell>
          <cell r="I31">
            <v>15</v>
          </cell>
          <cell r="J31">
            <v>0</v>
          </cell>
          <cell r="K31" t="str">
            <v>CALIENTE</v>
          </cell>
          <cell r="L31" t="str">
            <v>CALIENTE</v>
          </cell>
          <cell r="M31">
            <v>42725</v>
          </cell>
          <cell r="N31">
            <v>5116</v>
          </cell>
          <cell r="O31">
            <v>9980</v>
          </cell>
          <cell r="P31" t="str">
            <v>PeMS2016</v>
          </cell>
        </row>
        <row r="32">
          <cell r="C32">
            <v>20</v>
          </cell>
          <cell r="D32">
            <v>3</v>
          </cell>
          <cell r="E32">
            <v>9904</v>
          </cell>
          <cell r="F32">
            <v>1</v>
          </cell>
          <cell r="G32">
            <v>1</v>
          </cell>
          <cell r="H32" t="str">
            <v>SR-905 WB</v>
          </cell>
          <cell r="I32">
            <v>2</v>
          </cell>
          <cell r="J32">
            <v>0</v>
          </cell>
          <cell r="K32" t="str">
            <v>CALIENTE</v>
          </cell>
          <cell r="L32" t="str">
            <v>I-805 NB</v>
          </cell>
          <cell r="M32">
            <v>38339</v>
          </cell>
          <cell r="N32">
            <v>4516</v>
          </cell>
          <cell r="O32">
            <v>9515</v>
          </cell>
          <cell r="P32" t="str">
            <v>PeMS2016</v>
          </cell>
        </row>
        <row r="33">
          <cell r="C33">
            <v>20</v>
          </cell>
          <cell r="D33">
            <v>3</v>
          </cell>
          <cell r="E33">
            <v>23435</v>
          </cell>
          <cell r="F33">
            <v>1</v>
          </cell>
          <cell r="G33">
            <v>1</v>
          </cell>
          <cell r="H33" t="str">
            <v>SR-905 WB</v>
          </cell>
          <cell r="I33">
            <v>3</v>
          </cell>
          <cell r="J33">
            <v>0</v>
          </cell>
          <cell r="K33" t="str">
            <v>I-805 NB</v>
          </cell>
          <cell r="L33" t="str">
            <v>I-805 SB</v>
          </cell>
          <cell r="M33">
            <v>17480</v>
          </cell>
          <cell r="N33">
            <v>2005</v>
          </cell>
          <cell r="O33">
            <v>4828</v>
          </cell>
          <cell r="P33" t="str">
            <v>PeMS2016</v>
          </cell>
        </row>
        <row r="34">
          <cell r="C34">
            <v>20</v>
          </cell>
          <cell r="D34">
            <v>3</v>
          </cell>
          <cell r="E34">
            <v>27856</v>
          </cell>
          <cell r="F34">
            <v>1</v>
          </cell>
          <cell r="G34">
            <v>1</v>
          </cell>
          <cell r="H34" t="str">
            <v>SR-905 WB</v>
          </cell>
          <cell r="I34">
            <v>10</v>
          </cell>
          <cell r="J34">
            <v>0</v>
          </cell>
          <cell r="K34" t="str">
            <v>BEYER</v>
          </cell>
          <cell r="L34" t="str">
            <v>I-5 NB</v>
          </cell>
          <cell r="M34">
            <v>32272</v>
          </cell>
          <cell r="N34">
            <v>5855</v>
          </cell>
          <cell r="O34">
            <v>7458</v>
          </cell>
          <cell r="P34" t="str">
            <v>Caltran</v>
          </cell>
        </row>
        <row r="35">
          <cell r="C35">
            <v>16</v>
          </cell>
          <cell r="D35">
            <v>3</v>
          </cell>
          <cell r="E35">
            <v>12823</v>
          </cell>
          <cell r="F35">
            <v>1</v>
          </cell>
          <cell r="G35">
            <v>1</v>
          </cell>
          <cell r="H35" t="str">
            <v>SR-78 WB</v>
          </cell>
          <cell r="I35">
            <v>2</v>
          </cell>
          <cell r="J35">
            <v>0</v>
          </cell>
          <cell r="K35" t="str">
            <v>CENTRE CITY</v>
          </cell>
          <cell r="L35" t="str">
            <v>CENTRE CITY</v>
          </cell>
          <cell r="M35">
            <v>39222</v>
          </cell>
          <cell r="N35">
            <v>7556</v>
          </cell>
          <cell r="O35">
            <v>8363</v>
          </cell>
          <cell r="P35" t="str">
            <v>PeMS2016</v>
          </cell>
        </row>
        <row r="36">
          <cell r="C36">
            <v>16</v>
          </cell>
          <cell r="D36">
            <v>3</v>
          </cell>
          <cell r="E36">
            <v>21942</v>
          </cell>
          <cell r="F36">
            <v>1</v>
          </cell>
          <cell r="G36">
            <v>1</v>
          </cell>
          <cell r="H36" t="str">
            <v>SR-78 WB</v>
          </cell>
          <cell r="I36">
            <v>4</v>
          </cell>
          <cell r="J36">
            <v>0</v>
          </cell>
          <cell r="K36" t="str">
            <v>I-15 NB</v>
          </cell>
          <cell r="L36" t="str">
            <v>I-15 SB</v>
          </cell>
          <cell r="M36">
            <v>28638</v>
          </cell>
          <cell r="N36">
            <v>6409</v>
          </cell>
          <cell r="O36">
            <v>5453</v>
          </cell>
          <cell r="P36" t="str">
            <v>PeMS2016</v>
          </cell>
        </row>
        <row r="37">
          <cell r="C37">
            <v>16</v>
          </cell>
          <cell r="D37">
            <v>3</v>
          </cell>
          <cell r="E37">
            <v>12837</v>
          </cell>
          <cell r="F37">
            <v>1</v>
          </cell>
          <cell r="G37">
            <v>1</v>
          </cell>
          <cell r="H37" t="str">
            <v>SR-78 WB</v>
          </cell>
          <cell r="I37">
            <v>5</v>
          </cell>
          <cell r="J37">
            <v>0</v>
          </cell>
          <cell r="K37" t="str">
            <v>I-15 SB</v>
          </cell>
          <cell r="L37" t="str">
            <v>NORDAHL</v>
          </cell>
          <cell r="M37">
            <v>90467</v>
          </cell>
          <cell r="N37">
            <v>17790</v>
          </cell>
          <cell r="O37">
            <v>18328</v>
          </cell>
          <cell r="P37" t="str">
            <v>PeMS2016</v>
          </cell>
        </row>
        <row r="38">
          <cell r="C38">
            <v>16</v>
          </cell>
          <cell r="D38">
            <v>3</v>
          </cell>
          <cell r="E38">
            <v>8054</v>
          </cell>
          <cell r="F38">
            <v>1</v>
          </cell>
          <cell r="G38">
            <v>1</v>
          </cell>
          <cell r="H38" t="str">
            <v>SR-78 WB</v>
          </cell>
          <cell r="I38">
            <v>6</v>
          </cell>
          <cell r="J38">
            <v>0</v>
          </cell>
          <cell r="K38" t="str">
            <v>NORDAHL</v>
          </cell>
          <cell r="L38" t="str">
            <v>NORDAHL</v>
          </cell>
          <cell r="M38">
            <v>76370</v>
          </cell>
          <cell r="N38">
            <v>15533</v>
          </cell>
          <cell r="O38">
            <v>15330</v>
          </cell>
          <cell r="P38" t="str">
            <v>PeMS2016</v>
          </cell>
        </row>
        <row r="39">
          <cell r="C39">
            <v>16</v>
          </cell>
          <cell r="D39">
            <v>3</v>
          </cell>
          <cell r="E39">
            <v>23557</v>
          </cell>
          <cell r="F39">
            <v>1</v>
          </cell>
          <cell r="G39">
            <v>1</v>
          </cell>
          <cell r="H39" t="str">
            <v>SR-78 WB</v>
          </cell>
          <cell r="I39">
            <v>7</v>
          </cell>
          <cell r="J39">
            <v>0</v>
          </cell>
          <cell r="K39" t="str">
            <v>NORDAHL</v>
          </cell>
          <cell r="L39" t="str">
            <v>WOODLAND</v>
          </cell>
          <cell r="M39">
            <v>72027</v>
          </cell>
          <cell r="N39">
            <v>14807</v>
          </cell>
          <cell r="O39">
            <v>14890</v>
          </cell>
          <cell r="P39" t="str">
            <v>PeMS2016</v>
          </cell>
        </row>
        <row r="40">
          <cell r="C40">
            <v>16</v>
          </cell>
          <cell r="D40">
            <v>3</v>
          </cell>
          <cell r="E40">
            <v>8056</v>
          </cell>
          <cell r="F40">
            <v>1</v>
          </cell>
          <cell r="G40">
            <v>1</v>
          </cell>
          <cell r="H40" t="str">
            <v>SR-78 WB</v>
          </cell>
          <cell r="I40">
            <v>9</v>
          </cell>
          <cell r="J40">
            <v>0</v>
          </cell>
          <cell r="K40" t="str">
            <v>WOODLAND</v>
          </cell>
          <cell r="L40" t="str">
            <v>WOODLAND</v>
          </cell>
          <cell r="M40">
            <v>84102</v>
          </cell>
          <cell r="N40">
            <v>16457</v>
          </cell>
          <cell r="O40">
            <v>17628</v>
          </cell>
          <cell r="P40" t="str">
            <v>PeMS2016</v>
          </cell>
        </row>
        <row r="41">
          <cell r="C41">
            <v>16</v>
          </cell>
          <cell r="D41">
            <v>3</v>
          </cell>
          <cell r="E41">
            <v>30080</v>
          </cell>
          <cell r="F41">
            <v>1</v>
          </cell>
          <cell r="G41">
            <v>1</v>
          </cell>
          <cell r="H41" t="str">
            <v>SR-78 WB</v>
          </cell>
          <cell r="I41">
            <v>12</v>
          </cell>
          <cell r="J41">
            <v>0</v>
          </cell>
          <cell r="K41" t="str">
            <v>TWIN OAKS VALLEY</v>
          </cell>
          <cell r="L41" t="str">
            <v>TWIN OAKS VALLEY</v>
          </cell>
          <cell r="M41">
            <v>77112</v>
          </cell>
          <cell r="N41">
            <v>15628</v>
          </cell>
          <cell r="O41">
            <v>16167</v>
          </cell>
          <cell r="P41" t="str">
            <v>PeMS2016</v>
          </cell>
        </row>
        <row r="42">
          <cell r="C42">
            <v>16</v>
          </cell>
          <cell r="D42">
            <v>3</v>
          </cell>
          <cell r="E42">
            <v>474</v>
          </cell>
          <cell r="F42">
            <v>1</v>
          </cell>
          <cell r="G42">
            <v>1</v>
          </cell>
          <cell r="H42" t="str">
            <v>SR-78 WB</v>
          </cell>
          <cell r="I42">
            <v>15</v>
          </cell>
          <cell r="J42">
            <v>0</v>
          </cell>
          <cell r="K42" t="str">
            <v>SAN MARCOS</v>
          </cell>
          <cell r="L42" t="str">
            <v>SAN MARCOS</v>
          </cell>
          <cell r="M42">
            <v>71505</v>
          </cell>
          <cell r="N42">
            <v>14177</v>
          </cell>
          <cell r="O42">
            <v>15802</v>
          </cell>
          <cell r="P42" t="str">
            <v>PeMS2016</v>
          </cell>
        </row>
        <row r="43">
          <cell r="C43">
            <v>16</v>
          </cell>
          <cell r="D43">
            <v>3</v>
          </cell>
          <cell r="E43">
            <v>8057</v>
          </cell>
          <cell r="F43">
            <v>1</v>
          </cell>
          <cell r="G43">
            <v>1</v>
          </cell>
          <cell r="H43" t="str">
            <v>SR-78 WB</v>
          </cell>
          <cell r="I43">
            <v>16</v>
          </cell>
          <cell r="J43">
            <v>0</v>
          </cell>
          <cell r="K43" t="str">
            <v>SAN MARCOS</v>
          </cell>
          <cell r="L43" t="str">
            <v>SAN MARCOS</v>
          </cell>
          <cell r="M43">
            <v>73181</v>
          </cell>
          <cell r="N43">
            <v>14228</v>
          </cell>
          <cell r="O43">
            <v>16187</v>
          </cell>
          <cell r="P43" t="str">
            <v>PeMS2016</v>
          </cell>
        </row>
        <row r="44">
          <cell r="C44">
            <v>16</v>
          </cell>
          <cell r="D44">
            <v>3</v>
          </cell>
          <cell r="E44">
            <v>16430</v>
          </cell>
          <cell r="F44">
            <v>1</v>
          </cell>
          <cell r="G44">
            <v>1</v>
          </cell>
          <cell r="H44" t="str">
            <v>SR-78 WB</v>
          </cell>
          <cell r="I44">
            <v>21</v>
          </cell>
          <cell r="J44">
            <v>0</v>
          </cell>
          <cell r="K44" t="str">
            <v>LAS POSAS</v>
          </cell>
          <cell r="L44" t="str">
            <v>LAS POSAS</v>
          </cell>
          <cell r="M44">
            <v>57701</v>
          </cell>
          <cell r="N44">
            <v>10658</v>
          </cell>
          <cell r="O44">
            <v>13498</v>
          </cell>
          <cell r="P44" t="str">
            <v>PeMS2016</v>
          </cell>
        </row>
        <row r="45">
          <cell r="C45">
            <v>16</v>
          </cell>
          <cell r="D45">
            <v>3</v>
          </cell>
          <cell r="E45">
            <v>16427</v>
          </cell>
          <cell r="F45">
            <v>1</v>
          </cell>
          <cell r="G45">
            <v>1</v>
          </cell>
          <cell r="H45" t="str">
            <v>SR-78 WB</v>
          </cell>
          <cell r="I45">
            <v>22</v>
          </cell>
          <cell r="J45">
            <v>0</v>
          </cell>
          <cell r="K45" t="str">
            <v>LAS POSAS</v>
          </cell>
          <cell r="L45" t="str">
            <v>RANCHO SANTA FE</v>
          </cell>
          <cell r="M45">
            <v>75199</v>
          </cell>
          <cell r="N45">
            <v>12562</v>
          </cell>
          <cell r="O45">
            <v>18053</v>
          </cell>
          <cell r="P45" t="str">
            <v>Caltran</v>
          </cell>
        </row>
        <row r="46">
          <cell r="C46">
            <v>16</v>
          </cell>
          <cell r="D46">
            <v>3</v>
          </cell>
          <cell r="E46">
            <v>29183</v>
          </cell>
          <cell r="F46">
            <v>1</v>
          </cell>
          <cell r="G46">
            <v>1</v>
          </cell>
          <cell r="H46" t="str">
            <v>SR-78 WB</v>
          </cell>
          <cell r="I46">
            <v>24</v>
          </cell>
          <cell r="J46">
            <v>0</v>
          </cell>
          <cell r="K46" t="str">
            <v>RANCHO SANTA FE</v>
          </cell>
          <cell r="L46" t="str">
            <v>RANCHO SANTA FE</v>
          </cell>
          <cell r="M46">
            <v>67026</v>
          </cell>
          <cell r="N46">
            <v>11639</v>
          </cell>
          <cell r="O46">
            <v>16131</v>
          </cell>
          <cell r="P46" t="str">
            <v>PeMS2016</v>
          </cell>
        </row>
        <row r="47">
          <cell r="C47">
            <v>16</v>
          </cell>
          <cell r="D47">
            <v>3</v>
          </cell>
          <cell r="E47">
            <v>3207</v>
          </cell>
          <cell r="F47">
            <v>1</v>
          </cell>
          <cell r="G47">
            <v>1</v>
          </cell>
          <cell r="H47" t="str">
            <v>SR-78 WB</v>
          </cell>
          <cell r="I47">
            <v>25</v>
          </cell>
          <cell r="J47">
            <v>0</v>
          </cell>
          <cell r="K47" t="str">
            <v>RANCHO SANTA FE</v>
          </cell>
          <cell r="L47" t="str">
            <v>SYCAMORE</v>
          </cell>
          <cell r="M47">
            <v>75792</v>
          </cell>
          <cell r="N47">
            <v>13478</v>
          </cell>
          <cell r="O47">
            <v>17701</v>
          </cell>
          <cell r="P47" t="str">
            <v>Caltran</v>
          </cell>
        </row>
        <row r="48">
          <cell r="C48">
            <v>16</v>
          </cell>
          <cell r="D48">
            <v>3</v>
          </cell>
          <cell r="E48">
            <v>8839</v>
          </cell>
          <cell r="F48">
            <v>1</v>
          </cell>
          <cell r="G48">
            <v>1</v>
          </cell>
          <cell r="H48" t="str">
            <v>SR-78 WB</v>
          </cell>
          <cell r="I48">
            <v>29</v>
          </cell>
          <cell r="J48">
            <v>0</v>
          </cell>
          <cell r="K48" t="str">
            <v>SYCAMORE</v>
          </cell>
          <cell r="L48" t="str">
            <v>SYCAMORE</v>
          </cell>
          <cell r="M48">
            <v>59377</v>
          </cell>
          <cell r="N48">
            <v>9591</v>
          </cell>
          <cell r="O48">
            <v>14936</v>
          </cell>
          <cell r="P48" t="str">
            <v>PeMS2016</v>
          </cell>
        </row>
        <row r="49">
          <cell r="C49">
            <v>16</v>
          </cell>
          <cell r="D49">
            <v>3</v>
          </cell>
          <cell r="E49">
            <v>8058</v>
          </cell>
          <cell r="F49">
            <v>1</v>
          </cell>
          <cell r="G49">
            <v>1</v>
          </cell>
          <cell r="H49" t="str">
            <v>SR-78 WB</v>
          </cell>
          <cell r="I49">
            <v>31</v>
          </cell>
          <cell r="J49">
            <v>0</v>
          </cell>
          <cell r="K49" t="str">
            <v>MAR VISTA</v>
          </cell>
          <cell r="L49" t="str">
            <v>MAR VISTA</v>
          </cell>
          <cell r="M49">
            <v>69572</v>
          </cell>
          <cell r="N49">
            <v>10908</v>
          </cell>
          <cell r="O49">
            <v>17762</v>
          </cell>
          <cell r="P49" t="str">
            <v>PeMS2016</v>
          </cell>
        </row>
        <row r="50">
          <cell r="C50">
            <v>16</v>
          </cell>
          <cell r="D50">
            <v>3</v>
          </cell>
          <cell r="E50">
            <v>8059</v>
          </cell>
          <cell r="F50">
            <v>1</v>
          </cell>
          <cell r="G50">
            <v>1</v>
          </cell>
          <cell r="H50" t="str">
            <v>SR-78 WB</v>
          </cell>
          <cell r="I50">
            <v>33</v>
          </cell>
          <cell r="J50">
            <v>0</v>
          </cell>
          <cell r="K50" t="str">
            <v>SUNSET</v>
          </cell>
          <cell r="L50" t="str">
            <v>SUNSET</v>
          </cell>
          <cell r="M50">
            <v>63451</v>
          </cell>
          <cell r="N50">
            <v>10666</v>
          </cell>
          <cell r="O50">
            <v>15856</v>
          </cell>
          <cell r="P50" t="str">
            <v>PeMS2016</v>
          </cell>
        </row>
        <row r="51">
          <cell r="C51">
            <v>16</v>
          </cell>
          <cell r="D51">
            <v>3</v>
          </cell>
          <cell r="E51">
            <v>8834</v>
          </cell>
          <cell r="F51">
            <v>1</v>
          </cell>
          <cell r="G51">
            <v>1</v>
          </cell>
          <cell r="H51" t="str">
            <v>SR-78 WB</v>
          </cell>
          <cell r="I51">
            <v>35</v>
          </cell>
          <cell r="J51">
            <v>0</v>
          </cell>
          <cell r="K51" t="str">
            <v>MELROSE</v>
          </cell>
          <cell r="L51" t="str">
            <v>MELROSE</v>
          </cell>
          <cell r="M51">
            <v>52703</v>
          </cell>
          <cell r="N51">
            <v>9637</v>
          </cell>
          <cell r="O51">
            <v>12472</v>
          </cell>
          <cell r="P51" t="str">
            <v>PeMS2016</v>
          </cell>
        </row>
        <row r="52">
          <cell r="C52">
            <v>16</v>
          </cell>
          <cell r="D52">
            <v>3</v>
          </cell>
          <cell r="E52">
            <v>27248</v>
          </cell>
          <cell r="F52">
            <v>1</v>
          </cell>
          <cell r="G52">
            <v>1</v>
          </cell>
          <cell r="H52" t="str">
            <v>SR-78 WB</v>
          </cell>
          <cell r="I52">
            <v>36</v>
          </cell>
          <cell r="J52">
            <v>0</v>
          </cell>
          <cell r="K52" t="str">
            <v>MELROSE</v>
          </cell>
          <cell r="L52" t="str">
            <v>MELROSE</v>
          </cell>
          <cell r="M52">
            <v>52703</v>
          </cell>
          <cell r="N52">
            <v>9637</v>
          </cell>
          <cell r="O52">
            <v>12472</v>
          </cell>
          <cell r="P52" t="str">
            <v>PeMS2016</v>
          </cell>
        </row>
        <row r="53">
          <cell r="C53">
            <v>16</v>
          </cell>
          <cell r="D53">
            <v>3</v>
          </cell>
          <cell r="E53">
            <v>28849</v>
          </cell>
          <cell r="F53">
            <v>1</v>
          </cell>
          <cell r="G53">
            <v>1</v>
          </cell>
          <cell r="H53" t="str">
            <v>SR-78 WB</v>
          </cell>
          <cell r="I53">
            <v>37</v>
          </cell>
          <cell r="J53">
            <v>0</v>
          </cell>
          <cell r="K53" t="str">
            <v>MELROSE</v>
          </cell>
          <cell r="L53" t="str">
            <v>MELROSE</v>
          </cell>
          <cell r="M53">
            <v>62492</v>
          </cell>
          <cell r="N53">
            <v>11649</v>
          </cell>
          <cell r="O53">
            <v>14491</v>
          </cell>
          <cell r="P53" t="str">
            <v>PeMS2016</v>
          </cell>
        </row>
        <row r="54">
          <cell r="C54">
            <v>16</v>
          </cell>
          <cell r="D54">
            <v>3</v>
          </cell>
          <cell r="E54">
            <v>16564</v>
          </cell>
          <cell r="F54">
            <v>1</v>
          </cell>
          <cell r="G54">
            <v>1</v>
          </cell>
          <cell r="H54" t="str">
            <v>SR-78 WB</v>
          </cell>
          <cell r="I54">
            <v>39</v>
          </cell>
          <cell r="J54">
            <v>0</v>
          </cell>
          <cell r="K54" t="str">
            <v>EMERALD</v>
          </cell>
          <cell r="L54" t="str">
            <v>EMERALD</v>
          </cell>
          <cell r="M54">
            <v>57525</v>
          </cell>
          <cell r="N54">
            <v>11463</v>
          </cell>
          <cell r="O54">
            <v>12863</v>
          </cell>
          <cell r="P54" t="str">
            <v>PeMS2016</v>
          </cell>
        </row>
        <row r="55">
          <cell r="C55">
            <v>16</v>
          </cell>
          <cell r="D55">
            <v>3</v>
          </cell>
          <cell r="E55">
            <v>12578</v>
          </cell>
          <cell r="F55">
            <v>1</v>
          </cell>
          <cell r="G55">
            <v>1</v>
          </cell>
          <cell r="H55" t="str">
            <v>SR-78 WB</v>
          </cell>
          <cell r="I55">
            <v>41</v>
          </cell>
          <cell r="J55">
            <v>0</v>
          </cell>
          <cell r="K55" t="str">
            <v>VISTA WY</v>
          </cell>
          <cell r="L55" t="str">
            <v>VISTA WY</v>
          </cell>
          <cell r="M55">
            <v>54623</v>
          </cell>
          <cell r="N55">
            <v>10997</v>
          </cell>
          <cell r="O55">
            <v>11913</v>
          </cell>
          <cell r="P55" t="str">
            <v>PeMS2016</v>
          </cell>
        </row>
        <row r="56">
          <cell r="C56">
            <v>16</v>
          </cell>
          <cell r="D56">
            <v>3</v>
          </cell>
          <cell r="E56">
            <v>12579</v>
          </cell>
          <cell r="F56">
            <v>1</v>
          </cell>
          <cell r="G56">
            <v>1</v>
          </cell>
          <cell r="H56" t="str">
            <v>SR-78 WB</v>
          </cell>
          <cell r="I56">
            <v>42</v>
          </cell>
          <cell r="J56">
            <v>0</v>
          </cell>
          <cell r="K56" t="str">
            <v>VISTA WY</v>
          </cell>
          <cell r="L56" t="str">
            <v>COLLEGE</v>
          </cell>
          <cell r="M56">
            <v>62787</v>
          </cell>
          <cell r="N56">
            <v>12303</v>
          </cell>
          <cell r="O56">
            <v>13748</v>
          </cell>
          <cell r="P56" t="str">
            <v>PeMS2016</v>
          </cell>
        </row>
        <row r="57">
          <cell r="C57">
            <v>16</v>
          </cell>
          <cell r="D57">
            <v>3</v>
          </cell>
          <cell r="E57">
            <v>12571</v>
          </cell>
          <cell r="F57">
            <v>1</v>
          </cell>
          <cell r="G57">
            <v>1</v>
          </cell>
          <cell r="H57" t="str">
            <v>SR-78 WB</v>
          </cell>
          <cell r="I57">
            <v>45</v>
          </cell>
          <cell r="J57">
            <v>0</v>
          </cell>
          <cell r="K57" t="str">
            <v>RANCHO DEL ORO</v>
          </cell>
          <cell r="L57" t="str">
            <v>EL CAMINO REAL</v>
          </cell>
          <cell r="M57">
            <v>71153</v>
          </cell>
          <cell r="N57">
            <v>13662</v>
          </cell>
          <cell r="O57">
            <v>15506</v>
          </cell>
          <cell r="P57" t="str">
            <v>Caltran</v>
          </cell>
        </row>
        <row r="58">
          <cell r="C58">
            <v>16</v>
          </cell>
          <cell r="D58">
            <v>3</v>
          </cell>
          <cell r="E58">
            <v>28540</v>
          </cell>
          <cell r="F58">
            <v>1</v>
          </cell>
          <cell r="G58">
            <v>1</v>
          </cell>
          <cell r="H58" t="str">
            <v>SR-78 WB</v>
          </cell>
          <cell r="I58">
            <v>46</v>
          </cell>
          <cell r="J58">
            <v>0</v>
          </cell>
          <cell r="K58" t="str">
            <v>EL CAMINO REAL</v>
          </cell>
          <cell r="L58" t="str">
            <v>EL CAMINO REAL</v>
          </cell>
          <cell r="M58">
            <v>55363</v>
          </cell>
          <cell r="N58">
            <v>11802</v>
          </cell>
          <cell r="O58">
            <v>11514</v>
          </cell>
          <cell r="P58" t="str">
            <v>PeMS2016</v>
          </cell>
        </row>
        <row r="59">
          <cell r="C59">
            <v>16</v>
          </cell>
          <cell r="D59">
            <v>3</v>
          </cell>
          <cell r="E59">
            <v>27543</v>
          </cell>
          <cell r="F59">
            <v>1</v>
          </cell>
          <cell r="G59">
            <v>1</v>
          </cell>
          <cell r="H59" t="str">
            <v>SR-78 WB</v>
          </cell>
          <cell r="I59">
            <v>47</v>
          </cell>
          <cell r="J59">
            <v>0</v>
          </cell>
          <cell r="K59" t="str">
            <v>EL CAMINO REAL</v>
          </cell>
          <cell r="L59" t="str">
            <v>JEFFERSON</v>
          </cell>
          <cell r="M59">
            <v>65262</v>
          </cell>
          <cell r="N59">
            <v>13178</v>
          </cell>
          <cell r="O59">
            <v>13713</v>
          </cell>
          <cell r="P59" t="str">
            <v>Caltran</v>
          </cell>
        </row>
        <row r="60">
          <cell r="C60">
            <v>16</v>
          </cell>
          <cell r="D60">
            <v>3</v>
          </cell>
          <cell r="E60">
            <v>28534</v>
          </cell>
          <cell r="F60">
            <v>1</v>
          </cell>
          <cell r="G60">
            <v>1</v>
          </cell>
          <cell r="H60" t="str">
            <v>SR-78 WB</v>
          </cell>
          <cell r="I60">
            <v>48</v>
          </cell>
          <cell r="J60">
            <v>0</v>
          </cell>
          <cell r="K60" t="str">
            <v>JEFFERSON</v>
          </cell>
          <cell r="L60" t="str">
            <v>JEFFERSON</v>
          </cell>
          <cell r="M60">
            <v>57358</v>
          </cell>
          <cell r="N60">
            <v>11968</v>
          </cell>
          <cell r="O60">
            <v>11696</v>
          </cell>
          <cell r="P60" t="str">
            <v>PeMS2016</v>
          </cell>
        </row>
        <row r="61">
          <cell r="C61">
            <v>16</v>
          </cell>
          <cell r="D61">
            <v>3</v>
          </cell>
          <cell r="E61">
            <v>12547</v>
          </cell>
          <cell r="F61">
            <v>1</v>
          </cell>
          <cell r="G61">
            <v>1</v>
          </cell>
          <cell r="H61" t="str">
            <v>SR-78 WB</v>
          </cell>
          <cell r="I61">
            <v>49</v>
          </cell>
          <cell r="J61">
            <v>0</v>
          </cell>
          <cell r="K61" t="str">
            <v>JEFFERSON</v>
          </cell>
          <cell r="L61" t="str">
            <v>I-5 NB</v>
          </cell>
          <cell r="M61">
            <v>53689</v>
          </cell>
          <cell r="N61">
            <v>10312</v>
          </cell>
          <cell r="O61">
            <v>11402</v>
          </cell>
          <cell r="P61" t="str">
            <v>PeMS2016</v>
          </cell>
        </row>
        <row r="62">
          <cell r="C62">
            <v>7</v>
          </cell>
          <cell r="D62">
            <v>1</v>
          </cell>
          <cell r="E62">
            <v>14232</v>
          </cell>
          <cell r="F62">
            <v>1</v>
          </cell>
          <cell r="G62">
            <v>1</v>
          </cell>
          <cell r="H62" t="str">
            <v>SR-75 NB</v>
          </cell>
          <cell r="I62">
            <v>3</v>
          </cell>
          <cell r="J62">
            <v>0</v>
          </cell>
          <cell r="K62" t="str">
            <v>04TH</v>
          </cell>
          <cell r="L62" t="str">
            <v>GLORIETTA</v>
          </cell>
          <cell r="M62">
            <v>42674</v>
          </cell>
          <cell r="N62">
            <v>10052</v>
          </cell>
          <cell r="O62">
            <v>7304</v>
          </cell>
          <cell r="P62" t="str">
            <v>Caltran</v>
          </cell>
        </row>
        <row r="63">
          <cell r="C63">
            <v>6</v>
          </cell>
          <cell r="D63">
            <v>1</v>
          </cell>
          <cell r="E63">
            <v>13046</v>
          </cell>
          <cell r="F63">
            <v>1</v>
          </cell>
          <cell r="G63">
            <v>1</v>
          </cell>
          <cell r="H63" t="str">
            <v>SR-67 NB</v>
          </cell>
          <cell r="I63">
            <v>5</v>
          </cell>
          <cell r="J63">
            <v>0</v>
          </cell>
          <cell r="K63" t="str">
            <v>BRADLEY</v>
          </cell>
          <cell r="L63" t="str">
            <v>BRADLEY</v>
          </cell>
          <cell r="M63">
            <v>56222</v>
          </cell>
          <cell r="N63">
            <v>9861</v>
          </cell>
          <cell r="O63">
            <v>13046</v>
          </cell>
          <cell r="P63" t="str">
            <v>Caltran</v>
          </cell>
        </row>
        <row r="64">
          <cell r="C64">
            <v>6</v>
          </cell>
          <cell r="D64">
            <v>1</v>
          </cell>
          <cell r="E64">
            <v>13037</v>
          </cell>
          <cell r="F64">
            <v>1</v>
          </cell>
          <cell r="G64">
            <v>1</v>
          </cell>
          <cell r="H64" t="str">
            <v>SR-67 NB</v>
          </cell>
          <cell r="I64">
            <v>6</v>
          </cell>
          <cell r="J64">
            <v>0</v>
          </cell>
          <cell r="K64" t="str">
            <v>BRADLEY</v>
          </cell>
          <cell r="L64" t="str">
            <v>SR-52 WB</v>
          </cell>
          <cell r="M64">
            <v>53712</v>
          </cell>
          <cell r="N64">
            <v>9314</v>
          </cell>
          <cell r="O64">
            <v>11690</v>
          </cell>
          <cell r="P64" t="str">
            <v>Caltran</v>
          </cell>
        </row>
        <row r="65">
          <cell r="C65">
            <v>6</v>
          </cell>
          <cell r="D65">
            <v>1</v>
          </cell>
          <cell r="E65">
            <v>9036</v>
          </cell>
          <cell r="F65">
            <v>1</v>
          </cell>
          <cell r="G65">
            <v>1</v>
          </cell>
          <cell r="H65" t="str">
            <v>SR-67 NB</v>
          </cell>
          <cell r="I65">
            <v>8</v>
          </cell>
          <cell r="J65">
            <v>0</v>
          </cell>
          <cell r="K65" t="str">
            <v>SR-52 EB</v>
          </cell>
          <cell r="L65" t="str">
            <v>WOODSIDE</v>
          </cell>
          <cell r="M65">
            <v>37734</v>
          </cell>
          <cell r="N65">
            <v>5614</v>
          </cell>
          <cell r="O65">
            <v>10194</v>
          </cell>
          <cell r="P65" t="str">
            <v>Caltran</v>
          </cell>
        </row>
        <row r="66">
          <cell r="C66">
            <v>19</v>
          </cell>
          <cell r="D66">
            <v>3</v>
          </cell>
          <cell r="E66">
            <v>7664</v>
          </cell>
          <cell r="F66">
            <v>1</v>
          </cell>
          <cell r="G66">
            <v>1</v>
          </cell>
          <cell r="H66" t="str">
            <v>SR-56 WB</v>
          </cell>
          <cell r="I66">
            <v>3</v>
          </cell>
          <cell r="J66">
            <v>0</v>
          </cell>
          <cell r="K66" t="str">
            <v>I-15 SB</v>
          </cell>
          <cell r="L66" t="str">
            <v>RANCHO PENASQUITOS</v>
          </cell>
          <cell r="M66">
            <v>37337</v>
          </cell>
          <cell r="N66">
            <v>8876</v>
          </cell>
          <cell r="O66">
            <v>8295</v>
          </cell>
          <cell r="P66" t="str">
            <v>PeMS2016</v>
          </cell>
        </row>
        <row r="67">
          <cell r="C67">
            <v>19</v>
          </cell>
          <cell r="D67">
            <v>3</v>
          </cell>
          <cell r="E67">
            <v>7665</v>
          </cell>
          <cell r="F67">
            <v>1</v>
          </cell>
          <cell r="G67">
            <v>1</v>
          </cell>
          <cell r="H67" t="str">
            <v>SR-56 WB</v>
          </cell>
          <cell r="I67">
            <v>4</v>
          </cell>
          <cell r="J67">
            <v>0</v>
          </cell>
          <cell r="K67" t="str">
            <v>RANCHO PENASQUITOS</v>
          </cell>
          <cell r="L67" t="str">
            <v>RANCHO PENASQUITOS</v>
          </cell>
          <cell r="M67">
            <v>32510</v>
          </cell>
          <cell r="N67">
            <v>8184</v>
          </cell>
          <cell r="O67">
            <v>6773</v>
          </cell>
          <cell r="P67" t="str">
            <v>PeMS2016</v>
          </cell>
        </row>
        <row r="68">
          <cell r="C68">
            <v>19</v>
          </cell>
          <cell r="D68">
            <v>3</v>
          </cell>
          <cell r="E68">
            <v>11382</v>
          </cell>
          <cell r="F68">
            <v>1</v>
          </cell>
          <cell r="G68">
            <v>1</v>
          </cell>
          <cell r="H68" t="str">
            <v>SR-56 WB</v>
          </cell>
          <cell r="I68">
            <v>5</v>
          </cell>
          <cell r="J68">
            <v>0</v>
          </cell>
          <cell r="K68" t="str">
            <v>RANCHO PENASQUITOS</v>
          </cell>
          <cell r="L68" t="str">
            <v>BLACK MOUNTAIN</v>
          </cell>
          <cell r="M68">
            <v>39215</v>
          </cell>
          <cell r="N68">
            <v>9586</v>
          </cell>
          <cell r="O68">
            <v>8306</v>
          </cell>
          <cell r="P68" t="str">
            <v>Caltran</v>
          </cell>
        </row>
        <row r="69">
          <cell r="C69">
            <v>19</v>
          </cell>
          <cell r="D69">
            <v>3</v>
          </cell>
          <cell r="E69">
            <v>16354</v>
          </cell>
          <cell r="F69">
            <v>1</v>
          </cell>
          <cell r="G69">
            <v>1</v>
          </cell>
          <cell r="H69" t="str">
            <v>SR-56 WB</v>
          </cell>
          <cell r="I69">
            <v>6</v>
          </cell>
          <cell r="J69">
            <v>0</v>
          </cell>
          <cell r="K69" t="str">
            <v>BLACK MOUNTAIN</v>
          </cell>
          <cell r="L69" t="str">
            <v>BLACK MOUNTAIN</v>
          </cell>
          <cell r="M69">
            <v>30319</v>
          </cell>
          <cell r="N69">
            <v>8437</v>
          </cell>
          <cell r="O69">
            <v>5505</v>
          </cell>
          <cell r="P69" t="str">
            <v>PeMS2016</v>
          </cell>
        </row>
        <row r="70">
          <cell r="C70">
            <v>19</v>
          </cell>
          <cell r="D70">
            <v>3</v>
          </cell>
          <cell r="E70">
            <v>16352</v>
          </cell>
          <cell r="F70">
            <v>1</v>
          </cell>
          <cell r="G70">
            <v>1</v>
          </cell>
          <cell r="H70" t="str">
            <v>SR-56 WB</v>
          </cell>
          <cell r="I70">
            <v>7</v>
          </cell>
          <cell r="J70">
            <v>0</v>
          </cell>
          <cell r="K70" t="str">
            <v>BLACK MOUNTAIN</v>
          </cell>
          <cell r="L70" t="str">
            <v>CAMINO RUIZ</v>
          </cell>
          <cell r="M70">
            <v>39527</v>
          </cell>
          <cell r="N70">
            <v>10942</v>
          </cell>
          <cell r="O70">
            <v>7385</v>
          </cell>
          <cell r="P70" t="str">
            <v>Caltran</v>
          </cell>
        </row>
        <row r="71">
          <cell r="C71">
            <v>19</v>
          </cell>
          <cell r="D71">
            <v>3</v>
          </cell>
          <cell r="E71">
            <v>29171</v>
          </cell>
          <cell r="F71">
            <v>1</v>
          </cell>
          <cell r="G71">
            <v>1</v>
          </cell>
          <cell r="H71" t="str">
            <v>SR-56 WB</v>
          </cell>
          <cell r="I71">
            <v>8</v>
          </cell>
          <cell r="J71">
            <v>0</v>
          </cell>
          <cell r="K71" t="str">
            <v>CAMINO RUIZ</v>
          </cell>
          <cell r="L71" t="str">
            <v>CAMINO RUIZ</v>
          </cell>
          <cell r="M71">
            <v>30212</v>
          </cell>
          <cell r="N71">
            <v>9056</v>
          </cell>
          <cell r="O71">
            <v>4831</v>
          </cell>
          <cell r="P71" t="str">
            <v>PeMS2016</v>
          </cell>
        </row>
        <row r="72">
          <cell r="C72">
            <v>19</v>
          </cell>
          <cell r="D72">
            <v>3</v>
          </cell>
          <cell r="E72">
            <v>29172</v>
          </cell>
          <cell r="F72">
            <v>1</v>
          </cell>
          <cell r="G72">
            <v>1</v>
          </cell>
          <cell r="H72" t="str">
            <v>SR-56 WB</v>
          </cell>
          <cell r="I72">
            <v>9</v>
          </cell>
          <cell r="J72">
            <v>0</v>
          </cell>
          <cell r="K72" t="str">
            <v>CAMINO RUIZ</v>
          </cell>
          <cell r="L72" t="str">
            <v>CAMINO RUIZ</v>
          </cell>
          <cell r="M72">
            <v>30345</v>
          </cell>
          <cell r="N72">
            <v>9058</v>
          </cell>
          <cell r="O72">
            <v>4856</v>
          </cell>
          <cell r="P72" t="str">
            <v>PeMS2016</v>
          </cell>
        </row>
        <row r="73">
          <cell r="C73">
            <v>19</v>
          </cell>
          <cell r="D73">
            <v>3</v>
          </cell>
          <cell r="E73">
            <v>16351</v>
          </cell>
          <cell r="F73">
            <v>1</v>
          </cell>
          <cell r="G73">
            <v>1</v>
          </cell>
          <cell r="H73" t="str">
            <v>SR-56 WB</v>
          </cell>
          <cell r="I73">
            <v>11</v>
          </cell>
          <cell r="J73">
            <v>0</v>
          </cell>
          <cell r="K73" t="str">
            <v>CAMINO RUIZ</v>
          </cell>
          <cell r="L73" t="str">
            <v>CAMINO SANTA FE</v>
          </cell>
          <cell r="M73">
            <v>36142</v>
          </cell>
          <cell r="N73">
            <v>10406</v>
          </cell>
          <cell r="O73">
            <v>5806</v>
          </cell>
          <cell r="P73" t="str">
            <v>PeMS2016</v>
          </cell>
        </row>
        <row r="74">
          <cell r="C74">
            <v>19</v>
          </cell>
          <cell r="D74">
            <v>3</v>
          </cell>
          <cell r="E74">
            <v>16358</v>
          </cell>
          <cell r="F74">
            <v>1</v>
          </cell>
          <cell r="G74">
            <v>1</v>
          </cell>
          <cell r="H74" t="str">
            <v>SR-56 WB</v>
          </cell>
          <cell r="I74">
            <v>12</v>
          </cell>
          <cell r="J74">
            <v>0</v>
          </cell>
          <cell r="K74" t="str">
            <v>CAMINO RUIZ</v>
          </cell>
          <cell r="L74" t="str">
            <v>CAMINO SANTA FE</v>
          </cell>
          <cell r="M74">
            <v>32989</v>
          </cell>
          <cell r="N74">
            <v>9685</v>
          </cell>
          <cell r="O74">
            <v>5188</v>
          </cell>
          <cell r="P74" t="str">
            <v>Caltran</v>
          </cell>
        </row>
        <row r="75">
          <cell r="C75">
            <v>19</v>
          </cell>
          <cell r="D75">
            <v>3</v>
          </cell>
          <cell r="E75">
            <v>16359</v>
          </cell>
          <cell r="F75">
            <v>1</v>
          </cell>
          <cell r="G75">
            <v>1</v>
          </cell>
          <cell r="H75" t="str">
            <v>SR-56 WB</v>
          </cell>
          <cell r="I75">
            <v>13</v>
          </cell>
          <cell r="J75">
            <v>0</v>
          </cell>
          <cell r="K75" t="str">
            <v>CAMINO SANTA FE</v>
          </cell>
          <cell r="L75" t="str">
            <v>CAMINO SANTA FE</v>
          </cell>
          <cell r="M75">
            <v>35767</v>
          </cell>
          <cell r="N75">
            <v>8574</v>
          </cell>
          <cell r="O75">
            <v>5917</v>
          </cell>
          <cell r="P75" t="str">
            <v>PeMS2016</v>
          </cell>
        </row>
        <row r="76">
          <cell r="C76">
            <v>19</v>
          </cell>
          <cell r="D76">
            <v>3</v>
          </cell>
          <cell r="E76">
            <v>16357</v>
          </cell>
          <cell r="F76">
            <v>1</v>
          </cell>
          <cell r="G76">
            <v>1</v>
          </cell>
          <cell r="H76" t="str">
            <v>SR-56 WB</v>
          </cell>
          <cell r="I76">
            <v>14</v>
          </cell>
          <cell r="J76">
            <v>0</v>
          </cell>
          <cell r="K76" t="str">
            <v>CAMINO SANTA FE</v>
          </cell>
          <cell r="L76" t="str">
            <v>CARMEL COUNTRY</v>
          </cell>
          <cell r="M76">
            <v>37504</v>
          </cell>
          <cell r="N76">
            <v>10930</v>
          </cell>
          <cell r="O76">
            <v>5886</v>
          </cell>
          <cell r="P76" t="str">
            <v>Caltran</v>
          </cell>
        </row>
        <row r="77">
          <cell r="C77">
            <v>19</v>
          </cell>
          <cell r="D77">
            <v>3</v>
          </cell>
          <cell r="E77">
            <v>29167</v>
          </cell>
          <cell r="F77">
            <v>1</v>
          </cell>
          <cell r="G77">
            <v>1</v>
          </cell>
          <cell r="H77" t="str">
            <v>SR-56 WB</v>
          </cell>
          <cell r="I77">
            <v>15</v>
          </cell>
          <cell r="J77">
            <v>0</v>
          </cell>
          <cell r="K77" t="str">
            <v>CARMEL COUNTRY</v>
          </cell>
          <cell r="L77" t="str">
            <v>CARMEL COUNTRY</v>
          </cell>
          <cell r="M77">
            <v>36023</v>
          </cell>
          <cell r="N77">
            <v>11038</v>
          </cell>
          <cell r="O77">
            <v>5024</v>
          </cell>
          <cell r="P77" t="str">
            <v>PeMS2016</v>
          </cell>
        </row>
        <row r="78">
          <cell r="C78">
            <v>19</v>
          </cell>
          <cell r="D78">
            <v>3</v>
          </cell>
          <cell r="E78">
            <v>8647</v>
          </cell>
          <cell r="F78">
            <v>1</v>
          </cell>
          <cell r="G78">
            <v>1</v>
          </cell>
          <cell r="H78" t="str">
            <v>SR-56 WB</v>
          </cell>
          <cell r="I78">
            <v>16</v>
          </cell>
          <cell r="J78">
            <v>0</v>
          </cell>
          <cell r="K78" t="str">
            <v>CARMEL COUNTRY</v>
          </cell>
          <cell r="L78" t="str">
            <v>CARMEL CREEK</v>
          </cell>
          <cell r="M78">
            <v>43256</v>
          </cell>
          <cell r="N78">
            <v>12651</v>
          </cell>
          <cell r="O78">
            <v>6492</v>
          </cell>
          <cell r="P78" t="str">
            <v>Caltran</v>
          </cell>
        </row>
        <row r="79">
          <cell r="C79">
            <v>19</v>
          </cell>
          <cell r="D79">
            <v>3</v>
          </cell>
          <cell r="E79">
            <v>457</v>
          </cell>
          <cell r="F79">
            <v>1</v>
          </cell>
          <cell r="G79">
            <v>1</v>
          </cell>
          <cell r="H79" t="str">
            <v>SR-56 WB</v>
          </cell>
          <cell r="I79">
            <v>17</v>
          </cell>
          <cell r="J79">
            <v>0</v>
          </cell>
          <cell r="K79" t="str">
            <v>CARMEL CREEK</v>
          </cell>
          <cell r="L79" t="str">
            <v>CARMEL CREEK</v>
          </cell>
          <cell r="M79">
            <v>40336</v>
          </cell>
          <cell r="N79">
            <v>12181</v>
          </cell>
          <cell r="O79">
            <v>5669</v>
          </cell>
          <cell r="P79" t="str">
            <v>PeMS2016</v>
          </cell>
        </row>
        <row r="80">
          <cell r="C80">
            <v>19</v>
          </cell>
          <cell r="D80">
            <v>3</v>
          </cell>
          <cell r="E80">
            <v>7666</v>
          </cell>
          <cell r="F80">
            <v>1</v>
          </cell>
          <cell r="G80">
            <v>1</v>
          </cell>
          <cell r="H80" t="str">
            <v>SR-56 WB</v>
          </cell>
          <cell r="I80">
            <v>19</v>
          </cell>
          <cell r="J80">
            <v>0</v>
          </cell>
          <cell r="K80" t="str">
            <v>CARMEL CREEK</v>
          </cell>
          <cell r="L80" t="str">
            <v>EL CAMINO REAL</v>
          </cell>
          <cell r="M80">
            <v>46982</v>
          </cell>
          <cell r="N80">
            <v>13609</v>
          </cell>
          <cell r="O80">
            <v>7326</v>
          </cell>
          <cell r="P80" t="str">
            <v>Caltran</v>
          </cell>
        </row>
        <row r="81">
          <cell r="C81">
            <v>18</v>
          </cell>
          <cell r="D81">
            <v>3</v>
          </cell>
          <cell r="E81">
            <v>14176</v>
          </cell>
          <cell r="F81">
            <v>1</v>
          </cell>
          <cell r="G81">
            <v>1</v>
          </cell>
          <cell r="H81" t="str">
            <v>SR-54 WB</v>
          </cell>
          <cell r="I81">
            <v>4</v>
          </cell>
          <cell r="J81">
            <v>0</v>
          </cell>
          <cell r="K81" t="str">
            <v>SR-125 NB</v>
          </cell>
          <cell r="L81" t="str">
            <v>BRIARWOOD</v>
          </cell>
          <cell r="M81">
            <v>57418</v>
          </cell>
          <cell r="N81">
            <v>11971</v>
          </cell>
          <cell r="O81">
            <v>13806</v>
          </cell>
          <cell r="P81" t="str">
            <v>Caltran</v>
          </cell>
        </row>
        <row r="82">
          <cell r="C82">
            <v>18</v>
          </cell>
          <cell r="D82">
            <v>3</v>
          </cell>
          <cell r="E82">
            <v>14155</v>
          </cell>
          <cell r="F82">
            <v>1</v>
          </cell>
          <cell r="G82">
            <v>1</v>
          </cell>
          <cell r="H82" t="str">
            <v>SR-54 WB</v>
          </cell>
          <cell r="I82">
            <v>5</v>
          </cell>
          <cell r="J82">
            <v>0</v>
          </cell>
          <cell r="K82" t="str">
            <v>BRIARWOOD</v>
          </cell>
          <cell r="L82" t="str">
            <v>BRIARWOOD</v>
          </cell>
          <cell r="M82">
            <v>53861</v>
          </cell>
          <cell r="N82">
            <v>12017</v>
          </cell>
          <cell r="O82">
            <v>12547</v>
          </cell>
          <cell r="P82" t="str">
            <v>PeMS2016</v>
          </cell>
        </row>
        <row r="83">
          <cell r="C83">
            <v>18</v>
          </cell>
          <cell r="D83">
            <v>3</v>
          </cell>
          <cell r="E83">
            <v>14144</v>
          </cell>
          <cell r="F83">
            <v>1</v>
          </cell>
          <cell r="G83">
            <v>1</v>
          </cell>
          <cell r="H83" t="str">
            <v>SR-54 WB</v>
          </cell>
          <cell r="I83">
            <v>7</v>
          </cell>
          <cell r="J83">
            <v>0</v>
          </cell>
          <cell r="K83" t="str">
            <v>WOODMAN</v>
          </cell>
          <cell r="L83" t="str">
            <v>WOODMAN</v>
          </cell>
          <cell r="M83">
            <v>60968</v>
          </cell>
          <cell r="N83">
            <v>13799</v>
          </cell>
          <cell r="O83">
            <v>13595</v>
          </cell>
          <cell r="P83" t="str">
            <v>PeMS2016</v>
          </cell>
        </row>
        <row r="84">
          <cell r="C84">
            <v>18</v>
          </cell>
          <cell r="D84">
            <v>3</v>
          </cell>
          <cell r="E84">
            <v>14142</v>
          </cell>
          <cell r="F84">
            <v>1</v>
          </cell>
          <cell r="G84">
            <v>1</v>
          </cell>
          <cell r="H84" t="str">
            <v>SR-54 WB</v>
          </cell>
          <cell r="I84">
            <v>8</v>
          </cell>
          <cell r="J84">
            <v>0</v>
          </cell>
          <cell r="K84" t="str">
            <v>WOODMAN</v>
          </cell>
          <cell r="L84" t="str">
            <v>VALLEY</v>
          </cell>
          <cell r="M84">
            <v>68659</v>
          </cell>
          <cell r="N84">
            <v>14959</v>
          </cell>
          <cell r="O84">
            <v>15144</v>
          </cell>
          <cell r="P84" t="str">
            <v>Caltran</v>
          </cell>
        </row>
        <row r="85">
          <cell r="C85">
            <v>18</v>
          </cell>
          <cell r="D85">
            <v>3</v>
          </cell>
          <cell r="E85">
            <v>28675</v>
          </cell>
          <cell r="F85">
            <v>1</v>
          </cell>
          <cell r="G85">
            <v>1</v>
          </cell>
          <cell r="H85" t="str">
            <v>SR-54 WB</v>
          </cell>
          <cell r="I85">
            <v>9</v>
          </cell>
          <cell r="J85">
            <v>0</v>
          </cell>
          <cell r="K85" t="str">
            <v>VALLEY</v>
          </cell>
          <cell r="L85" t="str">
            <v>VALLEY</v>
          </cell>
          <cell r="M85">
            <v>64676</v>
          </cell>
          <cell r="N85">
            <v>15022</v>
          </cell>
          <cell r="O85">
            <v>13756</v>
          </cell>
          <cell r="P85" t="str">
            <v>PeMS2016</v>
          </cell>
        </row>
        <row r="86">
          <cell r="C86">
            <v>18</v>
          </cell>
          <cell r="D86">
            <v>3</v>
          </cell>
          <cell r="E86">
            <v>28677</v>
          </cell>
          <cell r="F86">
            <v>1</v>
          </cell>
          <cell r="G86">
            <v>1</v>
          </cell>
          <cell r="H86" t="str">
            <v>SR-54 WB</v>
          </cell>
          <cell r="I86">
            <v>11</v>
          </cell>
          <cell r="J86">
            <v>0</v>
          </cell>
          <cell r="K86" t="str">
            <v>VALLEY</v>
          </cell>
          <cell r="L86" t="str">
            <v>I-805 NB</v>
          </cell>
          <cell r="M86">
            <v>73385</v>
          </cell>
          <cell r="N86">
            <v>16443</v>
          </cell>
          <cell r="O86">
            <v>15465</v>
          </cell>
          <cell r="P86" t="str">
            <v>Caltran</v>
          </cell>
        </row>
        <row r="87">
          <cell r="C87">
            <v>18</v>
          </cell>
          <cell r="D87">
            <v>3</v>
          </cell>
          <cell r="E87">
            <v>27956</v>
          </cell>
          <cell r="F87">
            <v>1</v>
          </cell>
          <cell r="G87">
            <v>1</v>
          </cell>
          <cell r="H87" t="str">
            <v>SR-54 WB</v>
          </cell>
          <cell r="I87">
            <v>17</v>
          </cell>
          <cell r="J87">
            <v>0</v>
          </cell>
          <cell r="K87" t="str">
            <v>NATIONAL CITY</v>
          </cell>
          <cell r="L87" t="str">
            <v>I-5 NB</v>
          </cell>
          <cell r="M87">
            <v>54044</v>
          </cell>
          <cell r="N87">
            <v>11281</v>
          </cell>
          <cell r="O87">
            <v>10619</v>
          </cell>
          <cell r="P87" t="str">
            <v>Caltran</v>
          </cell>
        </row>
        <row r="88">
          <cell r="C88">
            <v>17</v>
          </cell>
          <cell r="D88">
            <v>3</v>
          </cell>
          <cell r="E88">
            <v>27223</v>
          </cell>
          <cell r="F88">
            <v>1</v>
          </cell>
          <cell r="G88">
            <v>1</v>
          </cell>
          <cell r="H88" t="str">
            <v>SR-52 WB</v>
          </cell>
          <cell r="I88">
            <v>2</v>
          </cell>
          <cell r="J88">
            <v>0</v>
          </cell>
          <cell r="K88" t="str">
            <v>MAGNOLIA</v>
          </cell>
          <cell r="L88" t="str">
            <v>CUYAMACA</v>
          </cell>
          <cell r="M88">
            <v>40655</v>
          </cell>
          <cell r="N88">
            <v>8288</v>
          </cell>
          <cell r="O88">
            <v>8170</v>
          </cell>
          <cell r="P88" t="str">
            <v>Caltran</v>
          </cell>
        </row>
        <row r="89">
          <cell r="C89">
            <v>17</v>
          </cell>
          <cell r="D89">
            <v>3</v>
          </cell>
          <cell r="E89">
            <v>27241</v>
          </cell>
          <cell r="F89">
            <v>1</v>
          </cell>
          <cell r="G89">
            <v>1</v>
          </cell>
          <cell r="H89" t="str">
            <v>SR-52 WB</v>
          </cell>
          <cell r="I89">
            <v>5</v>
          </cell>
          <cell r="J89">
            <v>0</v>
          </cell>
          <cell r="K89" t="str">
            <v>CUYAMACA</v>
          </cell>
          <cell r="L89" t="str">
            <v>FANITA</v>
          </cell>
          <cell r="M89">
            <v>41819</v>
          </cell>
          <cell r="N89">
            <v>8132</v>
          </cell>
          <cell r="O89">
            <v>8710</v>
          </cell>
          <cell r="P89" t="str">
            <v>Caltran</v>
          </cell>
        </row>
        <row r="90">
          <cell r="C90">
            <v>17</v>
          </cell>
          <cell r="D90">
            <v>3</v>
          </cell>
          <cell r="E90">
            <v>15277</v>
          </cell>
          <cell r="F90">
            <v>1</v>
          </cell>
          <cell r="G90">
            <v>1</v>
          </cell>
          <cell r="H90" t="str">
            <v>SR-52 WB</v>
          </cell>
          <cell r="I90">
            <v>10</v>
          </cell>
          <cell r="J90">
            <v>0</v>
          </cell>
          <cell r="K90" t="str">
            <v>NEW MISSION GORGE</v>
          </cell>
          <cell r="L90" t="str">
            <v>MISSION GORGE</v>
          </cell>
          <cell r="M90">
            <v>44548</v>
          </cell>
          <cell r="N90">
            <v>10661</v>
          </cell>
          <cell r="O90">
            <v>7448</v>
          </cell>
          <cell r="P90" t="str">
            <v>Caltran</v>
          </cell>
        </row>
        <row r="91">
          <cell r="C91">
            <v>17</v>
          </cell>
          <cell r="D91">
            <v>3</v>
          </cell>
          <cell r="E91">
            <v>11123</v>
          </cell>
          <cell r="F91">
            <v>1</v>
          </cell>
          <cell r="G91">
            <v>1</v>
          </cell>
          <cell r="H91" t="str">
            <v>SR-52 WB</v>
          </cell>
          <cell r="I91">
            <v>11</v>
          </cell>
          <cell r="J91">
            <v>0</v>
          </cell>
          <cell r="K91" t="str">
            <v>MISSION GORGE</v>
          </cell>
          <cell r="L91" t="str">
            <v>MAST</v>
          </cell>
          <cell r="M91">
            <v>44181</v>
          </cell>
          <cell r="N91">
            <v>10763</v>
          </cell>
          <cell r="O91">
            <v>7477</v>
          </cell>
          <cell r="P91" t="str">
            <v>Caltran</v>
          </cell>
        </row>
        <row r="92">
          <cell r="C92">
            <v>17</v>
          </cell>
          <cell r="D92">
            <v>3</v>
          </cell>
          <cell r="E92">
            <v>7501</v>
          </cell>
          <cell r="F92">
            <v>1</v>
          </cell>
          <cell r="G92">
            <v>1</v>
          </cell>
          <cell r="H92" t="str">
            <v>SR-52 WB</v>
          </cell>
          <cell r="I92">
            <v>12</v>
          </cell>
          <cell r="J92">
            <v>0</v>
          </cell>
          <cell r="K92" t="str">
            <v>MAST</v>
          </cell>
          <cell r="L92" t="str">
            <v>MAST</v>
          </cell>
          <cell r="M92">
            <v>41779</v>
          </cell>
          <cell r="N92">
            <v>10735</v>
          </cell>
          <cell r="O92">
            <v>6513</v>
          </cell>
          <cell r="P92" t="str">
            <v>PeMS2016</v>
          </cell>
        </row>
        <row r="93">
          <cell r="C93">
            <v>17</v>
          </cell>
          <cell r="D93">
            <v>3</v>
          </cell>
          <cell r="E93">
            <v>15238</v>
          </cell>
          <cell r="F93">
            <v>1</v>
          </cell>
          <cell r="G93">
            <v>1</v>
          </cell>
          <cell r="H93" t="str">
            <v>SR-52 WB</v>
          </cell>
          <cell r="I93">
            <v>13</v>
          </cell>
          <cell r="J93">
            <v>0</v>
          </cell>
          <cell r="K93" t="str">
            <v>MAST</v>
          </cell>
          <cell r="L93" t="str">
            <v>SANTO</v>
          </cell>
          <cell r="M93">
            <v>52580</v>
          </cell>
          <cell r="N93">
            <v>15914</v>
          </cell>
          <cell r="O93">
            <v>7702</v>
          </cell>
          <cell r="P93" t="str">
            <v>Caltran</v>
          </cell>
        </row>
        <row r="94">
          <cell r="C94">
            <v>17</v>
          </cell>
          <cell r="D94">
            <v>3</v>
          </cell>
          <cell r="E94">
            <v>8103</v>
          </cell>
          <cell r="F94">
            <v>1</v>
          </cell>
          <cell r="G94">
            <v>1</v>
          </cell>
          <cell r="H94" t="str">
            <v>SR-52 WB</v>
          </cell>
          <cell r="I94">
            <v>17</v>
          </cell>
          <cell r="J94">
            <v>1</v>
          </cell>
          <cell r="K94" t="str">
            <v>MAST</v>
          </cell>
          <cell r="L94" t="str">
            <v>SANTO</v>
          </cell>
          <cell r="M94">
            <v>52138</v>
          </cell>
          <cell r="N94">
            <v>15817</v>
          </cell>
          <cell r="O94">
            <v>7547</v>
          </cell>
          <cell r="P94" t="str">
            <v>Caltran</v>
          </cell>
        </row>
        <row r="95">
          <cell r="C95">
            <v>17</v>
          </cell>
          <cell r="D95">
            <v>3</v>
          </cell>
          <cell r="E95">
            <v>25938</v>
          </cell>
          <cell r="F95">
            <v>1</v>
          </cell>
          <cell r="G95">
            <v>1</v>
          </cell>
          <cell r="H95" t="str">
            <v>SR-52 WB</v>
          </cell>
          <cell r="I95">
            <v>20</v>
          </cell>
          <cell r="J95">
            <v>0</v>
          </cell>
          <cell r="K95" t="str">
            <v>SANTO</v>
          </cell>
          <cell r="L95" t="str">
            <v>I-15 NB</v>
          </cell>
          <cell r="M95">
            <v>55889</v>
          </cell>
          <cell r="N95">
            <v>17092</v>
          </cell>
          <cell r="O95">
            <v>7928</v>
          </cell>
          <cell r="P95" t="str">
            <v>Caltran</v>
          </cell>
        </row>
        <row r="96">
          <cell r="C96">
            <v>17</v>
          </cell>
          <cell r="D96">
            <v>3</v>
          </cell>
          <cell r="E96">
            <v>9029</v>
          </cell>
          <cell r="F96">
            <v>1</v>
          </cell>
          <cell r="G96">
            <v>1</v>
          </cell>
          <cell r="H96" t="str">
            <v>SR-52 WB</v>
          </cell>
          <cell r="I96">
            <v>21</v>
          </cell>
          <cell r="J96">
            <v>0</v>
          </cell>
          <cell r="K96" t="str">
            <v>SANTO</v>
          </cell>
          <cell r="L96" t="str">
            <v>I-15 NB</v>
          </cell>
          <cell r="M96">
            <v>55839</v>
          </cell>
          <cell r="N96">
            <v>17051</v>
          </cell>
          <cell r="O96">
            <v>8018</v>
          </cell>
          <cell r="P96" t="str">
            <v>PeMS2016</v>
          </cell>
        </row>
        <row r="97">
          <cell r="C97">
            <v>17</v>
          </cell>
          <cell r="D97">
            <v>3</v>
          </cell>
          <cell r="E97">
            <v>23867</v>
          </cell>
          <cell r="F97">
            <v>1</v>
          </cell>
          <cell r="G97">
            <v>1</v>
          </cell>
          <cell r="H97" t="str">
            <v>SR-52 WB</v>
          </cell>
          <cell r="I97">
            <v>23</v>
          </cell>
          <cell r="J97">
            <v>0</v>
          </cell>
          <cell r="K97" t="str">
            <v>I-15 NB</v>
          </cell>
          <cell r="L97" t="str">
            <v>SR-163 SB</v>
          </cell>
          <cell r="M97">
            <v>44323</v>
          </cell>
          <cell r="N97">
            <v>14513</v>
          </cell>
          <cell r="O97">
            <v>6082</v>
          </cell>
          <cell r="P97" t="str">
            <v>PeMS2016</v>
          </cell>
        </row>
        <row r="98">
          <cell r="C98">
            <v>17</v>
          </cell>
          <cell r="D98">
            <v>3</v>
          </cell>
          <cell r="E98">
            <v>24091</v>
          </cell>
          <cell r="F98">
            <v>1</v>
          </cell>
          <cell r="G98">
            <v>1</v>
          </cell>
          <cell r="H98" t="str">
            <v>SR-52 WB</v>
          </cell>
          <cell r="I98">
            <v>28</v>
          </cell>
          <cell r="J98">
            <v>0</v>
          </cell>
          <cell r="K98" t="str">
            <v>CONVOY</v>
          </cell>
          <cell r="L98" t="str">
            <v>CONVOY</v>
          </cell>
          <cell r="M98">
            <v>56148</v>
          </cell>
          <cell r="N98">
            <v>14126</v>
          </cell>
          <cell r="O98">
            <v>11348</v>
          </cell>
          <cell r="P98" t="str">
            <v>Caltran</v>
          </cell>
        </row>
        <row r="99">
          <cell r="C99">
            <v>17</v>
          </cell>
          <cell r="D99">
            <v>3</v>
          </cell>
          <cell r="E99">
            <v>11106</v>
          </cell>
          <cell r="F99">
            <v>1</v>
          </cell>
          <cell r="G99">
            <v>1</v>
          </cell>
          <cell r="H99" t="str">
            <v>SR-52 WB</v>
          </cell>
          <cell r="I99">
            <v>29</v>
          </cell>
          <cell r="J99">
            <v>0</v>
          </cell>
          <cell r="K99" t="str">
            <v>CONVOY</v>
          </cell>
          <cell r="L99" t="str">
            <v>CONVOY</v>
          </cell>
          <cell r="M99">
            <v>59604</v>
          </cell>
          <cell r="N99">
            <v>15594</v>
          </cell>
          <cell r="O99">
            <v>11783</v>
          </cell>
          <cell r="P99" t="str">
            <v>Caltran</v>
          </cell>
        </row>
        <row r="100">
          <cell r="C100">
            <v>17</v>
          </cell>
          <cell r="D100">
            <v>3</v>
          </cell>
          <cell r="E100">
            <v>11102</v>
          </cell>
          <cell r="F100">
            <v>1</v>
          </cell>
          <cell r="G100">
            <v>1</v>
          </cell>
          <cell r="H100" t="str">
            <v>SR-52 WB</v>
          </cell>
          <cell r="I100">
            <v>30</v>
          </cell>
          <cell r="J100">
            <v>0</v>
          </cell>
          <cell r="K100" t="str">
            <v>CONVOY</v>
          </cell>
          <cell r="L100" t="str">
            <v>I-805 NB</v>
          </cell>
          <cell r="M100">
            <v>66386</v>
          </cell>
          <cell r="N100">
            <v>15778</v>
          </cell>
          <cell r="O100">
            <v>14191</v>
          </cell>
          <cell r="P100" t="str">
            <v>PeMS2016</v>
          </cell>
        </row>
        <row r="101">
          <cell r="C101">
            <v>17</v>
          </cell>
          <cell r="D101">
            <v>3</v>
          </cell>
          <cell r="E101">
            <v>11100</v>
          </cell>
          <cell r="F101">
            <v>1</v>
          </cell>
          <cell r="G101">
            <v>1</v>
          </cell>
          <cell r="H101" t="str">
            <v>SR-52 WB</v>
          </cell>
          <cell r="I101">
            <v>31</v>
          </cell>
          <cell r="J101">
            <v>0</v>
          </cell>
          <cell r="K101" t="str">
            <v>I-805 NB</v>
          </cell>
          <cell r="L101" t="str">
            <v>I-805 NB</v>
          </cell>
          <cell r="M101">
            <v>26878</v>
          </cell>
          <cell r="N101">
            <v>6405</v>
          </cell>
          <cell r="O101">
            <v>6954</v>
          </cell>
          <cell r="P101" t="str">
            <v>PeMS2016</v>
          </cell>
        </row>
        <row r="102">
          <cell r="C102">
            <v>17</v>
          </cell>
          <cell r="D102">
            <v>3</v>
          </cell>
          <cell r="E102">
            <v>15157</v>
          </cell>
          <cell r="F102">
            <v>1</v>
          </cell>
          <cell r="G102">
            <v>1</v>
          </cell>
          <cell r="H102" t="str">
            <v>SR-52 WB</v>
          </cell>
          <cell r="I102">
            <v>33</v>
          </cell>
          <cell r="J102">
            <v>0</v>
          </cell>
          <cell r="K102" t="str">
            <v>I-805 SB</v>
          </cell>
          <cell r="L102" t="str">
            <v>GENESEE</v>
          </cell>
          <cell r="M102">
            <v>44593</v>
          </cell>
          <cell r="N102">
            <v>8856</v>
          </cell>
          <cell r="O102">
            <v>10718</v>
          </cell>
          <cell r="P102" t="str">
            <v>PeMS2016</v>
          </cell>
        </row>
        <row r="103">
          <cell r="C103">
            <v>17</v>
          </cell>
          <cell r="D103">
            <v>3</v>
          </cell>
          <cell r="E103">
            <v>28868</v>
          </cell>
          <cell r="F103">
            <v>1</v>
          </cell>
          <cell r="G103">
            <v>1</v>
          </cell>
          <cell r="H103" t="str">
            <v>SR-52 WB</v>
          </cell>
          <cell r="I103">
            <v>34</v>
          </cell>
          <cell r="J103">
            <v>0</v>
          </cell>
          <cell r="K103" t="str">
            <v>GENESEE</v>
          </cell>
          <cell r="L103" t="str">
            <v>GENESEE</v>
          </cell>
          <cell r="M103">
            <v>37175</v>
          </cell>
          <cell r="N103">
            <v>6949</v>
          </cell>
          <cell r="O103">
            <v>9018</v>
          </cell>
          <cell r="P103" t="str">
            <v>PeMS2016</v>
          </cell>
        </row>
        <row r="104">
          <cell r="C104">
            <v>17</v>
          </cell>
          <cell r="D104">
            <v>3</v>
          </cell>
          <cell r="E104">
            <v>28280</v>
          </cell>
          <cell r="F104">
            <v>1</v>
          </cell>
          <cell r="G104">
            <v>1</v>
          </cell>
          <cell r="H104" t="str">
            <v>SR-52 WB</v>
          </cell>
          <cell r="I104">
            <v>35</v>
          </cell>
          <cell r="J104">
            <v>0</v>
          </cell>
          <cell r="K104" t="str">
            <v>GENESEE</v>
          </cell>
          <cell r="L104" t="str">
            <v>REGENTS</v>
          </cell>
          <cell r="M104">
            <v>43400</v>
          </cell>
          <cell r="N104">
            <v>8627</v>
          </cell>
          <cell r="O104">
            <v>10361</v>
          </cell>
          <cell r="P104" t="str">
            <v>PeMS2016</v>
          </cell>
        </row>
        <row r="105">
          <cell r="C105">
            <v>17</v>
          </cell>
          <cell r="D105">
            <v>3</v>
          </cell>
          <cell r="E105">
            <v>28279</v>
          </cell>
          <cell r="F105">
            <v>1</v>
          </cell>
          <cell r="G105">
            <v>1</v>
          </cell>
          <cell r="H105" t="str">
            <v>SR-52 WB</v>
          </cell>
          <cell r="I105">
            <v>36</v>
          </cell>
          <cell r="J105">
            <v>0</v>
          </cell>
          <cell r="K105" t="str">
            <v>REGENTS</v>
          </cell>
          <cell r="L105" t="str">
            <v>REGENTS</v>
          </cell>
          <cell r="M105">
            <v>36501</v>
          </cell>
          <cell r="N105">
            <v>7608</v>
          </cell>
          <cell r="O105">
            <v>7981</v>
          </cell>
          <cell r="P105" t="str">
            <v>PeMS2016</v>
          </cell>
        </row>
        <row r="106">
          <cell r="C106">
            <v>4</v>
          </cell>
          <cell r="D106">
            <v>1</v>
          </cell>
          <cell r="E106">
            <v>13438</v>
          </cell>
          <cell r="F106">
            <v>1</v>
          </cell>
          <cell r="G106">
            <v>1</v>
          </cell>
          <cell r="H106" t="str">
            <v>SR-163 NB</v>
          </cell>
          <cell r="I106">
            <v>5</v>
          </cell>
          <cell r="J106">
            <v>0</v>
          </cell>
          <cell r="K106" t="str">
            <v>ROBINSON</v>
          </cell>
          <cell r="L106" t="str">
            <v>10TH</v>
          </cell>
          <cell r="M106">
            <v>55871</v>
          </cell>
          <cell r="N106">
            <v>11398</v>
          </cell>
          <cell r="O106">
            <v>11594</v>
          </cell>
          <cell r="P106" t="str">
            <v>PeMS2016</v>
          </cell>
        </row>
        <row r="107">
          <cell r="C107">
            <v>4</v>
          </cell>
          <cell r="D107">
            <v>1</v>
          </cell>
          <cell r="E107">
            <v>16046</v>
          </cell>
          <cell r="F107">
            <v>1</v>
          </cell>
          <cell r="G107">
            <v>1</v>
          </cell>
          <cell r="H107" t="str">
            <v>SR-163 NB</v>
          </cell>
          <cell r="I107">
            <v>7</v>
          </cell>
          <cell r="J107">
            <v>0</v>
          </cell>
          <cell r="K107" t="str">
            <v>WASHINGTON</v>
          </cell>
          <cell r="L107" t="str">
            <v>WASHINGTON</v>
          </cell>
          <cell r="M107">
            <v>56453</v>
          </cell>
          <cell r="N107">
            <v>10851</v>
          </cell>
          <cell r="O107">
            <v>13015</v>
          </cell>
          <cell r="P107" t="str">
            <v>PeMS2016</v>
          </cell>
        </row>
        <row r="108">
          <cell r="C108">
            <v>4</v>
          </cell>
          <cell r="D108">
            <v>1</v>
          </cell>
          <cell r="E108">
            <v>16038</v>
          </cell>
          <cell r="F108">
            <v>1</v>
          </cell>
          <cell r="G108">
            <v>1</v>
          </cell>
          <cell r="H108" t="str">
            <v>SR-163 NB</v>
          </cell>
          <cell r="I108">
            <v>9</v>
          </cell>
          <cell r="J108">
            <v>0</v>
          </cell>
          <cell r="K108" t="str">
            <v>06TH EX</v>
          </cell>
          <cell r="L108" t="str">
            <v>I-8 EB</v>
          </cell>
          <cell r="M108">
            <v>93311</v>
          </cell>
          <cell r="N108">
            <v>17754</v>
          </cell>
          <cell r="O108">
            <v>22459</v>
          </cell>
          <cell r="P108" t="str">
            <v>PeMS2016</v>
          </cell>
        </row>
        <row r="109">
          <cell r="C109">
            <v>4</v>
          </cell>
          <cell r="D109">
            <v>1</v>
          </cell>
          <cell r="E109">
            <v>15714</v>
          </cell>
          <cell r="F109">
            <v>1</v>
          </cell>
          <cell r="G109">
            <v>1</v>
          </cell>
          <cell r="H109" t="str">
            <v>SR-163 NB</v>
          </cell>
          <cell r="I109">
            <v>17</v>
          </cell>
          <cell r="J109">
            <v>0</v>
          </cell>
          <cell r="K109" t="str">
            <v>FRIARS</v>
          </cell>
          <cell r="L109" t="str">
            <v>GENESEE</v>
          </cell>
          <cell r="M109">
            <v>103793</v>
          </cell>
          <cell r="N109">
            <v>21846</v>
          </cell>
          <cell r="O109">
            <v>23080</v>
          </cell>
          <cell r="P109" t="str">
            <v>PeMS2016</v>
          </cell>
        </row>
        <row r="110">
          <cell r="C110">
            <v>4</v>
          </cell>
          <cell r="D110">
            <v>1</v>
          </cell>
          <cell r="E110">
            <v>15690</v>
          </cell>
          <cell r="F110">
            <v>1</v>
          </cell>
          <cell r="G110">
            <v>1</v>
          </cell>
          <cell r="H110" t="str">
            <v>SR-163 NB</v>
          </cell>
          <cell r="I110">
            <v>24</v>
          </cell>
          <cell r="J110">
            <v>0</v>
          </cell>
          <cell r="K110" t="str">
            <v>I-805 NB</v>
          </cell>
          <cell r="L110" t="str">
            <v>I-805 NB</v>
          </cell>
          <cell r="M110">
            <v>65122</v>
          </cell>
          <cell r="N110">
            <v>14816</v>
          </cell>
          <cell r="O110">
            <v>15413</v>
          </cell>
          <cell r="P110" t="str">
            <v>PeMS2016</v>
          </cell>
        </row>
        <row r="111">
          <cell r="C111">
            <v>4</v>
          </cell>
          <cell r="D111">
            <v>1</v>
          </cell>
          <cell r="E111">
            <v>8821</v>
          </cell>
          <cell r="F111">
            <v>1</v>
          </cell>
          <cell r="G111">
            <v>1</v>
          </cell>
          <cell r="H111" t="str">
            <v>SR-163 NB</v>
          </cell>
          <cell r="I111">
            <v>27</v>
          </cell>
          <cell r="J111">
            <v>0</v>
          </cell>
          <cell r="K111" t="str">
            <v>BALBOA</v>
          </cell>
          <cell r="L111" t="str">
            <v>CLAIREMONT MESA</v>
          </cell>
          <cell r="M111">
            <v>80552</v>
          </cell>
          <cell r="N111">
            <v>16929</v>
          </cell>
          <cell r="O111">
            <v>20409</v>
          </cell>
          <cell r="P111" t="str">
            <v>PeMS2016</v>
          </cell>
        </row>
        <row r="112">
          <cell r="C112">
            <v>4</v>
          </cell>
          <cell r="D112">
            <v>1</v>
          </cell>
          <cell r="E112">
            <v>8825</v>
          </cell>
          <cell r="F112">
            <v>1</v>
          </cell>
          <cell r="G112">
            <v>1</v>
          </cell>
          <cell r="H112" t="str">
            <v>SR-163 NB</v>
          </cell>
          <cell r="I112">
            <v>28</v>
          </cell>
          <cell r="J112">
            <v>0</v>
          </cell>
          <cell r="K112" t="str">
            <v>CLAIREMONT MESA</v>
          </cell>
          <cell r="L112" t="str">
            <v>CLAIREMONT MESA</v>
          </cell>
          <cell r="M112">
            <v>73380</v>
          </cell>
          <cell r="N112">
            <v>14765</v>
          </cell>
          <cell r="O112">
            <v>19583</v>
          </cell>
          <cell r="P112" t="str">
            <v>PeMS2016</v>
          </cell>
        </row>
        <row r="113">
          <cell r="C113">
            <v>4</v>
          </cell>
          <cell r="D113">
            <v>1</v>
          </cell>
          <cell r="E113">
            <v>15317</v>
          </cell>
          <cell r="F113">
            <v>1</v>
          </cell>
          <cell r="G113">
            <v>1</v>
          </cell>
          <cell r="H113" t="str">
            <v>SR-163 NB</v>
          </cell>
          <cell r="I113">
            <v>32</v>
          </cell>
          <cell r="J113">
            <v>0</v>
          </cell>
          <cell r="K113" t="str">
            <v>KEARNY VILLA</v>
          </cell>
          <cell r="L113" t="str">
            <v>KEARNY VILLA</v>
          </cell>
          <cell r="M113">
            <v>74450</v>
          </cell>
          <cell r="N113">
            <v>13337</v>
          </cell>
          <cell r="O113">
            <v>21001</v>
          </cell>
          <cell r="P113" t="str">
            <v>PeMS2016</v>
          </cell>
        </row>
        <row r="114">
          <cell r="C114">
            <v>4</v>
          </cell>
          <cell r="D114">
            <v>1</v>
          </cell>
          <cell r="E114">
            <v>15206</v>
          </cell>
          <cell r="F114">
            <v>1</v>
          </cell>
          <cell r="G114">
            <v>1</v>
          </cell>
          <cell r="H114" t="str">
            <v>SR-163 NB</v>
          </cell>
          <cell r="I114">
            <v>33</v>
          </cell>
          <cell r="J114">
            <v>0</v>
          </cell>
          <cell r="K114" t="str">
            <v>KEARNY VILLA</v>
          </cell>
          <cell r="L114" t="str">
            <v>KEARNY VILLA</v>
          </cell>
          <cell r="M114">
            <v>64571</v>
          </cell>
          <cell r="N114">
            <v>10880</v>
          </cell>
          <cell r="O114">
            <v>19955</v>
          </cell>
          <cell r="P114" t="str">
            <v>PeMS2016</v>
          </cell>
        </row>
        <row r="115">
          <cell r="C115">
            <v>4</v>
          </cell>
          <cell r="D115">
            <v>1</v>
          </cell>
          <cell r="E115">
            <v>11483</v>
          </cell>
          <cell r="F115">
            <v>1</v>
          </cell>
          <cell r="G115">
            <v>1</v>
          </cell>
          <cell r="H115" t="str">
            <v>SR-163 NB</v>
          </cell>
          <cell r="I115">
            <v>34</v>
          </cell>
          <cell r="J115">
            <v>0</v>
          </cell>
          <cell r="K115" t="str">
            <v>KEARNY VILLA</v>
          </cell>
          <cell r="L115" t="str">
            <v>I-15 HOV NB</v>
          </cell>
          <cell r="M115">
            <v>62798</v>
          </cell>
          <cell r="N115">
            <v>10159</v>
          </cell>
          <cell r="O115">
            <v>19486</v>
          </cell>
          <cell r="P115" t="str">
            <v>Caltran</v>
          </cell>
        </row>
        <row r="116">
          <cell r="C116">
            <v>5</v>
          </cell>
          <cell r="D116">
            <v>1</v>
          </cell>
          <cell r="E116">
            <v>9483</v>
          </cell>
          <cell r="F116">
            <v>1</v>
          </cell>
          <cell r="G116">
            <v>4</v>
          </cell>
          <cell r="H116" t="str">
            <v>SR-125 NB</v>
          </cell>
          <cell r="I116">
            <v>12</v>
          </cell>
          <cell r="J116">
            <v>0</v>
          </cell>
          <cell r="K116" t="str">
            <v>WOLF CANYON</v>
          </cell>
          <cell r="L116" t="str">
            <v>EAST CENTER</v>
          </cell>
          <cell r="M116">
            <v>4818</v>
          </cell>
          <cell r="N116">
            <v>500</v>
          </cell>
          <cell r="O116">
            <v>1769</v>
          </cell>
          <cell r="P116" t="str">
            <v>SANDAG</v>
          </cell>
        </row>
        <row r="117">
          <cell r="C117">
            <v>5</v>
          </cell>
          <cell r="D117">
            <v>1</v>
          </cell>
          <cell r="E117">
            <v>9509</v>
          </cell>
          <cell r="F117">
            <v>1</v>
          </cell>
          <cell r="G117">
            <v>4</v>
          </cell>
          <cell r="H117" t="str">
            <v>SR-125 NB</v>
          </cell>
          <cell r="I117">
            <v>15</v>
          </cell>
          <cell r="J117">
            <v>0</v>
          </cell>
          <cell r="K117" t="str">
            <v>EAST CENTER</v>
          </cell>
          <cell r="L117" t="str">
            <v>ORANGE</v>
          </cell>
          <cell r="M117">
            <v>6412</v>
          </cell>
          <cell r="N117">
            <v>1379</v>
          </cell>
          <cell r="O117">
            <v>1877</v>
          </cell>
          <cell r="P117" t="str">
            <v>SANDAG</v>
          </cell>
        </row>
        <row r="118">
          <cell r="C118">
            <v>5</v>
          </cell>
          <cell r="D118">
            <v>1</v>
          </cell>
          <cell r="E118">
            <v>9519</v>
          </cell>
          <cell r="F118">
            <v>1</v>
          </cell>
          <cell r="G118">
            <v>4</v>
          </cell>
          <cell r="H118" t="str">
            <v>SR-125 NB</v>
          </cell>
          <cell r="I118">
            <v>18</v>
          </cell>
          <cell r="J118">
            <v>0</v>
          </cell>
          <cell r="K118" t="str">
            <v>ORANGE</v>
          </cell>
          <cell r="L118" t="str">
            <v>TOLL PLAZA</v>
          </cell>
          <cell r="M118">
            <v>10237</v>
          </cell>
          <cell r="N118">
            <v>2982</v>
          </cell>
          <cell r="O118">
            <v>2321</v>
          </cell>
          <cell r="P118" t="str">
            <v>SANDAG</v>
          </cell>
        </row>
        <row r="119">
          <cell r="C119">
            <v>5</v>
          </cell>
          <cell r="D119">
            <v>1</v>
          </cell>
          <cell r="E119">
            <v>9143</v>
          </cell>
          <cell r="F119">
            <v>1</v>
          </cell>
          <cell r="G119">
            <v>4</v>
          </cell>
          <cell r="H119" t="str">
            <v>SR-125 NB</v>
          </cell>
          <cell r="I119">
            <v>21</v>
          </cell>
          <cell r="J119">
            <v>0</v>
          </cell>
          <cell r="K119" t="str">
            <v>TELEGRAPH CANYON</v>
          </cell>
          <cell r="L119" t="str">
            <v>EASTLAKE</v>
          </cell>
          <cell r="M119">
            <v>14591</v>
          </cell>
          <cell r="N119">
            <v>4445</v>
          </cell>
          <cell r="O119">
            <v>3009</v>
          </cell>
          <cell r="P119" t="str">
            <v>SANDAG</v>
          </cell>
        </row>
        <row r="120">
          <cell r="C120">
            <v>5</v>
          </cell>
          <cell r="D120">
            <v>1</v>
          </cell>
          <cell r="E120">
            <v>10255</v>
          </cell>
          <cell r="F120">
            <v>1</v>
          </cell>
          <cell r="G120">
            <v>4</v>
          </cell>
          <cell r="H120" t="str">
            <v>SR-125 NB</v>
          </cell>
          <cell r="I120">
            <v>25</v>
          </cell>
          <cell r="J120">
            <v>0</v>
          </cell>
          <cell r="K120" t="str">
            <v>H</v>
          </cell>
          <cell r="L120" t="str">
            <v>SAN MIGUEL</v>
          </cell>
          <cell r="M120">
            <v>17200</v>
          </cell>
          <cell r="N120">
            <v>5567</v>
          </cell>
          <cell r="O120">
            <v>3276</v>
          </cell>
          <cell r="P120" t="str">
            <v>SANDAG</v>
          </cell>
        </row>
        <row r="121">
          <cell r="C121">
            <v>5</v>
          </cell>
          <cell r="D121">
            <v>1</v>
          </cell>
          <cell r="E121">
            <v>10257</v>
          </cell>
          <cell r="F121">
            <v>1</v>
          </cell>
          <cell r="G121">
            <v>4</v>
          </cell>
          <cell r="H121" t="str">
            <v>SR-125 NB</v>
          </cell>
          <cell r="I121">
            <v>27</v>
          </cell>
          <cell r="J121">
            <v>2</v>
          </cell>
          <cell r="K121" t="str">
            <v>SAN MIGUEL</v>
          </cell>
          <cell r="L121" t="str">
            <v>SR-54 EB</v>
          </cell>
          <cell r="M121">
            <v>19075</v>
          </cell>
          <cell r="N121">
            <v>6304</v>
          </cell>
          <cell r="O121">
            <v>3565</v>
          </cell>
          <cell r="P121" t="str">
            <v>SANDAG</v>
          </cell>
        </row>
        <row r="122">
          <cell r="C122">
            <v>5</v>
          </cell>
          <cell r="D122">
            <v>1</v>
          </cell>
          <cell r="E122">
            <v>7190</v>
          </cell>
          <cell r="F122">
            <v>1</v>
          </cell>
          <cell r="G122">
            <v>1</v>
          </cell>
          <cell r="H122" t="str">
            <v>SR-125 NB</v>
          </cell>
          <cell r="I122">
            <v>1</v>
          </cell>
          <cell r="J122">
            <v>0</v>
          </cell>
          <cell r="K122" t="str">
            <v>SR-54 EB</v>
          </cell>
          <cell r="L122" t="str">
            <v>SWAP MEET</v>
          </cell>
          <cell r="M122">
            <v>55161</v>
          </cell>
          <cell r="N122">
            <v>11107</v>
          </cell>
          <cell r="O122">
            <v>12679</v>
          </cell>
          <cell r="P122" t="str">
            <v>Caltran</v>
          </cell>
        </row>
        <row r="123">
          <cell r="C123">
            <v>5</v>
          </cell>
          <cell r="D123">
            <v>1</v>
          </cell>
          <cell r="E123">
            <v>7215</v>
          </cell>
          <cell r="F123">
            <v>1</v>
          </cell>
          <cell r="G123">
            <v>1</v>
          </cell>
          <cell r="H123" t="str">
            <v>SR-125 NB</v>
          </cell>
          <cell r="I123">
            <v>2</v>
          </cell>
          <cell r="J123">
            <v>0</v>
          </cell>
          <cell r="K123" t="str">
            <v>SWAP MEET</v>
          </cell>
          <cell r="L123" t="str">
            <v>PARADISE VALLEY</v>
          </cell>
          <cell r="M123">
            <v>47179</v>
          </cell>
          <cell r="N123">
            <v>10884</v>
          </cell>
          <cell r="O123">
            <v>10284</v>
          </cell>
          <cell r="P123" t="str">
            <v>PeMS2016</v>
          </cell>
        </row>
        <row r="124">
          <cell r="C124">
            <v>5</v>
          </cell>
          <cell r="D124">
            <v>1</v>
          </cell>
          <cell r="E124">
            <v>7222</v>
          </cell>
          <cell r="F124">
            <v>1</v>
          </cell>
          <cell r="G124">
            <v>1</v>
          </cell>
          <cell r="H124" t="str">
            <v>SR-125 NB</v>
          </cell>
          <cell r="I124">
            <v>4</v>
          </cell>
          <cell r="J124">
            <v>0</v>
          </cell>
          <cell r="K124" t="str">
            <v>JAMACHA ROAD</v>
          </cell>
          <cell r="L124" t="str">
            <v>JAMACHA ROAD</v>
          </cell>
          <cell r="M124">
            <v>49064</v>
          </cell>
          <cell r="N124">
            <v>11960</v>
          </cell>
          <cell r="O124">
            <v>10208</v>
          </cell>
          <cell r="P124" t="str">
            <v>PeMS2016</v>
          </cell>
        </row>
        <row r="125">
          <cell r="C125">
            <v>5</v>
          </cell>
          <cell r="D125">
            <v>1</v>
          </cell>
          <cell r="E125">
            <v>10793</v>
          </cell>
          <cell r="F125">
            <v>1</v>
          </cell>
          <cell r="G125">
            <v>1</v>
          </cell>
          <cell r="H125" t="str">
            <v>SR-125 NB</v>
          </cell>
          <cell r="I125">
            <v>5</v>
          </cell>
          <cell r="J125">
            <v>1</v>
          </cell>
          <cell r="K125" t="str">
            <v>JAMACHA ROAD</v>
          </cell>
          <cell r="L125" t="str">
            <v>TROY</v>
          </cell>
          <cell r="M125">
            <v>54401</v>
          </cell>
          <cell r="N125">
            <v>12604</v>
          </cell>
          <cell r="O125">
            <v>11072</v>
          </cell>
          <cell r="P125" t="str">
            <v>PeMS2016</v>
          </cell>
        </row>
        <row r="126">
          <cell r="C126">
            <v>5</v>
          </cell>
          <cell r="D126">
            <v>1</v>
          </cell>
          <cell r="E126">
            <v>31171</v>
          </cell>
          <cell r="F126">
            <v>1</v>
          </cell>
          <cell r="G126">
            <v>1</v>
          </cell>
          <cell r="H126" t="str">
            <v>SR-125 NB</v>
          </cell>
          <cell r="I126">
            <v>6</v>
          </cell>
          <cell r="J126">
            <v>0</v>
          </cell>
          <cell r="K126" t="str">
            <v>TROY</v>
          </cell>
          <cell r="L126" t="str">
            <v>SR-94 WB</v>
          </cell>
          <cell r="M126">
            <v>67253</v>
          </cell>
          <cell r="N126">
            <v>15874</v>
          </cell>
          <cell r="O126">
            <v>13499</v>
          </cell>
          <cell r="P126" t="str">
            <v>PeMS2016</v>
          </cell>
        </row>
        <row r="127">
          <cell r="C127">
            <v>5</v>
          </cell>
          <cell r="D127">
            <v>1</v>
          </cell>
          <cell r="E127">
            <v>10158</v>
          </cell>
          <cell r="F127">
            <v>1</v>
          </cell>
          <cell r="G127">
            <v>1</v>
          </cell>
          <cell r="H127" t="str">
            <v>SR-125 NB</v>
          </cell>
          <cell r="I127">
            <v>1</v>
          </cell>
          <cell r="J127">
            <v>0</v>
          </cell>
          <cell r="K127" t="str">
            <v>SR-94 EB</v>
          </cell>
          <cell r="L127" t="str">
            <v>CAMPO</v>
          </cell>
          <cell r="M127">
            <v>68140</v>
          </cell>
          <cell r="N127">
            <v>12627</v>
          </cell>
          <cell r="O127">
            <v>15151</v>
          </cell>
          <cell r="P127" t="str">
            <v>PeMS2016</v>
          </cell>
        </row>
        <row r="128">
          <cell r="C128">
            <v>5</v>
          </cell>
          <cell r="D128">
            <v>1</v>
          </cell>
          <cell r="E128">
            <v>11296</v>
          </cell>
          <cell r="F128">
            <v>1</v>
          </cell>
          <cell r="G128">
            <v>1</v>
          </cell>
          <cell r="H128" t="str">
            <v>SR-125 NB</v>
          </cell>
          <cell r="I128">
            <v>4</v>
          </cell>
          <cell r="J128">
            <v>0</v>
          </cell>
          <cell r="K128" t="str">
            <v>SR-94 WB</v>
          </cell>
          <cell r="L128" t="str">
            <v>LEMON</v>
          </cell>
          <cell r="M128">
            <v>91937</v>
          </cell>
          <cell r="N128">
            <v>18472</v>
          </cell>
          <cell r="O128">
            <v>20112</v>
          </cell>
          <cell r="P128" t="str">
            <v>Caltran</v>
          </cell>
        </row>
        <row r="129">
          <cell r="C129">
            <v>5</v>
          </cell>
          <cell r="D129">
            <v>1</v>
          </cell>
          <cell r="E129">
            <v>11291</v>
          </cell>
          <cell r="F129">
            <v>1</v>
          </cell>
          <cell r="G129">
            <v>1</v>
          </cell>
          <cell r="H129" t="str">
            <v>SR-125 NB</v>
          </cell>
          <cell r="I129">
            <v>7</v>
          </cell>
          <cell r="J129">
            <v>0</v>
          </cell>
          <cell r="K129" t="str">
            <v>I-8 EB</v>
          </cell>
          <cell r="L129" t="str">
            <v>GROSSMONT</v>
          </cell>
          <cell r="M129">
            <v>40172</v>
          </cell>
          <cell r="N129">
            <v>9112</v>
          </cell>
          <cell r="O129">
            <v>8272</v>
          </cell>
          <cell r="P129" t="str">
            <v>PeMS2016</v>
          </cell>
        </row>
        <row r="130">
          <cell r="C130">
            <v>5</v>
          </cell>
          <cell r="D130">
            <v>1</v>
          </cell>
          <cell r="E130">
            <v>28939</v>
          </cell>
          <cell r="F130">
            <v>1</v>
          </cell>
          <cell r="G130">
            <v>1</v>
          </cell>
          <cell r="H130" t="str">
            <v>SR-125 NB</v>
          </cell>
          <cell r="I130">
            <v>12</v>
          </cell>
          <cell r="J130">
            <v>0</v>
          </cell>
          <cell r="K130" t="str">
            <v>AMAYA</v>
          </cell>
          <cell r="L130" t="str">
            <v>AMAYA</v>
          </cell>
          <cell r="M130">
            <v>40704</v>
          </cell>
          <cell r="N130">
            <v>9332</v>
          </cell>
          <cell r="O130">
            <v>9161</v>
          </cell>
          <cell r="P130" t="str">
            <v>PeMS2016</v>
          </cell>
        </row>
        <row r="131">
          <cell r="C131">
            <v>5</v>
          </cell>
          <cell r="D131">
            <v>1</v>
          </cell>
          <cell r="E131">
            <v>28940</v>
          </cell>
          <cell r="F131">
            <v>1</v>
          </cell>
          <cell r="G131">
            <v>1</v>
          </cell>
          <cell r="H131" t="str">
            <v>SR-125 NB</v>
          </cell>
          <cell r="I131">
            <v>13</v>
          </cell>
          <cell r="J131">
            <v>0</v>
          </cell>
          <cell r="K131" t="str">
            <v>AMAYA</v>
          </cell>
          <cell r="L131" t="str">
            <v>NAVAJO</v>
          </cell>
          <cell r="M131">
            <v>50320</v>
          </cell>
          <cell r="N131">
            <v>11077</v>
          </cell>
          <cell r="O131">
            <v>11629</v>
          </cell>
          <cell r="P131" t="str">
            <v>PeMS2016</v>
          </cell>
        </row>
        <row r="132">
          <cell r="C132">
            <v>5</v>
          </cell>
          <cell r="D132">
            <v>1</v>
          </cell>
          <cell r="E132">
            <v>28945</v>
          </cell>
          <cell r="F132">
            <v>1</v>
          </cell>
          <cell r="G132">
            <v>1</v>
          </cell>
          <cell r="H132" t="str">
            <v>SR-125 NB</v>
          </cell>
          <cell r="I132">
            <v>15</v>
          </cell>
          <cell r="J132">
            <v>0</v>
          </cell>
          <cell r="K132" t="str">
            <v>NAVAJO</v>
          </cell>
          <cell r="L132" t="str">
            <v>NAVAJO</v>
          </cell>
          <cell r="M132">
            <v>30546</v>
          </cell>
          <cell r="N132">
            <v>6859</v>
          </cell>
          <cell r="O132">
            <v>6963</v>
          </cell>
          <cell r="P132" t="str">
            <v>PeMS2016</v>
          </cell>
        </row>
        <row r="133">
          <cell r="C133">
            <v>5</v>
          </cell>
          <cell r="D133">
            <v>1</v>
          </cell>
          <cell r="E133">
            <v>28948</v>
          </cell>
          <cell r="F133">
            <v>1</v>
          </cell>
          <cell r="G133">
            <v>1</v>
          </cell>
          <cell r="H133" t="str">
            <v>SR-125 NB</v>
          </cell>
          <cell r="I133">
            <v>16</v>
          </cell>
          <cell r="J133">
            <v>0</v>
          </cell>
          <cell r="K133" t="str">
            <v>NAVAJO</v>
          </cell>
          <cell r="L133" t="str">
            <v>GROSSMONT COLLEGE DR</v>
          </cell>
          <cell r="M133">
            <v>30397</v>
          </cell>
          <cell r="N133">
            <v>7061</v>
          </cell>
          <cell r="O133">
            <v>6914</v>
          </cell>
          <cell r="P133" t="str">
            <v>PeMS2016</v>
          </cell>
        </row>
        <row r="134">
          <cell r="C134">
            <v>5</v>
          </cell>
          <cell r="D134">
            <v>1</v>
          </cell>
          <cell r="E134">
            <v>28924</v>
          </cell>
          <cell r="F134">
            <v>1</v>
          </cell>
          <cell r="G134">
            <v>1</v>
          </cell>
          <cell r="H134" t="str">
            <v>SR-125 NB</v>
          </cell>
          <cell r="I134">
            <v>20</v>
          </cell>
          <cell r="J134">
            <v>0</v>
          </cell>
          <cell r="K134" t="str">
            <v>GROSSMONT COLLEGE DR</v>
          </cell>
          <cell r="L134" t="str">
            <v>SR-52 EB</v>
          </cell>
          <cell r="M134">
            <v>38996</v>
          </cell>
          <cell r="N134">
            <v>8118</v>
          </cell>
          <cell r="O134">
            <v>8862</v>
          </cell>
          <cell r="P134" t="str">
            <v>Caltran</v>
          </cell>
        </row>
        <row r="135">
          <cell r="C135">
            <v>5</v>
          </cell>
          <cell r="D135">
            <v>1</v>
          </cell>
          <cell r="E135">
            <v>28923</v>
          </cell>
          <cell r="F135">
            <v>1</v>
          </cell>
          <cell r="G135">
            <v>1</v>
          </cell>
          <cell r="H135" t="str">
            <v>SR-125 NB</v>
          </cell>
          <cell r="I135">
            <v>21</v>
          </cell>
          <cell r="J135">
            <v>0</v>
          </cell>
          <cell r="K135" t="str">
            <v>SR-52 EB</v>
          </cell>
          <cell r="L135" t="str">
            <v>FANITA</v>
          </cell>
          <cell r="M135">
            <v>14192</v>
          </cell>
          <cell r="N135">
            <v>2822</v>
          </cell>
          <cell r="O135">
            <v>3622</v>
          </cell>
          <cell r="P135" t="str">
            <v>PeMS2016</v>
          </cell>
        </row>
        <row r="136">
          <cell r="C136">
            <v>3</v>
          </cell>
          <cell r="D136">
            <v>1</v>
          </cell>
          <cell r="E136">
            <v>685</v>
          </cell>
          <cell r="F136">
            <v>1</v>
          </cell>
          <cell r="G136">
            <v>1</v>
          </cell>
          <cell r="H136" t="str">
            <v>I-805 NB</v>
          </cell>
          <cell r="I136">
            <v>2</v>
          </cell>
          <cell r="J136">
            <v>0</v>
          </cell>
          <cell r="K136" t="str">
            <v>EAST SAN YSIDRO</v>
          </cell>
          <cell r="L136" t="str">
            <v>EAST SAN YSIDRO</v>
          </cell>
          <cell r="M136">
            <v>19230</v>
          </cell>
          <cell r="N136">
            <v>2855</v>
          </cell>
          <cell r="O136">
            <v>3303</v>
          </cell>
          <cell r="P136" t="str">
            <v>PeMS2016</v>
          </cell>
        </row>
        <row r="137">
          <cell r="C137">
            <v>3</v>
          </cell>
          <cell r="D137">
            <v>1</v>
          </cell>
          <cell r="E137">
            <v>686</v>
          </cell>
          <cell r="F137">
            <v>1</v>
          </cell>
          <cell r="G137">
            <v>1</v>
          </cell>
          <cell r="H137" t="str">
            <v>I-805 NB</v>
          </cell>
          <cell r="I137">
            <v>3</v>
          </cell>
          <cell r="J137">
            <v>0</v>
          </cell>
          <cell r="K137" t="str">
            <v>EAST SAN YSIDRO</v>
          </cell>
          <cell r="L137" t="str">
            <v>SR-905 EB</v>
          </cell>
          <cell r="M137">
            <v>34407</v>
          </cell>
          <cell r="N137">
            <v>5009</v>
          </cell>
          <cell r="O137">
            <v>6647</v>
          </cell>
          <cell r="P137" t="str">
            <v>PeMS2016</v>
          </cell>
        </row>
        <row r="138">
          <cell r="C138">
            <v>3</v>
          </cell>
          <cell r="D138">
            <v>1</v>
          </cell>
          <cell r="E138">
            <v>687</v>
          </cell>
          <cell r="F138">
            <v>1</v>
          </cell>
          <cell r="G138">
            <v>1</v>
          </cell>
          <cell r="H138" t="str">
            <v>I-805 NB</v>
          </cell>
          <cell r="I138">
            <v>7</v>
          </cell>
          <cell r="J138">
            <v>0</v>
          </cell>
          <cell r="K138" t="str">
            <v>SR-905 EB</v>
          </cell>
          <cell r="L138" t="str">
            <v>SR-905 WB</v>
          </cell>
          <cell r="M138">
            <v>45996</v>
          </cell>
          <cell r="N138">
            <v>7539</v>
          </cell>
          <cell r="O138">
            <v>10163</v>
          </cell>
          <cell r="P138" t="str">
            <v>PeMS2016</v>
          </cell>
        </row>
        <row r="139">
          <cell r="C139">
            <v>3</v>
          </cell>
          <cell r="D139">
            <v>1</v>
          </cell>
          <cell r="E139">
            <v>688</v>
          </cell>
          <cell r="F139">
            <v>1</v>
          </cell>
          <cell r="G139">
            <v>1</v>
          </cell>
          <cell r="H139" t="str">
            <v>I-805 NB</v>
          </cell>
          <cell r="I139">
            <v>8</v>
          </cell>
          <cell r="J139">
            <v>0</v>
          </cell>
          <cell r="L139" t="str">
            <v>SR-905 WB</v>
          </cell>
          <cell r="M139">
            <v>69020</v>
          </cell>
          <cell r="N139">
            <v>10337</v>
          </cell>
          <cell r="O139">
            <v>15546</v>
          </cell>
          <cell r="P139" t="str">
            <v>PeMS2016</v>
          </cell>
        </row>
        <row r="140">
          <cell r="C140">
            <v>3</v>
          </cell>
          <cell r="D140">
            <v>1</v>
          </cell>
          <cell r="E140">
            <v>689</v>
          </cell>
          <cell r="F140">
            <v>1</v>
          </cell>
          <cell r="G140">
            <v>1</v>
          </cell>
          <cell r="H140" t="str">
            <v>I-805 NB</v>
          </cell>
          <cell r="I140">
            <v>9</v>
          </cell>
          <cell r="J140">
            <v>0</v>
          </cell>
          <cell r="K140" t="str">
            <v>PALM</v>
          </cell>
          <cell r="L140" t="str">
            <v>PALM</v>
          </cell>
          <cell r="M140">
            <v>55376</v>
          </cell>
          <cell r="N140">
            <v>8352</v>
          </cell>
          <cell r="O140">
            <v>12495</v>
          </cell>
          <cell r="P140" t="str">
            <v>PeMS2016</v>
          </cell>
        </row>
        <row r="141">
          <cell r="C141">
            <v>3</v>
          </cell>
          <cell r="D141">
            <v>1</v>
          </cell>
          <cell r="E141">
            <v>16183</v>
          </cell>
          <cell r="F141">
            <v>1</v>
          </cell>
          <cell r="G141">
            <v>1</v>
          </cell>
          <cell r="H141" t="str">
            <v>I-805 NB</v>
          </cell>
          <cell r="I141">
            <v>12</v>
          </cell>
          <cell r="J141">
            <v>0</v>
          </cell>
          <cell r="K141" t="str">
            <v>OTAY VALLEY</v>
          </cell>
          <cell r="L141" t="str">
            <v>OTAY VALLEY</v>
          </cell>
          <cell r="M141">
            <v>72820</v>
          </cell>
          <cell r="N141">
            <v>11982</v>
          </cell>
          <cell r="O141">
            <v>16031</v>
          </cell>
          <cell r="P141" t="str">
            <v>PeMS2016</v>
          </cell>
        </row>
        <row r="142">
          <cell r="C142">
            <v>3</v>
          </cell>
          <cell r="D142">
            <v>1</v>
          </cell>
          <cell r="E142">
            <v>699</v>
          </cell>
          <cell r="F142">
            <v>1</v>
          </cell>
          <cell r="G142">
            <v>1</v>
          </cell>
          <cell r="H142" t="str">
            <v>I-805 NB</v>
          </cell>
          <cell r="I142">
            <v>14</v>
          </cell>
          <cell r="J142">
            <v>0</v>
          </cell>
          <cell r="K142" t="str">
            <v>ORANGE</v>
          </cell>
          <cell r="L142" t="str">
            <v>ORANGE</v>
          </cell>
          <cell r="M142">
            <v>70589</v>
          </cell>
          <cell r="N142">
            <v>11823</v>
          </cell>
          <cell r="O142">
            <v>15375</v>
          </cell>
          <cell r="P142" t="str">
            <v>PeMS2016</v>
          </cell>
        </row>
        <row r="143">
          <cell r="C143">
            <v>3</v>
          </cell>
          <cell r="D143">
            <v>1</v>
          </cell>
          <cell r="E143">
            <v>702</v>
          </cell>
          <cell r="F143">
            <v>1</v>
          </cell>
          <cell r="G143">
            <v>1</v>
          </cell>
          <cell r="H143" t="str">
            <v>I-805 NB</v>
          </cell>
          <cell r="I143">
            <v>17</v>
          </cell>
          <cell r="J143">
            <v>0</v>
          </cell>
          <cell r="K143" t="str">
            <v>PALOMAR</v>
          </cell>
          <cell r="L143" t="str">
            <v>TELEGRAPH CANYON</v>
          </cell>
          <cell r="M143">
            <v>84734</v>
          </cell>
          <cell r="N143">
            <v>15535</v>
          </cell>
          <cell r="O143">
            <v>17130</v>
          </cell>
          <cell r="P143" t="str">
            <v>PeMS2016</v>
          </cell>
        </row>
        <row r="144">
          <cell r="C144">
            <v>3</v>
          </cell>
          <cell r="D144">
            <v>1</v>
          </cell>
          <cell r="E144">
            <v>22146</v>
          </cell>
          <cell r="F144">
            <v>1</v>
          </cell>
          <cell r="G144">
            <v>1</v>
          </cell>
          <cell r="H144" t="str">
            <v>I-805 NB</v>
          </cell>
          <cell r="I144">
            <v>22</v>
          </cell>
          <cell r="J144">
            <v>0</v>
          </cell>
          <cell r="K144" t="str">
            <v>H</v>
          </cell>
          <cell r="L144" t="str">
            <v>H</v>
          </cell>
          <cell r="M144">
            <v>71063</v>
          </cell>
          <cell r="N144">
            <v>14855</v>
          </cell>
          <cell r="O144">
            <v>13565</v>
          </cell>
          <cell r="P144" t="str">
            <v>PeMS2016</v>
          </cell>
        </row>
        <row r="145">
          <cell r="C145">
            <v>3</v>
          </cell>
          <cell r="D145">
            <v>1</v>
          </cell>
          <cell r="E145">
            <v>705</v>
          </cell>
          <cell r="F145">
            <v>1</v>
          </cell>
          <cell r="G145">
            <v>1</v>
          </cell>
          <cell r="H145" t="str">
            <v>I-805 NB</v>
          </cell>
          <cell r="I145">
            <v>25</v>
          </cell>
          <cell r="J145">
            <v>0</v>
          </cell>
          <cell r="K145" t="str">
            <v>H</v>
          </cell>
          <cell r="L145" t="str">
            <v>BONITA</v>
          </cell>
          <cell r="M145">
            <v>112336</v>
          </cell>
          <cell r="N145">
            <v>21991</v>
          </cell>
          <cell r="O145">
            <v>21748</v>
          </cell>
          <cell r="P145" t="str">
            <v>PeMS2016</v>
          </cell>
        </row>
        <row r="146">
          <cell r="C146">
            <v>3</v>
          </cell>
          <cell r="D146">
            <v>1</v>
          </cell>
          <cell r="E146">
            <v>706</v>
          </cell>
          <cell r="F146">
            <v>1</v>
          </cell>
          <cell r="G146">
            <v>1</v>
          </cell>
          <cell r="H146" t="str">
            <v>I-805 NB</v>
          </cell>
          <cell r="I146">
            <v>27</v>
          </cell>
          <cell r="J146">
            <v>0</v>
          </cell>
          <cell r="K146" t="str">
            <v>BONITA</v>
          </cell>
          <cell r="L146" t="str">
            <v>SR-54 EB</v>
          </cell>
          <cell r="M146">
            <v>125375</v>
          </cell>
          <cell r="N146">
            <v>24907</v>
          </cell>
          <cell r="O146">
            <v>24359</v>
          </cell>
          <cell r="P146" t="str">
            <v>Caltran</v>
          </cell>
        </row>
        <row r="147">
          <cell r="C147">
            <v>3</v>
          </cell>
          <cell r="D147">
            <v>1</v>
          </cell>
          <cell r="E147">
            <v>708</v>
          </cell>
          <cell r="F147">
            <v>1</v>
          </cell>
          <cell r="G147">
            <v>1</v>
          </cell>
          <cell r="H147" t="str">
            <v>I-805 NB</v>
          </cell>
          <cell r="I147">
            <v>30</v>
          </cell>
          <cell r="J147">
            <v>0</v>
          </cell>
          <cell r="K147" t="str">
            <v>SWEETWATER</v>
          </cell>
          <cell r="L147" t="str">
            <v>SWEETWATER</v>
          </cell>
          <cell r="M147">
            <v>69228</v>
          </cell>
          <cell r="N147">
            <v>12504</v>
          </cell>
          <cell r="O147">
            <v>13364</v>
          </cell>
          <cell r="P147" t="str">
            <v>PeMS2016</v>
          </cell>
        </row>
        <row r="148">
          <cell r="C148">
            <v>3</v>
          </cell>
          <cell r="D148">
            <v>1</v>
          </cell>
          <cell r="E148">
            <v>20741</v>
          </cell>
          <cell r="F148">
            <v>1</v>
          </cell>
          <cell r="G148">
            <v>1</v>
          </cell>
          <cell r="H148" t="str">
            <v>I-805 NB</v>
          </cell>
          <cell r="I148">
            <v>32</v>
          </cell>
          <cell r="J148">
            <v>0</v>
          </cell>
          <cell r="K148" t="str">
            <v>SR-54 WB</v>
          </cell>
          <cell r="L148" t="str">
            <v>PLAZA</v>
          </cell>
          <cell r="M148">
            <v>98590</v>
          </cell>
          <cell r="N148">
            <v>17558</v>
          </cell>
          <cell r="O148">
            <v>19548</v>
          </cell>
          <cell r="P148" t="str">
            <v>PeMS2016</v>
          </cell>
        </row>
        <row r="149">
          <cell r="C149">
            <v>3</v>
          </cell>
          <cell r="D149">
            <v>1</v>
          </cell>
          <cell r="E149">
            <v>20743</v>
          </cell>
          <cell r="F149">
            <v>1</v>
          </cell>
          <cell r="G149">
            <v>1</v>
          </cell>
          <cell r="H149" t="str">
            <v>I-805 NB</v>
          </cell>
          <cell r="I149">
            <v>33</v>
          </cell>
          <cell r="J149">
            <v>0</v>
          </cell>
          <cell r="K149" t="str">
            <v>PLAZA</v>
          </cell>
          <cell r="L149" t="str">
            <v>PLAZA</v>
          </cell>
          <cell r="M149">
            <v>91644</v>
          </cell>
          <cell r="N149">
            <v>17223</v>
          </cell>
          <cell r="O149">
            <v>17603</v>
          </cell>
          <cell r="P149" t="str">
            <v>PeMS2016</v>
          </cell>
        </row>
        <row r="150">
          <cell r="C150">
            <v>3</v>
          </cell>
          <cell r="D150">
            <v>1</v>
          </cell>
          <cell r="E150">
            <v>716</v>
          </cell>
          <cell r="F150">
            <v>1</v>
          </cell>
          <cell r="G150">
            <v>1</v>
          </cell>
          <cell r="H150" t="str">
            <v>I-805 NB</v>
          </cell>
          <cell r="I150">
            <v>34</v>
          </cell>
          <cell r="J150">
            <v>0</v>
          </cell>
          <cell r="K150" t="str">
            <v>PLAZA</v>
          </cell>
          <cell r="L150" t="str">
            <v>43RD</v>
          </cell>
          <cell r="M150">
            <v>125971</v>
          </cell>
          <cell r="N150">
            <v>26565</v>
          </cell>
          <cell r="O150">
            <v>23486</v>
          </cell>
          <cell r="P150" t="str">
            <v>Caltran</v>
          </cell>
        </row>
        <row r="151">
          <cell r="C151">
            <v>3</v>
          </cell>
          <cell r="D151">
            <v>1</v>
          </cell>
          <cell r="E151">
            <v>717</v>
          </cell>
          <cell r="F151">
            <v>1</v>
          </cell>
          <cell r="G151">
            <v>1</v>
          </cell>
          <cell r="H151" t="str">
            <v>I-805 NB</v>
          </cell>
          <cell r="I151">
            <v>35</v>
          </cell>
          <cell r="J151">
            <v>0</v>
          </cell>
          <cell r="K151" t="str">
            <v>43RD</v>
          </cell>
          <cell r="L151" t="str">
            <v>47TH</v>
          </cell>
          <cell r="M151">
            <v>104989</v>
          </cell>
          <cell r="N151">
            <v>18695</v>
          </cell>
          <cell r="O151">
            <v>20143</v>
          </cell>
          <cell r="P151" t="str">
            <v>PeMS2016</v>
          </cell>
        </row>
        <row r="152">
          <cell r="C152">
            <v>3</v>
          </cell>
          <cell r="D152">
            <v>1</v>
          </cell>
          <cell r="E152">
            <v>20747</v>
          </cell>
          <cell r="F152">
            <v>1</v>
          </cell>
          <cell r="G152">
            <v>1</v>
          </cell>
          <cell r="H152" t="str">
            <v>I-805 NB</v>
          </cell>
          <cell r="I152">
            <v>37</v>
          </cell>
          <cell r="J152">
            <v>0</v>
          </cell>
          <cell r="K152" t="str">
            <v>47TH</v>
          </cell>
          <cell r="L152" t="str">
            <v>47TH</v>
          </cell>
          <cell r="M152">
            <v>77722</v>
          </cell>
          <cell r="N152">
            <v>15014</v>
          </cell>
          <cell r="O152">
            <v>14457</v>
          </cell>
          <cell r="P152" t="str">
            <v>PeMS2016</v>
          </cell>
        </row>
        <row r="153">
          <cell r="C153">
            <v>3</v>
          </cell>
          <cell r="D153">
            <v>1</v>
          </cell>
          <cell r="E153">
            <v>726</v>
          </cell>
          <cell r="F153">
            <v>1</v>
          </cell>
          <cell r="G153">
            <v>1</v>
          </cell>
          <cell r="H153" t="str">
            <v>I-805 NB</v>
          </cell>
          <cell r="I153">
            <v>40</v>
          </cell>
          <cell r="J153">
            <v>0</v>
          </cell>
          <cell r="K153" t="str">
            <v>IMPERIAL</v>
          </cell>
          <cell r="L153" t="str">
            <v>IMPERIAL</v>
          </cell>
          <cell r="M153">
            <v>97203</v>
          </cell>
          <cell r="N153">
            <v>17481</v>
          </cell>
          <cell r="O153">
            <v>18438</v>
          </cell>
          <cell r="P153" t="str">
            <v>PeMS2016</v>
          </cell>
        </row>
        <row r="154">
          <cell r="C154">
            <v>3</v>
          </cell>
          <cell r="D154">
            <v>1</v>
          </cell>
          <cell r="E154">
            <v>728</v>
          </cell>
          <cell r="F154">
            <v>1</v>
          </cell>
          <cell r="G154">
            <v>1</v>
          </cell>
          <cell r="H154" t="str">
            <v>I-805 NB</v>
          </cell>
          <cell r="I154">
            <v>42</v>
          </cell>
          <cell r="J154">
            <v>0</v>
          </cell>
          <cell r="K154" t="str">
            <v>MARKET</v>
          </cell>
          <cell r="L154" t="str">
            <v>SR-94 WB</v>
          </cell>
          <cell r="M154">
            <v>117680</v>
          </cell>
          <cell r="N154">
            <v>22768</v>
          </cell>
          <cell r="O154">
            <v>22257</v>
          </cell>
          <cell r="P154" t="str">
            <v>Caltran</v>
          </cell>
        </row>
        <row r="155">
          <cell r="C155">
            <v>3</v>
          </cell>
          <cell r="D155">
            <v>1</v>
          </cell>
          <cell r="E155">
            <v>3206</v>
          </cell>
          <cell r="F155">
            <v>1</v>
          </cell>
          <cell r="G155">
            <v>1</v>
          </cell>
          <cell r="H155" t="str">
            <v>I-805 NB</v>
          </cell>
          <cell r="I155">
            <v>43</v>
          </cell>
          <cell r="J155">
            <v>0</v>
          </cell>
          <cell r="K155" t="str">
            <v>SR-94 WB</v>
          </cell>
          <cell r="L155" t="str">
            <v>MARKET</v>
          </cell>
          <cell r="M155">
            <v>91163</v>
          </cell>
          <cell r="N155">
            <v>18145</v>
          </cell>
          <cell r="O155">
            <v>16682</v>
          </cell>
          <cell r="P155" t="str">
            <v>PeMS2016</v>
          </cell>
        </row>
        <row r="156">
          <cell r="C156">
            <v>3</v>
          </cell>
          <cell r="D156">
            <v>1</v>
          </cell>
          <cell r="E156">
            <v>733</v>
          </cell>
          <cell r="F156">
            <v>1</v>
          </cell>
          <cell r="G156">
            <v>1</v>
          </cell>
          <cell r="H156" t="str">
            <v>I-805 NB</v>
          </cell>
          <cell r="I156">
            <v>46</v>
          </cell>
          <cell r="J156">
            <v>0</v>
          </cell>
          <cell r="K156" t="str">
            <v>SR-94 WB</v>
          </cell>
          <cell r="L156" t="str">
            <v>HOME</v>
          </cell>
          <cell r="M156">
            <v>89463</v>
          </cell>
          <cell r="N156">
            <v>17637</v>
          </cell>
          <cell r="O156">
            <v>16337</v>
          </cell>
          <cell r="P156" t="str">
            <v>PeMS2016</v>
          </cell>
        </row>
        <row r="157">
          <cell r="C157">
            <v>3</v>
          </cell>
          <cell r="D157">
            <v>1</v>
          </cell>
          <cell r="E157">
            <v>20749</v>
          </cell>
          <cell r="F157">
            <v>1</v>
          </cell>
          <cell r="G157">
            <v>1</v>
          </cell>
          <cell r="H157" t="str">
            <v>I-805 NB</v>
          </cell>
          <cell r="I157">
            <v>47</v>
          </cell>
          <cell r="J157">
            <v>0</v>
          </cell>
          <cell r="K157" t="str">
            <v>HOME</v>
          </cell>
          <cell r="L157" t="str">
            <v>SR-15 NB</v>
          </cell>
          <cell r="M157">
            <v>124792</v>
          </cell>
          <cell r="N157">
            <v>25233</v>
          </cell>
          <cell r="O157">
            <v>22990</v>
          </cell>
          <cell r="P157" t="str">
            <v>PeMS2016</v>
          </cell>
        </row>
        <row r="158">
          <cell r="C158">
            <v>3</v>
          </cell>
          <cell r="D158">
            <v>1</v>
          </cell>
          <cell r="E158">
            <v>15870</v>
          </cell>
          <cell r="F158">
            <v>1</v>
          </cell>
          <cell r="G158">
            <v>1</v>
          </cell>
          <cell r="H158" t="str">
            <v>I-805 NB</v>
          </cell>
          <cell r="I158">
            <v>48</v>
          </cell>
          <cell r="J158">
            <v>0</v>
          </cell>
          <cell r="K158" t="str">
            <v>SR-15 NB</v>
          </cell>
          <cell r="L158" t="str">
            <v>SR-15 NB</v>
          </cell>
          <cell r="M158">
            <v>75494</v>
          </cell>
          <cell r="N158">
            <v>15256</v>
          </cell>
          <cell r="O158">
            <v>13736</v>
          </cell>
          <cell r="P158" t="str">
            <v>PeMS2016</v>
          </cell>
        </row>
        <row r="159">
          <cell r="C159">
            <v>3</v>
          </cell>
          <cell r="D159">
            <v>1</v>
          </cell>
          <cell r="E159">
            <v>738</v>
          </cell>
          <cell r="F159">
            <v>1</v>
          </cell>
          <cell r="G159">
            <v>1</v>
          </cell>
          <cell r="H159" t="str">
            <v>I-805 NB</v>
          </cell>
          <cell r="I159">
            <v>49</v>
          </cell>
          <cell r="J159">
            <v>0</v>
          </cell>
          <cell r="K159" t="str">
            <v>SR-15 NB</v>
          </cell>
          <cell r="L159" t="str">
            <v>SR-15 NB</v>
          </cell>
          <cell r="M159">
            <v>76629</v>
          </cell>
          <cell r="N159">
            <v>15590</v>
          </cell>
          <cell r="O159">
            <v>13944</v>
          </cell>
          <cell r="P159" t="str">
            <v>PeMS2016</v>
          </cell>
        </row>
        <row r="160">
          <cell r="C160">
            <v>3</v>
          </cell>
          <cell r="D160">
            <v>1</v>
          </cell>
          <cell r="E160">
            <v>744</v>
          </cell>
          <cell r="F160">
            <v>1</v>
          </cell>
          <cell r="G160">
            <v>1</v>
          </cell>
          <cell r="H160" t="str">
            <v>I-805 NB</v>
          </cell>
          <cell r="I160">
            <v>51</v>
          </cell>
          <cell r="J160">
            <v>0</v>
          </cell>
          <cell r="K160" t="str">
            <v>UNIVERSITY</v>
          </cell>
          <cell r="L160" t="str">
            <v>UNIVERSITY</v>
          </cell>
          <cell r="M160">
            <v>86295</v>
          </cell>
          <cell r="N160">
            <v>18532</v>
          </cell>
          <cell r="O160">
            <v>15765</v>
          </cell>
          <cell r="P160" t="str">
            <v>PeMS2016</v>
          </cell>
        </row>
        <row r="161">
          <cell r="C161">
            <v>3</v>
          </cell>
          <cell r="D161">
            <v>1</v>
          </cell>
          <cell r="E161">
            <v>746</v>
          </cell>
          <cell r="F161">
            <v>1</v>
          </cell>
          <cell r="G161">
            <v>1</v>
          </cell>
          <cell r="H161" t="str">
            <v>I-805 NB</v>
          </cell>
          <cell r="I161">
            <v>52</v>
          </cell>
          <cell r="J161">
            <v>0</v>
          </cell>
          <cell r="K161" t="str">
            <v>UNIVERSITY</v>
          </cell>
          <cell r="L161" t="str">
            <v>EL CAJON</v>
          </cell>
          <cell r="M161">
            <v>99899</v>
          </cell>
          <cell r="N161">
            <v>21312</v>
          </cell>
          <cell r="O161">
            <v>18283</v>
          </cell>
          <cell r="P161" t="str">
            <v>PeMS2016</v>
          </cell>
        </row>
        <row r="162">
          <cell r="C162">
            <v>3</v>
          </cell>
          <cell r="D162">
            <v>1</v>
          </cell>
          <cell r="E162">
            <v>20755</v>
          </cell>
          <cell r="F162">
            <v>1</v>
          </cell>
          <cell r="G162">
            <v>1</v>
          </cell>
          <cell r="H162" t="str">
            <v>I-805 NB</v>
          </cell>
          <cell r="I162">
            <v>56</v>
          </cell>
          <cell r="J162">
            <v>0</v>
          </cell>
          <cell r="K162" t="str">
            <v>I-8 EB</v>
          </cell>
          <cell r="L162" t="str">
            <v>I-8 WB</v>
          </cell>
          <cell r="M162">
            <v>78240</v>
          </cell>
          <cell r="N162">
            <v>20310</v>
          </cell>
          <cell r="O162">
            <v>12241</v>
          </cell>
          <cell r="P162" t="str">
            <v>PeMS2016</v>
          </cell>
        </row>
        <row r="163">
          <cell r="C163">
            <v>3</v>
          </cell>
          <cell r="D163">
            <v>1</v>
          </cell>
          <cell r="E163">
            <v>751</v>
          </cell>
          <cell r="F163">
            <v>1</v>
          </cell>
          <cell r="G163">
            <v>1</v>
          </cell>
          <cell r="H163" t="str">
            <v>I-805 NB</v>
          </cell>
          <cell r="I163">
            <v>57</v>
          </cell>
          <cell r="J163">
            <v>0</v>
          </cell>
          <cell r="K163" t="str">
            <v>I-8 WB</v>
          </cell>
          <cell r="L163" t="str">
            <v>MURRAY RIDGE</v>
          </cell>
          <cell r="M163">
            <v>111172</v>
          </cell>
          <cell r="N163">
            <v>28434</v>
          </cell>
          <cell r="O163">
            <v>18002</v>
          </cell>
          <cell r="P163" t="str">
            <v>PeMS2016</v>
          </cell>
        </row>
        <row r="164">
          <cell r="C164">
            <v>3</v>
          </cell>
          <cell r="D164">
            <v>1</v>
          </cell>
          <cell r="E164">
            <v>752</v>
          </cell>
          <cell r="F164">
            <v>1</v>
          </cell>
          <cell r="G164">
            <v>1</v>
          </cell>
          <cell r="H164" t="str">
            <v>I-805 NB</v>
          </cell>
          <cell r="I164">
            <v>58</v>
          </cell>
          <cell r="J164">
            <v>0</v>
          </cell>
          <cell r="K164" t="str">
            <v>MURRAY RIDGE</v>
          </cell>
          <cell r="L164" t="str">
            <v>MURRAY RIDGE</v>
          </cell>
          <cell r="M164">
            <v>105349</v>
          </cell>
          <cell r="N164">
            <v>27425</v>
          </cell>
          <cell r="O164">
            <v>16381</v>
          </cell>
          <cell r="P164" t="str">
            <v>PeMS2016</v>
          </cell>
        </row>
        <row r="165">
          <cell r="C165">
            <v>3</v>
          </cell>
          <cell r="D165">
            <v>1</v>
          </cell>
          <cell r="E165">
            <v>754</v>
          </cell>
          <cell r="F165">
            <v>1</v>
          </cell>
          <cell r="G165">
            <v>1</v>
          </cell>
          <cell r="H165" t="str">
            <v>I-805 NB</v>
          </cell>
          <cell r="I165">
            <v>60</v>
          </cell>
          <cell r="J165">
            <v>0</v>
          </cell>
          <cell r="K165" t="str">
            <v>KEARNY VILLA</v>
          </cell>
          <cell r="L165" t="str">
            <v>SR-163 NB</v>
          </cell>
          <cell r="M165">
            <v>96581</v>
          </cell>
          <cell r="N165">
            <v>24851</v>
          </cell>
          <cell r="O165">
            <v>15252</v>
          </cell>
          <cell r="P165" t="str">
            <v>PeMS2016</v>
          </cell>
        </row>
        <row r="166">
          <cell r="C166">
            <v>3</v>
          </cell>
          <cell r="D166">
            <v>1</v>
          </cell>
          <cell r="E166">
            <v>22715</v>
          </cell>
          <cell r="F166">
            <v>1</v>
          </cell>
          <cell r="G166">
            <v>1</v>
          </cell>
          <cell r="H166" t="str">
            <v>I-805 NB</v>
          </cell>
          <cell r="I166">
            <v>61</v>
          </cell>
          <cell r="J166">
            <v>0</v>
          </cell>
          <cell r="K166" t="str">
            <v>SR-163 NB</v>
          </cell>
          <cell r="L166" t="str">
            <v>SR-163 NB</v>
          </cell>
          <cell r="M166">
            <v>77507</v>
          </cell>
          <cell r="N166">
            <v>17420</v>
          </cell>
          <cell r="O166">
            <v>12590</v>
          </cell>
          <cell r="P166" t="str">
            <v>PeMS2016</v>
          </cell>
        </row>
        <row r="167">
          <cell r="C167">
            <v>3</v>
          </cell>
          <cell r="D167">
            <v>1</v>
          </cell>
          <cell r="E167">
            <v>757</v>
          </cell>
          <cell r="F167">
            <v>1</v>
          </cell>
          <cell r="G167">
            <v>1</v>
          </cell>
          <cell r="H167" t="str">
            <v>I-805 NB</v>
          </cell>
          <cell r="I167">
            <v>64</v>
          </cell>
          <cell r="J167">
            <v>0</v>
          </cell>
          <cell r="K167" t="str">
            <v>BALBOA</v>
          </cell>
          <cell r="L167" t="str">
            <v>BALBOA</v>
          </cell>
          <cell r="M167">
            <v>85157</v>
          </cell>
          <cell r="N167">
            <v>16622</v>
          </cell>
          <cell r="O167">
            <v>14910</v>
          </cell>
          <cell r="P167" t="str">
            <v>PeMS2016</v>
          </cell>
        </row>
        <row r="168">
          <cell r="C168">
            <v>3</v>
          </cell>
          <cell r="D168">
            <v>1</v>
          </cell>
          <cell r="E168">
            <v>760</v>
          </cell>
          <cell r="F168">
            <v>1</v>
          </cell>
          <cell r="G168">
            <v>1</v>
          </cell>
          <cell r="H168" t="str">
            <v>I-805 NB</v>
          </cell>
          <cell r="I168">
            <v>67</v>
          </cell>
          <cell r="J168">
            <v>0</v>
          </cell>
          <cell r="K168" t="str">
            <v>CLAIREMONT MESA</v>
          </cell>
          <cell r="L168" t="str">
            <v>SR-52 EB</v>
          </cell>
          <cell r="M168">
            <v>94619</v>
          </cell>
          <cell r="N168">
            <v>19109</v>
          </cell>
          <cell r="O168">
            <v>16603</v>
          </cell>
          <cell r="P168" t="str">
            <v>Caltran</v>
          </cell>
        </row>
        <row r="169">
          <cell r="C169">
            <v>3</v>
          </cell>
          <cell r="D169">
            <v>1</v>
          </cell>
          <cell r="E169">
            <v>762</v>
          </cell>
          <cell r="F169">
            <v>1</v>
          </cell>
          <cell r="G169">
            <v>1</v>
          </cell>
          <cell r="H169" t="str">
            <v>I-805 NB</v>
          </cell>
          <cell r="I169">
            <v>68</v>
          </cell>
          <cell r="J169">
            <v>0</v>
          </cell>
          <cell r="K169" t="str">
            <v>SR-52 EB</v>
          </cell>
          <cell r="L169" t="str">
            <v>SR-52 EB</v>
          </cell>
          <cell r="M169">
            <v>102772</v>
          </cell>
          <cell r="N169">
            <v>20175</v>
          </cell>
          <cell r="O169">
            <v>17573</v>
          </cell>
          <cell r="P169" t="str">
            <v>PeMS2016</v>
          </cell>
        </row>
        <row r="170">
          <cell r="C170">
            <v>3</v>
          </cell>
          <cell r="D170">
            <v>1</v>
          </cell>
          <cell r="E170">
            <v>59</v>
          </cell>
          <cell r="F170">
            <v>1</v>
          </cell>
          <cell r="G170">
            <v>1</v>
          </cell>
          <cell r="H170" t="str">
            <v>I-805 NB</v>
          </cell>
          <cell r="I170">
            <v>69</v>
          </cell>
          <cell r="J170">
            <v>0</v>
          </cell>
          <cell r="K170" t="str">
            <v>SR-52 EB</v>
          </cell>
          <cell r="L170" t="str">
            <v>SR-52 WB</v>
          </cell>
          <cell r="M170">
            <v>90563</v>
          </cell>
          <cell r="N170">
            <v>21854</v>
          </cell>
          <cell r="O170">
            <v>14405</v>
          </cell>
          <cell r="P170" t="str">
            <v>PeMS2016</v>
          </cell>
        </row>
        <row r="171">
          <cell r="C171">
            <v>3</v>
          </cell>
          <cell r="D171">
            <v>1</v>
          </cell>
          <cell r="E171">
            <v>15081</v>
          </cell>
          <cell r="F171">
            <v>1</v>
          </cell>
          <cell r="G171">
            <v>1</v>
          </cell>
          <cell r="H171" t="str">
            <v>I-805 NB</v>
          </cell>
          <cell r="I171">
            <v>72</v>
          </cell>
          <cell r="J171">
            <v>0</v>
          </cell>
          <cell r="K171" t="str">
            <v>GOVERNOR</v>
          </cell>
          <cell r="L171" t="str">
            <v>GOVERNOR</v>
          </cell>
          <cell r="M171">
            <v>98047</v>
          </cell>
          <cell r="N171">
            <v>23638</v>
          </cell>
          <cell r="O171">
            <v>15648</v>
          </cell>
          <cell r="P171" t="str">
            <v>PeMS2016</v>
          </cell>
        </row>
        <row r="172">
          <cell r="C172">
            <v>3</v>
          </cell>
          <cell r="D172">
            <v>1</v>
          </cell>
          <cell r="E172">
            <v>15064</v>
          </cell>
          <cell r="F172">
            <v>1</v>
          </cell>
          <cell r="G172">
            <v>1</v>
          </cell>
          <cell r="H172" t="str">
            <v>I-805 NB</v>
          </cell>
          <cell r="I172">
            <v>74</v>
          </cell>
          <cell r="J172">
            <v>0</v>
          </cell>
          <cell r="K172" t="str">
            <v>NOBEL</v>
          </cell>
          <cell r="L172" t="str">
            <v>MIRAMAR</v>
          </cell>
          <cell r="M172">
            <v>82822</v>
          </cell>
          <cell r="N172">
            <v>19381</v>
          </cell>
          <cell r="O172">
            <v>13509</v>
          </cell>
          <cell r="P172" t="str">
            <v>PeMS2016</v>
          </cell>
        </row>
        <row r="173">
          <cell r="C173">
            <v>3</v>
          </cell>
          <cell r="D173">
            <v>1</v>
          </cell>
          <cell r="E173">
            <v>23851</v>
          </cell>
          <cell r="F173">
            <v>1</v>
          </cell>
          <cell r="G173">
            <v>1</v>
          </cell>
          <cell r="H173" t="str">
            <v>I-805 NB</v>
          </cell>
          <cell r="I173">
            <v>75</v>
          </cell>
          <cell r="J173">
            <v>0</v>
          </cell>
          <cell r="K173" t="str">
            <v>MIRAMAR</v>
          </cell>
          <cell r="L173" t="str">
            <v>MIRAMAR</v>
          </cell>
          <cell r="M173">
            <v>71532</v>
          </cell>
          <cell r="N173">
            <v>16769</v>
          </cell>
          <cell r="O173">
            <v>12061</v>
          </cell>
          <cell r="P173" t="str">
            <v>PeMS2016</v>
          </cell>
        </row>
        <row r="174">
          <cell r="C174">
            <v>3</v>
          </cell>
          <cell r="D174">
            <v>1</v>
          </cell>
          <cell r="E174">
            <v>26788</v>
          </cell>
          <cell r="F174">
            <v>1</v>
          </cell>
          <cell r="G174">
            <v>1</v>
          </cell>
          <cell r="H174" t="str">
            <v>I-805 NB</v>
          </cell>
          <cell r="I174">
            <v>77</v>
          </cell>
          <cell r="J174">
            <v>0</v>
          </cell>
          <cell r="K174" t="str">
            <v>MIRAMAR</v>
          </cell>
          <cell r="L174" t="str">
            <v>MIRA MESA</v>
          </cell>
          <cell r="M174">
            <v>87549</v>
          </cell>
          <cell r="N174">
            <v>19040</v>
          </cell>
          <cell r="O174">
            <v>16973</v>
          </cell>
          <cell r="P174" t="str">
            <v>PeMS2016</v>
          </cell>
        </row>
        <row r="175">
          <cell r="C175">
            <v>3</v>
          </cell>
          <cell r="D175">
            <v>1</v>
          </cell>
          <cell r="E175">
            <v>589</v>
          </cell>
          <cell r="F175">
            <v>1</v>
          </cell>
          <cell r="G175">
            <v>1</v>
          </cell>
          <cell r="H175" t="str">
            <v>I-805 NB</v>
          </cell>
          <cell r="I175">
            <v>80</v>
          </cell>
          <cell r="J175">
            <v>0</v>
          </cell>
          <cell r="K175" t="str">
            <v>VISTA SORRENTO</v>
          </cell>
          <cell r="L175" t="str">
            <v>MIRA MESA</v>
          </cell>
          <cell r="M175">
            <v>55874</v>
          </cell>
          <cell r="N175">
            <v>9614</v>
          </cell>
          <cell r="O175">
            <v>11504</v>
          </cell>
          <cell r="P175" t="str">
            <v>PeMS2016</v>
          </cell>
        </row>
        <row r="176">
          <cell r="C176">
            <v>3</v>
          </cell>
          <cell r="D176">
            <v>1</v>
          </cell>
          <cell r="E176">
            <v>31198</v>
          </cell>
          <cell r="F176">
            <v>1</v>
          </cell>
          <cell r="G176">
            <v>1</v>
          </cell>
          <cell r="H176" t="str">
            <v>I-805 NB</v>
          </cell>
          <cell r="I176">
            <v>82</v>
          </cell>
          <cell r="J176">
            <v>0</v>
          </cell>
          <cell r="K176" t="str">
            <v>MIRA MESA</v>
          </cell>
          <cell r="L176" t="str">
            <v>I-5 NB</v>
          </cell>
          <cell r="M176">
            <v>83328</v>
          </cell>
          <cell r="N176">
            <v>12896</v>
          </cell>
          <cell r="O176">
            <v>21359</v>
          </cell>
          <cell r="P176" t="str">
            <v>Caltran</v>
          </cell>
        </row>
        <row r="177">
          <cell r="C177">
            <v>3</v>
          </cell>
          <cell r="D177">
            <v>1</v>
          </cell>
          <cell r="E177">
            <v>28796</v>
          </cell>
          <cell r="F177">
            <v>1</v>
          </cell>
          <cell r="G177">
            <v>1</v>
          </cell>
          <cell r="H177" t="str">
            <v>I-805 NB</v>
          </cell>
          <cell r="I177">
            <v>85</v>
          </cell>
          <cell r="J177">
            <v>0</v>
          </cell>
          <cell r="K177" t="str">
            <v>I-5 NB</v>
          </cell>
          <cell r="L177" t="str">
            <v>I-5 NB</v>
          </cell>
          <cell r="M177">
            <v>50818</v>
          </cell>
          <cell r="N177">
            <v>8821</v>
          </cell>
          <cell r="O177">
            <v>10271</v>
          </cell>
          <cell r="P177" t="str">
            <v>PeMS2016</v>
          </cell>
        </row>
        <row r="178">
          <cell r="C178">
            <v>33</v>
          </cell>
          <cell r="D178">
            <v>1</v>
          </cell>
          <cell r="E178">
            <v>29533</v>
          </cell>
          <cell r="F178">
            <v>1</v>
          </cell>
          <cell r="G178">
            <v>2</v>
          </cell>
          <cell r="H178" t="str">
            <v>I-805 HOV NB</v>
          </cell>
          <cell r="I178">
            <v>52</v>
          </cell>
          <cell r="J178">
            <v>1</v>
          </cell>
          <cell r="K178" t="str">
            <v>SR-52 WB</v>
          </cell>
          <cell r="L178" t="str">
            <v>MIRAMAR</v>
          </cell>
          <cell r="M178">
            <v>17020</v>
          </cell>
          <cell r="N178">
            <v>4386</v>
          </cell>
          <cell r="O178">
            <v>2778</v>
          </cell>
          <cell r="P178" t="str">
            <v>PeMS2016</v>
          </cell>
        </row>
        <row r="179">
          <cell r="C179">
            <v>33</v>
          </cell>
          <cell r="D179">
            <v>1</v>
          </cell>
          <cell r="E179">
            <v>24750</v>
          </cell>
          <cell r="F179">
            <v>1</v>
          </cell>
          <cell r="G179">
            <v>2</v>
          </cell>
          <cell r="H179" t="str">
            <v>I-805 HOV NB</v>
          </cell>
          <cell r="I179">
            <v>53</v>
          </cell>
          <cell r="J179">
            <v>0</v>
          </cell>
          <cell r="K179" t="str">
            <v>SR-52 WB</v>
          </cell>
          <cell r="L179" t="str">
            <v>MIRAMAR</v>
          </cell>
          <cell r="M179">
            <v>21196</v>
          </cell>
          <cell r="N179">
            <v>5074</v>
          </cell>
          <cell r="O179">
            <v>3346</v>
          </cell>
          <cell r="P179" t="str">
            <v>PeMS2016</v>
          </cell>
        </row>
        <row r="180">
          <cell r="C180">
            <v>33</v>
          </cell>
          <cell r="D180">
            <v>1</v>
          </cell>
          <cell r="E180">
            <v>663</v>
          </cell>
          <cell r="F180">
            <v>1</v>
          </cell>
          <cell r="G180">
            <v>2</v>
          </cell>
          <cell r="H180" t="str">
            <v>I-805 HOV NB</v>
          </cell>
          <cell r="I180">
            <v>56</v>
          </cell>
          <cell r="J180">
            <v>0</v>
          </cell>
          <cell r="K180" t="str">
            <v>ramp</v>
          </cell>
          <cell r="L180" t="str">
            <v>ramp I-805 NB</v>
          </cell>
          <cell r="M180">
            <v>20291</v>
          </cell>
          <cell r="N180">
            <v>3808</v>
          </cell>
          <cell r="O180">
            <v>4186</v>
          </cell>
          <cell r="P180" t="str">
            <v>PeMS2016</v>
          </cell>
        </row>
        <row r="181">
          <cell r="C181">
            <v>33</v>
          </cell>
          <cell r="D181">
            <v>1</v>
          </cell>
          <cell r="E181">
            <v>29553</v>
          </cell>
          <cell r="F181">
            <v>1</v>
          </cell>
          <cell r="G181">
            <v>2</v>
          </cell>
          <cell r="H181" t="str">
            <v>I-805 HOV NB</v>
          </cell>
          <cell r="I181">
            <v>61</v>
          </cell>
          <cell r="J181">
            <v>0</v>
          </cell>
          <cell r="K181" t="str">
            <v>ramp I-805 HOV NB</v>
          </cell>
          <cell r="L181" t="str">
            <v>ramp I-805 HOV NB</v>
          </cell>
          <cell r="M181">
            <v>8183</v>
          </cell>
          <cell r="N181">
            <v>1183</v>
          </cell>
          <cell r="O181">
            <v>2629</v>
          </cell>
          <cell r="P181" t="str">
            <v>PeMS2016</v>
          </cell>
        </row>
        <row r="182">
          <cell r="C182">
            <v>15</v>
          </cell>
          <cell r="D182">
            <v>3</v>
          </cell>
          <cell r="E182">
            <v>27540</v>
          </cell>
          <cell r="F182">
            <v>1</v>
          </cell>
          <cell r="G182">
            <v>1</v>
          </cell>
          <cell r="H182" t="str">
            <v>I-8 WB</v>
          </cell>
          <cell r="I182">
            <v>5</v>
          </cell>
          <cell r="J182">
            <v>7</v>
          </cell>
          <cell r="K182" t="str">
            <v>CORRIZO GORGE</v>
          </cell>
          <cell r="L182" t="str">
            <v>SR-94</v>
          </cell>
          <cell r="M182">
            <v>7157</v>
          </cell>
          <cell r="N182">
            <v>761</v>
          </cell>
          <cell r="O182">
            <v>1614</v>
          </cell>
          <cell r="P182" t="str">
            <v>Caltran</v>
          </cell>
        </row>
        <row r="183">
          <cell r="C183">
            <v>15</v>
          </cell>
          <cell r="D183">
            <v>3</v>
          </cell>
          <cell r="E183">
            <v>28270</v>
          </cell>
          <cell r="F183">
            <v>1</v>
          </cell>
          <cell r="G183">
            <v>1</v>
          </cell>
          <cell r="H183" t="str">
            <v>I-8 WB</v>
          </cell>
          <cell r="I183">
            <v>11</v>
          </cell>
          <cell r="J183">
            <v>2</v>
          </cell>
          <cell r="K183" t="str">
            <v>CAMERON TRUCK</v>
          </cell>
          <cell r="L183" t="str">
            <v>BUCKMAN SPRINGS</v>
          </cell>
          <cell r="M183">
            <v>8138</v>
          </cell>
          <cell r="N183">
            <v>950</v>
          </cell>
          <cell r="O183">
            <v>1811</v>
          </cell>
          <cell r="P183" t="str">
            <v>Caltran</v>
          </cell>
        </row>
        <row r="184">
          <cell r="C184">
            <v>15</v>
          </cell>
          <cell r="D184">
            <v>3</v>
          </cell>
          <cell r="E184">
            <v>28254</v>
          </cell>
          <cell r="F184">
            <v>1</v>
          </cell>
          <cell r="G184">
            <v>1</v>
          </cell>
          <cell r="H184" t="str">
            <v>I-8 WB</v>
          </cell>
          <cell r="I184">
            <v>17</v>
          </cell>
          <cell r="J184">
            <v>5</v>
          </cell>
          <cell r="K184" t="str">
            <v>PINE VALLEY</v>
          </cell>
          <cell r="L184" t="str">
            <v>JAPATUL VALLEY</v>
          </cell>
          <cell r="M184">
            <v>10533</v>
          </cell>
          <cell r="N184">
            <v>1575</v>
          </cell>
          <cell r="O184">
            <v>2191</v>
          </cell>
          <cell r="P184" t="str">
            <v>Caltran</v>
          </cell>
        </row>
        <row r="185">
          <cell r="C185">
            <v>15</v>
          </cell>
          <cell r="D185">
            <v>3</v>
          </cell>
          <cell r="E185">
            <v>28215</v>
          </cell>
          <cell r="F185">
            <v>1</v>
          </cell>
          <cell r="G185">
            <v>1</v>
          </cell>
          <cell r="H185" t="str">
            <v>I-8 WB</v>
          </cell>
          <cell r="I185">
            <v>27</v>
          </cell>
          <cell r="J185">
            <v>3</v>
          </cell>
          <cell r="K185" t="str">
            <v>DUNBAR</v>
          </cell>
          <cell r="L185" t="str">
            <v>LAKE JENNINGS PARK</v>
          </cell>
          <cell r="M185">
            <v>29297</v>
          </cell>
          <cell r="N185">
            <v>6146</v>
          </cell>
          <cell r="O185">
            <v>5692</v>
          </cell>
          <cell r="P185" t="str">
            <v>Caltran</v>
          </cell>
        </row>
        <row r="186">
          <cell r="C186">
            <v>15</v>
          </cell>
          <cell r="D186">
            <v>3</v>
          </cell>
          <cell r="E186">
            <v>28211</v>
          </cell>
          <cell r="F186">
            <v>1</v>
          </cell>
          <cell r="G186">
            <v>1</v>
          </cell>
          <cell r="H186" t="str">
            <v>I-8 WB</v>
          </cell>
          <cell r="I186">
            <v>28</v>
          </cell>
          <cell r="J186">
            <v>0</v>
          </cell>
          <cell r="K186" t="str">
            <v>LAKE JENNINGS PARK</v>
          </cell>
          <cell r="L186" t="str">
            <v>LAKE JENNINGS PARK</v>
          </cell>
          <cell r="M186">
            <v>25195</v>
          </cell>
          <cell r="N186">
            <v>5252</v>
          </cell>
          <cell r="O186">
            <v>4867</v>
          </cell>
          <cell r="P186" t="str">
            <v>PeMS2016</v>
          </cell>
        </row>
        <row r="187">
          <cell r="C187">
            <v>15</v>
          </cell>
          <cell r="D187">
            <v>3</v>
          </cell>
          <cell r="E187">
            <v>28206</v>
          </cell>
          <cell r="F187">
            <v>1</v>
          </cell>
          <cell r="G187">
            <v>1</v>
          </cell>
          <cell r="H187" t="str">
            <v>I-8 WB</v>
          </cell>
          <cell r="I187">
            <v>30</v>
          </cell>
          <cell r="J187">
            <v>1</v>
          </cell>
          <cell r="K187" t="str">
            <v>LAKE JENNINGS PARK</v>
          </cell>
          <cell r="L187" t="str">
            <v>CAM CANADA</v>
          </cell>
          <cell r="M187">
            <v>36597</v>
          </cell>
          <cell r="N187">
            <v>8141</v>
          </cell>
          <cell r="O187">
            <v>7200</v>
          </cell>
          <cell r="P187" t="str">
            <v>PeMS2016</v>
          </cell>
        </row>
        <row r="188">
          <cell r="C188">
            <v>15</v>
          </cell>
          <cell r="D188">
            <v>3</v>
          </cell>
          <cell r="E188">
            <v>28638</v>
          </cell>
          <cell r="F188">
            <v>1</v>
          </cell>
          <cell r="G188">
            <v>1</v>
          </cell>
          <cell r="H188" t="str">
            <v>I-8 WB</v>
          </cell>
          <cell r="I188">
            <v>31</v>
          </cell>
          <cell r="J188">
            <v>0</v>
          </cell>
          <cell r="K188" t="str">
            <v>CAM CANADA</v>
          </cell>
          <cell r="L188" t="str">
            <v>CAM CANADA</v>
          </cell>
          <cell r="M188">
            <v>33860</v>
          </cell>
          <cell r="N188">
            <v>7687</v>
          </cell>
          <cell r="O188">
            <v>6569</v>
          </cell>
          <cell r="P188" t="str">
            <v>PeMS2016</v>
          </cell>
        </row>
        <row r="189">
          <cell r="C189">
            <v>15</v>
          </cell>
          <cell r="D189">
            <v>3</v>
          </cell>
          <cell r="E189">
            <v>28637</v>
          </cell>
          <cell r="F189">
            <v>1</v>
          </cell>
          <cell r="G189">
            <v>1</v>
          </cell>
          <cell r="H189" t="str">
            <v>I-8 WB</v>
          </cell>
          <cell r="I189">
            <v>32</v>
          </cell>
          <cell r="J189">
            <v>0</v>
          </cell>
          <cell r="K189" t="str">
            <v>CAM CANADA</v>
          </cell>
          <cell r="L189" t="str">
            <v>GREENFIELD</v>
          </cell>
          <cell r="M189">
            <v>43206</v>
          </cell>
          <cell r="N189">
            <v>9135</v>
          </cell>
          <cell r="O189">
            <v>8766</v>
          </cell>
          <cell r="P189" t="str">
            <v>PeMS2016</v>
          </cell>
        </row>
        <row r="190">
          <cell r="C190">
            <v>15</v>
          </cell>
          <cell r="D190">
            <v>3</v>
          </cell>
          <cell r="E190">
            <v>28200</v>
          </cell>
          <cell r="F190">
            <v>1</v>
          </cell>
          <cell r="G190">
            <v>1</v>
          </cell>
          <cell r="H190" t="str">
            <v>I-8 WB</v>
          </cell>
          <cell r="I190">
            <v>34</v>
          </cell>
          <cell r="J190">
            <v>0</v>
          </cell>
          <cell r="K190" t="str">
            <v>GREENFIELD</v>
          </cell>
          <cell r="L190" t="str">
            <v>GREENFIELD</v>
          </cell>
          <cell r="M190">
            <v>39155</v>
          </cell>
          <cell r="N190">
            <v>8848</v>
          </cell>
          <cell r="O190">
            <v>7575</v>
          </cell>
          <cell r="P190" t="str">
            <v>PeMS2016</v>
          </cell>
        </row>
        <row r="191">
          <cell r="C191">
            <v>15</v>
          </cell>
          <cell r="D191">
            <v>3</v>
          </cell>
          <cell r="E191">
            <v>28197</v>
          </cell>
          <cell r="F191">
            <v>1</v>
          </cell>
          <cell r="G191">
            <v>1</v>
          </cell>
          <cell r="H191" t="str">
            <v>I-8 WB</v>
          </cell>
          <cell r="I191">
            <v>35</v>
          </cell>
          <cell r="J191">
            <v>0</v>
          </cell>
          <cell r="K191" t="str">
            <v>GREENFIELD</v>
          </cell>
          <cell r="L191" t="str">
            <v>SR  54</v>
          </cell>
          <cell r="M191">
            <v>50634</v>
          </cell>
          <cell r="N191">
            <v>11638</v>
          </cell>
          <cell r="O191">
            <v>9769</v>
          </cell>
          <cell r="P191" t="str">
            <v>PeMS2016</v>
          </cell>
        </row>
        <row r="192">
          <cell r="C192">
            <v>15</v>
          </cell>
          <cell r="D192">
            <v>3</v>
          </cell>
          <cell r="E192">
            <v>28195</v>
          </cell>
          <cell r="F192">
            <v>1</v>
          </cell>
          <cell r="G192">
            <v>1</v>
          </cell>
          <cell r="H192" t="str">
            <v>I-8 WB</v>
          </cell>
          <cell r="I192">
            <v>36</v>
          </cell>
          <cell r="J192">
            <v>0</v>
          </cell>
          <cell r="K192" t="str">
            <v>SR  54</v>
          </cell>
          <cell r="L192" t="str">
            <v>MAIN</v>
          </cell>
          <cell r="M192">
            <v>50634</v>
          </cell>
          <cell r="N192">
            <v>11638</v>
          </cell>
          <cell r="O192">
            <v>9769</v>
          </cell>
          <cell r="P192" t="str">
            <v>PeMS2016</v>
          </cell>
        </row>
        <row r="193">
          <cell r="C193">
            <v>15</v>
          </cell>
          <cell r="D193">
            <v>3</v>
          </cell>
          <cell r="E193">
            <v>28634</v>
          </cell>
          <cell r="F193">
            <v>1</v>
          </cell>
          <cell r="G193">
            <v>1</v>
          </cell>
          <cell r="H193" t="str">
            <v>I-8 WB</v>
          </cell>
          <cell r="I193">
            <v>37</v>
          </cell>
          <cell r="J193">
            <v>0</v>
          </cell>
          <cell r="K193" t="str">
            <v>MAIN</v>
          </cell>
          <cell r="L193" t="str">
            <v>SR  54</v>
          </cell>
          <cell r="M193">
            <v>46366</v>
          </cell>
          <cell r="N193">
            <v>10892</v>
          </cell>
          <cell r="O193">
            <v>8745</v>
          </cell>
          <cell r="P193" t="str">
            <v>PeMS2016</v>
          </cell>
        </row>
        <row r="194">
          <cell r="C194">
            <v>15</v>
          </cell>
          <cell r="D194">
            <v>3</v>
          </cell>
          <cell r="E194">
            <v>28379</v>
          </cell>
          <cell r="F194">
            <v>1</v>
          </cell>
          <cell r="G194">
            <v>1</v>
          </cell>
          <cell r="H194" t="str">
            <v>I-8 WB</v>
          </cell>
          <cell r="I194">
            <v>38</v>
          </cell>
          <cell r="J194">
            <v>0</v>
          </cell>
          <cell r="K194" t="str">
            <v>MAIN</v>
          </cell>
          <cell r="L194" t="str">
            <v>SR  54</v>
          </cell>
          <cell r="M194">
            <v>46366</v>
          </cell>
          <cell r="N194">
            <v>10892</v>
          </cell>
          <cell r="O194">
            <v>8745</v>
          </cell>
          <cell r="P194" t="str">
            <v>PeMS2016</v>
          </cell>
        </row>
        <row r="195">
          <cell r="C195">
            <v>15</v>
          </cell>
          <cell r="D195">
            <v>3</v>
          </cell>
          <cell r="E195">
            <v>28193</v>
          </cell>
          <cell r="F195">
            <v>1</v>
          </cell>
          <cell r="G195">
            <v>1</v>
          </cell>
          <cell r="H195" t="str">
            <v>I-8 WB</v>
          </cell>
          <cell r="I195">
            <v>39</v>
          </cell>
          <cell r="J195">
            <v>0</v>
          </cell>
          <cell r="K195" t="str">
            <v>02ND</v>
          </cell>
          <cell r="L195" t="str">
            <v>02ND</v>
          </cell>
          <cell r="M195">
            <v>44272</v>
          </cell>
          <cell r="N195">
            <v>10609</v>
          </cell>
          <cell r="O195">
            <v>8290</v>
          </cell>
          <cell r="P195" t="str">
            <v>PeMS2016</v>
          </cell>
        </row>
        <row r="196">
          <cell r="C196">
            <v>15</v>
          </cell>
          <cell r="D196">
            <v>3</v>
          </cell>
          <cell r="E196">
            <v>28188</v>
          </cell>
          <cell r="F196">
            <v>1</v>
          </cell>
          <cell r="G196">
            <v>1</v>
          </cell>
          <cell r="H196" t="str">
            <v>I-8 WB</v>
          </cell>
          <cell r="I196">
            <v>40</v>
          </cell>
          <cell r="J196">
            <v>0</v>
          </cell>
          <cell r="K196" t="str">
            <v>02ND</v>
          </cell>
          <cell r="L196" t="str">
            <v>MOLLISON</v>
          </cell>
          <cell r="M196">
            <v>66615</v>
          </cell>
          <cell r="N196">
            <v>15176</v>
          </cell>
          <cell r="O196">
            <v>12716</v>
          </cell>
          <cell r="P196" t="str">
            <v>PeMS2016</v>
          </cell>
        </row>
        <row r="197">
          <cell r="C197">
            <v>15</v>
          </cell>
          <cell r="D197">
            <v>3</v>
          </cell>
          <cell r="E197">
            <v>28182</v>
          </cell>
          <cell r="F197">
            <v>1</v>
          </cell>
          <cell r="G197">
            <v>1</v>
          </cell>
          <cell r="H197" t="str">
            <v>I-8 WB</v>
          </cell>
          <cell r="I197">
            <v>41</v>
          </cell>
          <cell r="J197">
            <v>0</v>
          </cell>
          <cell r="K197" t="str">
            <v>MOLLISON</v>
          </cell>
          <cell r="L197" t="str">
            <v>MOLLISON</v>
          </cell>
          <cell r="M197">
            <v>63692</v>
          </cell>
          <cell r="N197">
            <v>14664</v>
          </cell>
          <cell r="O197">
            <v>12056</v>
          </cell>
          <cell r="P197" t="str">
            <v>PeMS2016</v>
          </cell>
        </row>
        <row r="198">
          <cell r="C198">
            <v>15</v>
          </cell>
          <cell r="D198">
            <v>3</v>
          </cell>
          <cell r="E198">
            <v>28178</v>
          </cell>
          <cell r="F198">
            <v>1</v>
          </cell>
          <cell r="G198">
            <v>1</v>
          </cell>
          <cell r="H198" t="str">
            <v>I-8 WB</v>
          </cell>
          <cell r="I198">
            <v>42</v>
          </cell>
          <cell r="J198">
            <v>0</v>
          </cell>
          <cell r="K198" t="str">
            <v>MOLLISON</v>
          </cell>
          <cell r="L198" t="str">
            <v>SR-67 NB</v>
          </cell>
          <cell r="M198">
            <v>52433</v>
          </cell>
          <cell r="N198">
            <v>12747</v>
          </cell>
          <cell r="O198">
            <v>9963</v>
          </cell>
          <cell r="P198" t="str">
            <v>PeMS2016</v>
          </cell>
        </row>
        <row r="199">
          <cell r="C199">
            <v>15</v>
          </cell>
          <cell r="D199">
            <v>3</v>
          </cell>
          <cell r="E199">
            <v>20727</v>
          </cell>
          <cell r="F199">
            <v>1</v>
          </cell>
          <cell r="G199">
            <v>1</v>
          </cell>
          <cell r="H199" t="str">
            <v>I-8 WB</v>
          </cell>
          <cell r="I199">
            <v>43</v>
          </cell>
          <cell r="J199">
            <v>0</v>
          </cell>
          <cell r="K199" t="str">
            <v>SR-67 NB</v>
          </cell>
          <cell r="L199" t="str">
            <v>SR-67 SB</v>
          </cell>
          <cell r="M199">
            <v>52427</v>
          </cell>
          <cell r="N199">
            <v>12697</v>
          </cell>
          <cell r="O199">
            <v>10019</v>
          </cell>
          <cell r="P199" t="str">
            <v>PeMS2016</v>
          </cell>
        </row>
        <row r="200">
          <cell r="C200">
            <v>15</v>
          </cell>
          <cell r="D200">
            <v>3</v>
          </cell>
          <cell r="E200">
            <v>20730</v>
          </cell>
          <cell r="F200">
            <v>1</v>
          </cell>
          <cell r="G200">
            <v>1</v>
          </cell>
          <cell r="H200" t="str">
            <v>I-8 WB</v>
          </cell>
          <cell r="I200">
            <v>44</v>
          </cell>
          <cell r="J200">
            <v>0</v>
          </cell>
          <cell r="K200" t="str">
            <v>SR-67 SB</v>
          </cell>
          <cell r="L200" t="str">
            <v>JOHNSON</v>
          </cell>
          <cell r="M200">
            <v>87450</v>
          </cell>
          <cell r="N200">
            <v>19145</v>
          </cell>
          <cell r="O200">
            <v>18455</v>
          </cell>
          <cell r="P200" t="str">
            <v>PeMS2016</v>
          </cell>
        </row>
        <row r="201">
          <cell r="C201">
            <v>15</v>
          </cell>
          <cell r="D201">
            <v>3</v>
          </cell>
          <cell r="E201">
            <v>11056</v>
          </cell>
          <cell r="F201">
            <v>1</v>
          </cell>
          <cell r="G201">
            <v>1</v>
          </cell>
          <cell r="H201" t="str">
            <v>I-8 WB</v>
          </cell>
          <cell r="I201">
            <v>46</v>
          </cell>
          <cell r="J201">
            <v>0</v>
          </cell>
          <cell r="K201" t="str">
            <v>MAIN</v>
          </cell>
          <cell r="L201" t="str">
            <v>MAIN</v>
          </cell>
          <cell r="M201">
            <v>88709</v>
          </cell>
          <cell r="N201">
            <v>18815</v>
          </cell>
          <cell r="O201">
            <v>19260</v>
          </cell>
          <cell r="P201" t="str">
            <v>PeMS2016</v>
          </cell>
        </row>
        <row r="202">
          <cell r="C202">
            <v>15</v>
          </cell>
          <cell r="D202">
            <v>3</v>
          </cell>
          <cell r="E202">
            <v>11263</v>
          </cell>
          <cell r="F202">
            <v>1</v>
          </cell>
          <cell r="G202">
            <v>1</v>
          </cell>
          <cell r="H202" t="str">
            <v>I-8 WB</v>
          </cell>
          <cell r="I202">
            <v>47</v>
          </cell>
          <cell r="J202">
            <v>1</v>
          </cell>
          <cell r="K202" t="str">
            <v>MAIN</v>
          </cell>
          <cell r="L202" t="str">
            <v>EL CAJON</v>
          </cell>
          <cell r="M202">
            <v>98312</v>
          </cell>
          <cell r="N202">
            <v>20514</v>
          </cell>
          <cell r="O202">
            <v>21553</v>
          </cell>
          <cell r="P202" t="str">
            <v>PeMS2016</v>
          </cell>
        </row>
        <row r="203">
          <cell r="C203">
            <v>15</v>
          </cell>
          <cell r="D203">
            <v>3</v>
          </cell>
          <cell r="E203">
            <v>11266</v>
          </cell>
          <cell r="F203">
            <v>1</v>
          </cell>
          <cell r="G203">
            <v>1</v>
          </cell>
          <cell r="H203" t="str">
            <v>I-8 WB</v>
          </cell>
          <cell r="I203">
            <v>48</v>
          </cell>
          <cell r="J203">
            <v>0</v>
          </cell>
          <cell r="K203" t="str">
            <v>EL CAJON</v>
          </cell>
          <cell r="L203" t="str">
            <v>MURRAY</v>
          </cell>
          <cell r="M203">
            <v>126005</v>
          </cell>
          <cell r="N203">
            <v>26250</v>
          </cell>
          <cell r="O203">
            <v>27071</v>
          </cell>
          <cell r="P203" t="str">
            <v>PeMS2016</v>
          </cell>
        </row>
        <row r="204">
          <cell r="C204">
            <v>15</v>
          </cell>
          <cell r="D204">
            <v>3</v>
          </cell>
          <cell r="E204">
            <v>11290</v>
          </cell>
          <cell r="F204">
            <v>1</v>
          </cell>
          <cell r="G204">
            <v>1</v>
          </cell>
          <cell r="H204" t="str">
            <v>I-8 WB</v>
          </cell>
          <cell r="I204">
            <v>50</v>
          </cell>
          <cell r="J204">
            <v>0</v>
          </cell>
          <cell r="K204" t="str">
            <v>SR-125 SB</v>
          </cell>
          <cell r="L204" t="str">
            <v>LA MESA</v>
          </cell>
          <cell r="M204">
            <v>57748</v>
          </cell>
          <cell r="N204">
            <v>13169</v>
          </cell>
          <cell r="O204">
            <v>11961</v>
          </cell>
          <cell r="P204" t="str">
            <v>PeMS2016</v>
          </cell>
        </row>
        <row r="205">
          <cell r="C205">
            <v>15</v>
          </cell>
          <cell r="D205">
            <v>3</v>
          </cell>
          <cell r="E205">
            <v>28396</v>
          </cell>
          <cell r="F205">
            <v>1</v>
          </cell>
          <cell r="G205">
            <v>1</v>
          </cell>
          <cell r="H205" t="str">
            <v>I-8 WB</v>
          </cell>
          <cell r="I205">
            <v>51</v>
          </cell>
          <cell r="J205">
            <v>0</v>
          </cell>
          <cell r="K205" t="str">
            <v>LA MESA</v>
          </cell>
          <cell r="L205" t="str">
            <v>SR-125 NB</v>
          </cell>
          <cell r="M205">
            <v>57307</v>
          </cell>
          <cell r="N205">
            <v>13076</v>
          </cell>
          <cell r="O205">
            <v>11849</v>
          </cell>
          <cell r="P205" t="str">
            <v>PeMS2016</v>
          </cell>
        </row>
        <row r="206">
          <cell r="C206">
            <v>15</v>
          </cell>
          <cell r="D206">
            <v>3</v>
          </cell>
          <cell r="E206">
            <v>28397</v>
          </cell>
          <cell r="F206">
            <v>1</v>
          </cell>
          <cell r="G206">
            <v>1</v>
          </cell>
          <cell r="H206" t="str">
            <v>I-8 WB</v>
          </cell>
          <cell r="I206">
            <v>54</v>
          </cell>
          <cell r="J206">
            <v>0</v>
          </cell>
          <cell r="K206" t="str">
            <v>JACKSON</v>
          </cell>
          <cell r="L206" t="str">
            <v>JACKSON</v>
          </cell>
          <cell r="M206">
            <v>90731</v>
          </cell>
          <cell r="N206">
            <v>19159</v>
          </cell>
          <cell r="O206">
            <v>19074</v>
          </cell>
          <cell r="P206" t="str">
            <v>PeMS2016</v>
          </cell>
        </row>
        <row r="207">
          <cell r="C207">
            <v>15</v>
          </cell>
          <cell r="D207">
            <v>3</v>
          </cell>
          <cell r="E207">
            <v>28144</v>
          </cell>
          <cell r="F207">
            <v>1</v>
          </cell>
          <cell r="G207">
            <v>1</v>
          </cell>
          <cell r="H207" t="str">
            <v>I-8 WB</v>
          </cell>
          <cell r="I207">
            <v>55</v>
          </cell>
          <cell r="J207">
            <v>0</v>
          </cell>
          <cell r="K207" t="str">
            <v>JACKSON</v>
          </cell>
          <cell r="L207" t="str">
            <v>EL CAJON</v>
          </cell>
          <cell r="M207">
            <v>96859</v>
          </cell>
          <cell r="N207">
            <v>19447</v>
          </cell>
          <cell r="O207">
            <v>20572</v>
          </cell>
          <cell r="P207" t="str">
            <v>Caltran</v>
          </cell>
        </row>
        <row r="208">
          <cell r="C208">
            <v>15</v>
          </cell>
          <cell r="D208">
            <v>3</v>
          </cell>
          <cell r="E208">
            <v>20731</v>
          </cell>
          <cell r="F208">
            <v>1</v>
          </cell>
          <cell r="G208">
            <v>1</v>
          </cell>
          <cell r="H208" t="str">
            <v>I-8 WB</v>
          </cell>
          <cell r="I208">
            <v>56</v>
          </cell>
          <cell r="J208">
            <v>0</v>
          </cell>
          <cell r="K208" t="str">
            <v>EL CAJON</v>
          </cell>
          <cell r="L208" t="str">
            <v>SPRING</v>
          </cell>
          <cell r="M208">
            <v>79966</v>
          </cell>
          <cell r="N208">
            <v>17050</v>
          </cell>
          <cell r="O208">
            <v>16431</v>
          </cell>
          <cell r="P208" t="str">
            <v>PeMS2016</v>
          </cell>
        </row>
        <row r="209">
          <cell r="C209">
            <v>15</v>
          </cell>
          <cell r="D209">
            <v>3</v>
          </cell>
          <cell r="E209">
            <v>28124</v>
          </cell>
          <cell r="F209">
            <v>1</v>
          </cell>
          <cell r="G209">
            <v>1</v>
          </cell>
          <cell r="H209" t="str">
            <v>I-8 WB</v>
          </cell>
          <cell r="I209">
            <v>58</v>
          </cell>
          <cell r="J209">
            <v>0</v>
          </cell>
          <cell r="K209" t="str">
            <v>FLETCHER</v>
          </cell>
          <cell r="L209" t="str">
            <v>FLETCHER</v>
          </cell>
          <cell r="M209">
            <v>83618</v>
          </cell>
          <cell r="N209">
            <v>18767</v>
          </cell>
          <cell r="O209">
            <v>16883</v>
          </cell>
          <cell r="P209" t="str">
            <v>PeMS2016</v>
          </cell>
        </row>
        <row r="210">
          <cell r="C210">
            <v>15</v>
          </cell>
          <cell r="D210">
            <v>3</v>
          </cell>
          <cell r="E210">
            <v>28120</v>
          </cell>
          <cell r="F210">
            <v>1</v>
          </cell>
          <cell r="G210">
            <v>1</v>
          </cell>
          <cell r="H210" t="str">
            <v>I-8 WB</v>
          </cell>
          <cell r="I210">
            <v>59</v>
          </cell>
          <cell r="J210">
            <v>0</v>
          </cell>
          <cell r="K210" t="str">
            <v>FLETCHER</v>
          </cell>
          <cell r="L210" t="str">
            <v>LAKE MURRAY</v>
          </cell>
          <cell r="M210">
            <v>96581</v>
          </cell>
          <cell r="N210">
            <v>22353</v>
          </cell>
          <cell r="O210">
            <v>19080</v>
          </cell>
          <cell r="P210" t="str">
            <v>PeMS2016</v>
          </cell>
        </row>
        <row r="211">
          <cell r="C211">
            <v>15</v>
          </cell>
          <cell r="D211">
            <v>3</v>
          </cell>
          <cell r="E211">
            <v>28118</v>
          </cell>
          <cell r="F211">
            <v>1</v>
          </cell>
          <cell r="G211">
            <v>1</v>
          </cell>
          <cell r="H211" t="str">
            <v>I-8 WB</v>
          </cell>
          <cell r="I211">
            <v>60</v>
          </cell>
          <cell r="J211">
            <v>0</v>
          </cell>
          <cell r="K211" t="str">
            <v>LAKE MURRAY</v>
          </cell>
          <cell r="L211" t="str">
            <v>LAKE MURRAY</v>
          </cell>
          <cell r="M211">
            <v>88696</v>
          </cell>
          <cell r="N211">
            <v>20941</v>
          </cell>
          <cell r="O211">
            <v>17488</v>
          </cell>
          <cell r="P211" t="str">
            <v>PeMS2016</v>
          </cell>
        </row>
        <row r="212">
          <cell r="C212">
            <v>15</v>
          </cell>
          <cell r="D212">
            <v>3</v>
          </cell>
          <cell r="E212">
            <v>15458</v>
          </cell>
          <cell r="F212">
            <v>1</v>
          </cell>
          <cell r="G212">
            <v>1</v>
          </cell>
          <cell r="H212" t="str">
            <v>I-8 WB</v>
          </cell>
          <cell r="I212">
            <v>62</v>
          </cell>
          <cell r="J212">
            <v>0</v>
          </cell>
          <cell r="K212" t="str">
            <v>LAKE MURRAY</v>
          </cell>
          <cell r="L212" t="str">
            <v>COLLEGE</v>
          </cell>
          <cell r="M212">
            <v>97668</v>
          </cell>
          <cell r="N212">
            <v>23077</v>
          </cell>
          <cell r="O212">
            <v>18996</v>
          </cell>
          <cell r="P212" t="str">
            <v>Caltran</v>
          </cell>
        </row>
        <row r="213">
          <cell r="C213">
            <v>15</v>
          </cell>
          <cell r="D213">
            <v>3</v>
          </cell>
          <cell r="E213">
            <v>15456</v>
          </cell>
          <cell r="F213">
            <v>1</v>
          </cell>
          <cell r="G213">
            <v>1</v>
          </cell>
          <cell r="H213" t="str">
            <v>I-8 WB</v>
          </cell>
          <cell r="I213">
            <v>63</v>
          </cell>
          <cell r="J213">
            <v>0</v>
          </cell>
          <cell r="K213" t="str">
            <v>COLLEGE</v>
          </cell>
          <cell r="L213" t="str">
            <v>COLLEGE</v>
          </cell>
          <cell r="M213">
            <v>98040</v>
          </cell>
          <cell r="N213">
            <v>24654</v>
          </cell>
          <cell r="O213">
            <v>18472</v>
          </cell>
          <cell r="P213" t="str">
            <v>PeMS2016</v>
          </cell>
        </row>
        <row r="214">
          <cell r="C214">
            <v>15</v>
          </cell>
          <cell r="D214">
            <v>3</v>
          </cell>
          <cell r="E214">
            <v>15442</v>
          </cell>
          <cell r="F214">
            <v>1</v>
          </cell>
          <cell r="G214">
            <v>1</v>
          </cell>
          <cell r="H214" t="str">
            <v>I-8 WB</v>
          </cell>
          <cell r="I214">
            <v>64</v>
          </cell>
          <cell r="J214">
            <v>0</v>
          </cell>
          <cell r="K214" t="str">
            <v>COLLEGE</v>
          </cell>
          <cell r="L214" t="str">
            <v>WARING</v>
          </cell>
          <cell r="M214">
            <v>116873</v>
          </cell>
          <cell r="N214">
            <v>27332</v>
          </cell>
          <cell r="O214">
            <v>22776</v>
          </cell>
          <cell r="P214" t="str">
            <v>Caltran</v>
          </cell>
        </row>
        <row r="215">
          <cell r="C215">
            <v>15</v>
          </cell>
          <cell r="D215">
            <v>3</v>
          </cell>
          <cell r="E215">
            <v>15439</v>
          </cell>
          <cell r="F215">
            <v>1</v>
          </cell>
          <cell r="G215">
            <v>1</v>
          </cell>
          <cell r="H215" t="str">
            <v>I-8 WB</v>
          </cell>
          <cell r="I215">
            <v>65</v>
          </cell>
          <cell r="J215">
            <v>0</v>
          </cell>
          <cell r="K215" t="str">
            <v>WARING</v>
          </cell>
          <cell r="L215" t="str">
            <v>WARING</v>
          </cell>
          <cell r="M215">
            <v>115726</v>
          </cell>
          <cell r="N215">
            <v>27493</v>
          </cell>
          <cell r="O215">
            <v>22466</v>
          </cell>
          <cell r="P215" t="str">
            <v>PeMS2016</v>
          </cell>
        </row>
        <row r="216">
          <cell r="C216">
            <v>15</v>
          </cell>
          <cell r="D216">
            <v>3</v>
          </cell>
          <cell r="E216">
            <v>15430</v>
          </cell>
          <cell r="F216">
            <v>1</v>
          </cell>
          <cell r="G216">
            <v>1</v>
          </cell>
          <cell r="H216" t="str">
            <v>I-8 WB</v>
          </cell>
          <cell r="I216">
            <v>66</v>
          </cell>
          <cell r="J216">
            <v>0</v>
          </cell>
          <cell r="K216" t="str">
            <v>WARING</v>
          </cell>
          <cell r="L216" t="str">
            <v>FAIRMOUNT</v>
          </cell>
          <cell r="M216">
            <v>125614</v>
          </cell>
          <cell r="N216">
            <v>29786</v>
          </cell>
          <cell r="O216">
            <v>24478</v>
          </cell>
          <cell r="P216" t="str">
            <v>PeMS2016</v>
          </cell>
        </row>
        <row r="217">
          <cell r="C217">
            <v>15</v>
          </cell>
          <cell r="D217">
            <v>3</v>
          </cell>
          <cell r="E217">
            <v>15425</v>
          </cell>
          <cell r="F217">
            <v>1</v>
          </cell>
          <cell r="G217">
            <v>1</v>
          </cell>
          <cell r="H217" t="str">
            <v>I-8 WB</v>
          </cell>
          <cell r="I217">
            <v>67</v>
          </cell>
          <cell r="J217">
            <v>0</v>
          </cell>
          <cell r="K217" t="str">
            <v>FAIRMOUNT</v>
          </cell>
          <cell r="L217" t="str">
            <v>I-15 NB</v>
          </cell>
          <cell r="M217">
            <v>120341</v>
          </cell>
          <cell r="N217">
            <v>29017</v>
          </cell>
          <cell r="O217">
            <v>22829</v>
          </cell>
          <cell r="P217" t="str">
            <v>PeMS2016</v>
          </cell>
        </row>
        <row r="218">
          <cell r="C218">
            <v>15</v>
          </cell>
          <cell r="D218">
            <v>3</v>
          </cell>
          <cell r="E218">
            <v>16533</v>
          </cell>
          <cell r="F218">
            <v>1</v>
          </cell>
          <cell r="G218">
            <v>1</v>
          </cell>
          <cell r="H218" t="str">
            <v>I-8 WB</v>
          </cell>
          <cell r="I218">
            <v>69</v>
          </cell>
          <cell r="J218">
            <v>0</v>
          </cell>
          <cell r="K218" t="str">
            <v>I-15 NB</v>
          </cell>
          <cell r="L218" t="str">
            <v>I-15 NB</v>
          </cell>
          <cell r="M218">
            <v>77622</v>
          </cell>
          <cell r="N218">
            <v>18795</v>
          </cell>
          <cell r="O218">
            <v>15169</v>
          </cell>
          <cell r="P218" t="str">
            <v>PeMS2016</v>
          </cell>
        </row>
        <row r="219">
          <cell r="C219">
            <v>15</v>
          </cell>
          <cell r="D219">
            <v>3</v>
          </cell>
          <cell r="E219">
            <v>10998</v>
          </cell>
          <cell r="F219">
            <v>1</v>
          </cell>
          <cell r="G219">
            <v>1</v>
          </cell>
          <cell r="H219" t="str">
            <v>I-8 WB</v>
          </cell>
          <cell r="I219">
            <v>70</v>
          </cell>
          <cell r="J219">
            <v>0</v>
          </cell>
          <cell r="K219" t="str">
            <v>I-15 NB</v>
          </cell>
          <cell r="L219" t="str">
            <v>I-805 NB</v>
          </cell>
          <cell r="M219">
            <v>111690</v>
          </cell>
          <cell r="N219">
            <v>26758</v>
          </cell>
          <cell r="O219">
            <v>21986</v>
          </cell>
          <cell r="P219" t="str">
            <v>PeMS2016</v>
          </cell>
        </row>
        <row r="220">
          <cell r="C220">
            <v>15</v>
          </cell>
          <cell r="D220">
            <v>3</v>
          </cell>
          <cell r="E220">
            <v>10994</v>
          </cell>
          <cell r="F220">
            <v>1</v>
          </cell>
          <cell r="G220">
            <v>1</v>
          </cell>
          <cell r="H220" t="str">
            <v>I-8 WB</v>
          </cell>
          <cell r="I220">
            <v>71</v>
          </cell>
          <cell r="J220">
            <v>0</v>
          </cell>
          <cell r="K220" t="str">
            <v>I-805 NB</v>
          </cell>
          <cell r="L220" t="str">
            <v>TEXAS</v>
          </cell>
          <cell r="M220">
            <v>86219</v>
          </cell>
          <cell r="N220">
            <v>20209</v>
          </cell>
          <cell r="O220">
            <v>17634</v>
          </cell>
          <cell r="P220" t="str">
            <v>PeMS2016</v>
          </cell>
        </row>
        <row r="221">
          <cell r="C221">
            <v>15</v>
          </cell>
          <cell r="D221">
            <v>3</v>
          </cell>
          <cell r="E221">
            <v>10991</v>
          </cell>
          <cell r="F221">
            <v>1</v>
          </cell>
          <cell r="G221">
            <v>1</v>
          </cell>
          <cell r="H221" t="str">
            <v>I-8 WB</v>
          </cell>
          <cell r="I221">
            <v>73</v>
          </cell>
          <cell r="J221">
            <v>0</v>
          </cell>
          <cell r="K221" t="str">
            <v>TEXAS</v>
          </cell>
          <cell r="L221" t="str">
            <v>I-805 NB</v>
          </cell>
          <cell r="M221">
            <v>77133</v>
          </cell>
          <cell r="N221">
            <v>18288</v>
          </cell>
          <cell r="O221">
            <v>15627</v>
          </cell>
          <cell r="P221" t="str">
            <v>PeMS2016</v>
          </cell>
        </row>
        <row r="222">
          <cell r="C222">
            <v>15</v>
          </cell>
          <cell r="D222">
            <v>3</v>
          </cell>
          <cell r="E222">
            <v>16085</v>
          </cell>
          <cell r="F222">
            <v>1</v>
          </cell>
          <cell r="G222">
            <v>1</v>
          </cell>
          <cell r="H222" t="str">
            <v>I-8 WB</v>
          </cell>
          <cell r="I222">
            <v>75</v>
          </cell>
          <cell r="J222">
            <v>0</v>
          </cell>
          <cell r="K222" t="str">
            <v>TEXAS</v>
          </cell>
          <cell r="L222" t="str">
            <v>MISSION CENTER</v>
          </cell>
          <cell r="M222">
            <v>121927</v>
          </cell>
          <cell r="N222">
            <v>25568</v>
          </cell>
          <cell r="O222">
            <v>25919</v>
          </cell>
          <cell r="P222" t="str">
            <v>PeMS2016</v>
          </cell>
        </row>
        <row r="223">
          <cell r="C223">
            <v>15</v>
          </cell>
          <cell r="D223">
            <v>3</v>
          </cell>
          <cell r="E223">
            <v>10982</v>
          </cell>
          <cell r="F223">
            <v>1</v>
          </cell>
          <cell r="G223">
            <v>1</v>
          </cell>
          <cell r="H223" t="str">
            <v>I-8 WB</v>
          </cell>
          <cell r="I223">
            <v>76</v>
          </cell>
          <cell r="J223">
            <v>0</v>
          </cell>
          <cell r="K223" t="str">
            <v>MISSION CENTER</v>
          </cell>
          <cell r="L223" t="str">
            <v>MISSION CENTER</v>
          </cell>
          <cell r="M223">
            <v>114485</v>
          </cell>
          <cell r="N223">
            <v>24087</v>
          </cell>
          <cell r="O223">
            <v>24409</v>
          </cell>
          <cell r="P223" t="str">
            <v>PeMS2016</v>
          </cell>
        </row>
        <row r="224">
          <cell r="C224">
            <v>15</v>
          </cell>
          <cell r="D224">
            <v>3</v>
          </cell>
          <cell r="E224">
            <v>10981</v>
          </cell>
          <cell r="F224">
            <v>1</v>
          </cell>
          <cell r="G224">
            <v>1</v>
          </cell>
          <cell r="H224" t="str">
            <v>I-8 WB</v>
          </cell>
          <cell r="I224">
            <v>77</v>
          </cell>
          <cell r="J224">
            <v>0</v>
          </cell>
          <cell r="K224" t="str">
            <v>MISSION CENTER</v>
          </cell>
          <cell r="L224" t="str">
            <v>SR-163 NB</v>
          </cell>
          <cell r="M224">
            <v>114485</v>
          </cell>
          <cell r="N224">
            <v>24087</v>
          </cell>
          <cell r="O224">
            <v>24409</v>
          </cell>
          <cell r="P224" t="str">
            <v>PeMS2016</v>
          </cell>
        </row>
        <row r="225">
          <cell r="C225">
            <v>15</v>
          </cell>
          <cell r="D225">
            <v>3</v>
          </cell>
          <cell r="E225">
            <v>10979</v>
          </cell>
          <cell r="F225">
            <v>1</v>
          </cell>
          <cell r="G225">
            <v>1</v>
          </cell>
          <cell r="H225" t="str">
            <v>I-8 WB</v>
          </cell>
          <cell r="I225">
            <v>78</v>
          </cell>
          <cell r="J225">
            <v>0</v>
          </cell>
          <cell r="K225" t="str">
            <v>SR-163 NB</v>
          </cell>
          <cell r="L225" t="str">
            <v>SR-163 SB</v>
          </cell>
          <cell r="M225">
            <v>96104</v>
          </cell>
          <cell r="N225">
            <v>20262</v>
          </cell>
          <cell r="O225">
            <v>20299</v>
          </cell>
          <cell r="P225" t="str">
            <v>PeMS2016</v>
          </cell>
        </row>
        <row r="226">
          <cell r="C226">
            <v>15</v>
          </cell>
          <cell r="D226">
            <v>3</v>
          </cell>
          <cell r="E226">
            <v>29097</v>
          </cell>
          <cell r="F226">
            <v>1</v>
          </cell>
          <cell r="G226">
            <v>1</v>
          </cell>
          <cell r="H226" t="str">
            <v>I-8 WB</v>
          </cell>
          <cell r="I226">
            <v>79</v>
          </cell>
          <cell r="J226">
            <v>0</v>
          </cell>
          <cell r="K226" t="str">
            <v>SR-163 SB</v>
          </cell>
          <cell r="L226" t="str">
            <v>SR-163 SB</v>
          </cell>
          <cell r="M226">
            <v>86198</v>
          </cell>
          <cell r="N226">
            <v>18686</v>
          </cell>
          <cell r="O226">
            <v>18221</v>
          </cell>
          <cell r="P226" t="str">
            <v>PeMS2016</v>
          </cell>
        </row>
        <row r="227">
          <cell r="C227">
            <v>15</v>
          </cell>
          <cell r="D227">
            <v>3</v>
          </cell>
          <cell r="E227">
            <v>29095</v>
          </cell>
          <cell r="F227">
            <v>1</v>
          </cell>
          <cell r="G227">
            <v>1</v>
          </cell>
          <cell r="H227" t="str">
            <v>I-8 WB</v>
          </cell>
          <cell r="I227">
            <v>81</v>
          </cell>
          <cell r="J227">
            <v>0</v>
          </cell>
          <cell r="K227" t="str">
            <v>SR-163 SB</v>
          </cell>
          <cell r="M227">
            <v>102633</v>
          </cell>
          <cell r="N227">
            <v>22216</v>
          </cell>
          <cell r="O227">
            <v>21943</v>
          </cell>
          <cell r="P227" t="str">
            <v>PeMS2016</v>
          </cell>
        </row>
        <row r="228">
          <cell r="C228">
            <v>15</v>
          </cell>
          <cell r="D228">
            <v>3</v>
          </cell>
          <cell r="E228">
            <v>29090</v>
          </cell>
          <cell r="F228">
            <v>1</v>
          </cell>
          <cell r="G228">
            <v>1</v>
          </cell>
          <cell r="H228" t="str">
            <v>I-8 WB</v>
          </cell>
          <cell r="I228">
            <v>82</v>
          </cell>
          <cell r="J228">
            <v>0</v>
          </cell>
          <cell r="K228" t="str">
            <v>FASHION VALLEY</v>
          </cell>
          <cell r="L228" t="str">
            <v>HOTEL CIRCLE NORTH</v>
          </cell>
          <cell r="M228">
            <v>105465</v>
          </cell>
          <cell r="N228">
            <v>22211</v>
          </cell>
          <cell r="O228">
            <v>22801</v>
          </cell>
          <cell r="P228" t="str">
            <v>PeMS2016</v>
          </cell>
        </row>
        <row r="229">
          <cell r="C229">
            <v>15</v>
          </cell>
          <cell r="D229">
            <v>3</v>
          </cell>
          <cell r="E229">
            <v>29086</v>
          </cell>
          <cell r="F229">
            <v>1</v>
          </cell>
          <cell r="G229">
            <v>1</v>
          </cell>
          <cell r="H229" t="str">
            <v>I-8 WB</v>
          </cell>
          <cell r="I229">
            <v>85</v>
          </cell>
          <cell r="J229">
            <v>0</v>
          </cell>
          <cell r="K229" t="str">
            <v>HOTEL CIRCLE NORTH</v>
          </cell>
          <cell r="L229" t="str">
            <v>HOTEL CIRCLE NORTH</v>
          </cell>
          <cell r="M229">
            <v>103309</v>
          </cell>
          <cell r="N229">
            <v>21700</v>
          </cell>
          <cell r="O229">
            <v>22199</v>
          </cell>
          <cell r="P229" t="str">
            <v>PeMS2016</v>
          </cell>
        </row>
        <row r="230">
          <cell r="C230">
            <v>15</v>
          </cell>
          <cell r="D230">
            <v>3</v>
          </cell>
          <cell r="E230">
            <v>29082</v>
          </cell>
          <cell r="F230">
            <v>1</v>
          </cell>
          <cell r="G230">
            <v>1</v>
          </cell>
          <cell r="H230" t="str">
            <v>I-8 WB</v>
          </cell>
          <cell r="I230">
            <v>86</v>
          </cell>
          <cell r="J230">
            <v>0</v>
          </cell>
          <cell r="K230" t="str">
            <v>TAYLOR</v>
          </cell>
          <cell r="L230" t="str">
            <v>MORENA</v>
          </cell>
          <cell r="M230">
            <v>103309</v>
          </cell>
          <cell r="N230">
            <v>21700</v>
          </cell>
          <cell r="O230">
            <v>22199</v>
          </cell>
          <cell r="P230" t="str">
            <v>PeMS2016</v>
          </cell>
        </row>
        <row r="231">
          <cell r="C231">
            <v>15</v>
          </cell>
          <cell r="D231">
            <v>3</v>
          </cell>
          <cell r="E231">
            <v>27600</v>
          </cell>
          <cell r="F231">
            <v>1</v>
          </cell>
          <cell r="G231">
            <v>1</v>
          </cell>
          <cell r="H231" t="str">
            <v>I-8 WB</v>
          </cell>
          <cell r="I231">
            <v>87</v>
          </cell>
          <cell r="J231">
            <v>0</v>
          </cell>
          <cell r="K231" t="str">
            <v>MORENA</v>
          </cell>
          <cell r="L231" t="str">
            <v>I-5 SB</v>
          </cell>
          <cell r="M231">
            <v>93303</v>
          </cell>
          <cell r="N231">
            <v>19168</v>
          </cell>
          <cell r="O231">
            <v>20372</v>
          </cell>
          <cell r="P231" t="str">
            <v>PeMS2016</v>
          </cell>
        </row>
        <row r="232">
          <cell r="C232">
            <v>15</v>
          </cell>
          <cell r="D232">
            <v>3</v>
          </cell>
          <cell r="E232">
            <v>28085</v>
          </cell>
          <cell r="F232">
            <v>1</v>
          </cell>
          <cell r="G232">
            <v>1</v>
          </cell>
          <cell r="H232" t="str">
            <v>I-8 WB</v>
          </cell>
          <cell r="I232">
            <v>92</v>
          </cell>
          <cell r="J232">
            <v>0</v>
          </cell>
          <cell r="K232" t="str">
            <v>I-5 NB</v>
          </cell>
          <cell r="L232" t="str">
            <v>MIDWAY</v>
          </cell>
          <cell r="M232">
            <v>53947</v>
          </cell>
          <cell r="N232">
            <v>8877</v>
          </cell>
          <cell r="O232">
            <v>13497</v>
          </cell>
          <cell r="P232" t="str">
            <v>PeMS2016</v>
          </cell>
        </row>
        <row r="233">
          <cell r="C233">
            <v>34</v>
          </cell>
          <cell r="D233">
            <v>1</v>
          </cell>
          <cell r="E233">
            <v>1042</v>
          </cell>
          <cell r="F233">
            <v>1</v>
          </cell>
          <cell r="G233">
            <v>1</v>
          </cell>
          <cell r="H233" t="str">
            <v>I-5 NB AUX LOCAL ACC</v>
          </cell>
          <cell r="I233">
            <v>1</v>
          </cell>
          <cell r="J233">
            <v>0</v>
          </cell>
          <cell r="M233">
            <v>17492</v>
          </cell>
          <cell r="N233">
            <v>2136</v>
          </cell>
          <cell r="O233">
            <v>5367</v>
          </cell>
          <cell r="P233" t="str">
            <v>PeMS2016</v>
          </cell>
        </row>
        <row r="234">
          <cell r="C234">
            <v>1</v>
          </cell>
          <cell r="D234">
            <v>1</v>
          </cell>
          <cell r="E234">
            <v>9919</v>
          </cell>
          <cell r="F234">
            <v>1</v>
          </cell>
          <cell r="G234">
            <v>1</v>
          </cell>
          <cell r="H234" t="str">
            <v>I-5 NB</v>
          </cell>
          <cell r="I234">
            <v>1</v>
          </cell>
          <cell r="J234">
            <v>0</v>
          </cell>
          <cell r="K234" t="str">
            <v>MEXICAN BORDER</v>
          </cell>
          <cell r="L234" t="str">
            <v>EAST SAN YSIDRO</v>
          </cell>
          <cell r="M234">
            <v>40602</v>
          </cell>
          <cell r="N234">
            <v>5877</v>
          </cell>
          <cell r="O234">
            <v>6959</v>
          </cell>
          <cell r="P234" t="str">
            <v>PeMS2016</v>
          </cell>
        </row>
        <row r="235">
          <cell r="C235">
            <v>1</v>
          </cell>
          <cell r="D235">
            <v>1</v>
          </cell>
          <cell r="E235">
            <v>27694</v>
          </cell>
          <cell r="F235">
            <v>1</v>
          </cell>
          <cell r="G235">
            <v>1</v>
          </cell>
          <cell r="H235" t="str">
            <v>I-5 NB</v>
          </cell>
          <cell r="I235">
            <v>4</v>
          </cell>
          <cell r="J235">
            <v>0</v>
          </cell>
          <cell r="K235" t="str">
            <v>I-805 NB</v>
          </cell>
          <cell r="L235" t="str">
            <v>VIA DE SAN YSIDRO</v>
          </cell>
          <cell r="M235">
            <v>21018</v>
          </cell>
          <cell r="N235">
            <v>3305</v>
          </cell>
          <cell r="O235">
            <v>3216</v>
          </cell>
          <cell r="P235" t="str">
            <v>Caltran</v>
          </cell>
        </row>
        <row r="236">
          <cell r="C236">
            <v>1</v>
          </cell>
          <cell r="D236">
            <v>1</v>
          </cell>
          <cell r="E236">
            <v>27154</v>
          </cell>
          <cell r="F236">
            <v>1</v>
          </cell>
          <cell r="G236">
            <v>1</v>
          </cell>
          <cell r="H236" t="str">
            <v>I-5 NB</v>
          </cell>
          <cell r="I236">
            <v>5</v>
          </cell>
          <cell r="J236">
            <v>0</v>
          </cell>
          <cell r="K236" t="str">
            <v>VIA DE SAN YSIDRO</v>
          </cell>
          <cell r="L236" t="str">
            <v>VIA DE SAN YSIDRO</v>
          </cell>
          <cell r="M236">
            <v>20387</v>
          </cell>
          <cell r="N236">
            <v>3229</v>
          </cell>
          <cell r="O236">
            <v>3094</v>
          </cell>
          <cell r="P236" t="str">
            <v>PeMS2016</v>
          </cell>
        </row>
        <row r="237">
          <cell r="C237">
            <v>1</v>
          </cell>
          <cell r="D237">
            <v>1</v>
          </cell>
          <cell r="E237">
            <v>27884</v>
          </cell>
          <cell r="F237">
            <v>1</v>
          </cell>
          <cell r="G237">
            <v>1</v>
          </cell>
          <cell r="H237" t="str">
            <v>I-5 NB</v>
          </cell>
          <cell r="I237">
            <v>6</v>
          </cell>
          <cell r="J237">
            <v>0</v>
          </cell>
          <cell r="K237" t="str">
            <v>VIA DE SAN YSIDRO</v>
          </cell>
          <cell r="L237" t="str">
            <v>SAN YSIDRO</v>
          </cell>
          <cell r="M237">
            <v>29223</v>
          </cell>
          <cell r="N237">
            <v>4348</v>
          </cell>
          <cell r="O237">
            <v>4940</v>
          </cell>
          <cell r="P237" t="str">
            <v>PeMS2016</v>
          </cell>
        </row>
        <row r="238">
          <cell r="C238">
            <v>1</v>
          </cell>
          <cell r="D238">
            <v>1</v>
          </cell>
          <cell r="E238">
            <v>27883</v>
          </cell>
          <cell r="F238">
            <v>1</v>
          </cell>
          <cell r="G238">
            <v>1</v>
          </cell>
          <cell r="H238" t="str">
            <v>I-5 NB</v>
          </cell>
          <cell r="I238">
            <v>7</v>
          </cell>
          <cell r="J238">
            <v>0</v>
          </cell>
          <cell r="K238" t="str">
            <v>SAN YSIDRO</v>
          </cell>
          <cell r="L238" t="str">
            <v>SAN YSIDRO</v>
          </cell>
          <cell r="M238">
            <v>24429</v>
          </cell>
          <cell r="N238">
            <v>3679</v>
          </cell>
          <cell r="O238">
            <v>4161</v>
          </cell>
          <cell r="P238" t="str">
            <v>PeMS2016</v>
          </cell>
        </row>
        <row r="239">
          <cell r="C239">
            <v>1</v>
          </cell>
          <cell r="D239">
            <v>1</v>
          </cell>
          <cell r="E239">
            <v>27875</v>
          </cell>
          <cell r="F239">
            <v>1</v>
          </cell>
          <cell r="G239">
            <v>1</v>
          </cell>
          <cell r="H239" t="str">
            <v>I-5 NB</v>
          </cell>
          <cell r="I239">
            <v>9</v>
          </cell>
          <cell r="J239">
            <v>0</v>
          </cell>
          <cell r="K239" t="str">
            <v>SR-905 EB</v>
          </cell>
          <cell r="L239" t="str">
            <v>SR-905 WB</v>
          </cell>
          <cell r="M239">
            <v>36316</v>
          </cell>
          <cell r="N239">
            <v>6016</v>
          </cell>
          <cell r="O239">
            <v>6313</v>
          </cell>
          <cell r="P239" t="str">
            <v>PeMS2016</v>
          </cell>
        </row>
        <row r="240">
          <cell r="C240">
            <v>1</v>
          </cell>
          <cell r="D240">
            <v>1</v>
          </cell>
          <cell r="E240">
            <v>27877</v>
          </cell>
          <cell r="F240">
            <v>1</v>
          </cell>
          <cell r="G240">
            <v>1</v>
          </cell>
          <cell r="H240" t="str">
            <v>I-5 NB</v>
          </cell>
          <cell r="I240">
            <v>10</v>
          </cell>
          <cell r="J240">
            <v>0</v>
          </cell>
          <cell r="K240" t="str">
            <v>SR-905 EB</v>
          </cell>
          <cell r="L240" t="str">
            <v>SR-905 WB</v>
          </cell>
          <cell r="M240">
            <v>37012</v>
          </cell>
          <cell r="N240">
            <v>6509</v>
          </cell>
          <cell r="O240">
            <v>6417</v>
          </cell>
          <cell r="P240" t="str">
            <v>PeMS2016</v>
          </cell>
        </row>
        <row r="241">
          <cell r="C241">
            <v>1</v>
          </cell>
          <cell r="D241">
            <v>1</v>
          </cell>
          <cell r="E241">
            <v>20464</v>
          </cell>
          <cell r="F241">
            <v>1</v>
          </cell>
          <cell r="G241">
            <v>1</v>
          </cell>
          <cell r="H241" t="str">
            <v>I-5 NB</v>
          </cell>
          <cell r="I241">
            <v>13</v>
          </cell>
          <cell r="J241">
            <v>0</v>
          </cell>
          <cell r="K241" t="str">
            <v>CORONADO</v>
          </cell>
          <cell r="L241" t="str">
            <v>PALM</v>
          </cell>
          <cell r="M241">
            <v>75530</v>
          </cell>
          <cell r="N241">
            <v>14847</v>
          </cell>
          <cell r="O241">
            <v>13335</v>
          </cell>
          <cell r="P241" t="str">
            <v>PeMS2016</v>
          </cell>
        </row>
        <row r="242">
          <cell r="C242">
            <v>1</v>
          </cell>
          <cell r="D242">
            <v>1</v>
          </cell>
          <cell r="E242">
            <v>27903</v>
          </cell>
          <cell r="F242">
            <v>1</v>
          </cell>
          <cell r="G242">
            <v>1</v>
          </cell>
          <cell r="H242" t="str">
            <v>I-5 NB</v>
          </cell>
          <cell r="I242">
            <v>14</v>
          </cell>
          <cell r="J242">
            <v>0</v>
          </cell>
          <cell r="K242" t="str">
            <v>PALM</v>
          </cell>
          <cell r="L242" t="str">
            <v>PALM</v>
          </cell>
          <cell r="M242">
            <v>52054</v>
          </cell>
          <cell r="N242">
            <v>9810</v>
          </cell>
          <cell r="O242">
            <v>9582</v>
          </cell>
          <cell r="P242" t="str">
            <v>PeMS2016</v>
          </cell>
        </row>
        <row r="243">
          <cell r="C243">
            <v>1</v>
          </cell>
          <cell r="D243">
            <v>1</v>
          </cell>
          <cell r="E243">
            <v>27914</v>
          </cell>
          <cell r="F243">
            <v>1</v>
          </cell>
          <cell r="G243">
            <v>1</v>
          </cell>
          <cell r="H243" t="str">
            <v>I-5 NB</v>
          </cell>
          <cell r="I243">
            <v>15</v>
          </cell>
          <cell r="J243">
            <v>0</v>
          </cell>
          <cell r="K243" t="str">
            <v>PALM</v>
          </cell>
          <cell r="L243" t="str">
            <v>MAIN</v>
          </cell>
          <cell r="M243">
            <v>82885</v>
          </cell>
          <cell r="N243">
            <v>15423</v>
          </cell>
          <cell r="O243">
            <v>15901</v>
          </cell>
          <cell r="P243" t="str">
            <v>Caltran</v>
          </cell>
        </row>
        <row r="244">
          <cell r="C244">
            <v>1</v>
          </cell>
          <cell r="D244">
            <v>1</v>
          </cell>
          <cell r="E244">
            <v>27916</v>
          </cell>
          <cell r="F244">
            <v>1</v>
          </cell>
          <cell r="G244">
            <v>1</v>
          </cell>
          <cell r="H244" t="str">
            <v>I-5 NB</v>
          </cell>
          <cell r="I244">
            <v>16</v>
          </cell>
          <cell r="J244">
            <v>0</v>
          </cell>
          <cell r="K244" t="str">
            <v>MAIN</v>
          </cell>
          <cell r="L244" t="str">
            <v>MAIN</v>
          </cell>
          <cell r="M244">
            <v>80105</v>
          </cell>
          <cell r="N244">
            <v>15257</v>
          </cell>
          <cell r="O244">
            <v>15095</v>
          </cell>
          <cell r="P244" t="str">
            <v>PeMS2016</v>
          </cell>
        </row>
        <row r="245">
          <cell r="C245">
            <v>1</v>
          </cell>
          <cell r="D245">
            <v>1</v>
          </cell>
          <cell r="E245">
            <v>27921</v>
          </cell>
          <cell r="F245">
            <v>1</v>
          </cell>
          <cell r="G245">
            <v>1</v>
          </cell>
          <cell r="H245" t="str">
            <v>I-5 NB</v>
          </cell>
          <cell r="I245">
            <v>18</v>
          </cell>
          <cell r="J245">
            <v>0</v>
          </cell>
          <cell r="K245" t="str">
            <v>PALOMAR</v>
          </cell>
          <cell r="L245" t="str">
            <v>PALOMAR</v>
          </cell>
          <cell r="M245">
            <v>71820</v>
          </cell>
          <cell r="N245">
            <v>13918</v>
          </cell>
          <cell r="O245">
            <v>13340</v>
          </cell>
          <cell r="P245" t="str">
            <v>PeMS2016</v>
          </cell>
        </row>
        <row r="246">
          <cell r="C246">
            <v>1</v>
          </cell>
          <cell r="D246">
            <v>1</v>
          </cell>
          <cell r="E246">
            <v>27925</v>
          </cell>
          <cell r="F246">
            <v>1</v>
          </cell>
          <cell r="G246">
            <v>1</v>
          </cell>
          <cell r="H246" t="str">
            <v>I-5 NB</v>
          </cell>
          <cell r="I246">
            <v>19</v>
          </cell>
          <cell r="J246">
            <v>0</v>
          </cell>
          <cell r="K246" t="str">
            <v>PALOMAR</v>
          </cell>
          <cell r="L246" t="str">
            <v>INDUSTRIAL</v>
          </cell>
          <cell r="M246">
            <v>85760</v>
          </cell>
          <cell r="N246">
            <v>16388</v>
          </cell>
          <cell r="O246">
            <v>16048</v>
          </cell>
          <cell r="P246" t="str">
            <v>PeMS2016</v>
          </cell>
        </row>
        <row r="247">
          <cell r="C247">
            <v>1</v>
          </cell>
          <cell r="D247">
            <v>1</v>
          </cell>
          <cell r="E247">
            <v>27929</v>
          </cell>
          <cell r="F247">
            <v>1</v>
          </cell>
          <cell r="G247">
            <v>1</v>
          </cell>
          <cell r="H247" t="str">
            <v>I-5 NB</v>
          </cell>
          <cell r="I247">
            <v>20</v>
          </cell>
          <cell r="J247">
            <v>0</v>
          </cell>
          <cell r="K247" t="str">
            <v>INDUSTRIAL</v>
          </cell>
          <cell r="L247" t="str">
            <v>INDUSTRIAL</v>
          </cell>
          <cell r="M247">
            <v>74878</v>
          </cell>
          <cell r="N247">
            <v>14424</v>
          </cell>
          <cell r="O247">
            <v>13856</v>
          </cell>
          <cell r="P247" t="str">
            <v>PeMS2016</v>
          </cell>
        </row>
        <row r="248">
          <cell r="C248">
            <v>1</v>
          </cell>
          <cell r="D248">
            <v>1</v>
          </cell>
          <cell r="E248">
            <v>27933</v>
          </cell>
          <cell r="F248">
            <v>1</v>
          </cell>
          <cell r="G248">
            <v>1</v>
          </cell>
          <cell r="H248" t="str">
            <v>I-5 NB</v>
          </cell>
          <cell r="I248">
            <v>22</v>
          </cell>
          <cell r="J248">
            <v>0</v>
          </cell>
          <cell r="K248" t="str">
            <v>J</v>
          </cell>
          <cell r="L248" t="str">
            <v>J</v>
          </cell>
          <cell r="M248">
            <v>87099</v>
          </cell>
          <cell r="N248">
            <v>16765</v>
          </cell>
          <cell r="O248">
            <v>16098</v>
          </cell>
          <cell r="P248" t="str">
            <v>PeMS2016</v>
          </cell>
        </row>
        <row r="249">
          <cell r="C249">
            <v>1</v>
          </cell>
          <cell r="D249">
            <v>1</v>
          </cell>
          <cell r="E249">
            <v>27941</v>
          </cell>
          <cell r="F249">
            <v>1</v>
          </cell>
          <cell r="G249">
            <v>1</v>
          </cell>
          <cell r="H249" t="str">
            <v>I-5 NB</v>
          </cell>
          <cell r="I249">
            <v>24</v>
          </cell>
          <cell r="J249">
            <v>0</v>
          </cell>
          <cell r="K249" t="str">
            <v>H</v>
          </cell>
          <cell r="L249" t="str">
            <v>H</v>
          </cell>
          <cell r="M249">
            <v>87065</v>
          </cell>
          <cell r="N249">
            <v>16314</v>
          </cell>
          <cell r="O249">
            <v>16472</v>
          </cell>
          <cell r="P249" t="str">
            <v>PeMS2016</v>
          </cell>
        </row>
        <row r="250">
          <cell r="C250">
            <v>1</v>
          </cell>
          <cell r="D250">
            <v>1</v>
          </cell>
          <cell r="E250">
            <v>27946</v>
          </cell>
          <cell r="F250">
            <v>1</v>
          </cell>
          <cell r="G250">
            <v>1</v>
          </cell>
          <cell r="H250" t="str">
            <v>I-5 NB</v>
          </cell>
          <cell r="I250">
            <v>26</v>
          </cell>
          <cell r="J250">
            <v>0</v>
          </cell>
          <cell r="K250" t="str">
            <v>E ST</v>
          </cell>
          <cell r="L250" t="str">
            <v>E ST</v>
          </cell>
          <cell r="M250">
            <v>88046</v>
          </cell>
          <cell r="N250">
            <v>15749</v>
          </cell>
          <cell r="O250">
            <v>16589</v>
          </cell>
          <cell r="P250" t="str">
            <v>PeMS2016</v>
          </cell>
        </row>
        <row r="251">
          <cell r="C251">
            <v>1</v>
          </cell>
          <cell r="D251">
            <v>1</v>
          </cell>
          <cell r="E251">
            <v>27948</v>
          </cell>
          <cell r="F251">
            <v>1</v>
          </cell>
          <cell r="G251">
            <v>1</v>
          </cell>
          <cell r="H251" t="str">
            <v>I-5 NB</v>
          </cell>
          <cell r="I251">
            <v>27</v>
          </cell>
          <cell r="J251">
            <v>0</v>
          </cell>
          <cell r="K251" t="str">
            <v>E ST</v>
          </cell>
          <cell r="L251" t="str">
            <v>SR-54 EB</v>
          </cell>
          <cell r="M251">
            <v>87276</v>
          </cell>
          <cell r="N251">
            <v>16239</v>
          </cell>
          <cell r="O251">
            <v>16211</v>
          </cell>
          <cell r="P251" t="str">
            <v>PeMS2016</v>
          </cell>
        </row>
        <row r="252">
          <cell r="C252">
            <v>1</v>
          </cell>
          <cell r="D252">
            <v>1</v>
          </cell>
          <cell r="E252">
            <v>28695</v>
          </cell>
          <cell r="F252">
            <v>1</v>
          </cell>
          <cell r="G252">
            <v>1</v>
          </cell>
          <cell r="H252" t="str">
            <v>I-5 NB</v>
          </cell>
          <cell r="I252">
            <v>31</v>
          </cell>
          <cell r="J252">
            <v>0</v>
          </cell>
          <cell r="K252" t="str">
            <v>24TH</v>
          </cell>
          <cell r="L252" t="str">
            <v>24TH</v>
          </cell>
          <cell r="M252">
            <v>81715</v>
          </cell>
          <cell r="N252">
            <v>17328</v>
          </cell>
          <cell r="O252">
            <v>13780</v>
          </cell>
          <cell r="P252" t="str">
            <v>PeMS2016</v>
          </cell>
        </row>
        <row r="253">
          <cell r="C253">
            <v>1</v>
          </cell>
          <cell r="D253">
            <v>1</v>
          </cell>
          <cell r="E253">
            <v>28718</v>
          </cell>
          <cell r="F253">
            <v>1</v>
          </cell>
          <cell r="G253">
            <v>1</v>
          </cell>
          <cell r="H253" t="str">
            <v>I-5 NB</v>
          </cell>
          <cell r="I253">
            <v>34</v>
          </cell>
          <cell r="J253">
            <v>0</v>
          </cell>
          <cell r="K253" t="str">
            <v>CIVIC CENTER</v>
          </cell>
          <cell r="L253" t="str">
            <v>CIVIC CENTER</v>
          </cell>
          <cell r="M253">
            <v>86505</v>
          </cell>
          <cell r="N253">
            <v>17349</v>
          </cell>
          <cell r="O253">
            <v>15393</v>
          </cell>
          <cell r="P253" t="str">
            <v>PeMS2016</v>
          </cell>
        </row>
        <row r="254">
          <cell r="C254">
            <v>1</v>
          </cell>
          <cell r="D254">
            <v>1</v>
          </cell>
          <cell r="E254">
            <v>28725</v>
          </cell>
          <cell r="F254">
            <v>1</v>
          </cell>
          <cell r="G254">
            <v>1</v>
          </cell>
          <cell r="H254" t="str">
            <v>I-5 NB</v>
          </cell>
          <cell r="I254">
            <v>35</v>
          </cell>
          <cell r="J254">
            <v>0</v>
          </cell>
          <cell r="K254" t="str">
            <v>CIVIC CENTER</v>
          </cell>
          <cell r="L254" t="str">
            <v>CIVIC CENTER</v>
          </cell>
          <cell r="M254">
            <v>75884</v>
          </cell>
          <cell r="N254">
            <v>15769</v>
          </cell>
          <cell r="O254">
            <v>13528</v>
          </cell>
          <cell r="P254" t="str">
            <v>PeMS2016</v>
          </cell>
        </row>
        <row r="255">
          <cell r="C255">
            <v>1</v>
          </cell>
          <cell r="D255">
            <v>1</v>
          </cell>
          <cell r="E255">
            <v>28727</v>
          </cell>
          <cell r="F255">
            <v>1</v>
          </cell>
          <cell r="G255">
            <v>1</v>
          </cell>
          <cell r="H255" t="str">
            <v>I-5 NB</v>
          </cell>
          <cell r="I255">
            <v>36</v>
          </cell>
          <cell r="J255">
            <v>0</v>
          </cell>
          <cell r="K255" t="str">
            <v>CIVIC CENTER</v>
          </cell>
          <cell r="L255" t="str">
            <v>MAIN</v>
          </cell>
          <cell r="M255">
            <v>102763</v>
          </cell>
          <cell r="N255">
            <v>22219</v>
          </cell>
          <cell r="O255">
            <v>18512</v>
          </cell>
          <cell r="P255" t="str">
            <v>Caltran</v>
          </cell>
        </row>
        <row r="256">
          <cell r="C256">
            <v>1</v>
          </cell>
          <cell r="D256">
            <v>1</v>
          </cell>
          <cell r="E256">
            <v>20465</v>
          </cell>
          <cell r="F256">
            <v>1</v>
          </cell>
          <cell r="G256">
            <v>1</v>
          </cell>
          <cell r="H256" t="str">
            <v>I-5 NB</v>
          </cell>
          <cell r="I256">
            <v>38</v>
          </cell>
          <cell r="J256">
            <v>0</v>
          </cell>
          <cell r="K256" t="str">
            <v>MAIN</v>
          </cell>
          <cell r="L256" t="str">
            <v>SR-15 NB</v>
          </cell>
          <cell r="M256">
            <v>110167</v>
          </cell>
          <cell r="N256">
            <v>26337</v>
          </cell>
          <cell r="O256">
            <v>19491</v>
          </cell>
          <cell r="P256" t="str">
            <v>PeMS2016</v>
          </cell>
        </row>
        <row r="257">
          <cell r="C257">
            <v>1</v>
          </cell>
          <cell r="D257">
            <v>1</v>
          </cell>
          <cell r="E257">
            <v>20466</v>
          </cell>
          <cell r="F257">
            <v>1</v>
          </cell>
          <cell r="G257">
            <v>1</v>
          </cell>
          <cell r="H257" t="str">
            <v>I-5 NB</v>
          </cell>
          <cell r="I257">
            <v>39</v>
          </cell>
          <cell r="J257">
            <v>0</v>
          </cell>
          <cell r="K257" t="str">
            <v>SR-15 NB</v>
          </cell>
          <cell r="L257" t="str">
            <v>SR-15 SB</v>
          </cell>
          <cell r="M257">
            <v>79969</v>
          </cell>
          <cell r="N257">
            <v>18468</v>
          </cell>
          <cell r="O257">
            <v>13222</v>
          </cell>
          <cell r="P257" t="str">
            <v>PeMS2016</v>
          </cell>
        </row>
        <row r="258">
          <cell r="C258">
            <v>1</v>
          </cell>
          <cell r="D258">
            <v>1</v>
          </cell>
          <cell r="E258">
            <v>28735</v>
          </cell>
          <cell r="F258">
            <v>1</v>
          </cell>
          <cell r="G258">
            <v>1</v>
          </cell>
          <cell r="H258" t="str">
            <v>I-5 NB</v>
          </cell>
          <cell r="I258">
            <v>40</v>
          </cell>
          <cell r="J258">
            <v>0</v>
          </cell>
          <cell r="K258" t="str">
            <v>SR-15 SB</v>
          </cell>
          <cell r="L258" t="str">
            <v>NATIONAL</v>
          </cell>
          <cell r="M258">
            <v>83561</v>
          </cell>
          <cell r="N258">
            <v>21464</v>
          </cell>
          <cell r="O258">
            <v>13512</v>
          </cell>
          <cell r="P258" t="str">
            <v>PeMS2016</v>
          </cell>
        </row>
        <row r="259">
          <cell r="C259">
            <v>1</v>
          </cell>
          <cell r="D259">
            <v>1</v>
          </cell>
          <cell r="E259">
            <v>20467</v>
          </cell>
          <cell r="F259">
            <v>1</v>
          </cell>
          <cell r="G259">
            <v>1</v>
          </cell>
          <cell r="H259" t="str">
            <v>I-5 NB</v>
          </cell>
          <cell r="I259">
            <v>41</v>
          </cell>
          <cell r="J259">
            <v>0</v>
          </cell>
          <cell r="K259" t="str">
            <v>NATIONAL</v>
          </cell>
          <cell r="L259" t="str">
            <v>28TH</v>
          </cell>
          <cell r="M259">
            <v>97423</v>
          </cell>
          <cell r="N259">
            <v>25202</v>
          </cell>
          <cell r="O259">
            <v>16004</v>
          </cell>
          <cell r="P259" t="str">
            <v>PeMS2016</v>
          </cell>
        </row>
        <row r="260">
          <cell r="C260">
            <v>1</v>
          </cell>
          <cell r="D260">
            <v>1</v>
          </cell>
          <cell r="E260">
            <v>27792</v>
          </cell>
          <cell r="F260">
            <v>1</v>
          </cell>
          <cell r="G260">
            <v>1</v>
          </cell>
          <cell r="H260" t="str">
            <v>I-5 NB</v>
          </cell>
          <cell r="I260">
            <v>47</v>
          </cell>
          <cell r="J260">
            <v>0</v>
          </cell>
          <cell r="K260" t="str">
            <v>SR-75 NB</v>
          </cell>
          <cell r="L260" t="str">
            <v>IMPERIAL</v>
          </cell>
          <cell r="M260">
            <v>91951</v>
          </cell>
          <cell r="N260">
            <v>21047</v>
          </cell>
          <cell r="O260">
            <v>17494</v>
          </cell>
          <cell r="P260" t="str">
            <v>PeMS2016</v>
          </cell>
        </row>
        <row r="261">
          <cell r="C261">
            <v>1</v>
          </cell>
          <cell r="D261">
            <v>1</v>
          </cell>
          <cell r="E261">
            <v>27807</v>
          </cell>
          <cell r="F261">
            <v>1</v>
          </cell>
          <cell r="G261">
            <v>1</v>
          </cell>
          <cell r="H261" t="str">
            <v>I-5 NB</v>
          </cell>
          <cell r="I261">
            <v>50</v>
          </cell>
          <cell r="J261">
            <v>0</v>
          </cell>
          <cell r="K261" t="str">
            <v>19TH</v>
          </cell>
          <cell r="L261" t="str">
            <v>PERSHING</v>
          </cell>
          <cell r="M261">
            <v>93934</v>
          </cell>
          <cell r="N261">
            <v>22231</v>
          </cell>
          <cell r="O261">
            <v>17981</v>
          </cell>
          <cell r="P261" t="str">
            <v>Caltran</v>
          </cell>
        </row>
        <row r="262">
          <cell r="C262">
            <v>1</v>
          </cell>
          <cell r="D262">
            <v>1</v>
          </cell>
          <cell r="E262">
            <v>30862</v>
          </cell>
          <cell r="F262">
            <v>1</v>
          </cell>
          <cell r="G262">
            <v>1</v>
          </cell>
          <cell r="H262" t="str">
            <v>I-5 NB</v>
          </cell>
          <cell r="I262">
            <v>53</v>
          </cell>
          <cell r="J262">
            <v>0</v>
          </cell>
          <cell r="K262" t="str">
            <v>SR-94 WB</v>
          </cell>
          <cell r="L262" t="str">
            <v>PERSHING</v>
          </cell>
          <cell r="M262">
            <v>90053</v>
          </cell>
          <cell r="N262">
            <v>21344</v>
          </cell>
          <cell r="O262">
            <v>16768</v>
          </cell>
          <cell r="P262" t="str">
            <v>PeMS2016</v>
          </cell>
        </row>
        <row r="263">
          <cell r="C263">
            <v>1</v>
          </cell>
          <cell r="D263">
            <v>1</v>
          </cell>
          <cell r="E263">
            <v>27825</v>
          </cell>
          <cell r="F263">
            <v>1</v>
          </cell>
          <cell r="G263">
            <v>1</v>
          </cell>
          <cell r="H263" t="str">
            <v>I-5 NB</v>
          </cell>
          <cell r="I263">
            <v>56</v>
          </cell>
          <cell r="J263">
            <v>0</v>
          </cell>
          <cell r="K263" t="str">
            <v>PERSHING</v>
          </cell>
          <cell r="L263" t="str">
            <v>PARK</v>
          </cell>
          <cell r="M263">
            <v>138920</v>
          </cell>
          <cell r="N263">
            <v>33378</v>
          </cell>
          <cell r="O263">
            <v>25692</v>
          </cell>
          <cell r="P263" t="str">
            <v>PeMS2016</v>
          </cell>
        </row>
        <row r="264">
          <cell r="C264">
            <v>1</v>
          </cell>
          <cell r="D264">
            <v>1</v>
          </cell>
          <cell r="E264">
            <v>27832</v>
          </cell>
          <cell r="F264">
            <v>1</v>
          </cell>
          <cell r="G264">
            <v>1</v>
          </cell>
          <cell r="H264" t="str">
            <v>I-5 NB</v>
          </cell>
          <cell r="I264">
            <v>58</v>
          </cell>
          <cell r="J264">
            <v>0</v>
          </cell>
          <cell r="K264" t="str">
            <v>PARK</v>
          </cell>
          <cell r="L264" t="str">
            <v>PARK</v>
          </cell>
          <cell r="M264">
            <v>133613</v>
          </cell>
          <cell r="N264">
            <v>32680</v>
          </cell>
          <cell r="O264">
            <v>24518</v>
          </cell>
          <cell r="P264" t="str">
            <v>PeMS2016</v>
          </cell>
        </row>
        <row r="265">
          <cell r="C265">
            <v>1</v>
          </cell>
          <cell r="D265">
            <v>1</v>
          </cell>
          <cell r="E265">
            <v>29232</v>
          </cell>
          <cell r="F265">
            <v>1</v>
          </cell>
          <cell r="G265">
            <v>1</v>
          </cell>
          <cell r="H265" t="str">
            <v>I-5 NB</v>
          </cell>
          <cell r="I265">
            <v>59</v>
          </cell>
          <cell r="J265">
            <v>0</v>
          </cell>
          <cell r="K265" t="str">
            <v>PARK</v>
          </cell>
          <cell r="L265" t="str">
            <v>06TH</v>
          </cell>
          <cell r="M265">
            <v>91829</v>
          </cell>
          <cell r="N265">
            <v>22919</v>
          </cell>
          <cell r="O265">
            <v>16511</v>
          </cell>
          <cell r="P265" t="str">
            <v>PeMS2016</v>
          </cell>
        </row>
        <row r="266">
          <cell r="C266">
            <v>1</v>
          </cell>
          <cell r="D266">
            <v>1</v>
          </cell>
          <cell r="E266">
            <v>29756</v>
          </cell>
          <cell r="F266">
            <v>1</v>
          </cell>
          <cell r="G266">
            <v>1</v>
          </cell>
          <cell r="H266" t="str">
            <v>I-5 NB</v>
          </cell>
          <cell r="I266">
            <v>61</v>
          </cell>
          <cell r="J266">
            <v>0</v>
          </cell>
          <cell r="K266" t="str">
            <v>HAWTHORN</v>
          </cell>
          <cell r="L266" t="str">
            <v>01ST</v>
          </cell>
          <cell r="M266">
            <v>86914</v>
          </cell>
          <cell r="N266">
            <v>21450</v>
          </cell>
          <cell r="O266">
            <v>17069</v>
          </cell>
          <cell r="P266" t="str">
            <v>PeMS2016</v>
          </cell>
        </row>
        <row r="267">
          <cell r="C267">
            <v>1</v>
          </cell>
          <cell r="D267">
            <v>1</v>
          </cell>
          <cell r="E267">
            <v>30864</v>
          </cell>
          <cell r="F267">
            <v>1</v>
          </cell>
          <cell r="G267">
            <v>1</v>
          </cell>
          <cell r="H267" t="str">
            <v>I-5 NB</v>
          </cell>
          <cell r="I267">
            <v>63</v>
          </cell>
          <cell r="J267">
            <v>0</v>
          </cell>
          <cell r="K267" t="str">
            <v>01ST</v>
          </cell>
          <cell r="L267" t="str">
            <v>HAWTHORN</v>
          </cell>
          <cell r="M267">
            <v>106984</v>
          </cell>
          <cell r="N267">
            <v>23718</v>
          </cell>
          <cell r="O267">
            <v>22881</v>
          </cell>
          <cell r="P267" t="str">
            <v>PeMS2016</v>
          </cell>
        </row>
        <row r="268">
          <cell r="C268">
            <v>1</v>
          </cell>
          <cell r="D268">
            <v>1</v>
          </cell>
          <cell r="E268">
            <v>20529</v>
          </cell>
          <cell r="F268">
            <v>1</v>
          </cell>
          <cell r="G268">
            <v>1</v>
          </cell>
          <cell r="H268" t="str">
            <v>I-5 NB</v>
          </cell>
          <cell r="I268">
            <v>66</v>
          </cell>
          <cell r="J268">
            <v>0</v>
          </cell>
          <cell r="K268" t="str">
            <v>INDIA</v>
          </cell>
          <cell r="L268" t="str">
            <v>PACIFIC</v>
          </cell>
          <cell r="M268">
            <v>86274</v>
          </cell>
          <cell r="N268">
            <v>18687</v>
          </cell>
          <cell r="O268">
            <v>18567</v>
          </cell>
          <cell r="P268" t="str">
            <v>PeMS2016</v>
          </cell>
        </row>
        <row r="269">
          <cell r="C269">
            <v>1</v>
          </cell>
          <cell r="D269">
            <v>1</v>
          </cell>
          <cell r="E269">
            <v>20549</v>
          </cell>
          <cell r="F269">
            <v>1</v>
          </cell>
          <cell r="G269">
            <v>1</v>
          </cell>
          <cell r="H269" t="str">
            <v>I-5 NB</v>
          </cell>
          <cell r="I269">
            <v>67</v>
          </cell>
          <cell r="J269">
            <v>0</v>
          </cell>
          <cell r="K269" t="str">
            <v>PACIFIC</v>
          </cell>
          <cell r="L269" t="str">
            <v>INDIA</v>
          </cell>
          <cell r="M269">
            <v>84873</v>
          </cell>
          <cell r="N269">
            <v>17619</v>
          </cell>
          <cell r="O269">
            <v>18612</v>
          </cell>
          <cell r="P269" t="str">
            <v>PeMS2016</v>
          </cell>
        </row>
        <row r="270">
          <cell r="C270">
            <v>1</v>
          </cell>
          <cell r="D270">
            <v>1</v>
          </cell>
          <cell r="E270">
            <v>20588</v>
          </cell>
          <cell r="F270">
            <v>1</v>
          </cell>
          <cell r="G270">
            <v>1</v>
          </cell>
          <cell r="H270" t="str">
            <v>I-5 NB</v>
          </cell>
          <cell r="I270">
            <v>68</v>
          </cell>
          <cell r="J270">
            <v>0</v>
          </cell>
          <cell r="K270" t="str">
            <v>INDIA</v>
          </cell>
          <cell r="L270" t="str">
            <v>INDIA</v>
          </cell>
          <cell r="M270">
            <v>79267</v>
          </cell>
          <cell r="N270">
            <v>16467</v>
          </cell>
          <cell r="O270">
            <v>17424</v>
          </cell>
          <cell r="P270" t="str">
            <v>PeMS2016</v>
          </cell>
        </row>
        <row r="271">
          <cell r="C271">
            <v>1</v>
          </cell>
          <cell r="D271">
            <v>1</v>
          </cell>
          <cell r="E271">
            <v>10969</v>
          </cell>
          <cell r="F271">
            <v>1</v>
          </cell>
          <cell r="G271">
            <v>1</v>
          </cell>
          <cell r="H271" t="str">
            <v>I-5 NB</v>
          </cell>
          <cell r="I271">
            <v>69</v>
          </cell>
          <cell r="J271">
            <v>0</v>
          </cell>
          <cell r="K271" t="str">
            <v>INDIA</v>
          </cell>
          <cell r="L271" t="str">
            <v>WASHINGTON</v>
          </cell>
          <cell r="M271">
            <v>90210</v>
          </cell>
          <cell r="N271">
            <v>17896</v>
          </cell>
          <cell r="O271">
            <v>19134</v>
          </cell>
          <cell r="P271" t="str">
            <v>PeMS2016</v>
          </cell>
        </row>
        <row r="272">
          <cell r="C272">
            <v>1</v>
          </cell>
          <cell r="D272">
            <v>1</v>
          </cell>
          <cell r="E272">
            <v>30813</v>
          </cell>
          <cell r="F272">
            <v>1</v>
          </cell>
          <cell r="G272">
            <v>1</v>
          </cell>
          <cell r="H272" t="str">
            <v>I-5 NB</v>
          </cell>
          <cell r="I272">
            <v>71</v>
          </cell>
          <cell r="J272">
            <v>0</v>
          </cell>
          <cell r="K272" t="str">
            <v>OLD TOWN</v>
          </cell>
          <cell r="L272" t="str">
            <v>OLD TOWN</v>
          </cell>
          <cell r="M272">
            <v>101171</v>
          </cell>
          <cell r="N272">
            <v>19135</v>
          </cell>
          <cell r="O272">
            <v>21648</v>
          </cell>
          <cell r="P272" t="str">
            <v>PeMS2016</v>
          </cell>
        </row>
        <row r="273">
          <cell r="C273">
            <v>1</v>
          </cell>
          <cell r="D273">
            <v>1</v>
          </cell>
          <cell r="E273">
            <v>10966</v>
          </cell>
          <cell r="F273">
            <v>1</v>
          </cell>
          <cell r="G273">
            <v>1</v>
          </cell>
          <cell r="H273" t="str">
            <v>I-5 NB</v>
          </cell>
          <cell r="I273">
            <v>73</v>
          </cell>
          <cell r="J273">
            <v>0</v>
          </cell>
          <cell r="K273" t="str">
            <v>OLD TOWN</v>
          </cell>
          <cell r="L273" t="str">
            <v>OLD TOWN</v>
          </cell>
          <cell r="M273">
            <v>101498</v>
          </cell>
          <cell r="N273">
            <v>19162</v>
          </cell>
          <cell r="O273">
            <v>21758</v>
          </cell>
          <cell r="P273" t="str">
            <v>PeMS2016</v>
          </cell>
        </row>
        <row r="274">
          <cell r="C274">
            <v>1</v>
          </cell>
          <cell r="D274">
            <v>1</v>
          </cell>
          <cell r="E274">
            <v>20600</v>
          </cell>
          <cell r="F274">
            <v>1</v>
          </cell>
          <cell r="G274">
            <v>1</v>
          </cell>
          <cell r="H274" t="str">
            <v>I-5 NB</v>
          </cell>
          <cell r="I274">
            <v>75</v>
          </cell>
          <cell r="J274">
            <v>0</v>
          </cell>
          <cell r="K274" t="str">
            <v>I-8 EB</v>
          </cell>
          <cell r="L274" t="str">
            <v>CAM DEL RIO WEST</v>
          </cell>
          <cell r="M274">
            <v>76443</v>
          </cell>
          <cell r="N274">
            <v>15061</v>
          </cell>
          <cell r="O274">
            <v>16826</v>
          </cell>
          <cell r="P274" t="str">
            <v>PeMS2016</v>
          </cell>
        </row>
        <row r="275">
          <cell r="C275">
            <v>1</v>
          </cell>
          <cell r="D275">
            <v>1</v>
          </cell>
          <cell r="E275">
            <v>26708</v>
          </cell>
          <cell r="F275">
            <v>1</v>
          </cell>
          <cell r="G275">
            <v>1</v>
          </cell>
          <cell r="H275" t="str">
            <v>I-5 NB</v>
          </cell>
          <cell r="I275">
            <v>81</v>
          </cell>
          <cell r="J275">
            <v>0</v>
          </cell>
          <cell r="K275" t="str">
            <v>TECOLOTE</v>
          </cell>
          <cell r="L275" t="str">
            <v>TECOLOTE</v>
          </cell>
          <cell r="M275">
            <v>95084</v>
          </cell>
          <cell r="N275">
            <v>18186</v>
          </cell>
          <cell r="O275">
            <v>21260</v>
          </cell>
          <cell r="P275" t="str">
            <v>PeMS2016</v>
          </cell>
        </row>
        <row r="276">
          <cell r="C276">
            <v>1</v>
          </cell>
          <cell r="D276">
            <v>1</v>
          </cell>
          <cell r="E276">
            <v>8790</v>
          </cell>
          <cell r="F276">
            <v>1</v>
          </cell>
          <cell r="G276">
            <v>1</v>
          </cell>
          <cell r="H276" t="str">
            <v>I-5 NB</v>
          </cell>
          <cell r="I276">
            <v>85</v>
          </cell>
          <cell r="J276">
            <v>0</v>
          </cell>
          <cell r="K276" t="str">
            <v>TECOLOTE</v>
          </cell>
          <cell r="L276" t="str">
            <v>CLAIREMONT</v>
          </cell>
          <cell r="M276">
            <v>89930</v>
          </cell>
          <cell r="N276">
            <v>21229</v>
          </cell>
          <cell r="O276">
            <v>18096</v>
          </cell>
          <cell r="P276" t="str">
            <v>PeMS2016</v>
          </cell>
        </row>
        <row r="277">
          <cell r="C277">
            <v>1</v>
          </cell>
          <cell r="D277">
            <v>1</v>
          </cell>
          <cell r="E277">
            <v>8784</v>
          </cell>
          <cell r="F277">
            <v>1</v>
          </cell>
          <cell r="G277">
            <v>1</v>
          </cell>
          <cell r="H277" t="str">
            <v>I-5 NB</v>
          </cell>
          <cell r="I277">
            <v>86</v>
          </cell>
          <cell r="J277">
            <v>0</v>
          </cell>
          <cell r="K277" t="str">
            <v>CLAIREMONT</v>
          </cell>
          <cell r="L277" t="str">
            <v>CLAIREMONT</v>
          </cell>
          <cell r="M277">
            <v>106296</v>
          </cell>
          <cell r="N277">
            <v>22341</v>
          </cell>
          <cell r="O277">
            <v>22959</v>
          </cell>
          <cell r="P277" t="str">
            <v>PeMS2016</v>
          </cell>
        </row>
        <row r="278">
          <cell r="C278">
            <v>1</v>
          </cell>
          <cell r="D278">
            <v>1</v>
          </cell>
          <cell r="E278">
            <v>20640</v>
          </cell>
          <cell r="F278">
            <v>1</v>
          </cell>
          <cell r="G278">
            <v>1</v>
          </cell>
          <cell r="H278" t="str">
            <v>I-5 NB</v>
          </cell>
          <cell r="I278">
            <v>88</v>
          </cell>
          <cell r="J278">
            <v>0</v>
          </cell>
          <cell r="K278" t="str">
            <v>MISSION BAY</v>
          </cell>
          <cell r="L278" t="str">
            <v>BALBOA</v>
          </cell>
          <cell r="M278">
            <v>87309</v>
          </cell>
          <cell r="N278">
            <v>20604</v>
          </cell>
          <cell r="O278">
            <v>17572</v>
          </cell>
          <cell r="P278" t="str">
            <v>PeMS2016</v>
          </cell>
        </row>
        <row r="279">
          <cell r="C279">
            <v>1</v>
          </cell>
          <cell r="D279">
            <v>1</v>
          </cell>
          <cell r="E279">
            <v>8781</v>
          </cell>
          <cell r="F279">
            <v>1</v>
          </cell>
          <cell r="G279">
            <v>1</v>
          </cell>
          <cell r="H279" t="str">
            <v>I-5 NB</v>
          </cell>
          <cell r="I279">
            <v>89</v>
          </cell>
          <cell r="J279">
            <v>0</v>
          </cell>
          <cell r="K279" t="str">
            <v>BALBOA</v>
          </cell>
          <cell r="L279" t="str">
            <v>MISSION BAY</v>
          </cell>
          <cell r="M279">
            <v>81568</v>
          </cell>
          <cell r="N279">
            <v>20301</v>
          </cell>
          <cell r="O279">
            <v>15363</v>
          </cell>
          <cell r="P279" t="str">
            <v>PeMS2016</v>
          </cell>
        </row>
        <row r="280">
          <cell r="C280">
            <v>1</v>
          </cell>
          <cell r="D280">
            <v>1</v>
          </cell>
          <cell r="E280">
            <v>26014</v>
          </cell>
          <cell r="F280">
            <v>1</v>
          </cell>
          <cell r="G280">
            <v>1</v>
          </cell>
          <cell r="H280" t="str">
            <v>I-5 NB</v>
          </cell>
          <cell r="I280">
            <v>91</v>
          </cell>
          <cell r="J280">
            <v>0</v>
          </cell>
          <cell r="K280" t="str">
            <v>MISSION BAY</v>
          </cell>
          <cell r="L280" t="str">
            <v>SR-52 WB</v>
          </cell>
          <cell r="M280">
            <v>102271</v>
          </cell>
          <cell r="N280">
            <v>24206</v>
          </cell>
          <cell r="O280">
            <v>19336</v>
          </cell>
          <cell r="P280" t="str">
            <v>Caltran</v>
          </cell>
        </row>
        <row r="281">
          <cell r="C281">
            <v>1</v>
          </cell>
          <cell r="D281">
            <v>1</v>
          </cell>
          <cell r="E281">
            <v>12010</v>
          </cell>
          <cell r="F281">
            <v>1</v>
          </cell>
          <cell r="G281">
            <v>1</v>
          </cell>
          <cell r="H281" t="str">
            <v>I-5 NB</v>
          </cell>
          <cell r="I281">
            <v>92</v>
          </cell>
          <cell r="J281">
            <v>0</v>
          </cell>
          <cell r="K281" t="str">
            <v>SR-52 WB</v>
          </cell>
          <cell r="L281" t="str">
            <v>SR-52 EB</v>
          </cell>
          <cell r="M281">
            <v>79231</v>
          </cell>
          <cell r="N281">
            <v>20040</v>
          </cell>
          <cell r="O281">
            <v>14218</v>
          </cell>
          <cell r="P281" t="str">
            <v>PeMS2016</v>
          </cell>
        </row>
        <row r="282">
          <cell r="C282">
            <v>1</v>
          </cell>
          <cell r="D282">
            <v>1</v>
          </cell>
          <cell r="E282">
            <v>12007</v>
          </cell>
          <cell r="F282">
            <v>1</v>
          </cell>
          <cell r="G282">
            <v>1</v>
          </cell>
          <cell r="H282" t="str">
            <v>I-5 NB</v>
          </cell>
          <cell r="I282">
            <v>93</v>
          </cell>
          <cell r="J282">
            <v>0</v>
          </cell>
          <cell r="K282" t="str">
            <v>SR-52 EB</v>
          </cell>
          <cell r="L282" t="str">
            <v>SR-52 WB</v>
          </cell>
          <cell r="M282">
            <v>72538</v>
          </cell>
          <cell r="N282">
            <v>18462</v>
          </cell>
          <cell r="O282">
            <v>13075</v>
          </cell>
          <cell r="P282" t="str">
            <v>PeMS2016</v>
          </cell>
        </row>
        <row r="283">
          <cell r="C283">
            <v>1</v>
          </cell>
          <cell r="D283">
            <v>1</v>
          </cell>
          <cell r="E283">
            <v>15020</v>
          </cell>
          <cell r="F283">
            <v>1</v>
          </cell>
          <cell r="G283">
            <v>1</v>
          </cell>
          <cell r="H283" t="str">
            <v>I-5 NB</v>
          </cell>
          <cell r="I283">
            <v>95</v>
          </cell>
          <cell r="J283">
            <v>0</v>
          </cell>
          <cell r="K283" t="str">
            <v>GILMAN</v>
          </cell>
          <cell r="L283" t="str">
            <v>GILMAN</v>
          </cell>
          <cell r="M283">
            <v>87299</v>
          </cell>
          <cell r="N283">
            <v>22500</v>
          </cell>
          <cell r="O283">
            <v>15069</v>
          </cell>
          <cell r="P283" t="str">
            <v>PeMS2016</v>
          </cell>
        </row>
        <row r="284">
          <cell r="C284">
            <v>1</v>
          </cell>
          <cell r="D284">
            <v>1</v>
          </cell>
          <cell r="E284">
            <v>15036</v>
          </cell>
          <cell r="F284">
            <v>1</v>
          </cell>
          <cell r="G284">
            <v>1</v>
          </cell>
          <cell r="H284" t="str">
            <v>I-5 NB</v>
          </cell>
          <cell r="I284">
            <v>96</v>
          </cell>
          <cell r="J284">
            <v>0</v>
          </cell>
          <cell r="K284" t="str">
            <v>GILMAN</v>
          </cell>
          <cell r="L284" t="str">
            <v>NOBEL</v>
          </cell>
          <cell r="M284">
            <v>79302</v>
          </cell>
          <cell r="N284">
            <v>20732</v>
          </cell>
          <cell r="O284">
            <v>13386</v>
          </cell>
          <cell r="P284" t="str">
            <v>PeMS2016</v>
          </cell>
        </row>
        <row r="285">
          <cell r="C285">
            <v>1</v>
          </cell>
          <cell r="D285">
            <v>1</v>
          </cell>
          <cell r="E285">
            <v>15038</v>
          </cell>
          <cell r="F285">
            <v>1</v>
          </cell>
          <cell r="G285">
            <v>1</v>
          </cell>
          <cell r="H285" t="str">
            <v>I-5 NB</v>
          </cell>
          <cell r="I285">
            <v>98</v>
          </cell>
          <cell r="J285">
            <v>0</v>
          </cell>
          <cell r="K285" t="str">
            <v>LA JOLLA VILLAGE</v>
          </cell>
          <cell r="L285" t="str">
            <v>LA JOLLA VILLAGE</v>
          </cell>
          <cell r="M285">
            <v>84222</v>
          </cell>
          <cell r="N285">
            <v>20549</v>
          </cell>
          <cell r="O285">
            <v>15159</v>
          </cell>
          <cell r="P285" t="str">
            <v>PeMS2016</v>
          </cell>
        </row>
        <row r="286">
          <cell r="C286">
            <v>1</v>
          </cell>
          <cell r="D286">
            <v>1</v>
          </cell>
          <cell r="E286">
            <v>14290</v>
          </cell>
          <cell r="F286">
            <v>1</v>
          </cell>
          <cell r="G286">
            <v>1</v>
          </cell>
          <cell r="H286" t="str">
            <v>I-5 NB</v>
          </cell>
          <cell r="I286">
            <v>102</v>
          </cell>
          <cell r="J286">
            <v>0</v>
          </cell>
          <cell r="K286" t="str">
            <v>GENESEE</v>
          </cell>
          <cell r="L286" t="str">
            <v>GENESEE</v>
          </cell>
          <cell r="M286">
            <v>77963</v>
          </cell>
          <cell r="N286">
            <v>13273</v>
          </cell>
          <cell r="O286">
            <v>18001</v>
          </cell>
          <cell r="P286" t="str">
            <v>PeMS2016</v>
          </cell>
        </row>
        <row r="287">
          <cell r="C287">
            <v>1</v>
          </cell>
          <cell r="D287">
            <v>1</v>
          </cell>
          <cell r="E287">
            <v>8896</v>
          </cell>
          <cell r="F287">
            <v>1</v>
          </cell>
          <cell r="G287">
            <v>1</v>
          </cell>
          <cell r="H287" t="str">
            <v>I-5 NB</v>
          </cell>
          <cell r="I287">
            <v>105</v>
          </cell>
          <cell r="J287">
            <v>0</v>
          </cell>
          <cell r="K287" t="str">
            <v>SORRENTO VALLEY</v>
          </cell>
          <cell r="L287" t="str">
            <v>I-805 NB</v>
          </cell>
          <cell r="M287">
            <v>77611</v>
          </cell>
          <cell r="N287">
            <v>12605</v>
          </cell>
          <cell r="O287">
            <v>18088</v>
          </cell>
          <cell r="P287" t="str">
            <v>Caltran</v>
          </cell>
        </row>
        <row r="288">
          <cell r="C288">
            <v>1</v>
          </cell>
          <cell r="D288">
            <v>1</v>
          </cell>
          <cell r="E288">
            <v>14265</v>
          </cell>
          <cell r="F288">
            <v>1</v>
          </cell>
          <cell r="G288">
            <v>1</v>
          </cell>
          <cell r="H288" t="str">
            <v>I-5 NB</v>
          </cell>
          <cell r="I288">
            <v>106</v>
          </cell>
          <cell r="J288">
            <v>0</v>
          </cell>
          <cell r="K288" t="str">
            <v>I-805 NB</v>
          </cell>
          <cell r="L288" t="str">
            <v>I-805 NB</v>
          </cell>
          <cell r="M288">
            <v>40004</v>
          </cell>
          <cell r="N288">
            <v>7241</v>
          </cell>
          <cell r="O288">
            <v>7722</v>
          </cell>
          <cell r="P288" t="str">
            <v>PeMS2016</v>
          </cell>
        </row>
        <row r="289">
          <cell r="C289">
            <v>1</v>
          </cell>
          <cell r="D289">
            <v>1</v>
          </cell>
          <cell r="E289">
            <v>4887</v>
          </cell>
          <cell r="F289">
            <v>1</v>
          </cell>
          <cell r="G289">
            <v>1</v>
          </cell>
          <cell r="H289" t="str">
            <v>I-5 NB</v>
          </cell>
          <cell r="I289">
            <v>108</v>
          </cell>
          <cell r="J289">
            <v>0</v>
          </cell>
          <cell r="K289" t="str">
            <v>I-805 NB</v>
          </cell>
          <cell r="M289">
            <v>110380</v>
          </cell>
          <cell r="N289">
            <v>19255</v>
          </cell>
          <cell r="O289">
            <v>21677</v>
          </cell>
          <cell r="P289" t="str">
            <v>Caltran</v>
          </cell>
        </row>
        <row r="290">
          <cell r="C290">
            <v>1</v>
          </cell>
          <cell r="D290">
            <v>1</v>
          </cell>
          <cell r="E290">
            <v>26279</v>
          </cell>
          <cell r="F290">
            <v>1</v>
          </cell>
          <cell r="G290">
            <v>1</v>
          </cell>
          <cell r="H290" t="str">
            <v>I-5 NB</v>
          </cell>
          <cell r="I290">
            <v>109</v>
          </cell>
          <cell r="J290">
            <v>0</v>
          </cell>
          <cell r="K290" t="str">
            <v>I-805 NB</v>
          </cell>
          <cell r="M290">
            <v>104108</v>
          </cell>
          <cell r="N290">
            <v>18789</v>
          </cell>
          <cell r="O290">
            <v>19035</v>
          </cell>
          <cell r="P290" t="str">
            <v>PeMS2016</v>
          </cell>
        </row>
        <row r="291">
          <cell r="C291">
            <v>1</v>
          </cell>
          <cell r="D291">
            <v>1</v>
          </cell>
          <cell r="E291">
            <v>14262</v>
          </cell>
          <cell r="F291">
            <v>1</v>
          </cell>
          <cell r="G291">
            <v>1</v>
          </cell>
          <cell r="H291" t="str">
            <v>I-5 NB</v>
          </cell>
          <cell r="I291">
            <v>111</v>
          </cell>
          <cell r="J291">
            <v>0</v>
          </cell>
          <cell r="K291" t="str">
            <v>I-805 NB</v>
          </cell>
          <cell r="M291">
            <v>100409</v>
          </cell>
          <cell r="N291">
            <v>18325</v>
          </cell>
          <cell r="O291">
            <v>18033</v>
          </cell>
          <cell r="P291" t="str">
            <v>PeMS2016</v>
          </cell>
        </row>
        <row r="292">
          <cell r="C292">
            <v>1</v>
          </cell>
          <cell r="D292">
            <v>1</v>
          </cell>
          <cell r="E292">
            <v>22603</v>
          </cell>
          <cell r="F292">
            <v>1</v>
          </cell>
          <cell r="G292">
            <v>1</v>
          </cell>
          <cell r="H292" t="str">
            <v>I-5 NB</v>
          </cell>
          <cell r="I292">
            <v>112</v>
          </cell>
          <cell r="J292">
            <v>0</v>
          </cell>
          <cell r="K292" t="str">
            <v>CARMEL VALLEY</v>
          </cell>
          <cell r="L292" t="str">
            <v>CARMEL VALLEY</v>
          </cell>
          <cell r="M292">
            <v>87923</v>
          </cell>
          <cell r="N292">
            <v>16004</v>
          </cell>
          <cell r="O292">
            <v>14712</v>
          </cell>
          <cell r="P292" t="str">
            <v>PeMS2016</v>
          </cell>
        </row>
        <row r="293">
          <cell r="C293">
            <v>1</v>
          </cell>
          <cell r="D293">
            <v>1</v>
          </cell>
          <cell r="E293">
            <v>14248</v>
          </cell>
          <cell r="F293">
            <v>1</v>
          </cell>
          <cell r="G293">
            <v>1</v>
          </cell>
          <cell r="H293" t="str">
            <v>I-5 NB</v>
          </cell>
          <cell r="I293">
            <v>115</v>
          </cell>
          <cell r="J293">
            <v>0</v>
          </cell>
          <cell r="K293" t="str">
            <v>CARMEL VALLEY</v>
          </cell>
          <cell r="L293" t="str">
            <v>DEL MAR HEIGHTS</v>
          </cell>
          <cell r="M293">
            <v>87822</v>
          </cell>
          <cell r="N293">
            <v>15987</v>
          </cell>
          <cell r="O293">
            <v>13753</v>
          </cell>
          <cell r="P293" t="str">
            <v>PeMS2016</v>
          </cell>
        </row>
        <row r="294">
          <cell r="C294">
            <v>1</v>
          </cell>
          <cell r="D294">
            <v>1</v>
          </cell>
          <cell r="E294">
            <v>13861</v>
          </cell>
          <cell r="F294">
            <v>1</v>
          </cell>
          <cell r="G294">
            <v>1</v>
          </cell>
          <cell r="H294" t="str">
            <v>I-5 NB</v>
          </cell>
          <cell r="I294">
            <v>117</v>
          </cell>
          <cell r="J294">
            <v>0</v>
          </cell>
          <cell r="K294" t="str">
            <v>DEL MAR HEIGHTS</v>
          </cell>
          <cell r="L294" t="str">
            <v>DEL MAR HEIGHTS</v>
          </cell>
          <cell r="M294">
            <v>102812</v>
          </cell>
          <cell r="N294">
            <v>17760</v>
          </cell>
          <cell r="O294">
            <v>20207</v>
          </cell>
          <cell r="P294" t="str">
            <v>PeMS2016</v>
          </cell>
        </row>
        <row r="295">
          <cell r="C295">
            <v>1</v>
          </cell>
          <cell r="D295">
            <v>1</v>
          </cell>
          <cell r="E295">
            <v>25387</v>
          </cell>
          <cell r="F295">
            <v>1</v>
          </cell>
          <cell r="G295">
            <v>1</v>
          </cell>
          <cell r="H295" t="str">
            <v>I-5 NB</v>
          </cell>
          <cell r="I295">
            <v>118</v>
          </cell>
          <cell r="J295">
            <v>1</v>
          </cell>
          <cell r="K295" t="str">
            <v>DEL MAR HEIGHTS</v>
          </cell>
          <cell r="L295" t="str">
            <v>VIA DE LA VALLE</v>
          </cell>
          <cell r="M295">
            <v>97434</v>
          </cell>
          <cell r="N295">
            <v>17194</v>
          </cell>
          <cell r="O295">
            <v>19331</v>
          </cell>
          <cell r="P295" t="str">
            <v>PeMS2016</v>
          </cell>
        </row>
        <row r="296">
          <cell r="C296">
            <v>1</v>
          </cell>
          <cell r="D296">
            <v>1</v>
          </cell>
          <cell r="E296">
            <v>13869</v>
          </cell>
          <cell r="F296">
            <v>1</v>
          </cell>
          <cell r="G296">
            <v>1</v>
          </cell>
          <cell r="H296" t="str">
            <v>I-5 NB</v>
          </cell>
          <cell r="I296">
            <v>120</v>
          </cell>
          <cell r="J296">
            <v>0</v>
          </cell>
          <cell r="K296" t="str">
            <v>VIA DE LA VALLE</v>
          </cell>
          <cell r="L296" t="str">
            <v>VIA DE LA VALLE</v>
          </cell>
          <cell r="M296">
            <v>99175</v>
          </cell>
          <cell r="N296">
            <v>17305</v>
          </cell>
          <cell r="O296">
            <v>19682</v>
          </cell>
          <cell r="P296" t="str">
            <v>PeMS2016</v>
          </cell>
        </row>
        <row r="297">
          <cell r="C297">
            <v>1</v>
          </cell>
          <cell r="D297">
            <v>1</v>
          </cell>
          <cell r="E297">
            <v>13600</v>
          </cell>
          <cell r="F297">
            <v>1</v>
          </cell>
          <cell r="G297">
            <v>1</v>
          </cell>
          <cell r="H297" t="str">
            <v>I-5 NB</v>
          </cell>
          <cell r="I297">
            <v>122</v>
          </cell>
          <cell r="J297">
            <v>0</v>
          </cell>
          <cell r="K297" t="str">
            <v>VIA DE LA VALLE</v>
          </cell>
          <cell r="L297" t="str">
            <v>LOMAS SANTA FE</v>
          </cell>
          <cell r="M297">
            <v>118363</v>
          </cell>
          <cell r="N297">
            <v>18773</v>
          </cell>
          <cell r="O297">
            <v>26077</v>
          </cell>
          <cell r="P297" t="str">
            <v>Caltran</v>
          </cell>
        </row>
        <row r="298">
          <cell r="C298">
            <v>1</v>
          </cell>
          <cell r="D298">
            <v>1</v>
          </cell>
          <cell r="E298">
            <v>26293</v>
          </cell>
          <cell r="F298">
            <v>1</v>
          </cell>
          <cell r="G298">
            <v>1</v>
          </cell>
          <cell r="H298" t="str">
            <v>I-5 NB</v>
          </cell>
          <cell r="I298">
            <v>123</v>
          </cell>
          <cell r="J298">
            <v>0</v>
          </cell>
          <cell r="K298" t="str">
            <v>LOMAS SANTA FE</v>
          </cell>
          <cell r="L298" t="str">
            <v>LOMAS SANTA FE</v>
          </cell>
          <cell r="M298">
            <v>98447</v>
          </cell>
          <cell r="N298">
            <v>16559</v>
          </cell>
          <cell r="O298">
            <v>20329</v>
          </cell>
          <cell r="P298" t="str">
            <v>PeMS2016</v>
          </cell>
        </row>
        <row r="299">
          <cell r="C299">
            <v>1</v>
          </cell>
          <cell r="D299">
            <v>1</v>
          </cell>
          <cell r="E299">
            <v>9872</v>
          </cell>
          <cell r="F299">
            <v>1</v>
          </cell>
          <cell r="G299">
            <v>1</v>
          </cell>
          <cell r="H299" t="str">
            <v>I-5 NB</v>
          </cell>
          <cell r="I299">
            <v>125</v>
          </cell>
          <cell r="J299">
            <v>0</v>
          </cell>
          <cell r="K299" t="str">
            <v>LOMAS SANTA FE</v>
          </cell>
          <cell r="L299" t="str">
            <v>MANCHESTER</v>
          </cell>
          <cell r="M299">
            <v>104595</v>
          </cell>
          <cell r="N299">
            <v>17345</v>
          </cell>
          <cell r="O299">
            <v>21633</v>
          </cell>
          <cell r="P299" t="str">
            <v>PeMS2016</v>
          </cell>
        </row>
        <row r="300">
          <cell r="C300">
            <v>1</v>
          </cell>
          <cell r="D300">
            <v>1</v>
          </cell>
          <cell r="E300">
            <v>13527</v>
          </cell>
          <cell r="F300">
            <v>1</v>
          </cell>
          <cell r="G300">
            <v>1</v>
          </cell>
          <cell r="H300" t="str">
            <v>I-5 NB</v>
          </cell>
          <cell r="I300">
            <v>127</v>
          </cell>
          <cell r="J300">
            <v>0</v>
          </cell>
          <cell r="K300" t="str">
            <v>MANCHESTER</v>
          </cell>
          <cell r="L300" t="str">
            <v>MANCHESTER</v>
          </cell>
          <cell r="M300">
            <v>107825</v>
          </cell>
          <cell r="N300">
            <v>17310</v>
          </cell>
          <cell r="O300">
            <v>23882</v>
          </cell>
          <cell r="P300" t="str">
            <v>PeMS2016</v>
          </cell>
        </row>
        <row r="301">
          <cell r="C301">
            <v>1</v>
          </cell>
          <cell r="D301">
            <v>1</v>
          </cell>
          <cell r="E301">
            <v>13593</v>
          </cell>
          <cell r="F301">
            <v>1</v>
          </cell>
          <cell r="G301">
            <v>1</v>
          </cell>
          <cell r="H301" t="str">
            <v>I-5 NB</v>
          </cell>
          <cell r="I301">
            <v>128</v>
          </cell>
          <cell r="J301">
            <v>0</v>
          </cell>
          <cell r="K301" t="str">
            <v>MANCHESTER</v>
          </cell>
          <cell r="L301" t="str">
            <v>BIRMINGHAM</v>
          </cell>
          <cell r="M301">
            <v>98736</v>
          </cell>
          <cell r="N301">
            <v>15823</v>
          </cell>
          <cell r="O301">
            <v>22187</v>
          </cell>
          <cell r="P301" t="str">
            <v>PeMS2016</v>
          </cell>
        </row>
        <row r="302">
          <cell r="C302">
            <v>1</v>
          </cell>
          <cell r="D302">
            <v>1</v>
          </cell>
          <cell r="E302">
            <v>25842</v>
          </cell>
          <cell r="F302">
            <v>1</v>
          </cell>
          <cell r="G302">
            <v>1</v>
          </cell>
          <cell r="H302" t="str">
            <v>I-5 NB</v>
          </cell>
          <cell r="I302">
            <v>129</v>
          </cell>
          <cell r="J302">
            <v>0</v>
          </cell>
          <cell r="K302" t="str">
            <v>BIRMINGHAM</v>
          </cell>
          <cell r="L302" t="str">
            <v>BIRMINGHAM</v>
          </cell>
          <cell r="M302">
            <v>104203</v>
          </cell>
          <cell r="N302">
            <v>16885</v>
          </cell>
          <cell r="O302">
            <v>22833</v>
          </cell>
          <cell r="P302" t="str">
            <v>PeMS2016</v>
          </cell>
        </row>
        <row r="303">
          <cell r="C303">
            <v>1</v>
          </cell>
          <cell r="D303">
            <v>1</v>
          </cell>
          <cell r="E303">
            <v>26523</v>
          </cell>
          <cell r="F303">
            <v>1</v>
          </cell>
          <cell r="G303">
            <v>1</v>
          </cell>
          <cell r="H303" t="str">
            <v>I-5 NB</v>
          </cell>
          <cell r="I303">
            <v>132</v>
          </cell>
          <cell r="J303">
            <v>0</v>
          </cell>
          <cell r="K303" t="str">
            <v>SANTA FE</v>
          </cell>
          <cell r="L303" t="str">
            <v>SANTA FE</v>
          </cell>
          <cell r="M303">
            <v>100921</v>
          </cell>
          <cell r="N303">
            <v>16277</v>
          </cell>
          <cell r="O303">
            <v>21979</v>
          </cell>
          <cell r="P303" t="str">
            <v>PeMS2016</v>
          </cell>
        </row>
        <row r="304">
          <cell r="C304">
            <v>1</v>
          </cell>
          <cell r="D304">
            <v>1</v>
          </cell>
          <cell r="E304">
            <v>13581</v>
          </cell>
          <cell r="F304">
            <v>1</v>
          </cell>
          <cell r="G304">
            <v>1</v>
          </cell>
          <cell r="H304" t="str">
            <v>I-5 NB</v>
          </cell>
          <cell r="I304">
            <v>133</v>
          </cell>
          <cell r="J304">
            <v>0</v>
          </cell>
          <cell r="K304" t="str">
            <v>SANTA FE</v>
          </cell>
          <cell r="L304" t="str">
            <v>SANTA FE</v>
          </cell>
          <cell r="M304">
            <v>104032</v>
          </cell>
          <cell r="N304">
            <v>16759</v>
          </cell>
          <cell r="O304">
            <v>22879</v>
          </cell>
          <cell r="P304" t="str">
            <v>PeMS2016</v>
          </cell>
        </row>
        <row r="305">
          <cell r="C305">
            <v>1</v>
          </cell>
          <cell r="D305">
            <v>1</v>
          </cell>
          <cell r="E305">
            <v>13579</v>
          </cell>
          <cell r="F305">
            <v>1</v>
          </cell>
          <cell r="G305">
            <v>1</v>
          </cell>
          <cell r="H305" t="str">
            <v>I-5 NB</v>
          </cell>
          <cell r="I305">
            <v>134</v>
          </cell>
          <cell r="J305">
            <v>0</v>
          </cell>
          <cell r="K305" t="str">
            <v>SANTA FE</v>
          </cell>
          <cell r="L305" t="str">
            <v>ENCINITAS</v>
          </cell>
          <cell r="M305">
            <v>95273</v>
          </cell>
          <cell r="N305">
            <v>15467</v>
          </cell>
          <cell r="O305">
            <v>21038</v>
          </cell>
          <cell r="P305" t="str">
            <v>PeMS2016</v>
          </cell>
        </row>
        <row r="306">
          <cell r="C306">
            <v>1</v>
          </cell>
          <cell r="D306">
            <v>1</v>
          </cell>
          <cell r="E306">
            <v>615</v>
          </cell>
          <cell r="F306">
            <v>1</v>
          </cell>
          <cell r="G306">
            <v>1</v>
          </cell>
          <cell r="H306" t="str">
            <v>I-5 NB</v>
          </cell>
          <cell r="I306">
            <v>135</v>
          </cell>
          <cell r="J306">
            <v>0</v>
          </cell>
          <cell r="K306" t="str">
            <v>ENCINITAS</v>
          </cell>
          <cell r="L306" t="str">
            <v>ENCINITAS</v>
          </cell>
          <cell r="M306">
            <v>100358</v>
          </cell>
          <cell r="N306">
            <v>16280</v>
          </cell>
          <cell r="O306">
            <v>22142</v>
          </cell>
          <cell r="P306" t="str">
            <v>PeMS2016</v>
          </cell>
        </row>
        <row r="307">
          <cell r="C307">
            <v>1</v>
          </cell>
          <cell r="D307">
            <v>1</v>
          </cell>
          <cell r="E307">
            <v>16275</v>
          </cell>
          <cell r="F307">
            <v>1</v>
          </cell>
          <cell r="G307">
            <v>1</v>
          </cell>
          <cell r="H307" t="str">
            <v>I-5 NB</v>
          </cell>
          <cell r="I307">
            <v>138</v>
          </cell>
          <cell r="J307">
            <v>0</v>
          </cell>
          <cell r="K307" t="str">
            <v>ENCINITAS</v>
          </cell>
          <cell r="L307" t="str">
            <v>LEUCADIA</v>
          </cell>
          <cell r="M307">
            <v>101403</v>
          </cell>
          <cell r="N307">
            <v>16037</v>
          </cell>
          <cell r="O307">
            <v>22564</v>
          </cell>
          <cell r="P307" t="str">
            <v>PeMS2016</v>
          </cell>
        </row>
        <row r="308">
          <cell r="C308">
            <v>1</v>
          </cell>
          <cell r="D308">
            <v>1</v>
          </cell>
          <cell r="E308">
            <v>16290</v>
          </cell>
          <cell r="F308">
            <v>1</v>
          </cell>
          <cell r="G308">
            <v>1</v>
          </cell>
          <cell r="H308" t="str">
            <v>I-5 NB</v>
          </cell>
          <cell r="I308">
            <v>139</v>
          </cell>
          <cell r="J308">
            <v>0</v>
          </cell>
          <cell r="K308" t="str">
            <v>LEUCADIA</v>
          </cell>
          <cell r="L308" t="str">
            <v>LEUCADIA</v>
          </cell>
          <cell r="M308">
            <v>99469</v>
          </cell>
          <cell r="N308">
            <v>16269</v>
          </cell>
          <cell r="O308">
            <v>21530</v>
          </cell>
          <cell r="P308" t="str">
            <v>PeMS2016</v>
          </cell>
        </row>
        <row r="309">
          <cell r="C309">
            <v>1</v>
          </cell>
          <cell r="D309">
            <v>1</v>
          </cell>
          <cell r="E309">
            <v>16291</v>
          </cell>
          <cell r="F309">
            <v>1</v>
          </cell>
          <cell r="G309">
            <v>1</v>
          </cell>
          <cell r="H309" t="str">
            <v>I-5 NB</v>
          </cell>
          <cell r="I309">
            <v>140</v>
          </cell>
          <cell r="J309">
            <v>0</v>
          </cell>
          <cell r="K309" t="str">
            <v>LEUCADIA</v>
          </cell>
          <cell r="L309" t="str">
            <v>LA COSTA</v>
          </cell>
          <cell r="M309">
            <v>104108</v>
          </cell>
          <cell r="N309">
            <v>16864</v>
          </cell>
          <cell r="O309">
            <v>22460</v>
          </cell>
          <cell r="P309" t="str">
            <v>PeMS2016</v>
          </cell>
        </row>
        <row r="310">
          <cell r="C310">
            <v>1</v>
          </cell>
          <cell r="D310">
            <v>1</v>
          </cell>
          <cell r="E310">
            <v>671</v>
          </cell>
          <cell r="F310">
            <v>1</v>
          </cell>
          <cell r="G310">
            <v>1</v>
          </cell>
          <cell r="H310" t="str">
            <v>I-5 NB</v>
          </cell>
          <cell r="I310">
            <v>141</v>
          </cell>
          <cell r="J310">
            <v>0</v>
          </cell>
          <cell r="K310" t="str">
            <v>LA COSTA</v>
          </cell>
          <cell r="L310" t="str">
            <v>LA COSTA</v>
          </cell>
          <cell r="M310">
            <v>95533</v>
          </cell>
          <cell r="N310">
            <v>15522</v>
          </cell>
          <cell r="O310">
            <v>20344</v>
          </cell>
          <cell r="P310" t="str">
            <v>PeMS2016</v>
          </cell>
        </row>
        <row r="311">
          <cell r="C311">
            <v>1</v>
          </cell>
          <cell r="D311">
            <v>1</v>
          </cell>
          <cell r="E311">
            <v>8770</v>
          </cell>
          <cell r="F311">
            <v>1</v>
          </cell>
          <cell r="G311">
            <v>1</v>
          </cell>
          <cell r="H311" t="str">
            <v>I-5 NB</v>
          </cell>
          <cell r="I311">
            <v>142</v>
          </cell>
          <cell r="J311">
            <v>0</v>
          </cell>
          <cell r="K311" t="str">
            <v>LA COSTA</v>
          </cell>
          <cell r="L311" t="str">
            <v>POINSETTIA</v>
          </cell>
          <cell r="M311">
            <v>88873</v>
          </cell>
          <cell r="N311">
            <v>15474</v>
          </cell>
          <cell r="O311">
            <v>18707</v>
          </cell>
          <cell r="P311" t="str">
            <v>PeMS2016</v>
          </cell>
        </row>
        <row r="312">
          <cell r="C312">
            <v>1</v>
          </cell>
          <cell r="D312">
            <v>1</v>
          </cell>
          <cell r="E312">
            <v>26546</v>
          </cell>
          <cell r="F312">
            <v>1</v>
          </cell>
          <cell r="G312">
            <v>1</v>
          </cell>
          <cell r="H312" t="str">
            <v>I-5 NB</v>
          </cell>
          <cell r="I312">
            <v>143</v>
          </cell>
          <cell r="J312">
            <v>0</v>
          </cell>
          <cell r="K312" t="str">
            <v>POINSETTIA</v>
          </cell>
          <cell r="L312" t="str">
            <v>POINSETTIA</v>
          </cell>
          <cell r="M312">
            <v>94176</v>
          </cell>
          <cell r="N312">
            <v>15389</v>
          </cell>
          <cell r="O312">
            <v>19631</v>
          </cell>
          <cell r="P312" t="str">
            <v>PeMS2016</v>
          </cell>
        </row>
        <row r="313">
          <cell r="C313">
            <v>1</v>
          </cell>
          <cell r="D313">
            <v>1</v>
          </cell>
          <cell r="E313">
            <v>13279</v>
          </cell>
          <cell r="F313">
            <v>1</v>
          </cell>
          <cell r="G313">
            <v>1</v>
          </cell>
          <cell r="H313" t="str">
            <v>I-5 NB</v>
          </cell>
          <cell r="I313">
            <v>145</v>
          </cell>
          <cell r="J313">
            <v>0</v>
          </cell>
          <cell r="K313" t="str">
            <v>POINSETTIA</v>
          </cell>
          <cell r="L313" t="str">
            <v>PALOMAR AIRPORT</v>
          </cell>
          <cell r="M313">
            <v>98062</v>
          </cell>
          <cell r="N313">
            <v>16243</v>
          </cell>
          <cell r="O313">
            <v>20084</v>
          </cell>
          <cell r="P313" t="str">
            <v>PeMS2016</v>
          </cell>
        </row>
        <row r="314">
          <cell r="C314">
            <v>1</v>
          </cell>
          <cell r="D314">
            <v>1</v>
          </cell>
          <cell r="E314">
            <v>13277</v>
          </cell>
          <cell r="F314">
            <v>1</v>
          </cell>
          <cell r="G314">
            <v>1</v>
          </cell>
          <cell r="H314" t="str">
            <v>I-5 NB</v>
          </cell>
          <cell r="I314">
            <v>146</v>
          </cell>
          <cell r="J314">
            <v>0</v>
          </cell>
          <cell r="K314" t="str">
            <v>PALOMAR AIRPORT</v>
          </cell>
          <cell r="L314" t="str">
            <v>PALOMAR AIRPORT</v>
          </cell>
          <cell r="M314">
            <v>86290</v>
          </cell>
          <cell r="N314">
            <v>12966</v>
          </cell>
          <cell r="O314">
            <v>18732</v>
          </cell>
          <cell r="P314" t="str">
            <v>PeMS2016</v>
          </cell>
        </row>
        <row r="315">
          <cell r="C315">
            <v>1</v>
          </cell>
          <cell r="D315">
            <v>1</v>
          </cell>
          <cell r="E315">
            <v>673</v>
          </cell>
          <cell r="F315">
            <v>1</v>
          </cell>
          <cell r="G315">
            <v>1</v>
          </cell>
          <cell r="H315" t="str">
            <v>I-5 NB</v>
          </cell>
          <cell r="I315">
            <v>148</v>
          </cell>
          <cell r="J315">
            <v>0</v>
          </cell>
          <cell r="K315" t="str">
            <v>CANNON</v>
          </cell>
          <cell r="L315" t="str">
            <v>CANNON</v>
          </cell>
          <cell r="M315">
            <v>93015</v>
          </cell>
          <cell r="N315">
            <v>13259</v>
          </cell>
          <cell r="O315">
            <v>20930</v>
          </cell>
          <cell r="P315" t="str">
            <v>PeMS2016</v>
          </cell>
        </row>
        <row r="316">
          <cell r="C316">
            <v>1</v>
          </cell>
          <cell r="D316">
            <v>1</v>
          </cell>
          <cell r="E316">
            <v>8768</v>
          </cell>
          <cell r="F316">
            <v>1</v>
          </cell>
          <cell r="G316">
            <v>1</v>
          </cell>
          <cell r="H316" t="str">
            <v>I-5 NB</v>
          </cell>
          <cell r="I316">
            <v>149</v>
          </cell>
          <cell r="J316">
            <v>0</v>
          </cell>
          <cell r="K316" t="str">
            <v>CANNON</v>
          </cell>
          <cell r="L316" t="str">
            <v>TAMARACK</v>
          </cell>
          <cell r="M316">
            <v>100711</v>
          </cell>
          <cell r="N316">
            <v>13633</v>
          </cell>
          <cell r="O316">
            <v>24173</v>
          </cell>
          <cell r="P316" t="str">
            <v>PeMS2016</v>
          </cell>
        </row>
        <row r="317">
          <cell r="C317">
            <v>1</v>
          </cell>
          <cell r="D317">
            <v>1</v>
          </cell>
          <cell r="E317">
            <v>26547</v>
          </cell>
          <cell r="F317">
            <v>1</v>
          </cell>
          <cell r="G317">
            <v>1</v>
          </cell>
          <cell r="H317" t="str">
            <v>I-5 NB</v>
          </cell>
          <cell r="I317">
            <v>150</v>
          </cell>
          <cell r="J317">
            <v>0</v>
          </cell>
          <cell r="K317" t="str">
            <v>TAMARACK</v>
          </cell>
          <cell r="L317" t="str">
            <v>TAMARACK</v>
          </cell>
          <cell r="M317">
            <v>99712</v>
          </cell>
          <cell r="N317">
            <v>13337</v>
          </cell>
          <cell r="O317">
            <v>24326</v>
          </cell>
          <cell r="P317" t="str">
            <v>Caltran</v>
          </cell>
        </row>
        <row r="318">
          <cell r="C318">
            <v>1</v>
          </cell>
          <cell r="D318">
            <v>1</v>
          </cell>
          <cell r="E318">
            <v>12592</v>
          </cell>
          <cell r="F318">
            <v>1</v>
          </cell>
          <cell r="G318">
            <v>1</v>
          </cell>
          <cell r="H318" t="str">
            <v>I-5 NB</v>
          </cell>
          <cell r="I318">
            <v>151</v>
          </cell>
          <cell r="J318">
            <v>0</v>
          </cell>
          <cell r="K318" t="str">
            <v>TAMARACK</v>
          </cell>
          <cell r="L318" t="str">
            <v>TAMARACK</v>
          </cell>
          <cell r="M318">
            <v>100241</v>
          </cell>
          <cell r="N318">
            <v>13972</v>
          </cell>
          <cell r="O318">
            <v>23458</v>
          </cell>
          <cell r="P318" t="str">
            <v>PeMS2016</v>
          </cell>
        </row>
        <row r="319">
          <cell r="C319">
            <v>1</v>
          </cell>
          <cell r="D319">
            <v>1</v>
          </cell>
          <cell r="E319">
            <v>16125</v>
          </cell>
          <cell r="F319">
            <v>1</v>
          </cell>
          <cell r="G319">
            <v>1</v>
          </cell>
          <cell r="H319" t="str">
            <v>I-5 NB</v>
          </cell>
          <cell r="I319">
            <v>156</v>
          </cell>
          <cell r="J319">
            <v>0</v>
          </cell>
          <cell r="K319" t="str">
            <v>LAS FLORES</v>
          </cell>
          <cell r="L319" t="str">
            <v>SR-78 EB</v>
          </cell>
          <cell r="M319">
            <v>91626</v>
          </cell>
          <cell r="N319">
            <v>13130</v>
          </cell>
          <cell r="O319">
            <v>21321</v>
          </cell>
          <cell r="P319" t="str">
            <v>PeMS2016</v>
          </cell>
        </row>
        <row r="320">
          <cell r="C320">
            <v>1</v>
          </cell>
          <cell r="D320">
            <v>1</v>
          </cell>
          <cell r="E320">
            <v>12253</v>
          </cell>
          <cell r="F320">
            <v>1</v>
          </cell>
          <cell r="G320">
            <v>1</v>
          </cell>
          <cell r="H320" t="str">
            <v>I-5 NB</v>
          </cell>
          <cell r="I320">
            <v>160</v>
          </cell>
          <cell r="J320">
            <v>0</v>
          </cell>
          <cell r="K320" t="str">
            <v>CASSIDY</v>
          </cell>
          <cell r="L320" t="str">
            <v>CALIFORNIA</v>
          </cell>
          <cell r="M320">
            <v>104473</v>
          </cell>
          <cell r="N320">
            <v>16989</v>
          </cell>
          <cell r="O320">
            <v>23051</v>
          </cell>
          <cell r="P320" t="str">
            <v>PeMS2016</v>
          </cell>
        </row>
        <row r="321">
          <cell r="C321">
            <v>1</v>
          </cell>
          <cell r="D321">
            <v>1</v>
          </cell>
          <cell r="E321">
            <v>12242</v>
          </cell>
          <cell r="F321">
            <v>1</v>
          </cell>
          <cell r="G321">
            <v>1</v>
          </cell>
          <cell r="H321" t="str">
            <v>I-5 NB</v>
          </cell>
          <cell r="I321">
            <v>163</v>
          </cell>
          <cell r="J321">
            <v>0</v>
          </cell>
          <cell r="K321" t="str">
            <v>OCEANSIDE</v>
          </cell>
          <cell r="L321" t="str">
            <v>OCEANSIDE</v>
          </cell>
          <cell r="M321">
            <v>90844</v>
          </cell>
          <cell r="N321">
            <v>15206</v>
          </cell>
          <cell r="O321">
            <v>19328</v>
          </cell>
          <cell r="P321" t="str">
            <v>PeMS2016</v>
          </cell>
        </row>
        <row r="322">
          <cell r="C322">
            <v>1</v>
          </cell>
          <cell r="D322">
            <v>1</v>
          </cell>
          <cell r="E322">
            <v>28495</v>
          </cell>
          <cell r="F322">
            <v>1</v>
          </cell>
          <cell r="G322">
            <v>1</v>
          </cell>
          <cell r="H322" t="str">
            <v>I-5 NB</v>
          </cell>
          <cell r="I322">
            <v>165</v>
          </cell>
          <cell r="J322">
            <v>0</v>
          </cell>
          <cell r="K322" t="str">
            <v>MISSION</v>
          </cell>
          <cell r="L322" t="str">
            <v>MISSION</v>
          </cell>
          <cell r="M322">
            <v>78485</v>
          </cell>
          <cell r="N322">
            <v>13861</v>
          </cell>
          <cell r="O322">
            <v>15508</v>
          </cell>
          <cell r="P322" t="str">
            <v>PeMS2016</v>
          </cell>
        </row>
        <row r="323">
          <cell r="C323">
            <v>1</v>
          </cell>
          <cell r="D323">
            <v>1</v>
          </cell>
          <cell r="E323">
            <v>28511</v>
          </cell>
          <cell r="F323">
            <v>1</v>
          </cell>
          <cell r="G323">
            <v>1</v>
          </cell>
          <cell r="H323" t="str">
            <v>I-5 NB</v>
          </cell>
          <cell r="I323">
            <v>166</v>
          </cell>
          <cell r="J323">
            <v>0</v>
          </cell>
          <cell r="K323" t="str">
            <v>MISSION</v>
          </cell>
          <cell r="L323" t="str">
            <v>SR-76</v>
          </cell>
          <cell r="M323">
            <v>82332</v>
          </cell>
          <cell r="N323">
            <v>14347</v>
          </cell>
          <cell r="O323">
            <v>16392</v>
          </cell>
          <cell r="P323" t="str">
            <v>Caltran</v>
          </cell>
        </row>
        <row r="324">
          <cell r="C324">
            <v>1</v>
          </cell>
          <cell r="D324">
            <v>1</v>
          </cell>
          <cell r="E324">
            <v>28512</v>
          </cell>
          <cell r="F324">
            <v>1</v>
          </cell>
          <cell r="G324">
            <v>1</v>
          </cell>
          <cell r="H324" t="str">
            <v>I-5 NB</v>
          </cell>
          <cell r="I324">
            <v>167</v>
          </cell>
          <cell r="J324">
            <v>0</v>
          </cell>
          <cell r="K324" t="str">
            <v>SR-76</v>
          </cell>
          <cell r="L324" t="str">
            <v>SR-76</v>
          </cell>
          <cell r="M324">
            <v>71465</v>
          </cell>
          <cell r="N324">
            <v>13432</v>
          </cell>
          <cell r="O324">
            <v>13004</v>
          </cell>
          <cell r="P324" t="str">
            <v>PeMS2016</v>
          </cell>
        </row>
        <row r="325">
          <cell r="C325">
            <v>1</v>
          </cell>
          <cell r="D325">
            <v>1</v>
          </cell>
          <cell r="E325">
            <v>28486</v>
          </cell>
          <cell r="F325">
            <v>1</v>
          </cell>
          <cell r="G325">
            <v>1</v>
          </cell>
          <cell r="H325" t="str">
            <v>I-5 NB</v>
          </cell>
          <cell r="I325">
            <v>171</v>
          </cell>
          <cell r="J325">
            <v>0</v>
          </cell>
          <cell r="K325" t="str">
            <v>VANDEGRIFT</v>
          </cell>
          <cell r="L325" t="str">
            <v>VANDEGRIFT</v>
          </cell>
          <cell r="M325">
            <v>62454</v>
          </cell>
          <cell r="N325">
            <v>11782</v>
          </cell>
          <cell r="O325">
            <v>11005</v>
          </cell>
          <cell r="P325" t="str">
            <v>PeMS2016</v>
          </cell>
        </row>
        <row r="326">
          <cell r="C326">
            <v>1</v>
          </cell>
          <cell r="D326">
            <v>1</v>
          </cell>
          <cell r="E326">
            <v>27597</v>
          </cell>
          <cell r="F326">
            <v>1</v>
          </cell>
          <cell r="G326">
            <v>1</v>
          </cell>
          <cell r="H326" t="str">
            <v>I-5 NB</v>
          </cell>
          <cell r="I326">
            <v>172</v>
          </cell>
          <cell r="J326">
            <v>7</v>
          </cell>
          <cell r="K326" t="str">
            <v>VANDEGRIFT</v>
          </cell>
          <cell r="L326" t="str">
            <v>LAS PULGAS</v>
          </cell>
          <cell r="M326">
            <v>63067</v>
          </cell>
          <cell r="N326">
            <v>11896</v>
          </cell>
          <cell r="O326">
            <v>11331</v>
          </cell>
          <cell r="P326" t="str">
            <v>PeMS2016</v>
          </cell>
        </row>
        <row r="327">
          <cell r="C327">
            <v>1</v>
          </cell>
          <cell r="D327">
            <v>1</v>
          </cell>
          <cell r="E327">
            <v>27519</v>
          </cell>
          <cell r="F327">
            <v>1</v>
          </cell>
          <cell r="G327">
            <v>1</v>
          </cell>
          <cell r="H327" t="str">
            <v>I-5 NB</v>
          </cell>
          <cell r="I327">
            <v>174</v>
          </cell>
          <cell r="J327">
            <v>8</v>
          </cell>
          <cell r="K327" t="str">
            <v>LAS PULGAS</v>
          </cell>
          <cell r="L327" t="str">
            <v>BASILONE</v>
          </cell>
          <cell r="M327">
            <v>66076</v>
          </cell>
          <cell r="N327">
            <v>11812</v>
          </cell>
          <cell r="O327">
            <v>12094</v>
          </cell>
          <cell r="P327" t="str">
            <v>PeMS2016</v>
          </cell>
        </row>
        <row r="328">
          <cell r="C328">
            <v>31</v>
          </cell>
          <cell r="D328">
            <v>1</v>
          </cell>
          <cell r="E328">
            <v>25386</v>
          </cell>
          <cell r="F328">
            <v>1</v>
          </cell>
          <cell r="G328">
            <v>2</v>
          </cell>
          <cell r="H328" t="str">
            <v>I-5 HOV NB</v>
          </cell>
          <cell r="I328">
            <v>1</v>
          </cell>
          <cell r="J328">
            <v>1</v>
          </cell>
          <cell r="K328" t="str">
            <v>MIRA MESA</v>
          </cell>
          <cell r="L328" t="str">
            <v>CARMEL MOUNTAIN</v>
          </cell>
          <cell r="M328">
            <v>7950</v>
          </cell>
          <cell r="N328">
            <v>990</v>
          </cell>
          <cell r="O328">
            <v>2637</v>
          </cell>
          <cell r="P328" t="str">
            <v>PeMS2016</v>
          </cell>
        </row>
        <row r="329">
          <cell r="C329">
            <v>31</v>
          </cell>
          <cell r="D329">
            <v>1</v>
          </cell>
          <cell r="E329">
            <v>22077</v>
          </cell>
          <cell r="F329">
            <v>1</v>
          </cell>
          <cell r="G329">
            <v>2</v>
          </cell>
          <cell r="H329" t="str">
            <v>I-5 HOV NB</v>
          </cell>
          <cell r="I329">
            <v>3</v>
          </cell>
          <cell r="J329">
            <v>0</v>
          </cell>
          <cell r="K329" t="str">
            <v>CARMEL VALLEY</v>
          </cell>
          <cell r="L329" t="str">
            <v>CARMEL VALLEY</v>
          </cell>
          <cell r="M329">
            <v>10185</v>
          </cell>
          <cell r="N329">
            <v>1165</v>
          </cell>
          <cell r="O329">
            <v>3507</v>
          </cell>
          <cell r="P329" t="str">
            <v>PeMS2016</v>
          </cell>
        </row>
        <row r="330">
          <cell r="C330">
            <v>31</v>
          </cell>
          <cell r="D330">
            <v>1</v>
          </cell>
          <cell r="E330">
            <v>29571</v>
          </cell>
          <cell r="F330">
            <v>1</v>
          </cell>
          <cell r="G330">
            <v>2</v>
          </cell>
          <cell r="H330" t="str">
            <v>I-5 HOV NB</v>
          </cell>
          <cell r="I330">
            <v>5</v>
          </cell>
          <cell r="J330">
            <v>0</v>
          </cell>
          <cell r="K330" t="str">
            <v>CARMEL VALLEY</v>
          </cell>
          <cell r="L330" t="str">
            <v>VIA DE LA VALLE</v>
          </cell>
          <cell r="M330">
            <v>9792</v>
          </cell>
          <cell r="N330">
            <v>1359</v>
          </cell>
          <cell r="O330">
            <v>2521</v>
          </cell>
          <cell r="P330" t="str">
            <v>PeMS2016</v>
          </cell>
        </row>
        <row r="331">
          <cell r="C331">
            <v>31</v>
          </cell>
          <cell r="D331">
            <v>1</v>
          </cell>
          <cell r="E331">
            <v>25381</v>
          </cell>
          <cell r="F331">
            <v>1</v>
          </cell>
          <cell r="G331">
            <v>2</v>
          </cell>
          <cell r="H331" t="str">
            <v>I-5 HOV NB</v>
          </cell>
          <cell r="I331">
            <v>7</v>
          </cell>
          <cell r="J331">
            <v>1</v>
          </cell>
          <cell r="K331" t="str">
            <v>DEL MAR HEIGHTS</v>
          </cell>
          <cell r="L331" t="str">
            <v>VIA DE LA VALLE</v>
          </cell>
          <cell r="M331">
            <v>9379</v>
          </cell>
          <cell r="N331">
            <v>1101</v>
          </cell>
          <cell r="O331">
            <v>3058</v>
          </cell>
          <cell r="P331" t="str">
            <v>PeMS2016</v>
          </cell>
        </row>
        <row r="332">
          <cell r="C332">
            <v>31</v>
          </cell>
          <cell r="D332">
            <v>1</v>
          </cell>
          <cell r="E332">
            <v>29490</v>
          </cell>
          <cell r="F332">
            <v>1</v>
          </cell>
          <cell r="G332">
            <v>2</v>
          </cell>
          <cell r="H332" t="str">
            <v>I-5 HOV NB</v>
          </cell>
          <cell r="I332">
            <v>8</v>
          </cell>
          <cell r="J332">
            <v>1</v>
          </cell>
          <cell r="K332" t="str">
            <v>DEL MAR HEIGHTS</v>
          </cell>
          <cell r="L332" t="str">
            <v>VIA DE LA VALLE</v>
          </cell>
          <cell r="M332">
            <v>11953</v>
          </cell>
          <cell r="N332">
            <v>1219</v>
          </cell>
          <cell r="O332">
            <v>4350</v>
          </cell>
          <cell r="P332" t="str">
            <v>PeMS2016</v>
          </cell>
        </row>
        <row r="333">
          <cell r="C333">
            <v>2</v>
          </cell>
          <cell r="D333">
            <v>1</v>
          </cell>
          <cell r="E333">
            <v>16127</v>
          </cell>
          <cell r="F333">
            <v>1</v>
          </cell>
          <cell r="G333">
            <v>1</v>
          </cell>
          <cell r="H333" t="str">
            <v>I-15 NB</v>
          </cell>
          <cell r="I333">
            <v>1</v>
          </cell>
          <cell r="J333">
            <v>0</v>
          </cell>
          <cell r="K333" t="str">
            <v>I-5 NB</v>
          </cell>
          <cell r="L333" t="str">
            <v>OCEAN VIEW</v>
          </cell>
          <cell r="M333">
            <v>56592</v>
          </cell>
          <cell r="N333">
            <v>9944</v>
          </cell>
          <cell r="O333">
            <v>13149</v>
          </cell>
          <cell r="P333" t="str">
            <v>Caltran</v>
          </cell>
        </row>
        <row r="334">
          <cell r="C334">
            <v>2</v>
          </cell>
          <cell r="D334">
            <v>1</v>
          </cell>
          <cell r="E334">
            <v>16128</v>
          </cell>
          <cell r="F334">
            <v>1</v>
          </cell>
          <cell r="G334">
            <v>1</v>
          </cell>
          <cell r="H334" t="str">
            <v>I-15 NB</v>
          </cell>
          <cell r="I334">
            <v>2</v>
          </cell>
          <cell r="J334">
            <v>0</v>
          </cell>
          <cell r="K334" t="str">
            <v>OCEAN VIEW</v>
          </cell>
          <cell r="L334" t="str">
            <v>OCEAN VIEW</v>
          </cell>
          <cell r="M334">
            <v>59710</v>
          </cell>
          <cell r="N334">
            <v>10441</v>
          </cell>
          <cell r="O334">
            <v>13795</v>
          </cell>
          <cell r="P334" t="str">
            <v>PeMS2016</v>
          </cell>
        </row>
        <row r="335">
          <cell r="C335">
            <v>2</v>
          </cell>
          <cell r="D335">
            <v>1</v>
          </cell>
          <cell r="E335">
            <v>11327</v>
          </cell>
          <cell r="F335">
            <v>1</v>
          </cell>
          <cell r="G335">
            <v>1</v>
          </cell>
          <cell r="H335" t="str">
            <v>I-15 NB</v>
          </cell>
          <cell r="I335">
            <v>3</v>
          </cell>
          <cell r="J335">
            <v>0</v>
          </cell>
          <cell r="K335" t="str">
            <v>OCEAN VIEW</v>
          </cell>
          <cell r="L335" t="str">
            <v>IMPERIAL</v>
          </cell>
          <cell r="M335">
            <v>66365</v>
          </cell>
          <cell r="N335">
            <v>12602</v>
          </cell>
          <cell r="O335">
            <v>15197</v>
          </cell>
          <cell r="P335" t="str">
            <v>PeMS2016</v>
          </cell>
        </row>
        <row r="336">
          <cell r="C336">
            <v>2</v>
          </cell>
          <cell r="D336">
            <v>1</v>
          </cell>
          <cell r="E336">
            <v>16136</v>
          </cell>
          <cell r="F336">
            <v>1</v>
          </cell>
          <cell r="G336">
            <v>1</v>
          </cell>
          <cell r="H336" t="str">
            <v>I-15 NB</v>
          </cell>
          <cell r="I336">
            <v>5</v>
          </cell>
          <cell r="J336">
            <v>0</v>
          </cell>
          <cell r="L336" t="str">
            <v>MARKET</v>
          </cell>
          <cell r="M336">
            <v>70159</v>
          </cell>
          <cell r="N336">
            <v>13315</v>
          </cell>
          <cell r="O336">
            <v>16609</v>
          </cell>
          <cell r="P336" t="str">
            <v>Caltran</v>
          </cell>
        </row>
        <row r="337">
          <cell r="C337">
            <v>2</v>
          </cell>
          <cell r="D337">
            <v>1</v>
          </cell>
          <cell r="E337">
            <v>8921</v>
          </cell>
          <cell r="F337">
            <v>1</v>
          </cell>
          <cell r="G337">
            <v>1</v>
          </cell>
          <cell r="H337" t="str">
            <v>I-15 NB</v>
          </cell>
          <cell r="I337">
            <v>8</v>
          </cell>
          <cell r="J337">
            <v>0</v>
          </cell>
          <cell r="K337" t="str">
            <v>SR-94 EB</v>
          </cell>
          <cell r="L337" t="str">
            <v>I-805 NB</v>
          </cell>
          <cell r="M337">
            <v>64827</v>
          </cell>
          <cell r="N337">
            <v>13363</v>
          </cell>
          <cell r="O337">
            <v>14799</v>
          </cell>
          <cell r="P337" t="str">
            <v>PeMS2016</v>
          </cell>
        </row>
        <row r="338">
          <cell r="C338">
            <v>2</v>
          </cell>
          <cell r="D338">
            <v>1</v>
          </cell>
          <cell r="E338">
            <v>8939</v>
          </cell>
          <cell r="F338">
            <v>1</v>
          </cell>
          <cell r="G338">
            <v>1</v>
          </cell>
          <cell r="H338" t="str">
            <v>I-15 NB</v>
          </cell>
          <cell r="I338">
            <v>12</v>
          </cell>
          <cell r="J338">
            <v>0</v>
          </cell>
          <cell r="K338" t="str">
            <v>I-805 NB</v>
          </cell>
          <cell r="L338" t="str">
            <v>40TH</v>
          </cell>
          <cell r="M338">
            <v>96155</v>
          </cell>
          <cell r="N338">
            <v>18973</v>
          </cell>
          <cell r="O338">
            <v>20164</v>
          </cell>
          <cell r="P338" t="str">
            <v>PeMS2016</v>
          </cell>
        </row>
        <row r="339">
          <cell r="C339">
            <v>2</v>
          </cell>
          <cell r="D339">
            <v>1</v>
          </cell>
          <cell r="E339">
            <v>27578</v>
          </cell>
          <cell r="F339">
            <v>1</v>
          </cell>
          <cell r="G339">
            <v>1</v>
          </cell>
          <cell r="H339" t="str">
            <v>I-15 NB</v>
          </cell>
          <cell r="I339">
            <v>16</v>
          </cell>
          <cell r="J339">
            <v>0</v>
          </cell>
          <cell r="K339" t="str">
            <v>EL CAJON</v>
          </cell>
          <cell r="L339" t="str">
            <v>EL CAJON</v>
          </cell>
          <cell r="M339">
            <v>80382</v>
          </cell>
          <cell r="N339">
            <v>16727</v>
          </cell>
          <cell r="O339">
            <v>15852</v>
          </cell>
          <cell r="P339" t="str">
            <v>PeMS2016</v>
          </cell>
        </row>
        <row r="340">
          <cell r="C340">
            <v>2</v>
          </cell>
          <cell r="D340">
            <v>1</v>
          </cell>
          <cell r="E340">
            <v>8977</v>
          </cell>
          <cell r="F340">
            <v>1</v>
          </cell>
          <cell r="G340">
            <v>1</v>
          </cell>
          <cell r="H340" t="str">
            <v>I-15 NB</v>
          </cell>
          <cell r="I340">
            <v>2</v>
          </cell>
          <cell r="J340">
            <v>0</v>
          </cell>
          <cell r="K340" t="str">
            <v>ADAMS</v>
          </cell>
          <cell r="L340" t="str">
            <v>ADAMS</v>
          </cell>
          <cell r="M340">
            <v>91226</v>
          </cell>
          <cell r="N340">
            <v>19717</v>
          </cell>
          <cell r="O340">
            <v>18184</v>
          </cell>
          <cell r="P340" t="str">
            <v>PeMS2016</v>
          </cell>
        </row>
        <row r="341">
          <cell r="C341">
            <v>2</v>
          </cell>
          <cell r="D341">
            <v>1</v>
          </cell>
          <cell r="E341">
            <v>6852</v>
          </cell>
          <cell r="F341">
            <v>1</v>
          </cell>
          <cell r="G341">
            <v>1</v>
          </cell>
          <cell r="H341" t="str">
            <v>I-15 NB</v>
          </cell>
          <cell r="I341">
            <v>6</v>
          </cell>
          <cell r="J341">
            <v>0</v>
          </cell>
          <cell r="K341" t="str">
            <v>I-8 EB</v>
          </cell>
          <cell r="L341" t="str">
            <v>I-8 EB</v>
          </cell>
          <cell r="M341">
            <v>86796</v>
          </cell>
          <cell r="N341">
            <v>15934</v>
          </cell>
          <cell r="O341">
            <v>17236</v>
          </cell>
          <cell r="P341" t="str">
            <v>PeMS2016</v>
          </cell>
        </row>
        <row r="342">
          <cell r="C342">
            <v>2</v>
          </cell>
          <cell r="D342">
            <v>1</v>
          </cell>
          <cell r="E342">
            <v>16760</v>
          </cell>
          <cell r="F342">
            <v>1</v>
          </cell>
          <cell r="G342">
            <v>1</v>
          </cell>
          <cell r="H342" t="str">
            <v>I-15 NB</v>
          </cell>
          <cell r="I342">
            <v>8</v>
          </cell>
          <cell r="J342">
            <v>0</v>
          </cell>
          <cell r="K342" t="str">
            <v>I-8 EB</v>
          </cell>
          <cell r="L342" t="str">
            <v>I-8 EB</v>
          </cell>
          <cell r="M342">
            <v>79946</v>
          </cell>
          <cell r="N342">
            <v>15726</v>
          </cell>
          <cell r="O342">
            <v>16271</v>
          </cell>
          <cell r="P342" t="str">
            <v>PeMS2016</v>
          </cell>
        </row>
        <row r="343">
          <cell r="C343">
            <v>2</v>
          </cell>
          <cell r="D343">
            <v>1</v>
          </cell>
          <cell r="E343">
            <v>15776</v>
          </cell>
          <cell r="F343">
            <v>1</v>
          </cell>
          <cell r="G343">
            <v>1</v>
          </cell>
          <cell r="H343" t="str">
            <v>I-15 NB</v>
          </cell>
          <cell r="I343">
            <v>10</v>
          </cell>
          <cell r="J343">
            <v>0</v>
          </cell>
          <cell r="K343" t="str">
            <v>I-8 WB</v>
          </cell>
          <cell r="L343" t="str">
            <v>FRIARS</v>
          </cell>
          <cell r="M343">
            <v>114510</v>
          </cell>
          <cell r="N343">
            <v>25967</v>
          </cell>
          <cell r="O343">
            <v>21966</v>
          </cell>
          <cell r="P343" t="str">
            <v>Caltran</v>
          </cell>
        </row>
        <row r="344">
          <cell r="C344">
            <v>2</v>
          </cell>
          <cell r="D344">
            <v>1</v>
          </cell>
          <cell r="E344">
            <v>20457</v>
          </cell>
          <cell r="F344">
            <v>1</v>
          </cell>
          <cell r="G344">
            <v>1</v>
          </cell>
          <cell r="H344" t="str">
            <v>I-15 NB</v>
          </cell>
          <cell r="I344">
            <v>11</v>
          </cell>
          <cell r="J344">
            <v>0</v>
          </cell>
          <cell r="K344" t="str">
            <v>FRIARS</v>
          </cell>
          <cell r="L344" t="str">
            <v>FRIARS</v>
          </cell>
          <cell r="M344">
            <v>97366</v>
          </cell>
          <cell r="N344">
            <v>24304</v>
          </cell>
          <cell r="O344">
            <v>17640</v>
          </cell>
          <cell r="P344" t="str">
            <v>PeMS2016</v>
          </cell>
        </row>
        <row r="345">
          <cell r="C345">
            <v>2</v>
          </cell>
          <cell r="D345">
            <v>1</v>
          </cell>
          <cell r="E345">
            <v>9328</v>
          </cell>
          <cell r="F345">
            <v>1</v>
          </cell>
          <cell r="G345">
            <v>1</v>
          </cell>
          <cell r="H345" t="str">
            <v>I-15 NB</v>
          </cell>
          <cell r="I345">
            <v>12</v>
          </cell>
          <cell r="J345">
            <v>0</v>
          </cell>
          <cell r="K345" t="str">
            <v>FRIARS</v>
          </cell>
          <cell r="L345" t="str">
            <v>STONECREST</v>
          </cell>
          <cell r="M345">
            <v>117227</v>
          </cell>
          <cell r="N345">
            <v>28802</v>
          </cell>
          <cell r="O345">
            <v>21823</v>
          </cell>
          <cell r="P345" t="str">
            <v>PeMS2016</v>
          </cell>
        </row>
        <row r="346">
          <cell r="C346">
            <v>2</v>
          </cell>
          <cell r="D346">
            <v>1</v>
          </cell>
          <cell r="E346">
            <v>9333</v>
          </cell>
          <cell r="F346">
            <v>1</v>
          </cell>
          <cell r="G346">
            <v>1</v>
          </cell>
          <cell r="H346" t="str">
            <v>I-15 NB</v>
          </cell>
          <cell r="I346">
            <v>13</v>
          </cell>
          <cell r="J346">
            <v>0</v>
          </cell>
          <cell r="K346" t="str">
            <v>STONECREST</v>
          </cell>
          <cell r="L346" t="str">
            <v>AERO</v>
          </cell>
          <cell r="M346">
            <v>95636</v>
          </cell>
          <cell r="N346">
            <v>24025</v>
          </cell>
          <cell r="O346">
            <v>17693</v>
          </cell>
          <cell r="P346" t="str">
            <v>PeMS2016</v>
          </cell>
        </row>
        <row r="347">
          <cell r="C347">
            <v>2</v>
          </cell>
          <cell r="D347">
            <v>1</v>
          </cell>
          <cell r="E347">
            <v>9336</v>
          </cell>
          <cell r="F347">
            <v>1</v>
          </cell>
          <cell r="G347">
            <v>1</v>
          </cell>
          <cell r="H347" t="str">
            <v>I-15 NB</v>
          </cell>
          <cell r="I347">
            <v>14</v>
          </cell>
          <cell r="J347">
            <v>0</v>
          </cell>
          <cell r="K347" t="str">
            <v>AERO</v>
          </cell>
          <cell r="L347" t="str">
            <v>BALBOA</v>
          </cell>
          <cell r="M347">
            <v>103652</v>
          </cell>
          <cell r="N347">
            <v>25437</v>
          </cell>
          <cell r="O347">
            <v>19558</v>
          </cell>
          <cell r="P347" t="str">
            <v>PeMS2016</v>
          </cell>
        </row>
        <row r="348">
          <cell r="C348">
            <v>2</v>
          </cell>
          <cell r="D348">
            <v>1</v>
          </cell>
          <cell r="E348">
            <v>9337</v>
          </cell>
          <cell r="F348">
            <v>1</v>
          </cell>
          <cell r="G348">
            <v>1</v>
          </cell>
          <cell r="H348" t="str">
            <v>I-15 NB</v>
          </cell>
          <cell r="I348">
            <v>15</v>
          </cell>
          <cell r="J348">
            <v>0</v>
          </cell>
          <cell r="K348" t="str">
            <v>BALBOA</v>
          </cell>
          <cell r="L348" t="str">
            <v>BALBOA</v>
          </cell>
          <cell r="M348">
            <v>88650</v>
          </cell>
          <cell r="N348">
            <v>21054</v>
          </cell>
          <cell r="O348">
            <v>16940</v>
          </cell>
          <cell r="P348" t="str">
            <v>PeMS2016</v>
          </cell>
        </row>
        <row r="349">
          <cell r="C349">
            <v>2</v>
          </cell>
          <cell r="D349">
            <v>1</v>
          </cell>
          <cell r="E349">
            <v>9342</v>
          </cell>
          <cell r="F349">
            <v>1</v>
          </cell>
          <cell r="G349">
            <v>1</v>
          </cell>
          <cell r="H349" t="str">
            <v>I-15 NB</v>
          </cell>
          <cell r="I349">
            <v>18</v>
          </cell>
          <cell r="J349">
            <v>0</v>
          </cell>
          <cell r="K349" t="str">
            <v>BALBOA</v>
          </cell>
          <cell r="L349" t="str">
            <v>CLAIREMONT MESA</v>
          </cell>
          <cell r="M349">
            <v>96703</v>
          </cell>
          <cell r="N349">
            <v>22241</v>
          </cell>
          <cell r="O349">
            <v>19575</v>
          </cell>
          <cell r="P349" t="str">
            <v>PeMS2016</v>
          </cell>
        </row>
        <row r="350">
          <cell r="C350">
            <v>2</v>
          </cell>
          <cell r="D350">
            <v>1</v>
          </cell>
          <cell r="E350">
            <v>15230</v>
          </cell>
          <cell r="F350">
            <v>1</v>
          </cell>
          <cell r="G350">
            <v>1</v>
          </cell>
          <cell r="H350" t="str">
            <v>I-15 NB</v>
          </cell>
          <cell r="I350">
            <v>19</v>
          </cell>
          <cell r="J350">
            <v>0</v>
          </cell>
          <cell r="K350" t="str">
            <v>CLAIREMONT MESA</v>
          </cell>
          <cell r="L350" t="str">
            <v>CLAIREMONT MESA</v>
          </cell>
          <cell r="M350">
            <v>73735</v>
          </cell>
          <cell r="N350">
            <v>15869</v>
          </cell>
          <cell r="O350">
            <v>15340</v>
          </cell>
          <cell r="P350" t="str">
            <v>PeMS2016</v>
          </cell>
        </row>
        <row r="351">
          <cell r="C351">
            <v>2</v>
          </cell>
          <cell r="D351">
            <v>1</v>
          </cell>
          <cell r="E351">
            <v>22743</v>
          </cell>
          <cell r="F351">
            <v>1</v>
          </cell>
          <cell r="G351">
            <v>1</v>
          </cell>
          <cell r="H351" t="str">
            <v>I-15 NB</v>
          </cell>
          <cell r="I351">
            <v>20</v>
          </cell>
          <cell r="J351">
            <v>0</v>
          </cell>
          <cell r="K351" t="str">
            <v>SR-52 EB</v>
          </cell>
          <cell r="L351" t="str">
            <v>SR-52 WB</v>
          </cell>
          <cell r="M351">
            <v>81360</v>
          </cell>
          <cell r="N351">
            <v>17572</v>
          </cell>
          <cell r="O351">
            <v>17202</v>
          </cell>
          <cell r="P351" t="str">
            <v>PeMS2016</v>
          </cell>
        </row>
        <row r="352">
          <cell r="C352">
            <v>2</v>
          </cell>
          <cell r="D352">
            <v>1</v>
          </cell>
          <cell r="E352">
            <v>15188</v>
          </cell>
          <cell r="F352">
            <v>1</v>
          </cell>
          <cell r="G352">
            <v>1</v>
          </cell>
          <cell r="H352" t="str">
            <v>I-15 NB</v>
          </cell>
          <cell r="I352">
            <v>22</v>
          </cell>
          <cell r="J352">
            <v>0</v>
          </cell>
          <cell r="K352" t="str">
            <v>SR-52 WB</v>
          </cell>
          <cell r="L352" t="str">
            <v>I-15 HOV NB</v>
          </cell>
          <cell r="M352">
            <v>111087</v>
          </cell>
          <cell r="N352">
            <v>23846</v>
          </cell>
          <cell r="O352">
            <v>17983</v>
          </cell>
          <cell r="P352" t="str">
            <v>PeMS2016</v>
          </cell>
        </row>
        <row r="353">
          <cell r="C353">
            <v>2</v>
          </cell>
          <cell r="D353">
            <v>1</v>
          </cell>
          <cell r="E353">
            <v>15187</v>
          </cell>
          <cell r="F353">
            <v>1</v>
          </cell>
          <cell r="G353">
            <v>1</v>
          </cell>
          <cell r="H353" t="str">
            <v>I-15 NB</v>
          </cell>
          <cell r="I353">
            <v>23</v>
          </cell>
          <cell r="J353">
            <v>0</v>
          </cell>
          <cell r="K353" t="str">
            <v>I-15 HOV NB</v>
          </cell>
          <cell r="L353" t="str">
            <v>SR-163 NB</v>
          </cell>
          <cell r="M353">
            <v>126261</v>
          </cell>
          <cell r="N353">
            <v>23813</v>
          </cell>
          <cell r="O353">
            <v>28908</v>
          </cell>
          <cell r="P353" t="str">
            <v>PeMS2016</v>
          </cell>
        </row>
        <row r="354">
          <cell r="C354">
            <v>2</v>
          </cell>
          <cell r="D354">
            <v>1</v>
          </cell>
          <cell r="E354">
            <v>574</v>
          </cell>
          <cell r="F354">
            <v>1</v>
          </cell>
          <cell r="G354">
            <v>1</v>
          </cell>
          <cell r="H354" t="str">
            <v>I-15 NB</v>
          </cell>
          <cell r="I354">
            <v>24</v>
          </cell>
          <cell r="J354">
            <v>0</v>
          </cell>
          <cell r="K354" t="str">
            <v>SR-163 NB</v>
          </cell>
          <cell r="L354" t="str">
            <v>MIRAMAR WAY</v>
          </cell>
          <cell r="M354">
            <v>161762</v>
          </cell>
          <cell r="N354">
            <v>31888</v>
          </cell>
          <cell r="O354">
            <v>36352</v>
          </cell>
          <cell r="P354" t="str">
            <v>PeMS2016</v>
          </cell>
        </row>
        <row r="355">
          <cell r="C355">
            <v>2</v>
          </cell>
          <cell r="D355">
            <v>1</v>
          </cell>
          <cell r="E355">
            <v>14682</v>
          </cell>
          <cell r="F355">
            <v>1</v>
          </cell>
          <cell r="G355">
            <v>1</v>
          </cell>
          <cell r="H355" t="str">
            <v>I-15 NB</v>
          </cell>
          <cell r="I355">
            <v>26</v>
          </cell>
          <cell r="J355">
            <v>0</v>
          </cell>
          <cell r="K355" t="str">
            <v>MIRAMAR WAY</v>
          </cell>
          <cell r="L355" t="str">
            <v>MIRAMAR WAY</v>
          </cell>
          <cell r="M355">
            <v>152836</v>
          </cell>
          <cell r="N355">
            <v>29795</v>
          </cell>
          <cell r="O355">
            <v>33562</v>
          </cell>
          <cell r="P355" t="str">
            <v>PeMS2016</v>
          </cell>
        </row>
        <row r="356">
          <cell r="C356">
            <v>2</v>
          </cell>
          <cell r="D356">
            <v>1</v>
          </cell>
          <cell r="E356">
            <v>14410</v>
          </cell>
          <cell r="F356">
            <v>1</v>
          </cell>
          <cell r="G356">
            <v>1</v>
          </cell>
          <cell r="H356" t="str">
            <v>I-15 NB</v>
          </cell>
          <cell r="I356">
            <v>27</v>
          </cell>
          <cell r="J356">
            <v>0</v>
          </cell>
          <cell r="K356" t="str">
            <v>MIRAMAR WAY</v>
          </cell>
          <cell r="L356" t="str">
            <v>POMERADO</v>
          </cell>
          <cell r="M356">
            <v>135106</v>
          </cell>
          <cell r="N356">
            <v>25555</v>
          </cell>
          <cell r="O356">
            <v>30190</v>
          </cell>
          <cell r="P356" t="str">
            <v>PeMS2016</v>
          </cell>
        </row>
        <row r="357">
          <cell r="C357">
            <v>2</v>
          </cell>
          <cell r="D357">
            <v>1</v>
          </cell>
          <cell r="E357">
            <v>14409</v>
          </cell>
          <cell r="F357">
            <v>1</v>
          </cell>
          <cell r="G357">
            <v>1</v>
          </cell>
          <cell r="H357" t="str">
            <v>I-15 NB</v>
          </cell>
          <cell r="I357">
            <v>28</v>
          </cell>
          <cell r="J357">
            <v>0</v>
          </cell>
          <cell r="K357" t="str">
            <v>POMERADO</v>
          </cell>
          <cell r="L357" t="str">
            <v>POMERADO</v>
          </cell>
          <cell r="M357">
            <v>138236</v>
          </cell>
          <cell r="N357">
            <v>26159</v>
          </cell>
          <cell r="O357">
            <v>32473</v>
          </cell>
          <cell r="P357" t="str">
            <v>PeMS2016</v>
          </cell>
        </row>
        <row r="358">
          <cell r="C358">
            <v>2</v>
          </cell>
          <cell r="D358">
            <v>1</v>
          </cell>
          <cell r="E358">
            <v>14402</v>
          </cell>
          <cell r="F358">
            <v>1</v>
          </cell>
          <cell r="G358">
            <v>1</v>
          </cell>
          <cell r="H358" t="str">
            <v>I-15 NB</v>
          </cell>
          <cell r="I358">
            <v>32</v>
          </cell>
          <cell r="J358">
            <v>0</v>
          </cell>
          <cell r="K358" t="str">
            <v>CARROLL CANYON</v>
          </cell>
          <cell r="L358" t="str">
            <v>CARROLL CANYON</v>
          </cell>
          <cell r="M358">
            <v>137784</v>
          </cell>
          <cell r="N358">
            <v>24038</v>
          </cell>
          <cell r="O358">
            <v>32601</v>
          </cell>
          <cell r="P358" t="str">
            <v>PeMS2016</v>
          </cell>
        </row>
        <row r="359">
          <cell r="C359">
            <v>2</v>
          </cell>
          <cell r="D359">
            <v>1</v>
          </cell>
          <cell r="E359">
            <v>14397</v>
          </cell>
          <cell r="F359">
            <v>1</v>
          </cell>
          <cell r="G359">
            <v>1</v>
          </cell>
          <cell r="H359" t="str">
            <v>I-15 NB</v>
          </cell>
          <cell r="I359">
            <v>33</v>
          </cell>
          <cell r="J359">
            <v>0</v>
          </cell>
          <cell r="K359" t="str">
            <v>CARROLL CANYON</v>
          </cell>
          <cell r="L359" t="str">
            <v>MIRA MESA</v>
          </cell>
          <cell r="M359">
            <v>148340</v>
          </cell>
          <cell r="N359">
            <v>25673</v>
          </cell>
          <cell r="O359">
            <v>35698</v>
          </cell>
          <cell r="P359" t="str">
            <v>PeMS2016</v>
          </cell>
        </row>
        <row r="360">
          <cell r="C360">
            <v>2</v>
          </cell>
          <cell r="D360">
            <v>1</v>
          </cell>
          <cell r="E360">
            <v>25099</v>
          </cell>
          <cell r="F360">
            <v>1</v>
          </cell>
          <cell r="G360">
            <v>1</v>
          </cell>
          <cell r="H360" t="str">
            <v>I-15 NB</v>
          </cell>
          <cell r="I360">
            <v>34</v>
          </cell>
          <cell r="J360">
            <v>0</v>
          </cell>
          <cell r="K360" t="str">
            <v>MIRA MESA</v>
          </cell>
          <cell r="L360" t="str">
            <v>MIRA MESA</v>
          </cell>
          <cell r="M360">
            <v>122325</v>
          </cell>
          <cell r="N360">
            <v>21378</v>
          </cell>
          <cell r="O360">
            <v>29575</v>
          </cell>
          <cell r="P360" t="str">
            <v>SANDAG</v>
          </cell>
        </row>
        <row r="361">
          <cell r="C361">
            <v>2</v>
          </cell>
          <cell r="D361">
            <v>1</v>
          </cell>
          <cell r="E361">
            <v>28810</v>
          </cell>
          <cell r="F361">
            <v>1</v>
          </cell>
          <cell r="G361">
            <v>1</v>
          </cell>
          <cell r="H361" t="str">
            <v>I-15 NB</v>
          </cell>
          <cell r="I361">
            <v>35</v>
          </cell>
          <cell r="J361">
            <v>0</v>
          </cell>
          <cell r="K361" t="str">
            <v>MIRA MESA</v>
          </cell>
          <cell r="L361" t="str">
            <v>MIRA MESA</v>
          </cell>
          <cell r="M361">
            <v>122794</v>
          </cell>
          <cell r="N361">
            <v>21591</v>
          </cell>
          <cell r="O361">
            <v>29565</v>
          </cell>
          <cell r="P361" t="str">
            <v>PeMS2016</v>
          </cell>
        </row>
        <row r="362">
          <cell r="C362">
            <v>2</v>
          </cell>
          <cell r="D362">
            <v>1</v>
          </cell>
          <cell r="E362">
            <v>14384</v>
          </cell>
          <cell r="F362">
            <v>1</v>
          </cell>
          <cell r="G362">
            <v>1</v>
          </cell>
          <cell r="H362" t="str">
            <v>I-15 NB</v>
          </cell>
          <cell r="I362">
            <v>37</v>
          </cell>
          <cell r="J362">
            <v>0</v>
          </cell>
          <cell r="K362" t="str">
            <v>MIRA MESA</v>
          </cell>
          <cell r="L362" t="str">
            <v>MERCY</v>
          </cell>
          <cell r="M362">
            <v>130140</v>
          </cell>
          <cell r="N362">
            <v>22134</v>
          </cell>
          <cell r="O362">
            <v>31407</v>
          </cell>
          <cell r="P362" t="str">
            <v>PeMS2016</v>
          </cell>
        </row>
        <row r="363">
          <cell r="C363">
            <v>2</v>
          </cell>
          <cell r="D363">
            <v>1</v>
          </cell>
          <cell r="E363">
            <v>14386</v>
          </cell>
          <cell r="F363">
            <v>1</v>
          </cell>
          <cell r="G363">
            <v>1</v>
          </cell>
          <cell r="H363" t="str">
            <v>I-15 NB</v>
          </cell>
          <cell r="I363">
            <v>38</v>
          </cell>
          <cell r="J363">
            <v>0</v>
          </cell>
          <cell r="K363" t="str">
            <v>MERCY</v>
          </cell>
          <cell r="L363" t="str">
            <v>MERCY</v>
          </cell>
          <cell r="M363">
            <v>126253</v>
          </cell>
          <cell r="N363">
            <v>20929</v>
          </cell>
          <cell r="O363">
            <v>30988</v>
          </cell>
          <cell r="P363" t="str">
            <v>PeMS2016</v>
          </cell>
        </row>
        <row r="364">
          <cell r="C364">
            <v>2</v>
          </cell>
          <cell r="D364">
            <v>1</v>
          </cell>
          <cell r="E364">
            <v>10859</v>
          </cell>
          <cell r="F364">
            <v>1</v>
          </cell>
          <cell r="G364">
            <v>1</v>
          </cell>
          <cell r="H364" t="str">
            <v>I-15 NB</v>
          </cell>
          <cell r="I364">
            <v>40</v>
          </cell>
          <cell r="J364">
            <v>0</v>
          </cell>
          <cell r="K364" t="str">
            <v>POWAY</v>
          </cell>
          <cell r="L364" t="str">
            <v>POWAY</v>
          </cell>
          <cell r="M364">
            <v>116386</v>
          </cell>
          <cell r="N364">
            <v>20529</v>
          </cell>
          <cell r="O364">
            <v>27642</v>
          </cell>
          <cell r="P364" t="str">
            <v>PeMS2016</v>
          </cell>
        </row>
        <row r="365">
          <cell r="C365">
            <v>2</v>
          </cell>
          <cell r="D365">
            <v>1</v>
          </cell>
          <cell r="E365">
            <v>14639</v>
          </cell>
          <cell r="F365">
            <v>1</v>
          </cell>
          <cell r="G365">
            <v>1</v>
          </cell>
          <cell r="H365" t="str">
            <v>I-15 NB</v>
          </cell>
          <cell r="I365">
            <v>42</v>
          </cell>
          <cell r="J365">
            <v>0</v>
          </cell>
          <cell r="K365" t="str">
            <v>POWAY</v>
          </cell>
          <cell r="L365" t="str">
            <v>I-15 HOV NB</v>
          </cell>
          <cell r="M365">
            <v>121306</v>
          </cell>
          <cell r="N365">
            <v>21306</v>
          </cell>
          <cell r="O365">
            <v>28826</v>
          </cell>
          <cell r="P365" t="str">
            <v>SANDAG</v>
          </cell>
        </row>
        <row r="366">
          <cell r="C366">
            <v>2</v>
          </cell>
          <cell r="D366">
            <v>1</v>
          </cell>
          <cell r="E366">
            <v>3968</v>
          </cell>
          <cell r="F366">
            <v>1</v>
          </cell>
          <cell r="G366">
            <v>1</v>
          </cell>
          <cell r="H366" t="str">
            <v>I-15 NB</v>
          </cell>
          <cell r="I366">
            <v>44</v>
          </cell>
          <cell r="J366">
            <v>0</v>
          </cell>
          <cell r="K366" t="str">
            <v>SR-56 EB</v>
          </cell>
          <cell r="L366" t="str">
            <v>SR-56 WB</v>
          </cell>
          <cell r="M366">
            <v>110823</v>
          </cell>
          <cell r="N366">
            <v>19452</v>
          </cell>
          <cell r="O366">
            <v>25764</v>
          </cell>
          <cell r="P366" t="str">
            <v>PeMS2016</v>
          </cell>
        </row>
        <row r="367">
          <cell r="C367">
            <v>2</v>
          </cell>
          <cell r="D367">
            <v>1</v>
          </cell>
          <cell r="E367">
            <v>13672</v>
          </cell>
          <cell r="F367">
            <v>1</v>
          </cell>
          <cell r="G367">
            <v>1</v>
          </cell>
          <cell r="H367" t="str">
            <v>I-15 NB</v>
          </cell>
          <cell r="I367">
            <v>48</v>
          </cell>
          <cell r="J367">
            <v>0</v>
          </cell>
          <cell r="K367" t="str">
            <v>CARMEL MTN</v>
          </cell>
          <cell r="L367" t="str">
            <v>CARMEL MTN</v>
          </cell>
          <cell r="M367">
            <v>111705</v>
          </cell>
          <cell r="N367">
            <v>19334</v>
          </cell>
          <cell r="O367">
            <v>26402</v>
          </cell>
          <cell r="P367" t="str">
            <v>PeMS2016</v>
          </cell>
        </row>
        <row r="368">
          <cell r="C368">
            <v>2</v>
          </cell>
          <cell r="D368">
            <v>1</v>
          </cell>
          <cell r="E368">
            <v>13662</v>
          </cell>
          <cell r="F368">
            <v>1</v>
          </cell>
          <cell r="G368">
            <v>1</v>
          </cell>
          <cell r="H368" t="str">
            <v>I-15 NB</v>
          </cell>
          <cell r="I368">
            <v>49</v>
          </cell>
          <cell r="J368">
            <v>0</v>
          </cell>
          <cell r="K368" t="str">
            <v>CARMEL MTN</v>
          </cell>
          <cell r="L368" t="str">
            <v>CAM DEL NORTE</v>
          </cell>
          <cell r="M368">
            <v>120162</v>
          </cell>
          <cell r="N368">
            <v>20376</v>
          </cell>
          <cell r="O368">
            <v>28364</v>
          </cell>
          <cell r="P368" t="str">
            <v>PeMS2016</v>
          </cell>
        </row>
        <row r="369">
          <cell r="C369">
            <v>2</v>
          </cell>
          <cell r="D369">
            <v>1</v>
          </cell>
          <cell r="E369">
            <v>516</v>
          </cell>
          <cell r="F369">
            <v>1</v>
          </cell>
          <cell r="G369">
            <v>1</v>
          </cell>
          <cell r="H369" t="str">
            <v>I-15 NB</v>
          </cell>
          <cell r="I369">
            <v>50</v>
          </cell>
          <cell r="J369">
            <v>0</v>
          </cell>
          <cell r="K369" t="str">
            <v>CAM DEL NORTE</v>
          </cell>
          <cell r="L369" t="str">
            <v>CAM DEL NORTE</v>
          </cell>
          <cell r="M369">
            <v>103598</v>
          </cell>
          <cell r="N369">
            <v>16839</v>
          </cell>
          <cell r="O369">
            <v>24337</v>
          </cell>
          <cell r="P369" t="str">
            <v>PeMS2016</v>
          </cell>
        </row>
        <row r="370">
          <cell r="C370">
            <v>2</v>
          </cell>
          <cell r="D370">
            <v>1</v>
          </cell>
          <cell r="E370">
            <v>31205</v>
          </cell>
          <cell r="F370">
            <v>1</v>
          </cell>
          <cell r="G370">
            <v>1</v>
          </cell>
          <cell r="H370" t="str">
            <v>I-15 NB</v>
          </cell>
          <cell r="I370">
            <v>52</v>
          </cell>
          <cell r="J370">
            <v>0</v>
          </cell>
          <cell r="K370" t="str">
            <v>CAM DEL NORTE</v>
          </cell>
          <cell r="L370" t="str">
            <v>BERNARDO CENTER</v>
          </cell>
          <cell r="M370">
            <v>121528</v>
          </cell>
          <cell r="N370">
            <v>19608</v>
          </cell>
          <cell r="O370">
            <v>28835</v>
          </cell>
          <cell r="P370" t="str">
            <v>PeMS2016</v>
          </cell>
        </row>
        <row r="371">
          <cell r="C371">
            <v>2</v>
          </cell>
          <cell r="D371">
            <v>1</v>
          </cell>
          <cell r="E371">
            <v>13648</v>
          </cell>
          <cell r="F371">
            <v>1</v>
          </cell>
          <cell r="G371">
            <v>1</v>
          </cell>
          <cell r="H371" t="str">
            <v>I-15 NB</v>
          </cell>
          <cell r="I371">
            <v>53</v>
          </cell>
          <cell r="J371">
            <v>0</v>
          </cell>
          <cell r="K371" t="str">
            <v>BERNARDO CENTER</v>
          </cell>
          <cell r="L371" t="str">
            <v>BERNARDO CENTER</v>
          </cell>
          <cell r="M371">
            <v>101967</v>
          </cell>
          <cell r="N371">
            <v>15492</v>
          </cell>
          <cell r="O371">
            <v>24137</v>
          </cell>
          <cell r="P371" t="str">
            <v>PeMS2016</v>
          </cell>
        </row>
        <row r="372">
          <cell r="C372">
            <v>2</v>
          </cell>
          <cell r="D372">
            <v>1</v>
          </cell>
          <cell r="E372">
            <v>13637</v>
          </cell>
          <cell r="F372">
            <v>1</v>
          </cell>
          <cell r="G372">
            <v>1</v>
          </cell>
          <cell r="H372" t="str">
            <v>I-15 NB</v>
          </cell>
          <cell r="I372">
            <v>54</v>
          </cell>
          <cell r="J372">
            <v>0</v>
          </cell>
          <cell r="K372" t="str">
            <v>BERNARDO CENTER</v>
          </cell>
          <cell r="L372" t="str">
            <v>RANCHO BERNARDO</v>
          </cell>
          <cell r="M372">
            <v>111320</v>
          </cell>
          <cell r="N372">
            <v>16853</v>
          </cell>
          <cell r="O372">
            <v>27093</v>
          </cell>
          <cell r="P372" t="str">
            <v>PeMS2016</v>
          </cell>
        </row>
        <row r="373">
          <cell r="C373">
            <v>2</v>
          </cell>
          <cell r="D373">
            <v>1</v>
          </cell>
          <cell r="E373">
            <v>13639</v>
          </cell>
          <cell r="F373">
            <v>1</v>
          </cell>
          <cell r="G373">
            <v>1</v>
          </cell>
          <cell r="H373" t="str">
            <v>I-15 NB</v>
          </cell>
          <cell r="I373">
            <v>55</v>
          </cell>
          <cell r="J373">
            <v>0</v>
          </cell>
          <cell r="K373" t="str">
            <v>RANCHO BERNARDO</v>
          </cell>
          <cell r="L373" t="str">
            <v>RANCHO BERNARDO</v>
          </cell>
          <cell r="M373">
            <v>105046</v>
          </cell>
          <cell r="N373">
            <v>14922</v>
          </cell>
          <cell r="O373">
            <v>26992</v>
          </cell>
          <cell r="P373" t="str">
            <v>SANDAG</v>
          </cell>
        </row>
        <row r="374">
          <cell r="C374">
            <v>2</v>
          </cell>
          <cell r="D374">
            <v>1</v>
          </cell>
          <cell r="E374">
            <v>13640</v>
          </cell>
          <cell r="F374">
            <v>1</v>
          </cell>
          <cell r="G374">
            <v>1</v>
          </cell>
          <cell r="H374" t="str">
            <v>I-15 NB</v>
          </cell>
          <cell r="I374">
            <v>56</v>
          </cell>
          <cell r="J374">
            <v>0</v>
          </cell>
          <cell r="K374" t="str">
            <v>RANCHO BERNARDO</v>
          </cell>
          <cell r="L374" t="str">
            <v>RANCHO BERNARDO</v>
          </cell>
          <cell r="M374">
            <v>105117</v>
          </cell>
          <cell r="N374">
            <v>15050</v>
          </cell>
          <cell r="O374">
            <v>26769</v>
          </cell>
          <cell r="P374" t="str">
            <v>PeMS2016</v>
          </cell>
        </row>
        <row r="375">
          <cell r="C375">
            <v>2</v>
          </cell>
          <cell r="D375">
            <v>1</v>
          </cell>
          <cell r="E375">
            <v>31206</v>
          </cell>
          <cell r="F375">
            <v>1</v>
          </cell>
          <cell r="G375">
            <v>1</v>
          </cell>
          <cell r="H375" t="str">
            <v>I-15 NB</v>
          </cell>
          <cell r="I375">
            <v>58</v>
          </cell>
          <cell r="J375">
            <v>1</v>
          </cell>
          <cell r="K375" t="str">
            <v>RANCHO BERNARDO</v>
          </cell>
          <cell r="L375" t="str">
            <v>POMERADO</v>
          </cell>
          <cell r="M375">
            <v>113853</v>
          </cell>
          <cell r="N375">
            <v>16048</v>
          </cell>
          <cell r="O375">
            <v>29783</v>
          </cell>
          <cell r="P375" t="str">
            <v>PeMS2016</v>
          </cell>
        </row>
        <row r="376">
          <cell r="C376">
            <v>2</v>
          </cell>
          <cell r="D376">
            <v>1</v>
          </cell>
          <cell r="E376">
            <v>554</v>
          </cell>
          <cell r="F376">
            <v>1</v>
          </cell>
          <cell r="G376">
            <v>1</v>
          </cell>
          <cell r="H376" t="str">
            <v>I-15 NB</v>
          </cell>
          <cell r="I376">
            <v>59</v>
          </cell>
          <cell r="J376">
            <v>0</v>
          </cell>
          <cell r="K376" t="str">
            <v>RANCHO BERNARDO</v>
          </cell>
          <cell r="L376" t="str">
            <v>POMERADO</v>
          </cell>
          <cell r="M376">
            <v>110651</v>
          </cell>
          <cell r="N376">
            <v>15688</v>
          </cell>
          <cell r="O376">
            <v>28594</v>
          </cell>
          <cell r="P376" t="str">
            <v>PeMS2016</v>
          </cell>
        </row>
        <row r="377">
          <cell r="C377">
            <v>2</v>
          </cell>
          <cell r="D377">
            <v>1</v>
          </cell>
          <cell r="E377">
            <v>8809</v>
          </cell>
          <cell r="F377">
            <v>1</v>
          </cell>
          <cell r="G377">
            <v>1</v>
          </cell>
          <cell r="H377" t="str">
            <v>I-15 NB</v>
          </cell>
          <cell r="I377">
            <v>60</v>
          </cell>
          <cell r="J377">
            <v>0</v>
          </cell>
          <cell r="K377" t="str">
            <v>POMERADO</v>
          </cell>
          <cell r="L377" t="str">
            <v>POMERADO</v>
          </cell>
          <cell r="M377">
            <v>109036</v>
          </cell>
          <cell r="N377">
            <v>15524</v>
          </cell>
          <cell r="O377">
            <v>28063</v>
          </cell>
          <cell r="P377" t="str">
            <v>PeMS2016</v>
          </cell>
        </row>
        <row r="378">
          <cell r="C378">
            <v>2</v>
          </cell>
          <cell r="D378">
            <v>1</v>
          </cell>
          <cell r="E378">
            <v>8807</v>
          </cell>
          <cell r="F378">
            <v>1</v>
          </cell>
          <cell r="G378">
            <v>1</v>
          </cell>
          <cell r="H378" t="str">
            <v>I-15 NB</v>
          </cell>
          <cell r="I378">
            <v>61</v>
          </cell>
          <cell r="J378">
            <v>0</v>
          </cell>
          <cell r="K378" t="str">
            <v>POMERADO</v>
          </cell>
          <cell r="L378" t="str">
            <v>VIA RANCHO</v>
          </cell>
          <cell r="M378">
            <v>119031</v>
          </cell>
          <cell r="N378">
            <v>16967</v>
          </cell>
          <cell r="O378">
            <v>31840</v>
          </cell>
          <cell r="P378" t="str">
            <v>PeMS2016</v>
          </cell>
        </row>
        <row r="379">
          <cell r="C379">
            <v>2</v>
          </cell>
          <cell r="D379">
            <v>1</v>
          </cell>
          <cell r="E379">
            <v>721</v>
          </cell>
          <cell r="F379">
            <v>1</v>
          </cell>
          <cell r="G379">
            <v>1</v>
          </cell>
          <cell r="H379" t="str">
            <v>I-15 NB</v>
          </cell>
          <cell r="I379">
            <v>63</v>
          </cell>
          <cell r="J379">
            <v>0</v>
          </cell>
          <cell r="K379" t="str">
            <v>VIA RANCHO</v>
          </cell>
          <cell r="L379" t="str">
            <v>VIA RANCHO</v>
          </cell>
          <cell r="M379">
            <v>101764</v>
          </cell>
          <cell r="N379">
            <v>15246</v>
          </cell>
          <cell r="O379">
            <v>26470</v>
          </cell>
          <cell r="P379" t="str">
            <v>PeMS2016</v>
          </cell>
        </row>
        <row r="380">
          <cell r="C380">
            <v>2</v>
          </cell>
          <cell r="D380">
            <v>1</v>
          </cell>
          <cell r="E380">
            <v>12955</v>
          </cell>
          <cell r="F380">
            <v>1</v>
          </cell>
          <cell r="G380">
            <v>1</v>
          </cell>
          <cell r="H380" t="str">
            <v>I-15 NB</v>
          </cell>
          <cell r="I380">
            <v>66</v>
          </cell>
          <cell r="J380">
            <v>0</v>
          </cell>
          <cell r="K380" t="str">
            <v>CENTRE CITY</v>
          </cell>
          <cell r="L380" t="str">
            <v>CITRACADO</v>
          </cell>
          <cell r="M380">
            <v>92209</v>
          </cell>
          <cell r="N380">
            <v>14061</v>
          </cell>
          <cell r="O380">
            <v>22650</v>
          </cell>
          <cell r="P380" t="str">
            <v>PeMS2016</v>
          </cell>
        </row>
        <row r="381">
          <cell r="C381">
            <v>2</v>
          </cell>
          <cell r="D381">
            <v>1</v>
          </cell>
          <cell r="E381">
            <v>12957</v>
          </cell>
          <cell r="F381">
            <v>1</v>
          </cell>
          <cell r="G381">
            <v>1</v>
          </cell>
          <cell r="H381" t="str">
            <v>I-15 NB</v>
          </cell>
          <cell r="I381">
            <v>68</v>
          </cell>
          <cell r="J381">
            <v>0</v>
          </cell>
          <cell r="K381" t="str">
            <v>CITRACADO</v>
          </cell>
          <cell r="L381" t="str">
            <v>CITRACADO</v>
          </cell>
          <cell r="M381">
            <v>101544</v>
          </cell>
          <cell r="N381">
            <v>15090</v>
          </cell>
          <cell r="O381">
            <v>26201</v>
          </cell>
          <cell r="P381" t="str">
            <v>SANDAG</v>
          </cell>
        </row>
        <row r="382">
          <cell r="C382">
            <v>2</v>
          </cell>
          <cell r="D382">
            <v>1</v>
          </cell>
          <cell r="E382">
            <v>556</v>
          </cell>
          <cell r="F382">
            <v>1</v>
          </cell>
          <cell r="G382">
            <v>1</v>
          </cell>
          <cell r="H382" t="str">
            <v>I-15 NB</v>
          </cell>
          <cell r="I382">
            <v>70</v>
          </cell>
          <cell r="J382">
            <v>0</v>
          </cell>
          <cell r="K382" t="str">
            <v>CITRACADO</v>
          </cell>
          <cell r="L382" t="str">
            <v>09TH</v>
          </cell>
          <cell r="M382">
            <v>97834</v>
          </cell>
          <cell r="N382">
            <v>13353</v>
          </cell>
          <cell r="O382">
            <v>25479</v>
          </cell>
          <cell r="P382" t="str">
            <v>PeMS2016</v>
          </cell>
        </row>
        <row r="383">
          <cell r="C383">
            <v>2</v>
          </cell>
          <cell r="D383">
            <v>1</v>
          </cell>
          <cell r="E383">
            <v>669</v>
          </cell>
          <cell r="F383">
            <v>1</v>
          </cell>
          <cell r="G383">
            <v>1</v>
          </cell>
          <cell r="H383" t="str">
            <v>I-15 NB</v>
          </cell>
          <cell r="I383">
            <v>71</v>
          </cell>
          <cell r="J383">
            <v>0</v>
          </cell>
          <cell r="K383" t="str">
            <v>09TH</v>
          </cell>
          <cell r="L383" t="str">
            <v>09TH</v>
          </cell>
          <cell r="M383">
            <v>98636</v>
          </cell>
          <cell r="N383">
            <v>14430</v>
          </cell>
          <cell r="O383">
            <v>25100</v>
          </cell>
          <cell r="P383" t="str">
            <v>PeMS2016</v>
          </cell>
        </row>
        <row r="384">
          <cell r="C384">
            <v>2</v>
          </cell>
          <cell r="D384">
            <v>1</v>
          </cell>
          <cell r="E384">
            <v>12929</v>
          </cell>
          <cell r="F384">
            <v>1</v>
          </cell>
          <cell r="G384">
            <v>1</v>
          </cell>
          <cell r="H384" t="str">
            <v>I-15 NB</v>
          </cell>
          <cell r="I384">
            <v>72</v>
          </cell>
          <cell r="J384">
            <v>0</v>
          </cell>
          <cell r="K384" t="str">
            <v>09TH</v>
          </cell>
          <cell r="L384" t="str">
            <v>VALLEY</v>
          </cell>
          <cell r="M384">
            <v>86241</v>
          </cell>
          <cell r="N384">
            <v>12087</v>
          </cell>
          <cell r="O384">
            <v>21239</v>
          </cell>
          <cell r="P384" t="str">
            <v>Caltran</v>
          </cell>
        </row>
        <row r="385">
          <cell r="C385">
            <v>2</v>
          </cell>
          <cell r="D385">
            <v>1</v>
          </cell>
          <cell r="E385">
            <v>28588</v>
          </cell>
          <cell r="F385">
            <v>1</v>
          </cell>
          <cell r="G385">
            <v>1</v>
          </cell>
          <cell r="H385" t="str">
            <v>I-15 NB</v>
          </cell>
          <cell r="I385">
            <v>73</v>
          </cell>
          <cell r="J385">
            <v>0</v>
          </cell>
          <cell r="K385" t="str">
            <v>VALLEY</v>
          </cell>
          <cell r="L385" t="str">
            <v>VALLEY</v>
          </cell>
          <cell r="M385">
            <v>100208</v>
          </cell>
          <cell r="N385">
            <v>13987</v>
          </cell>
          <cell r="O385">
            <v>25689</v>
          </cell>
          <cell r="P385" t="str">
            <v>PeMS2016</v>
          </cell>
        </row>
        <row r="386">
          <cell r="C386">
            <v>2</v>
          </cell>
          <cell r="D386">
            <v>1</v>
          </cell>
          <cell r="E386">
            <v>558</v>
          </cell>
          <cell r="F386">
            <v>1</v>
          </cell>
          <cell r="G386">
            <v>1</v>
          </cell>
          <cell r="H386" t="str">
            <v>I-15 NB</v>
          </cell>
          <cell r="I386">
            <v>76</v>
          </cell>
          <cell r="J386">
            <v>0</v>
          </cell>
          <cell r="K386" t="str">
            <v>SR-78 WB</v>
          </cell>
          <cell r="L386" t="str">
            <v>SR-78 EB</v>
          </cell>
          <cell r="M386">
            <v>62116</v>
          </cell>
          <cell r="N386">
            <v>6308</v>
          </cell>
          <cell r="O386">
            <v>19188</v>
          </cell>
          <cell r="P386" t="str">
            <v>PeMS2016</v>
          </cell>
        </row>
        <row r="387">
          <cell r="C387">
            <v>2</v>
          </cell>
          <cell r="D387">
            <v>1</v>
          </cell>
          <cell r="E387">
            <v>27165</v>
          </cell>
          <cell r="F387">
            <v>1</v>
          </cell>
          <cell r="G387">
            <v>1</v>
          </cell>
          <cell r="H387" t="str">
            <v>I-15 NB</v>
          </cell>
          <cell r="I387">
            <v>79</v>
          </cell>
          <cell r="J387">
            <v>0</v>
          </cell>
          <cell r="K387" t="str">
            <v>EL NORTE</v>
          </cell>
          <cell r="L387" t="str">
            <v>EL NORTE</v>
          </cell>
          <cell r="M387">
            <v>57639</v>
          </cell>
          <cell r="N387">
            <v>5643</v>
          </cell>
          <cell r="O387">
            <v>17365</v>
          </cell>
          <cell r="P387" t="str">
            <v>PeMS2016</v>
          </cell>
        </row>
        <row r="388">
          <cell r="C388">
            <v>2</v>
          </cell>
          <cell r="D388">
            <v>1</v>
          </cell>
          <cell r="E388">
            <v>27183</v>
          </cell>
          <cell r="F388">
            <v>1</v>
          </cell>
          <cell r="G388">
            <v>1</v>
          </cell>
          <cell r="H388" t="str">
            <v>I-15 NB</v>
          </cell>
          <cell r="I388">
            <v>80</v>
          </cell>
          <cell r="J388">
            <v>1</v>
          </cell>
          <cell r="K388" t="str">
            <v>EL NORTE</v>
          </cell>
          <cell r="L388" t="str">
            <v>CENTRE CITY</v>
          </cell>
          <cell r="M388">
            <v>65635</v>
          </cell>
          <cell r="N388">
            <v>6493</v>
          </cell>
          <cell r="O388">
            <v>19536</v>
          </cell>
          <cell r="P388" t="str">
            <v>PeMS2016</v>
          </cell>
        </row>
        <row r="389">
          <cell r="C389">
            <v>2</v>
          </cell>
          <cell r="D389">
            <v>1</v>
          </cell>
          <cell r="E389">
            <v>27181</v>
          </cell>
          <cell r="F389">
            <v>1</v>
          </cell>
          <cell r="G389">
            <v>1</v>
          </cell>
          <cell r="H389" t="str">
            <v>I-15 NB</v>
          </cell>
          <cell r="I389">
            <v>83</v>
          </cell>
          <cell r="J389">
            <v>1</v>
          </cell>
          <cell r="K389" t="str">
            <v>CENTRE CITY</v>
          </cell>
          <cell r="L389" t="str">
            <v>DEER SPRINGS</v>
          </cell>
          <cell r="M389">
            <v>68942</v>
          </cell>
          <cell r="N389">
            <v>7027</v>
          </cell>
          <cell r="O389">
            <v>20545</v>
          </cell>
          <cell r="P389" t="str">
            <v>PeMS2016</v>
          </cell>
        </row>
        <row r="390">
          <cell r="C390">
            <v>2</v>
          </cell>
          <cell r="D390">
            <v>1</v>
          </cell>
          <cell r="E390">
            <v>27166</v>
          </cell>
          <cell r="F390">
            <v>1</v>
          </cell>
          <cell r="G390">
            <v>1</v>
          </cell>
          <cell r="H390" t="str">
            <v>I-15 NB</v>
          </cell>
          <cell r="I390">
            <v>84</v>
          </cell>
          <cell r="J390">
            <v>0</v>
          </cell>
          <cell r="K390" t="str">
            <v>DEER SPRINGS</v>
          </cell>
          <cell r="L390" t="str">
            <v>DEER SPRINGS</v>
          </cell>
          <cell r="M390">
            <v>54788</v>
          </cell>
          <cell r="N390">
            <v>6005</v>
          </cell>
          <cell r="O390">
            <v>14601</v>
          </cell>
          <cell r="P390" t="str">
            <v>PeMS2016</v>
          </cell>
        </row>
        <row r="391">
          <cell r="C391">
            <v>2</v>
          </cell>
          <cell r="D391">
            <v>1</v>
          </cell>
          <cell r="E391">
            <v>27352</v>
          </cell>
          <cell r="F391">
            <v>1</v>
          </cell>
          <cell r="G391">
            <v>1</v>
          </cell>
          <cell r="H391" t="str">
            <v>I-15 NB</v>
          </cell>
          <cell r="I391">
            <v>85</v>
          </cell>
          <cell r="J391">
            <v>3</v>
          </cell>
          <cell r="K391" t="str">
            <v>DEER SPRINGS</v>
          </cell>
          <cell r="L391" t="str">
            <v>GOPHER CANYON</v>
          </cell>
          <cell r="M391">
            <v>69280</v>
          </cell>
          <cell r="N391">
            <v>7118</v>
          </cell>
          <cell r="O391">
            <v>20665</v>
          </cell>
          <cell r="P391" t="str">
            <v>Caltran</v>
          </cell>
        </row>
        <row r="392">
          <cell r="C392">
            <v>2</v>
          </cell>
          <cell r="D392">
            <v>1</v>
          </cell>
          <cell r="E392">
            <v>26667</v>
          </cell>
          <cell r="F392">
            <v>1</v>
          </cell>
          <cell r="G392">
            <v>1</v>
          </cell>
          <cell r="H392" t="str">
            <v>I-15 NB</v>
          </cell>
          <cell r="I392">
            <v>91</v>
          </cell>
          <cell r="J392">
            <v>0</v>
          </cell>
          <cell r="K392" t="str">
            <v>PALA</v>
          </cell>
          <cell r="L392" t="str">
            <v>PALA</v>
          </cell>
          <cell r="M392">
            <v>65973</v>
          </cell>
          <cell r="N392">
            <v>6499</v>
          </cell>
          <cell r="O392">
            <v>19555</v>
          </cell>
          <cell r="P392" t="str">
            <v>Caltran</v>
          </cell>
        </row>
        <row r="393">
          <cell r="C393">
            <v>2</v>
          </cell>
          <cell r="D393">
            <v>1</v>
          </cell>
          <cell r="E393">
            <v>27193</v>
          </cell>
          <cell r="F393">
            <v>1</v>
          </cell>
          <cell r="G393">
            <v>1</v>
          </cell>
          <cell r="H393" t="str">
            <v>I-15 NB</v>
          </cell>
          <cell r="I393">
            <v>93</v>
          </cell>
          <cell r="J393">
            <v>1</v>
          </cell>
          <cell r="K393" t="str">
            <v>PALA</v>
          </cell>
          <cell r="L393" t="str">
            <v>STEWART CANYON</v>
          </cell>
          <cell r="M393">
            <v>58031</v>
          </cell>
          <cell r="N393">
            <v>7003</v>
          </cell>
          <cell r="O393">
            <v>14064</v>
          </cell>
          <cell r="P393" t="str">
            <v>PeMS2016</v>
          </cell>
        </row>
        <row r="394">
          <cell r="C394">
            <v>2</v>
          </cell>
          <cell r="D394">
            <v>1</v>
          </cell>
          <cell r="E394">
            <v>27195</v>
          </cell>
          <cell r="F394">
            <v>1</v>
          </cell>
          <cell r="G394">
            <v>1</v>
          </cell>
          <cell r="H394" t="str">
            <v>I-15 NB</v>
          </cell>
          <cell r="I394">
            <v>97</v>
          </cell>
          <cell r="J394">
            <v>2</v>
          </cell>
          <cell r="K394" t="str">
            <v>MISSION</v>
          </cell>
          <cell r="L394" t="str">
            <v>RAINBOW VALLEY WEST</v>
          </cell>
          <cell r="M394">
            <v>67337</v>
          </cell>
          <cell r="N394">
            <v>7662</v>
          </cell>
          <cell r="O394">
            <v>17544</v>
          </cell>
          <cell r="P394" t="str">
            <v>PeMS2016</v>
          </cell>
        </row>
        <row r="395">
          <cell r="C395">
            <v>29</v>
          </cell>
          <cell r="D395">
            <v>1</v>
          </cell>
          <cell r="E395">
            <v>460</v>
          </cell>
          <cell r="F395">
            <v>1</v>
          </cell>
          <cell r="G395">
            <v>2</v>
          </cell>
          <cell r="H395" t="str">
            <v>I-15 HOV NB</v>
          </cell>
          <cell r="I395">
            <v>2</v>
          </cell>
          <cell r="J395">
            <v>0</v>
          </cell>
          <cell r="K395" t="str">
            <v>SR-163 NB</v>
          </cell>
          <cell r="L395" t="str">
            <v>SR-163</v>
          </cell>
          <cell r="M395">
            <v>17291</v>
          </cell>
          <cell r="N395">
            <v>2805</v>
          </cell>
          <cell r="O395">
            <v>6812</v>
          </cell>
          <cell r="P395" t="str">
            <v>PeMS2016</v>
          </cell>
        </row>
        <row r="396">
          <cell r="C396">
            <v>29</v>
          </cell>
          <cell r="D396">
            <v>1</v>
          </cell>
          <cell r="E396">
            <v>526</v>
          </cell>
          <cell r="F396">
            <v>1</v>
          </cell>
          <cell r="G396">
            <v>2</v>
          </cell>
          <cell r="H396" t="str">
            <v>I-15 HOV NB</v>
          </cell>
          <cell r="I396">
            <v>3</v>
          </cell>
          <cell r="J396">
            <v>1</v>
          </cell>
          <cell r="K396" t="str">
            <v>SR-163 NB</v>
          </cell>
          <cell r="L396" t="str">
            <v>SR-163</v>
          </cell>
          <cell r="M396">
            <v>23285</v>
          </cell>
          <cell r="N396">
            <v>3997</v>
          </cell>
          <cell r="O396">
            <v>8034</v>
          </cell>
          <cell r="P396" t="str">
            <v>SANDAG</v>
          </cell>
        </row>
        <row r="397">
          <cell r="C397">
            <v>29</v>
          </cell>
          <cell r="D397">
            <v>1</v>
          </cell>
          <cell r="E397">
            <v>23044</v>
          </cell>
          <cell r="F397">
            <v>1</v>
          </cell>
          <cell r="G397">
            <v>2</v>
          </cell>
          <cell r="H397" t="str">
            <v>I-15 HOV NB</v>
          </cell>
          <cell r="I397">
            <v>4</v>
          </cell>
          <cell r="J397">
            <v>1</v>
          </cell>
          <cell r="K397" t="str">
            <v>SR-163 NB</v>
          </cell>
          <cell r="L397" t="str">
            <v>SR-163</v>
          </cell>
          <cell r="M397">
            <v>21419</v>
          </cell>
          <cell r="N397">
            <v>2851</v>
          </cell>
          <cell r="O397">
            <v>8924</v>
          </cell>
          <cell r="P397" t="str">
            <v>PeMS2016</v>
          </cell>
        </row>
        <row r="398">
          <cell r="C398">
            <v>29</v>
          </cell>
          <cell r="D398">
            <v>1</v>
          </cell>
          <cell r="E398">
            <v>459</v>
          </cell>
          <cell r="F398">
            <v>1</v>
          </cell>
          <cell r="G398">
            <v>2</v>
          </cell>
          <cell r="H398" t="str">
            <v>I-15 HOV NB</v>
          </cell>
          <cell r="I398">
            <v>7</v>
          </cell>
          <cell r="J398">
            <v>1</v>
          </cell>
          <cell r="K398" t="str">
            <v>MIRA MESA</v>
          </cell>
          <cell r="L398" t="str">
            <v>RANCHO PENASQUITOS</v>
          </cell>
          <cell r="M398">
            <v>21448</v>
          </cell>
          <cell r="N398">
            <v>2615</v>
          </cell>
          <cell r="O398">
            <v>8857</v>
          </cell>
          <cell r="P398" t="str">
            <v>PeMS2016</v>
          </cell>
        </row>
        <row r="399">
          <cell r="C399">
            <v>29</v>
          </cell>
          <cell r="D399">
            <v>1</v>
          </cell>
          <cell r="E399">
            <v>461</v>
          </cell>
          <cell r="F399">
            <v>1</v>
          </cell>
          <cell r="G399">
            <v>2</v>
          </cell>
          <cell r="H399" t="str">
            <v>I-15 HOV NB</v>
          </cell>
          <cell r="I399">
            <v>8</v>
          </cell>
          <cell r="J399">
            <v>1</v>
          </cell>
          <cell r="K399" t="str">
            <v>MIRA MESA</v>
          </cell>
          <cell r="L399" t="str">
            <v>RANCHO PENASQUITOS</v>
          </cell>
          <cell r="M399">
            <v>22226</v>
          </cell>
          <cell r="N399">
            <v>2636</v>
          </cell>
          <cell r="O399">
            <v>9658</v>
          </cell>
          <cell r="P399" t="str">
            <v>PeMS2016</v>
          </cell>
        </row>
        <row r="400">
          <cell r="C400">
            <v>29</v>
          </cell>
          <cell r="D400">
            <v>1</v>
          </cell>
          <cell r="E400">
            <v>512</v>
          </cell>
          <cell r="F400">
            <v>1</v>
          </cell>
          <cell r="G400">
            <v>2</v>
          </cell>
          <cell r="H400" t="str">
            <v>I-15 HOV NB</v>
          </cell>
          <cell r="I400">
            <v>12</v>
          </cell>
          <cell r="J400">
            <v>2</v>
          </cell>
          <cell r="K400" t="str">
            <v>SR-56 EB</v>
          </cell>
          <cell r="L400" t="str">
            <v>CARMEL MTN</v>
          </cell>
          <cell r="M400">
            <v>21169</v>
          </cell>
          <cell r="N400">
            <v>3283</v>
          </cell>
          <cell r="O400">
            <v>8158</v>
          </cell>
          <cell r="P400" t="str">
            <v>PeMS2016</v>
          </cell>
        </row>
        <row r="401">
          <cell r="C401">
            <v>29</v>
          </cell>
          <cell r="D401">
            <v>1</v>
          </cell>
          <cell r="E401">
            <v>464</v>
          </cell>
          <cell r="F401">
            <v>1</v>
          </cell>
          <cell r="G401">
            <v>2</v>
          </cell>
          <cell r="H401" t="str">
            <v>I-15 HOV NB</v>
          </cell>
          <cell r="I401">
            <v>13</v>
          </cell>
          <cell r="J401">
            <v>0</v>
          </cell>
          <cell r="K401" t="str">
            <v>SR-56 EB</v>
          </cell>
          <cell r="L401" t="str">
            <v>CARMEL MTN</v>
          </cell>
          <cell r="M401">
            <v>21004</v>
          </cell>
          <cell r="N401">
            <v>3622</v>
          </cell>
          <cell r="O401">
            <v>7848</v>
          </cell>
          <cell r="P401" t="str">
            <v>PeMS2016</v>
          </cell>
        </row>
        <row r="402">
          <cell r="C402">
            <v>29</v>
          </cell>
          <cell r="D402">
            <v>1</v>
          </cell>
          <cell r="E402">
            <v>468</v>
          </cell>
          <cell r="F402">
            <v>1</v>
          </cell>
          <cell r="G402">
            <v>2</v>
          </cell>
          <cell r="H402" t="str">
            <v>I-15 HOV NB</v>
          </cell>
          <cell r="I402">
            <v>14</v>
          </cell>
          <cell r="J402">
            <v>0</v>
          </cell>
          <cell r="K402" t="str">
            <v>CAM DEL NORTE</v>
          </cell>
          <cell r="L402" t="str">
            <v>RANCHO BERNARDO</v>
          </cell>
          <cell r="M402">
            <v>20580</v>
          </cell>
          <cell r="N402">
            <v>1922</v>
          </cell>
          <cell r="O402">
            <v>9271</v>
          </cell>
          <cell r="P402" t="str">
            <v>PeMS2016</v>
          </cell>
        </row>
        <row r="403">
          <cell r="C403">
            <v>29</v>
          </cell>
          <cell r="D403">
            <v>1</v>
          </cell>
          <cell r="E403">
            <v>469</v>
          </cell>
          <cell r="F403">
            <v>1</v>
          </cell>
          <cell r="G403">
            <v>2</v>
          </cell>
          <cell r="H403" t="str">
            <v>I-15 HOV NB</v>
          </cell>
          <cell r="I403">
            <v>15</v>
          </cell>
          <cell r="J403">
            <v>1</v>
          </cell>
          <cell r="K403" t="str">
            <v>CAM DEL NORTE</v>
          </cell>
          <cell r="L403" t="str">
            <v>RANCHO BERNARDO</v>
          </cell>
          <cell r="M403">
            <v>20717</v>
          </cell>
          <cell r="N403">
            <v>3554</v>
          </cell>
          <cell r="O403">
            <v>8031</v>
          </cell>
          <cell r="P403" t="str">
            <v>PeMS2016</v>
          </cell>
        </row>
        <row r="404">
          <cell r="C404">
            <v>29</v>
          </cell>
          <cell r="D404">
            <v>1</v>
          </cell>
          <cell r="E404">
            <v>470</v>
          </cell>
          <cell r="F404">
            <v>1</v>
          </cell>
          <cell r="G404">
            <v>2</v>
          </cell>
          <cell r="H404" t="str">
            <v>I-15 HOV NB</v>
          </cell>
          <cell r="I404">
            <v>16</v>
          </cell>
          <cell r="J404">
            <v>0</v>
          </cell>
          <cell r="K404" t="str">
            <v>CAM DEL NORTE</v>
          </cell>
          <cell r="L404" t="str">
            <v>RANCHO BERNARDO</v>
          </cell>
          <cell r="M404">
            <v>21575</v>
          </cell>
          <cell r="N404">
            <v>1941</v>
          </cell>
          <cell r="O404">
            <v>9947</v>
          </cell>
          <cell r="P404" t="str">
            <v>PeMS2016</v>
          </cell>
        </row>
        <row r="405">
          <cell r="C405">
            <v>29</v>
          </cell>
          <cell r="D405">
            <v>1</v>
          </cell>
          <cell r="E405">
            <v>23053</v>
          </cell>
          <cell r="F405">
            <v>1</v>
          </cell>
          <cell r="G405">
            <v>2</v>
          </cell>
          <cell r="H405" t="str">
            <v>I-15 HOV NB</v>
          </cell>
          <cell r="I405">
            <v>17</v>
          </cell>
          <cell r="J405">
            <v>1</v>
          </cell>
          <cell r="K405" t="str">
            <v>RANCHO BERNARDO</v>
          </cell>
          <cell r="L405" t="str">
            <v>POMERADO</v>
          </cell>
          <cell r="M405">
            <v>21577</v>
          </cell>
          <cell r="N405">
            <v>1836</v>
          </cell>
          <cell r="O405">
            <v>10052</v>
          </cell>
          <cell r="P405" t="str">
            <v>PeMS2016</v>
          </cell>
        </row>
        <row r="406">
          <cell r="C406">
            <v>29</v>
          </cell>
          <cell r="D406">
            <v>1</v>
          </cell>
          <cell r="E406">
            <v>473</v>
          </cell>
          <cell r="F406">
            <v>1</v>
          </cell>
          <cell r="G406">
            <v>2</v>
          </cell>
          <cell r="H406" t="str">
            <v>I-15 HOV NB</v>
          </cell>
          <cell r="I406">
            <v>18</v>
          </cell>
          <cell r="J406">
            <v>0</v>
          </cell>
          <cell r="K406" t="str">
            <v>VIA RANCHO</v>
          </cell>
          <cell r="L406" t="str">
            <v>VIA RANCHO</v>
          </cell>
          <cell r="M406">
            <v>20638</v>
          </cell>
          <cell r="N406">
            <v>1359</v>
          </cell>
          <cell r="O406">
            <v>9971</v>
          </cell>
          <cell r="P406" t="str">
            <v>PeMS2016</v>
          </cell>
        </row>
        <row r="407">
          <cell r="C407">
            <v>29</v>
          </cell>
          <cell r="D407">
            <v>1</v>
          </cell>
          <cell r="E407">
            <v>510</v>
          </cell>
          <cell r="F407">
            <v>1</v>
          </cell>
          <cell r="G407">
            <v>2</v>
          </cell>
          <cell r="H407" t="str">
            <v>I-15 HOV NB</v>
          </cell>
          <cell r="I407">
            <v>19</v>
          </cell>
          <cell r="J407">
            <v>1</v>
          </cell>
          <cell r="K407" t="str">
            <v>VIA RANCHO</v>
          </cell>
          <cell r="L407" t="str">
            <v>CITRACADO</v>
          </cell>
          <cell r="M407">
            <v>21019</v>
          </cell>
          <cell r="N407">
            <v>1582</v>
          </cell>
          <cell r="O407">
            <v>9553</v>
          </cell>
          <cell r="P407" t="str">
            <v>PeMS2016</v>
          </cell>
        </row>
        <row r="408">
          <cell r="C408">
            <v>29</v>
          </cell>
          <cell r="D408">
            <v>1</v>
          </cell>
          <cell r="E408">
            <v>29368</v>
          </cell>
          <cell r="F408">
            <v>1</v>
          </cell>
          <cell r="G408">
            <v>2</v>
          </cell>
          <cell r="H408" t="str">
            <v>I-15 HOV NB</v>
          </cell>
          <cell r="I408">
            <v>20</v>
          </cell>
          <cell r="J408">
            <v>2</v>
          </cell>
          <cell r="K408" t="str">
            <v>VIA RANCHO</v>
          </cell>
          <cell r="L408" t="str">
            <v>CITRACADO</v>
          </cell>
          <cell r="M408">
            <v>14723</v>
          </cell>
          <cell r="N408">
            <v>947</v>
          </cell>
          <cell r="O408">
            <v>6574</v>
          </cell>
          <cell r="P408" t="str">
            <v>PeMS2016</v>
          </cell>
        </row>
        <row r="409">
          <cell r="C409">
            <v>29</v>
          </cell>
          <cell r="D409">
            <v>1</v>
          </cell>
          <cell r="E409">
            <v>9808</v>
          </cell>
          <cell r="F409">
            <v>1</v>
          </cell>
          <cell r="G409">
            <v>2</v>
          </cell>
          <cell r="H409" t="str">
            <v>I-15 HOV NB</v>
          </cell>
          <cell r="I409">
            <v>21</v>
          </cell>
          <cell r="J409">
            <v>0</v>
          </cell>
          <cell r="K409" t="str">
            <v>VALLEY</v>
          </cell>
          <cell r="L409" t="str">
            <v>SR-78</v>
          </cell>
          <cell r="M409">
            <v>11805</v>
          </cell>
          <cell r="N409">
            <v>668</v>
          </cell>
          <cell r="O409">
            <v>5329</v>
          </cell>
          <cell r="P409" t="str">
            <v>PeMS2016</v>
          </cell>
        </row>
        <row r="410">
          <cell r="C410">
            <v>30</v>
          </cell>
          <cell r="D410">
            <v>2</v>
          </cell>
          <cell r="E410">
            <v>25749</v>
          </cell>
          <cell r="F410">
            <v>1</v>
          </cell>
          <cell r="G410">
            <v>2</v>
          </cell>
          <cell r="H410" t="str">
            <v>I-15 HOV SB</v>
          </cell>
          <cell r="I410">
            <v>3</v>
          </cell>
          <cell r="J410">
            <v>2</v>
          </cell>
          <cell r="K410" t="str">
            <v>SR-78</v>
          </cell>
          <cell r="L410" t="str">
            <v>VALLEY</v>
          </cell>
          <cell r="M410">
            <v>19239</v>
          </cell>
          <cell r="N410">
            <v>7688</v>
          </cell>
          <cell r="O410">
            <v>2864</v>
          </cell>
          <cell r="P410" t="str">
            <v>PeMS2016</v>
          </cell>
        </row>
        <row r="411">
          <cell r="C411">
            <v>30</v>
          </cell>
          <cell r="D411">
            <v>2</v>
          </cell>
          <cell r="E411">
            <v>29442</v>
          </cell>
          <cell r="F411">
            <v>1</v>
          </cell>
          <cell r="G411">
            <v>2</v>
          </cell>
          <cell r="H411" t="str">
            <v>I-15 HOV SB</v>
          </cell>
          <cell r="I411">
            <v>4</v>
          </cell>
          <cell r="J411">
            <v>1</v>
          </cell>
          <cell r="K411" t="str">
            <v>CITRACADO</v>
          </cell>
          <cell r="L411" t="str">
            <v>CITRACADO</v>
          </cell>
          <cell r="M411">
            <v>21830</v>
          </cell>
          <cell r="N411">
            <v>8971</v>
          </cell>
          <cell r="O411">
            <v>3405</v>
          </cell>
          <cell r="P411" t="str">
            <v>PeMS2016</v>
          </cell>
        </row>
        <row r="412">
          <cell r="C412">
            <v>30</v>
          </cell>
          <cell r="D412">
            <v>2</v>
          </cell>
          <cell r="E412">
            <v>513</v>
          </cell>
          <cell r="F412">
            <v>1</v>
          </cell>
          <cell r="G412">
            <v>2</v>
          </cell>
          <cell r="H412" t="str">
            <v>I-15 HOV SB</v>
          </cell>
          <cell r="I412">
            <v>5</v>
          </cell>
          <cell r="J412">
            <v>0</v>
          </cell>
          <cell r="K412" t="str">
            <v>VIA RANCHO</v>
          </cell>
          <cell r="L412" t="str">
            <v>VIA RANCHO</v>
          </cell>
          <cell r="M412">
            <v>20191</v>
          </cell>
          <cell r="N412">
            <v>8619</v>
          </cell>
          <cell r="O412">
            <v>2933</v>
          </cell>
          <cell r="P412" t="str">
            <v>PeMS2016</v>
          </cell>
        </row>
        <row r="413">
          <cell r="C413">
            <v>30</v>
          </cell>
          <cell r="D413">
            <v>2</v>
          </cell>
          <cell r="E413">
            <v>23128</v>
          </cell>
          <cell r="F413">
            <v>1</v>
          </cell>
          <cell r="G413">
            <v>2</v>
          </cell>
          <cell r="H413" t="str">
            <v>I-15 HOV SB</v>
          </cell>
          <cell r="I413">
            <v>6</v>
          </cell>
          <cell r="J413">
            <v>2</v>
          </cell>
          <cell r="K413" t="str">
            <v>VIA RANCHO</v>
          </cell>
          <cell r="L413" t="str">
            <v>VIA RANCHO</v>
          </cell>
          <cell r="M413">
            <v>23149</v>
          </cell>
          <cell r="N413">
            <v>9297</v>
          </cell>
          <cell r="O413">
            <v>4115</v>
          </cell>
          <cell r="P413" t="str">
            <v>PeMS2016</v>
          </cell>
        </row>
        <row r="414">
          <cell r="C414">
            <v>30</v>
          </cell>
          <cell r="D414">
            <v>2</v>
          </cell>
          <cell r="E414">
            <v>31204</v>
          </cell>
          <cell r="F414">
            <v>1</v>
          </cell>
          <cell r="G414">
            <v>2</v>
          </cell>
          <cell r="H414" t="str">
            <v>I-15 HOV SB</v>
          </cell>
          <cell r="I414">
            <v>9</v>
          </cell>
          <cell r="J414">
            <v>1</v>
          </cell>
          <cell r="K414" t="str">
            <v>RANCHO BERNARDO</v>
          </cell>
          <cell r="L414" t="str">
            <v>CAM DEL NORTE</v>
          </cell>
          <cell r="M414">
            <v>22225</v>
          </cell>
          <cell r="N414">
            <v>6681</v>
          </cell>
          <cell r="O414">
            <v>5672</v>
          </cell>
          <cell r="P414" t="str">
            <v>PeMS2016</v>
          </cell>
        </row>
        <row r="415">
          <cell r="C415">
            <v>30</v>
          </cell>
          <cell r="D415">
            <v>2</v>
          </cell>
          <cell r="E415">
            <v>525</v>
          </cell>
          <cell r="F415">
            <v>1</v>
          </cell>
          <cell r="G415">
            <v>2</v>
          </cell>
          <cell r="H415" t="str">
            <v>I-15 HOV SB</v>
          </cell>
          <cell r="I415">
            <v>14</v>
          </cell>
          <cell r="J415">
            <v>1</v>
          </cell>
          <cell r="K415" t="str">
            <v>I-15 SB</v>
          </cell>
          <cell r="L415" t="str">
            <v>RANCHO PENASQUITOS</v>
          </cell>
          <cell r="M415">
            <v>24604</v>
          </cell>
          <cell r="N415">
            <v>8601</v>
          </cell>
          <cell r="O415">
            <v>5214</v>
          </cell>
          <cell r="P415" t="str">
            <v>PeMS2016</v>
          </cell>
        </row>
        <row r="416">
          <cell r="C416">
            <v>30</v>
          </cell>
          <cell r="D416">
            <v>2</v>
          </cell>
          <cell r="E416">
            <v>553</v>
          </cell>
          <cell r="F416">
            <v>1</v>
          </cell>
          <cell r="G416">
            <v>2</v>
          </cell>
          <cell r="H416" t="str">
            <v>I-15 HOV SB</v>
          </cell>
          <cell r="I416">
            <v>15</v>
          </cell>
          <cell r="J416">
            <v>1</v>
          </cell>
          <cell r="K416" t="str">
            <v>I-15 SB</v>
          </cell>
          <cell r="L416" t="str">
            <v>RANCHO PENASQUITOS</v>
          </cell>
          <cell r="M416">
            <v>23856</v>
          </cell>
          <cell r="N416">
            <v>7797</v>
          </cell>
          <cell r="O416">
            <v>5376</v>
          </cell>
          <cell r="P416" t="str">
            <v>PeMS2016</v>
          </cell>
        </row>
        <row r="417">
          <cell r="C417">
            <v>30</v>
          </cell>
          <cell r="D417">
            <v>2</v>
          </cell>
          <cell r="E417">
            <v>23142</v>
          </cell>
          <cell r="F417">
            <v>1</v>
          </cell>
          <cell r="G417">
            <v>2</v>
          </cell>
          <cell r="H417" t="str">
            <v>I-15 HOV SB</v>
          </cell>
          <cell r="I417">
            <v>18</v>
          </cell>
          <cell r="J417">
            <v>1</v>
          </cell>
          <cell r="K417" t="str">
            <v>MIRA MESA</v>
          </cell>
          <cell r="L417" t="str">
            <v>POMERADO</v>
          </cell>
          <cell r="M417">
            <v>22992</v>
          </cell>
          <cell r="N417">
            <v>7572</v>
          </cell>
          <cell r="O417">
            <v>5183</v>
          </cell>
          <cell r="P417" t="str">
            <v>PeMS2016</v>
          </cell>
        </row>
        <row r="418">
          <cell r="C418">
            <v>9</v>
          </cell>
          <cell r="D418">
            <v>2</v>
          </cell>
          <cell r="E418">
            <v>27196</v>
          </cell>
          <cell r="F418">
            <v>1</v>
          </cell>
          <cell r="G418">
            <v>1</v>
          </cell>
          <cell r="H418" t="str">
            <v>I-15 SB</v>
          </cell>
          <cell r="I418">
            <v>3</v>
          </cell>
          <cell r="J418">
            <v>2</v>
          </cell>
          <cell r="K418" t="str">
            <v>RAINBOW VALLEY WEST</v>
          </cell>
          <cell r="L418" t="str">
            <v>MISSION</v>
          </cell>
          <cell r="M418">
            <v>59677</v>
          </cell>
          <cell r="N418">
            <v>14771</v>
          </cell>
          <cell r="O418">
            <v>7958</v>
          </cell>
          <cell r="P418" t="str">
            <v>PeMS2016</v>
          </cell>
        </row>
        <row r="419">
          <cell r="C419">
            <v>9</v>
          </cell>
          <cell r="D419">
            <v>2</v>
          </cell>
          <cell r="E419">
            <v>27194</v>
          </cell>
          <cell r="F419">
            <v>1</v>
          </cell>
          <cell r="G419">
            <v>1</v>
          </cell>
          <cell r="H419" t="str">
            <v>I-15 SB</v>
          </cell>
          <cell r="I419">
            <v>7</v>
          </cell>
          <cell r="J419">
            <v>1</v>
          </cell>
          <cell r="K419" t="str">
            <v>STEWART CANYON</v>
          </cell>
          <cell r="L419" t="str">
            <v>PALA</v>
          </cell>
          <cell r="M419">
            <v>58241</v>
          </cell>
          <cell r="N419">
            <v>14085</v>
          </cell>
          <cell r="O419">
            <v>7434</v>
          </cell>
          <cell r="P419" t="str">
            <v>PeMS2016</v>
          </cell>
        </row>
        <row r="420">
          <cell r="C420">
            <v>9</v>
          </cell>
          <cell r="D420">
            <v>2</v>
          </cell>
          <cell r="E420">
            <v>26675</v>
          </cell>
          <cell r="F420">
            <v>1</v>
          </cell>
          <cell r="G420">
            <v>1</v>
          </cell>
          <cell r="H420" t="str">
            <v>I-15 SB</v>
          </cell>
          <cell r="I420">
            <v>8</v>
          </cell>
          <cell r="J420">
            <v>0</v>
          </cell>
          <cell r="K420" t="str">
            <v>PALA</v>
          </cell>
          <cell r="L420" t="str">
            <v>PALA</v>
          </cell>
          <cell r="M420">
            <v>72017</v>
          </cell>
          <cell r="N420">
            <v>17698</v>
          </cell>
          <cell r="O420">
            <v>10880</v>
          </cell>
          <cell r="P420" t="str">
            <v>Caltran</v>
          </cell>
        </row>
        <row r="421">
          <cell r="C421">
            <v>9</v>
          </cell>
          <cell r="D421">
            <v>2</v>
          </cell>
          <cell r="E421">
            <v>27172</v>
          </cell>
          <cell r="F421">
            <v>1</v>
          </cell>
          <cell r="G421">
            <v>1</v>
          </cell>
          <cell r="H421" t="str">
            <v>I-15 SB</v>
          </cell>
          <cell r="I421">
            <v>10</v>
          </cell>
          <cell r="J421">
            <v>2</v>
          </cell>
          <cell r="K421" t="str">
            <v>PALA</v>
          </cell>
          <cell r="L421" t="str">
            <v>OLD 395</v>
          </cell>
          <cell r="M421">
            <v>67916</v>
          </cell>
          <cell r="N421">
            <v>16287</v>
          </cell>
          <cell r="O421">
            <v>10056</v>
          </cell>
          <cell r="P421" t="str">
            <v>Caltran</v>
          </cell>
        </row>
        <row r="422">
          <cell r="C422">
            <v>9</v>
          </cell>
          <cell r="D422">
            <v>2</v>
          </cell>
          <cell r="E422">
            <v>27351</v>
          </cell>
          <cell r="F422">
            <v>1</v>
          </cell>
          <cell r="G422">
            <v>1</v>
          </cell>
          <cell r="H422" t="str">
            <v>I-15 SB</v>
          </cell>
          <cell r="I422">
            <v>14</v>
          </cell>
          <cell r="J422">
            <v>3</v>
          </cell>
          <cell r="K422" t="str">
            <v>GOPHER CANYON</v>
          </cell>
          <cell r="L422" t="str">
            <v>DEER SPRINGS</v>
          </cell>
          <cell r="M422">
            <v>71370</v>
          </cell>
          <cell r="N422">
            <v>18362</v>
          </cell>
          <cell r="O422">
            <v>11506</v>
          </cell>
          <cell r="P422" t="str">
            <v>PeMS2016</v>
          </cell>
        </row>
        <row r="423">
          <cell r="C423">
            <v>9</v>
          </cell>
          <cell r="D423">
            <v>2</v>
          </cell>
          <cell r="E423">
            <v>14782</v>
          </cell>
          <cell r="F423">
            <v>1</v>
          </cell>
          <cell r="G423">
            <v>1</v>
          </cell>
          <cell r="H423" t="str">
            <v>I-15 SB</v>
          </cell>
          <cell r="I423">
            <v>16</v>
          </cell>
          <cell r="J423">
            <v>1</v>
          </cell>
          <cell r="K423" t="str">
            <v>DEER SPRINGS</v>
          </cell>
          <cell r="L423" t="str">
            <v>CENTRE CITY</v>
          </cell>
          <cell r="M423">
            <v>69040</v>
          </cell>
          <cell r="N423">
            <v>16891</v>
          </cell>
          <cell r="O423">
            <v>11431</v>
          </cell>
          <cell r="P423" t="str">
            <v>PeMS2016</v>
          </cell>
        </row>
        <row r="424">
          <cell r="C424">
            <v>9</v>
          </cell>
          <cell r="D424">
            <v>2</v>
          </cell>
          <cell r="E424">
            <v>27182</v>
          </cell>
          <cell r="F424">
            <v>1</v>
          </cell>
          <cell r="G424">
            <v>1</v>
          </cell>
          <cell r="H424" t="str">
            <v>I-15 SB</v>
          </cell>
          <cell r="I424">
            <v>19</v>
          </cell>
          <cell r="J424">
            <v>1</v>
          </cell>
          <cell r="K424" t="str">
            <v>CENTRE CITY</v>
          </cell>
          <cell r="L424" t="str">
            <v>EL NORTE</v>
          </cell>
          <cell r="M424">
            <v>57792</v>
          </cell>
          <cell r="N424">
            <v>14916</v>
          </cell>
          <cell r="O424">
            <v>8921</v>
          </cell>
          <cell r="P424" t="str">
            <v>PeMS2016</v>
          </cell>
        </row>
        <row r="425">
          <cell r="C425">
            <v>9</v>
          </cell>
          <cell r="D425">
            <v>2</v>
          </cell>
          <cell r="E425">
            <v>27184</v>
          </cell>
          <cell r="F425">
            <v>1</v>
          </cell>
          <cell r="G425">
            <v>1</v>
          </cell>
          <cell r="H425" t="str">
            <v>I-15 SB</v>
          </cell>
          <cell r="I425">
            <v>20</v>
          </cell>
          <cell r="J425">
            <v>0</v>
          </cell>
          <cell r="K425" t="str">
            <v>EL NORTE</v>
          </cell>
          <cell r="L425" t="str">
            <v>EL NORTE</v>
          </cell>
          <cell r="M425">
            <v>60866</v>
          </cell>
          <cell r="N425">
            <v>15111</v>
          </cell>
          <cell r="O425">
            <v>9672</v>
          </cell>
          <cell r="P425" t="str">
            <v>PeMS2016</v>
          </cell>
        </row>
        <row r="426">
          <cell r="C426">
            <v>9</v>
          </cell>
          <cell r="D426">
            <v>2</v>
          </cell>
          <cell r="E426">
            <v>28569</v>
          </cell>
          <cell r="F426">
            <v>1</v>
          </cell>
          <cell r="G426">
            <v>1</v>
          </cell>
          <cell r="H426" t="str">
            <v>I-15 SB</v>
          </cell>
          <cell r="I426">
            <v>22</v>
          </cell>
          <cell r="J426">
            <v>0</v>
          </cell>
          <cell r="K426" t="str">
            <v>SR-78 WB</v>
          </cell>
          <cell r="L426" t="str">
            <v>SR-78 WB</v>
          </cell>
          <cell r="M426">
            <v>73264</v>
          </cell>
          <cell r="N426">
            <v>18460</v>
          </cell>
          <cell r="O426">
            <v>12337</v>
          </cell>
          <cell r="P426" t="str">
            <v>PeMS2016</v>
          </cell>
        </row>
        <row r="427">
          <cell r="C427">
            <v>9</v>
          </cell>
          <cell r="D427">
            <v>2</v>
          </cell>
          <cell r="E427">
            <v>31193</v>
          </cell>
          <cell r="F427">
            <v>1</v>
          </cell>
          <cell r="G427">
            <v>1</v>
          </cell>
          <cell r="H427" t="str">
            <v>I-15 SB</v>
          </cell>
          <cell r="I427">
            <v>23</v>
          </cell>
          <cell r="J427">
            <v>0</v>
          </cell>
          <cell r="K427" t="str">
            <v>SR-78 WB</v>
          </cell>
          <cell r="L427" t="str">
            <v>SR-78 EB</v>
          </cell>
          <cell r="M427">
            <v>73452</v>
          </cell>
          <cell r="N427">
            <v>18300</v>
          </cell>
          <cell r="O427">
            <v>12404</v>
          </cell>
          <cell r="P427" t="str">
            <v>SANDAG</v>
          </cell>
        </row>
        <row r="428">
          <cell r="C428">
            <v>9</v>
          </cell>
          <cell r="D428">
            <v>2</v>
          </cell>
          <cell r="E428">
            <v>28587</v>
          </cell>
          <cell r="F428">
            <v>1</v>
          </cell>
          <cell r="G428">
            <v>1</v>
          </cell>
          <cell r="H428" t="str">
            <v>I-15 SB</v>
          </cell>
          <cell r="I428">
            <v>26</v>
          </cell>
          <cell r="J428">
            <v>0</v>
          </cell>
          <cell r="K428" t="str">
            <v>VALLEY</v>
          </cell>
          <cell r="L428" t="str">
            <v>VALLEY</v>
          </cell>
          <cell r="M428">
            <v>94388</v>
          </cell>
          <cell r="N428">
            <v>19076</v>
          </cell>
          <cell r="O428">
            <v>18744</v>
          </cell>
          <cell r="P428" t="str">
            <v>PeMS2016</v>
          </cell>
        </row>
        <row r="429">
          <cell r="C429">
            <v>9</v>
          </cell>
          <cell r="D429">
            <v>2</v>
          </cell>
          <cell r="E429">
            <v>12943</v>
          </cell>
          <cell r="F429">
            <v>1</v>
          </cell>
          <cell r="G429">
            <v>1</v>
          </cell>
          <cell r="H429" t="str">
            <v>I-15 SB</v>
          </cell>
          <cell r="I429">
            <v>27</v>
          </cell>
          <cell r="J429">
            <v>0</v>
          </cell>
          <cell r="K429" t="str">
            <v>VALLEY</v>
          </cell>
          <cell r="L429" t="str">
            <v>09TH</v>
          </cell>
          <cell r="M429">
            <v>95765</v>
          </cell>
          <cell r="N429">
            <v>20128</v>
          </cell>
          <cell r="O429">
            <v>18909</v>
          </cell>
          <cell r="P429" t="str">
            <v>Caltran</v>
          </cell>
        </row>
        <row r="430">
          <cell r="C430">
            <v>9</v>
          </cell>
          <cell r="D430">
            <v>2</v>
          </cell>
          <cell r="E430">
            <v>12944</v>
          </cell>
          <cell r="F430">
            <v>1</v>
          </cell>
          <cell r="G430">
            <v>1</v>
          </cell>
          <cell r="H430" t="str">
            <v>I-15 SB</v>
          </cell>
          <cell r="I430">
            <v>28</v>
          </cell>
          <cell r="J430">
            <v>0</v>
          </cell>
          <cell r="K430" t="str">
            <v>09TH</v>
          </cell>
          <cell r="L430" t="str">
            <v>09TH</v>
          </cell>
          <cell r="M430">
            <v>84314</v>
          </cell>
          <cell r="N430">
            <v>16351</v>
          </cell>
          <cell r="O430">
            <v>16666</v>
          </cell>
          <cell r="P430" t="str">
            <v>PeMS2016</v>
          </cell>
        </row>
        <row r="431">
          <cell r="C431">
            <v>9</v>
          </cell>
          <cell r="D431">
            <v>2</v>
          </cell>
          <cell r="E431">
            <v>12946</v>
          </cell>
          <cell r="F431">
            <v>1</v>
          </cell>
          <cell r="G431">
            <v>1</v>
          </cell>
          <cell r="H431" t="str">
            <v>I-15 SB</v>
          </cell>
          <cell r="I431">
            <v>31</v>
          </cell>
          <cell r="J431">
            <v>0</v>
          </cell>
          <cell r="K431" t="str">
            <v>CITRACADO</v>
          </cell>
          <cell r="L431" t="str">
            <v>CITRACADO</v>
          </cell>
          <cell r="M431">
            <v>94828</v>
          </cell>
          <cell r="N431">
            <v>18841</v>
          </cell>
          <cell r="O431">
            <v>19255</v>
          </cell>
          <cell r="P431" t="str">
            <v>PeMS2016</v>
          </cell>
        </row>
        <row r="432">
          <cell r="C432">
            <v>9</v>
          </cell>
          <cell r="D432">
            <v>2</v>
          </cell>
          <cell r="E432">
            <v>12952</v>
          </cell>
          <cell r="F432">
            <v>1</v>
          </cell>
          <cell r="G432">
            <v>1</v>
          </cell>
          <cell r="H432" t="str">
            <v>I-15 SB</v>
          </cell>
          <cell r="I432">
            <v>32</v>
          </cell>
          <cell r="J432">
            <v>1</v>
          </cell>
          <cell r="K432" t="str">
            <v>CITRACADO</v>
          </cell>
          <cell r="L432" t="str">
            <v>CENTRE CITY</v>
          </cell>
          <cell r="M432">
            <v>98610</v>
          </cell>
          <cell r="N432">
            <v>20169</v>
          </cell>
          <cell r="O432">
            <v>19724</v>
          </cell>
          <cell r="P432" t="str">
            <v>PeMS2016</v>
          </cell>
        </row>
        <row r="433">
          <cell r="C433">
            <v>9</v>
          </cell>
          <cell r="D433">
            <v>2</v>
          </cell>
          <cell r="E433">
            <v>12950</v>
          </cell>
          <cell r="F433">
            <v>1</v>
          </cell>
          <cell r="G433">
            <v>1</v>
          </cell>
          <cell r="H433" t="str">
            <v>I-15 SB</v>
          </cell>
          <cell r="I433">
            <v>34</v>
          </cell>
          <cell r="J433">
            <v>0</v>
          </cell>
          <cell r="K433" t="str">
            <v>CENTRE CITY</v>
          </cell>
          <cell r="L433" t="str">
            <v>VIA RANCHO</v>
          </cell>
          <cell r="M433">
            <v>110633</v>
          </cell>
          <cell r="N433">
            <v>23552</v>
          </cell>
          <cell r="O433">
            <v>22193</v>
          </cell>
          <cell r="P433" t="str">
            <v>PeMS2016</v>
          </cell>
        </row>
        <row r="434">
          <cell r="C434">
            <v>9</v>
          </cell>
          <cell r="D434">
            <v>2</v>
          </cell>
          <cell r="E434">
            <v>26879</v>
          </cell>
          <cell r="F434">
            <v>1</v>
          </cell>
          <cell r="G434">
            <v>1</v>
          </cell>
          <cell r="H434" t="str">
            <v>I-15 SB</v>
          </cell>
          <cell r="I434">
            <v>35</v>
          </cell>
          <cell r="J434">
            <v>0</v>
          </cell>
          <cell r="K434" t="str">
            <v>VIA RANCHO</v>
          </cell>
          <cell r="L434" t="str">
            <v>VIA RANCHO</v>
          </cell>
          <cell r="M434">
            <v>101214</v>
          </cell>
          <cell r="N434">
            <v>22948</v>
          </cell>
          <cell r="O434">
            <v>19445</v>
          </cell>
          <cell r="P434" t="str">
            <v>PeMS2016</v>
          </cell>
        </row>
        <row r="435">
          <cell r="C435">
            <v>9</v>
          </cell>
          <cell r="D435">
            <v>2</v>
          </cell>
          <cell r="E435">
            <v>8808</v>
          </cell>
          <cell r="F435">
            <v>1</v>
          </cell>
          <cell r="G435">
            <v>1</v>
          </cell>
          <cell r="H435" t="str">
            <v>I-15 SB</v>
          </cell>
          <cell r="I435">
            <v>37</v>
          </cell>
          <cell r="J435">
            <v>0</v>
          </cell>
          <cell r="K435" t="str">
            <v>VIA RANCHO</v>
          </cell>
          <cell r="L435" t="str">
            <v>WEST BERNARDO</v>
          </cell>
          <cell r="M435">
            <v>119652</v>
          </cell>
          <cell r="N435">
            <v>27563</v>
          </cell>
          <cell r="O435">
            <v>22985</v>
          </cell>
          <cell r="P435" t="str">
            <v>PeMS2016</v>
          </cell>
        </row>
        <row r="436">
          <cell r="C436">
            <v>9</v>
          </cell>
          <cell r="D436">
            <v>2</v>
          </cell>
          <cell r="E436">
            <v>8810</v>
          </cell>
          <cell r="F436">
            <v>1</v>
          </cell>
          <cell r="G436">
            <v>1</v>
          </cell>
          <cell r="H436" t="str">
            <v>I-15 SB</v>
          </cell>
          <cell r="I436">
            <v>38</v>
          </cell>
          <cell r="J436">
            <v>0</v>
          </cell>
          <cell r="K436" t="str">
            <v>WEST BERNARDO</v>
          </cell>
          <cell r="L436" t="str">
            <v>WEST BERNARDO</v>
          </cell>
          <cell r="M436">
            <v>110753</v>
          </cell>
          <cell r="N436">
            <v>25680</v>
          </cell>
          <cell r="O436">
            <v>20830</v>
          </cell>
          <cell r="P436" t="str">
            <v>PeMS2016</v>
          </cell>
        </row>
        <row r="437">
          <cell r="C437">
            <v>9</v>
          </cell>
          <cell r="D437">
            <v>2</v>
          </cell>
          <cell r="E437">
            <v>31207</v>
          </cell>
          <cell r="F437">
            <v>1</v>
          </cell>
          <cell r="G437">
            <v>1</v>
          </cell>
          <cell r="H437" t="str">
            <v>I-15 SB</v>
          </cell>
          <cell r="I437">
            <v>39</v>
          </cell>
          <cell r="J437">
            <v>1</v>
          </cell>
          <cell r="K437" t="str">
            <v>WEST BERNARDO</v>
          </cell>
          <cell r="L437" t="str">
            <v>RANCHO BERNARDO</v>
          </cell>
          <cell r="M437">
            <v>113729</v>
          </cell>
          <cell r="N437">
            <v>26407</v>
          </cell>
          <cell r="O437">
            <v>21409</v>
          </cell>
          <cell r="P437" t="str">
            <v>PeMS2016</v>
          </cell>
        </row>
        <row r="438">
          <cell r="C438">
            <v>9</v>
          </cell>
          <cell r="D438">
            <v>2</v>
          </cell>
          <cell r="E438">
            <v>568</v>
          </cell>
          <cell r="F438">
            <v>1</v>
          </cell>
          <cell r="G438">
            <v>1</v>
          </cell>
          <cell r="H438" t="str">
            <v>I-15 SB</v>
          </cell>
          <cell r="I438">
            <v>41</v>
          </cell>
          <cell r="J438">
            <v>0</v>
          </cell>
          <cell r="K438" t="str">
            <v>RANCHO BERNARDO</v>
          </cell>
          <cell r="L438" t="str">
            <v>RANCHO BERNARDO</v>
          </cell>
          <cell r="M438">
            <v>99390</v>
          </cell>
          <cell r="N438">
            <v>22705</v>
          </cell>
          <cell r="O438">
            <v>18692</v>
          </cell>
          <cell r="P438" t="str">
            <v>PeMS2016</v>
          </cell>
        </row>
        <row r="439">
          <cell r="C439">
            <v>9</v>
          </cell>
          <cell r="D439">
            <v>2</v>
          </cell>
          <cell r="E439">
            <v>13646</v>
          </cell>
          <cell r="F439">
            <v>1</v>
          </cell>
          <cell r="G439">
            <v>1</v>
          </cell>
          <cell r="H439" t="str">
            <v>I-15 SB</v>
          </cell>
          <cell r="I439">
            <v>42</v>
          </cell>
          <cell r="J439">
            <v>0</v>
          </cell>
          <cell r="K439" t="str">
            <v>RANCHO BERNARDO</v>
          </cell>
          <cell r="L439" t="str">
            <v>BERNARDO CENTER</v>
          </cell>
          <cell r="M439">
            <v>115070</v>
          </cell>
          <cell r="N439">
            <v>25794</v>
          </cell>
          <cell r="O439">
            <v>22442</v>
          </cell>
          <cell r="P439" t="str">
            <v>SANDAG</v>
          </cell>
        </row>
        <row r="440">
          <cell r="C440">
            <v>9</v>
          </cell>
          <cell r="D440">
            <v>2</v>
          </cell>
          <cell r="E440">
            <v>13649</v>
          </cell>
          <cell r="F440">
            <v>1</v>
          </cell>
          <cell r="G440">
            <v>1</v>
          </cell>
          <cell r="H440" t="str">
            <v>I-15 SB</v>
          </cell>
          <cell r="I440">
            <v>43</v>
          </cell>
          <cell r="J440">
            <v>0</v>
          </cell>
          <cell r="K440" t="str">
            <v>BERNARDO CENTER</v>
          </cell>
          <cell r="L440" t="str">
            <v>BERNARDO CENTER</v>
          </cell>
          <cell r="M440">
            <v>109363</v>
          </cell>
          <cell r="N440">
            <v>24479</v>
          </cell>
          <cell r="O440">
            <v>21029</v>
          </cell>
          <cell r="P440" t="str">
            <v>PeMS2016</v>
          </cell>
        </row>
        <row r="441">
          <cell r="C441">
            <v>9</v>
          </cell>
          <cell r="D441">
            <v>2</v>
          </cell>
          <cell r="E441">
            <v>13653</v>
          </cell>
          <cell r="F441">
            <v>1</v>
          </cell>
          <cell r="G441">
            <v>1</v>
          </cell>
          <cell r="H441" t="str">
            <v>I-15 SB</v>
          </cell>
          <cell r="I441">
            <v>44</v>
          </cell>
          <cell r="J441">
            <v>0</v>
          </cell>
          <cell r="K441" t="str">
            <v>BERNARDO CENTER</v>
          </cell>
          <cell r="L441" t="str">
            <v>CAM DEL NORTE</v>
          </cell>
          <cell r="M441">
            <v>119729</v>
          </cell>
          <cell r="N441">
            <v>25878</v>
          </cell>
          <cell r="O441">
            <v>24646</v>
          </cell>
          <cell r="P441" t="str">
            <v>PeMS2016</v>
          </cell>
        </row>
        <row r="442">
          <cell r="C442">
            <v>9</v>
          </cell>
          <cell r="D442">
            <v>2</v>
          </cell>
          <cell r="E442">
            <v>31208</v>
          </cell>
          <cell r="F442">
            <v>1</v>
          </cell>
          <cell r="G442">
            <v>1</v>
          </cell>
          <cell r="H442" t="str">
            <v>I-15 SB</v>
          </cell>
          <cell r="I442">
            <v>45</v>
          </cell>
          <cell r="J442">
            <v>0</v>
          </cell>
          <cell r="K442" t="str">
            <v>CAM DEL NORTE</v>
          </cell>
          <cell r="L442" t="str">
            <v>CAM DEL NORTE</v>
          </cell>
          <cell r="M442">
            <v>105051</v>
          </cell>
          <cell r="N442">
            <v>22720</v>
          </cell>
          <cell r="O442">
            <v>21420</v>
          </cell>
          <cell r="P442" t="str">
            <v>PeMS2016</v>
          </cell>
        </row>
        <row r="443">
          <cell r="C443">
            <v>9</v>
          </cell>
          <cell r="D443">
            <v>2</v>
          </cell>
          <cell r="E443">
            <v>13661</v>
          </cell>
          <cell r="F443">
            <v>1</v>
          </cell>
          <cell r="G443">
            <v>1</v>
          </cell>
          <cell r="H443" t="str">
            <v>I-15 SB</v>
          </cell>
          <cell r="I443">
            <v>46</v>
          </cell>
          <cell r="J443">
            <v>0</v>
          </cell>
          <cell r="K443" t="str">
            <v>CAM DEL NORTE</v>
          </cell>
          <cell r="L443" t="str">
            <v>CAM DEL NORTE</v>
          </cell>
          <cell r="M443">
            <v>104746</v>
          </cell>
          <cell r="N443">
            <v>22644</v>
          </cell>
          <cell r="O443">
            <v>21294</v>
          </cell>
          <cell r="P443" t="str">
            <v>SANDAG</v>
          </cell>
        </row>
        <row r="444">
          <cell r="C444">
            <v>9</v>
          </cell>
          <cell r="D444">
            <v>2</v>
          </cell>
          <cell r="E444">
            <v>13664</v>
          </cell>
          <cell r="F444">
            <v>1</v>
          </cell>
          <cell r="G444">
            <v>1</v>
          </cell>
          <cell r="H444" t="str">
            <v>I-15 SB</v>
          </cell>
          <cell r="I444">
            <v>47</v>
          </cell>
          <cell r="J444">
            <v>0</v>
          </cell>
          <cell r="K444" t="str">
            <v>CAM DEL NORTE</v>
          </cell>
          <cell r="L444" t="str">
            <v>CARMEL MTN</v>
          </cell>
          <cell r="M444">
            <v>130370</v>
          </cell>
          <cell r="N444">
            <v>28209</v>
          </cell>
          <cell r="O444">
            <v>27852</v>
          </cell>
          <cell r="P444" t="str">
            <v>PeMS2016</v>
          </cell>
        </row>
        <row r="445">
          <cell r="C445">
            <v>9</v>
          </cell>
          <cell r="D445">
            <v>2</v>
          </cell>
          <cell r="E445">
            <v>13673</v>
          </cell>
          <cell r="F445">
            <v>1</v>
          </cell>
          <cell r="G445">
            <v>1</v>
          </cell>
          <cell r="H445" t="str">
            <v>I-15 SB</v>
          </cell>
          <cell r="I445">
            <v>48</v>
          </cell>
          <cell r="J445">
            <v>0</v>
          </cell>
          <cell r="K445" t="str">
            <v>CARMEL MTN</v>
          </cell>
          <cell r="L445" t="str">
            <v>CARMEL MTN</v>
          </cell>
          <cell r="M445">
            <v>115177</v>
          </cell>
          <cell r="N445">
            <v>25333</v>
          </cell>
          <cell r="O445">
            <v>24049</v>
          </cell>
          <cell r="P445" t="str">
            <v>PeMS2016</v>
          </cell>
        </row>
        <row r="446">
          <cell r="C446">
            <v>9</v>
          </cell>
          <cell r="D446">
            <v>2</v>
          </cell>
          <cell r="E446">
            <v>14644</v>
          </cell>
          <cell r="F446">
            <v>1</v>
          </cell>
          <cell r="G446">
            <v>1</v>
          </cell>
          <cell r="H446" t="str">
            <v>I-15 SB</v>
          </cell>
          <cell r="I446">
            <v>49</v>
          </cell>
          <cell r="J446">
            <v>0</v>
          </cell>
          <cell r="K446" t="str">
            <v>CARMEL MTN</v>
          </cell>
          <cell r="L446" t="str">
            <v>SR-56 WB</v>
          </cell>
          <cell r="M446">
            <v>153552</v>
          </cell>
          <cell r="N446">
            <v>38562</v>
          </cell>
          <cell r="O446">
            <v>35147</v>
          </cell>
          <cell r="P446" t="str">
            <v>SANDAG</v>
          </cell>
        </row>
        <row r="447">
          <cell r="C447">
            <v>9</v>
          </cell>
          <cell r="D447">
            <v>2</v>
          </cell>
          <cell r="E447">
            <v>570</v>
          </cell>
          <cell r="F447">
            <v>1</v>
          </cell>
          <cell r="G447">
            <v>1</v>
          </cell>
          <cell r="H447" t="str">
            <v>I-15 SB</v>
          </cell>
          <cell r="I447">
            <v>53</v>
          </cell>
          <cell r="J447">
            <v>0</v>
          </cell>
          <cell r="K447" t="str">
            <v>I-15 HOV SB</v>
          </cell>
          <cell r="L447" t="str">
            <v>SR-56 EB</v>
          </cell>
          <cell r="M447">
            <v>108205</v>
          </cell>
          <cell r="N447">
            <v>22685</v>
          </cell>
          <cell r="O447">
            <v>23334</v>
          </cell>
          <cell r="P447" t="str">
            <v>PeMS2016</v>
          </cell>
        </row>
        <row r="448">
          <cell r="C448">
            <v>9</v>
          </cell>
          <cell r="D448">
            <v>2</v>
          </cell>
          <cell r="E448">
            <v>14637</v>
          </cell>
          <cell r="F448">
            <v>1</v>
          </cell>
          <cell r="G448">
            <v>1</v>
          </cell>
          <cell r="H448" t="str">
            <v>I-15 SB</v>
          </cell>
          <cell r="I448">
            <v>54</v>
          </cell>
          <cell r="J448">
            <v>0</v>
          </cell>
          <cell r="K448" t="str">
            <v>SR-56 EB</v>
          </cell>
          <cell r="L448" t="str">
            <v>RANCHO PENASQUITOS</v>
          </cell>
          <cell r="M448">
            <v>103965</v>
          </cell>
          <cell r="N448">
            <v>21032</v>
          </cell>
          <cell r="O448">
            <v>22950</v>
          </cell>
          <cell r="P448" t="str">
            <v>PeMS2016</v>
          </cell>
        </row>
        <row r="449">
          <cell r="C449">
            <v>9</v>
          </cell>
          <cell r="D449">
            <v>2</v>
          </cell>
          <cell r="E449">
            <v>14660</v>
          </cell>
          <cell r="F449">
            <v>1</v>
          </cell>
          <cell r="G449">
            <v>1</v>
          </cell>
          <cell r="H449" t="str">
            <v>I-15 SB</v>
          </cell>
          <cell r="I449">
            <v>55</v>
          </cell>
          <cell r="J449">
            <v>0</v>
          </cell>
          <cell r="K449" t="str">
            <v>RANCHO PENASQUITOS</v>
          </cell>
          <cell r="L449" t="str">
            <v>RANCHO PENASQUITOS</v>
          </cell>
          <cell r="M449">
            <v>113937</v>
          </cell>
          <cell r="N449">
            <v>24112</v>
          </cell>
          <cell r="O449">
            <v>24886</v>
          </cell>
          <cell r="P449" t="str">
            <v>PeMS2016</v>
          </cell>
        </row>
        <row r="450">
          <cell r="C450">
            <v>9</v>
          </cell>
          <cell r="D450">
            <v>2</v>
          </cell>
          <cell r="E450">
            <v>789</v>
          </cell>
          <cell r="F450">
            <v>1</v>
          </cell>
          <cell r="G450">
            <v>1</v>
          </cell>
          <cell r="H450" t="str">
            <v>I-15 SB</v>
          </cell>
          <cell r="I450">
            <v>59</v>
          </cell>
          <cell r="J450">
            <v>0</v>
          </cell>
          <cell r="K450" t="str">
            <v>MERCY</v>
          </cell>
          <cell r="L450" t="str">
            <v>MERCY</v>
          </cell>
          <cell r="M450">
            <v>128485</v>
          </cell>
          <cell r="N450">
            <v>28569</v>
          </cell>
          <cell r="O450">
            <v>27068</v>
          </cell>
          <cell r="P450" t="str">
            <v>PeMS2016</v>
          </cell>
        </row>
        <row r="451">
          <cell r="C451">
            <v>9</v>
          </cell>
          <cell r="D451">
            <v>2</v>
          </cell>
          <cell r="E451">
            <v>14383</v>
          </cell>
          <cell r="F451">
            <v>1</v>
          </cell>
          <cell r="G451">
            <v>1</v>
          </cell>
          <cell r="H451" t="str">
            <v>I-15 SB</v>
          </cell>
          <cell r="I451">
            <v>60</v>
          </cell>
          <cell r="J451">
            <v>0</v>
          </cell>
          <cell r="K451" t="str">
            <v>MERCY</v>
          </cell>
          <cell r="L451" t="str">
            <v>MIRA MESA</v>
          </cell>
          <cell r="M451">
            <v>148338</v>
          </cell>
          <cell r="N451">
            <v>32634</v>
          </cell>
          <cell r="O451">
            <v>31601</v>
          </cell>
          <cell r="P451" t="str">
            <v>PeMS2016</v>
          </cell>
        </row>
        <row r="452">
          <cell r="C452">
            <v>9</v>
          </cell>
          <cell r="D452">
            <v>2</v>
          </cell>
          <cell r="E452">
            <v>28809</v>
          </cell>
          <cell r="F452">
            <v>1</v>
          </cell>
          <cell r="G452">
            <v>1</v>
          </cell>
          <cell r="H452" t="str">
            <v>I-15 SB</v>
          </cell>
          <cell r="I452">
            <v>62</v>
          </cell>
          <cell r="J452">
            <v>0</v>
          </cell>
          <cell r="K452" t="str">
            <v>MIRA MESA</v>
          </cell>
          <cell r="L452" t="str">
            <v>MIRA MESA</v>
          </cell>
          <cell r="M452">
            <v>121450</v>
          </cell>
          <cell r="N452">
            <v>26006</v>
          </cell>
          <cell r="O452">
            <v>24549</v>
          </cell>
          <cell r="P452" t="str">
            <v>PeMS2016</v>
          </cell>
        </row>
        <row r="453">
          <cell r="C453">
            <v>9</v>
          </cell>
          <cell r="D453">
            <v>2</v>
          </cell>
          <cell r="E453">
            <v>8814</v>
          </cell>
          <cell r="F453">
            <v>1</v>
          </cell>
          <cell r="G453">
            <v>1</v>
          </cell>
          <cell r="H453" t="str">
            <v>I-15 SB</v>
          </cell>
          <cell r="I453">
            <v>64</v>
          </cell>
          <cell r="J453">
            <v>0</v>
          </cell>
          <cell r="K453" t="str">
            <v>MIRA MESA</v>
          </cell>
          <cell r="L453" t="str">
            <v>CARROLL CANYON</v>
          </cell>
          <cell r="M453">
            <v>144522</v>
          </cell>
          <cell r="N453">
            <v>32722</v>
          </cell>
          <cell r="O453">
            <v>30102</v>
          </cell>
          <cell r="P453" t="str">
            <v>PeMS2016</v>
          </cell>
        </row>
        <row r="454">
          <cell r="C454">
            <v>9</v>
          </cell>
          <cell r="D454">
            <v>2</v>
          </cell>
          <cell r="E454">
            <v>14400</v>
          </cell>
          <cell r="F454">
            <v>1</v>
          </cell>
          <cell r="G454">
            <v>1</v>
          </cell>
          <cell r="H454" t="str">
            <v>I-15 SB</v>
          </cell>
          <cell r="I454">
            <v>65</v>
          </cell>
          <cell r="J454">
            <v>0</v>
          </cell>
          <cell r="K454" t="str">
            <v>CARROLL CANYON</v>
          </cell>
          <cell r="L454" t="str">
            <v>CARROLL CANYON</v>
          </cell>
          <cell r="M454">
            <v>137103</v>
          </cell>
          <cell r="N454">
            <v>30759</v>
          </cell>
          <cell r="O454">
            <v>28355</v>
          </cell>
          <cell r="P454" t="str">
            <v>PeMS2016</v>
          </cell>
        </row>
        <row r="455">
          <cell r="C455">
            <v>9</v>
          </cell>
          <cell r="D455">
            <v>2</v>
          </cell>
          <cell r="E455">
            <v>14407</v>
          </cell>
          <cell r="F455">
            <v>1</v>
          </cell>
          <cell r="G455">
            <v>1</v>
          </cell>
          <cell r="H455" t="str">
            <v>I-15 SB</v>
          </cell>
          <cell r="I455">
            <v>67</v>
          </cell>
          <cell r="J455">
            <v>0</v>
          </cell>
          <cell r="K455" t="str">
            <v>MIRAMAR</v>
          </cell>
          <cell r="L455" t="str">
            <v>MIRAMAR</v>
          </cell>
          <cell r="M455">
            <v>138163</v>
          </cell>
          <cell r="N455">
            <v>30346</v>
          </cell>
          <cell r="O455">
            <v>29905</v>
          </cell>
          <cell r="P455" t="str">
            <v>PeMS2016</v>
          </cell>
        </row>
        <row r="456">
          <cell r="C456">
            <v>9</v>
          </cell>
          <cell r="D456">
            <v>2</v>
          </cell>
          <cell r="E456">
            <v>14411</v>
          </cell>
          <cell r="F456">
            <v>1</v>
          </cell>
          <cell r="G456">
            <v>1</v>
          </cell>
          <cell r="H456" t="str">
            <v>I-15 SB</v>
          </cell>
          <cell r="I456">
            <v>68</v>
          </cell>
          <cell r="J456">
            <v>0</v>
          </cell>
          <cell r="K456" t="str">
            <v>MIRAMAR</v>
          </cell>
          <cell r="L456" t="str">
            <v>MIRAMAR</v>
          </cell>
          <cell r="M456">
            <v>137099</v>
          </cell>
          <cell r="N456">
            <v>29826</v>
          </cell>
          <cell r="O456">
            <v>29788</v>
          </cell>
          <cell r="P456" t="str">
            <v>PeMS2016</v>
          </cell>
        </row>
        <row r="457">
          <cell r="C457">
            <v>9</v>
          </cell>
          <cell r="D457">
            <v>2</v>
          </cell>
          <cell r="E457">
            <v>14412</v>
          </cell>
          <cell r="F457">
            <v>1</v>
          </cell>
          <cell r="G457">
            <v>1</v>
          </cell>
          <cell r="H457" t="str">
            <v>I-15 SB</v>
          </cell>
          <cell r="I457">
            <v>69</v>
          </cell>
          <cell r="J457">
            <v>0</v>
          </cell>
          <cell r="K457" t="str">
            <v>MIRAMAR</v>
          </cell>
          <cell r="L457" t="str">
            <v>MIRAMAR WAY</v>
          </cell>
          <cell r="M457">
            <v>134942</v>
          </cell>
          <cell r="N457">
            <v>29033</v>
          </cell>
          <cell r="O457">
            <v>28889</v>
          </cell>
          <cell r="P457" t="str">
            <v>PeMS2016</v>
          </cell>
        </row>
        <row r="458">
          <cell r="C458">
            <v>9</v>
          </cell>
          <cell r="D458">
            <v>2</v>
          </cell>
          <cell r="E458">
            <v>14418</v>
          </cell>
          <cell r="F458">
            <v>1</v>
          </cell>
          <cell r="G458">
            <v>1</v>
          </cell>
          <cell r="H458" t="str">
            <v>I-15 SB</v>
          </cell>
          <cell r="I458">
            <v>71</v>
          </cell>
          <cell r="J458">
            <v>0</v>
          </cell>
          <cell r="K458" t="str">
            <v>MIRAMAR WAY</v>
          </cell>
          <cell r="L458" t="str">
            <v>MIRAMAR WAY</v>
          </cell>
          <cell r="M458">
            <v>142219</v>
          </cell>
          <cell r="N458">
            <v>29660</v>
          </cell>
          <cell r="O458">
            <v>30700</v>
          </cell>
          <cell r="P458" t="str">
            <v>PeMS2016</v>
          </cell>
        </row>
        <row r="459">
          <cell r="C459">
            <v>9</v>
          </cell>
          <cell r="D459">
            <v>2</v>
          </cell>
          <cell r="E459">
            <v>14419</v>
          </cell>
          <cell r="F459">
            <v>1</v>
          </cell>
          <cell r="G459">
            <v>1</v>
          </cell>
          <cell r="H459" t="str">
            <v>I-15 SB</v>
          </cell>
          <cell r="I459">
            <v>72</v>
          </cell>
          <cell r="J459">
            <v>0</v>
          </cell>
          <cell r="K459" t="str">
            <v>MIRAMAR WAY</v>
          </cell>
          <cell r="L459" t="str">
            <v>SR-163 SB</v>
          </cell>
          <cell r="M459">
            <v>138713</v>
          </cell>
          <cell r="N459">
            <v>28719</v>
          </cell>
          <cell r="O459">
            <v>28943</v>
          </cell>
          <cell r="P459" t="str">
            <v>PeMS2016</v>
          </cell>
        </row>
        <row r="460">
          <cell r="C460">
            <v>9</v>
          </cell>
          <cell r="D460">
            <v>2</v>
          </cell>
          <cell r="E460">
            <v>8816</v>
          </cell>
          <cell r="F460">
            <v>1</v>
          </cell>
          <cell r="G460">
            <v>1</v>
          </cell>
          <cell r="H460" t="str">
            <v>I-15 SB</v>
          </cell>
          <cell r="I460">
            <v>74</v>
          </cell>
          <cell r="J460">
            <v>0</v>
          </cell>
          <cell r="K460" t="str">
            <v>I-15 HOV SB</v>
          </cell>
          <cell r="L460" t="str">
            <v>SR-52 WB</v>
          </cell>
          <cell r="M460">
            <v>88348</v>
          </cell>
          <cell r="N460">
            <v>18253</v>
          </cell>
          <cell r="O460">
            <v>11716</v>
          </cell>
          <cell r="P460" t="str">
            <v>PeMS2016</v>
          </cell>
        </row>
        <row r="461">
          <cell r="C461">
            <v>9</v>
          </cell>
          <cell r="D461">
            <v>2</v>
          </cell>
          <cell r="E461">
            <v>28899</v>
          </cell>
          <cell r="F461">
            <v>1</v>
          </cell>
          <cell r="G461">
            <v>1</v>
          </cell>
          <cell r="H461" t="str">
            <v>I-15 SB</v>
          </cell>
          <cell r="I461">
            <v>75</v>
          </cell>
          <cell r="J461">
            <v>0</v>
          </cell>
          <cell r="K461" t="str">
            <v>SR-52 WB</v>
          </cell>
          <cell r="L461" t="str">
            <v>SR-52 EB</v>
          </cell>
          <cell r="M461">
            <v>57195</v>
          </cell>
          <cell r="N461">
            <v>11736</v>
          </cell>
          <cell r="O461">
            <v>10958</v>
          </cell>
          <cell r="P461" t="str">
            <v>PeMS2016</v>
          </cell>
        </row>
        <row r="462">
          <cell r="C462">
            <v>9</v>
          </cell>
          <cell r="D462">
            <v>2</v>
          </cell>
          <cell r="E462">
            <v>15196</v>
          </cell>
          <cell r="F462">
            <v>1</v>
          </cell>
          <cell r="G462">
            <v>1</v>
          </cell>
          <cell r="H462" t="str">
            <v>I-15 SB</v>
          </cell>
          <cell r="I462">
            <v>76</v>
          </cell>
          <cell r="J462">
            <v>0</v>
          </cell>
          <cell r="K462" t="str">
            <v>CLAIREMONT MESA</v>
          </cell>
          <cell r="L462" t="str">
            <v>CLAIREMONT MESA</v>
          </cell>
          <cell r="M462">
            <v>137544</v>
          </cell>
          <cell r="N462">
            <v>23781</v>
          </cell>
          <cell r="O462">
            <v>19875</v>
          </cell>
          <cell r="P462" t="str">
            <v>PeMS2016</v>
          </cell>
        </row>
        <row r="463">
          <cell r="C463">
            <v>9</v>
          </cell>
          <cell r="D463">
            <v>2</v>
          </cell>
          <cell r="E463">
            <v>15191</v>
          </cell>
          <cell r="F463">
            <v>1</v>
          </cell>
          <cell r="G463">
            <v>1</v>
          </cell>
          <cell r="H463" t="str">
            <v>I-15 SB</v>
          </cell>
          <cell r="I463">
            <v>77</v>
          </cell>
          <cell r="J463">
            <v>0</v>
          </cell>
          <cell r="K463" t="str">
            <v>CLAIREMONT MESA</v>
          </cell>
          <cell r="L463" t="str">
            <v>BALBOA</v>
          </cell>
          <cell r="M463">
            <v>96872</v>
          </cell>
          <cell r="N463">
            <v>18744</v>
          </cell>
          <cell r="O463">
            <v>21049</v>
          </cell>
          <cell r="P463" t="str">
            <v>PeMS2016</v>
          </cell>
        </row>
        <row r="464">
          <cell r="C464">
            <v>9</v>
          </cell>
          <cell r="D464">
            <v>2</v>
          </cell>
          <cell r="E464">
            <v>9338</v>
          </cell>
          <cell r="F464">
            <v>1</v>
          </cell>
          <cell r="G464">
            <v>1</v>
          </cell>
          <cell r="H464" t="str">
            <v>I-15 SB</v>
          </cell>
          <cell r="I464">
            <v>81</v>
          </cell>
          <cell r="J464">
            <v>0</v>
          </cell>
          <cell r="K464" t="str">
            <v>BALBOA</v>
          </cell>
          <cell r="L464" t="str">
            <v>AERO</v>
          </cell>
          <cell r="M464">
            <v>105713</v>
          </cell>
          <cell r="N464">
            <v>17744</v>
          </cell>
          <cell r="O464">
            <v>26635</v>
          </cell>
          <cell r="P464" t="str">
            <v>PeMS2016</v>
          </cell>
        </row>
        <row r="465">
          <cell r="C465">
            <v>9</v>
          </cell>
          <cell r="D465">
            <v>2</v>
          </cell>
          <cell r="E465">
            <v>9335</v>
          </cell>
          <cell r="F465">
            <v>1</v>
          </cell>
          <cell r="G465">
            <v>1</v>
          </cell>
          <cell r="H465" t="str">
            <v>I-15 SB</v>
          </cell>
          <cell r="I465">
            <v>82</v>
          </cell>
          <cell r="J465">
            <v>0</v>
          </cell>
          <cell r="K465" t="str">
            <v>AERO</v>
          </cell>
          <cell r="L465" t="str">
            <v>AERO</v>
          </cell>
          <cell r="M465">
            <v>99221</v>
          </cell>
          <cell r="N465">
            <v>16458</v>
          </cell>
          <cell r="O465">
            <v>26697</v>
          </cell>
          <cell r="P465" t="str">
            <v>PeMS2016</v>
          </cell>
        </row>
        <row r="466">
          <cell r="C466">
            <v>9</v>
          </cell>
          <cell r="D466">
            <v>2</v>
          </cell>
          <cell r="E466">
            <v>9330</v>
          </cell>
          <cell r="F466">
            <v>1</v>
          </cell>
          <cell r="G466">
            <v>1</v>
          </cell>
          <cell r="H466" t="str">
            <v>I-15 SB</v>
          </cell>
          <cell r="I466">
            <v>83</v>
          </cell>
          <cell r="J466">
            <v>0</v>
          </cell>
          <cell r="K466" t="str">
            <v>STONECREST</v>
          </cell>
          <cell r="L466" t="str">
            <v>STONECREST</v>
          </cell>
          <cell r="M466">
            <v>111869</v>
          </cell>
          <cell r="N466">
            <v>17708</v>
          </cell>
          <cell r="O466">
            <v>29803</v>
          </cell>
          <cell r="P466" t="str">
            <v>PeMS2016</v>
          </cell>
        </row>
        <row r="467">
          <cell r="C467">
            <v>9</v>
          </cell>
          <cell r="D467">
            <v>2</v>
          </cell>
          <cell r="E467">
            <v>15768</v>
          </cell>
          <cell r="F467">
            <v>1</v>
          </cell>
          <cell r="G467">
            <v>1</v>
          </cell>
          <cell r="H467" t="str">
            <v>I-15 SB</v>
          </cell>
          <cell r="I467">
            <v>85</v>
          </cell>
          <cell r="J467">
            <v>0</v>
          </cell>
          <cell r="K467" t="str">
            <v>FRIARS</v>
          </cell>
          <cell r="L467" t="str">
            <v>FRIARS</v>
          </cell>
          <cell r="M467">
            <v>102926</v>
          </cell>
          <cell r="N467">
            <v>15298</v>
          </cell>
          <cell r="O467">
            <v>28304</v>
          </cell>
          <cell r="P467" t="str">
            <v>PeMS2016</v>
          </cell>
        </row>
        <row r="468">
          <cell r="C468">
            <v>9</v>
          </cell>
          <cell r="D468">
            <v>2</v>
          </cell>
          <cell r="E468">
            <v>16570</v>
          </cell>
          <cell r="F468">
            <v>1</v>
          </cell>
          <cell r="G468">
            <v>1</v>
          </cell>
          <cell r="H468" t="str">
            <v>I-15 SB</v>
          </cell>
          <cell r="I468">
            <v>86</v>
          </cell>
          <cell r="J468">
            <v>0</v>
          </cell>
          <cell r="K468" t="str">
            <v>FRIARS</v>
          </cell>
          <cell r="L468" t="str">
            <v>I-8 WB</v>
          </cell>
          <cell r="M468">
            <v>116277</v>
          </cell>
          <cell r="N468">
            <v>17069</v>
          </cell>
          <cell r="O468">
            <v>30787</v>
          </cell>
          <cell r="P468" t="str">
            <v>Caltran</v>
          </cell>
        </row>
        <row r="469">
          <cell r="C469">
            <v>9</v>
          </cell>
          <cell r="D469">
            <v>2</v>
          </cell>
          <cell r="E469">
            <v>16761</v>
          </cell>
          <cell r="F469">
            <v>1</v>
          </cell>
          <cell r="G469">
            <v>1</v>
          </cell>
          <cell r="H469" t="str">
            <v>I-15 SB</v>
          </cell>
          <cell r="I469">
            <v>90</v>
          </cell>
          <cell r="J469">
            <v>0</v>
          </cell>
          <cell r="K469" t="str">
            <v>I-8 WB</v>
          </cell>
          <cell r="L469" t="str">
            <v>I-8 WB</v>
          </cell>
          <cell r="M469">
            <v>68086</v>
          </cell>
          <cell r="N469">
            <v>8156</v>
          </cell>
          <cell r="O469">
            <v>17524</v>
          </cell>
          <cell r="P469" t="str">
            <v>PeMS2016</v>
          </cell>
        </row>
        <row r="470">
          <cell r="C470">
            <v>9</v>
          </cell>
          <cell r="D470">
            <v>2</v>
          </cell>
          <cell r="E470">
            <v>8933</v>
          </cell>
          <cell r="F470">
            <v>1</v>
          </cell>
          <cell r="G470">
            <v>1</v>
          </cell>
          <cell r="H470" t="str">
            <v>I-15 SB</v>
          </cell>
          <cell r="I470">
            <v>93</v>
          </cell>
          <cell r="J470">
            <v>0</v>
          </cell>
          <cell r="K470" t="str">
            <v>I-8 EB</v>
          </cell>
          <cell r="L470" t="str">
            <v>ADAMS</v>
          </cell>
          <cell r="M470">
            <v>94969</v>
          </cell>
          <cell r="N470">
            <v>13031</v>
          </cell>
          <cell r="O470">
            <v>25927</v>
          </cell>
          <cell r="P470" t="str">
            <v>Caltran</v>
          </cell>
        </row>
        <row r="471">
          <cell r="C471">
            <v>9</v>
          </cell>
          <cell r="D471">
            <v>2</v>
          </cell>
          <cell r="E471">
            <v>8968</v>
          </cell>
          <cell r="F471">
            <v>1</v>
          </cell>
          <cell r="G471">
            <v>1</v>
          </cell>
          <cell r="H471" t="str">
            <v>I-15 SB</v>
          </cell>
          <cell r="I471">
            <v>95</v>
          </cell>
          <cell r="J471">
            <v>0</v>
          </cell>
          <cell r="K471" t="str">
            <v>ADAMS</v>
          </cell>
          <cell r="L471" t="str">
            <v>ADAMS</v>
          </cell>
          <cell r="M471">
            <v>83293</v>
          </cell>
          <cell r="N471">
            <v>10559</v>
          </cell>
          <cell r="O471">
            <v>21780</v>
          </cell>
          <cell r="P471" t="str">
            <v>PeMS2016</v>
          </cell>
        </row>
        <row r="472">
          <cell r="C472">
            <v>9</v>
          </cell>
          <cell r="D472">
            <v>2</v>
          </cell>
          <cell r="E472">
            <v>20463</v>
          </cell>
          <cell r="F472">
            <v>1</v>
          </cell>
          <cell r="G472">
            <v>1</v>
          </cell>
          <cell r="H472" t="str">
            <v>I-15 SB</v>
          </cell>
          <cell r="I472">
            <v>3</v>
          </cell>
          <cell r="J472">
            <v>0</v>
          </cell>
          <cell r="K472" t="str">
            <v>EL CAJON</v>
          </cell>
          <cell r="L472" t="str">
            <v>UNIVERSITY</v>
          </cell>
          <cell r="M472">
            <v>81259</v>
          </cell>
          <cell r="N472">
            <v>11204</v>
          </cell>
          <cell r="O472">
            <v>20069</v>
          </cell>
          <cell r="P472" t="str">
            <v>PeMS2016</v>
          </cell>
        </row>
        <row r="473">
          <cell r="C473">
            <v>9</v>
          </cell>
          <cell r="D473">
            <v>2</v>
          </cell>
          <cell r="E473">
            <v>8955</v>
          </cell>
          <cell r="F473">
            <v>1</v>
          </cell>
          <cell r="G473">
            <v>1</v>
          </cell>
          <cell r="H473" t="str">
            <v>I-15 SB</v>
          </cell>
          <cell r="I473">
            <v>4</v>
          </cell>
          <cell r="J473">
            <v>0</v>
          </cell>
          <cell r="L473" t="str">
            <v>UNIVERSITY</v>
          </cell>
          <cell r="M473">
            <v>77054</v>
          </cell>
          <cell r="N473">
            <v>11984</v>
          </cell>
          <cell r="O473">
            <v>16611</v>
          </cell>
          <cell r="P473" t="str">
            <v>PeMS2016</v>
          </cell>
        </row>
        <row r="474">
          <cell r="C474">
            <v>9</v>
          </cell>
          <cell r="D474">
            <v>2</v>
          </cell>
          <cell r="E474">
            <v>8938</v>
          </cell>
          <cell r="F474">
            <v>1</v>
          </cell>
          <cell r="G474">
            <v>1</v>
          </cell>
          <cell r="H474" t="str">
            <v>I-15 SB</v>
          </cell>
          <cell r="I474">
            <v>6</v>
          </cell>
          <cell r="J474">
            <v>0</v>
          </cell>
          <cell r="K474" t="str">
            <v>40TH</v>
          </cell>
          <cell r="L474" t="str">
            <v>I-805 SB</v>
          </cell>
          <cell r="M474">
            <v>88930</v>
          </cell>
          <cell r="N474">
            <v>14586</v>
          </cell>
          <cell r="O474">
            <v>21035</v>
          </cell>
          <cell r="P474" t="str">
            <v>PeMS2016</v>
          </cell>
        </row>
        <row r="475">
          <cell r="C475">
            <v>9</v>
          </cell>
          <cell r="D475">
            <v>2</v>
          </cell>
          <cell r="E475">
            <v>22757</v>
          </cell>
          <cell r="F475">
            <v>1</v>
          </cell>
          <cell r="G475">
            <v>1</v>
          </cell>
          <cell r="H475" t="str">
            <v>I-15 SB</v>
          </cell>
          <cell r="I475">
            <v>7</v>
          </cell>
          <cell r="J475">
            <v>0</v>
          </cell>
          <cell r="K475" t="str">
            <v>I-805 SB</v>
          </cell>
          <cell r="L475" t="str">
            <v>I-805 SB</v>
          </cell>
          <cell r="M475">
            <v>48179</v>
          </cell>
          <cell r="N475">
            <v>8641</v>
          </cell>
          <cell r="O475">
            <v>13241</v>
          </cell>
          <cell r="P475" t="str">
            <v>PeMS2016</v>
          </cell>
        </row>
        <row r="476">
          <cell r="C476">
            <v>9</v>
          </cell>
          <cell r="D476">
            <v>2</v>
          </cell>
          <cell r="E476">
            <v>15917</v>
          </cell>
          <cell r="F476">
            <v>1</v>
          </cell>
          <cell r="G476">
            <v>1</v>
          </cell>
          <cell r="H476" t="str">
            <v>I-15 SB</v>
          </cell>
          <cell r="I476">
            <v>8</v>
          </cell>
          <cell r="J476">
            <v>0</v>
          </cell>
          <cell r="K476" t="str">
            <v>I-805 SB</v>
          </cell>
          <cell r="L476" t="str">
            <v>I-805 SB</v>
          </cell>
          <cell r="M476">
            <v>48179</v>
          </cell>
          <cell r="N476">
            <v>8641</v>
          </cell>
          <cell r="O476">
            <v>13241</v>
          </cell>
          <cell r="P476" t="str">
            <v>PeMS2016</v>
          </cell>
        </row>
        <row r="477">
          <cell r="C477">
            <v>9</v>
          </cell>
          <cell r="D477">
            <v>2</v>
          </cell>
          <cell r="E477">
            <v>15914</v>
          </cell>
          <cell r="F477">
            <v>1</v>
          </cell>
          <cell r="G477">
            <v>1</v>
          </cell>
          <cell r="H477" t="str">
            <v>I-15 SB</v>
          </cell>
          <cell r="I477">
            <v>9</v>
          </cell>
          <cell r="J477">
            <v>0</v>
          </cell>
          <cell r="K477" t="str">
            <v>I-805 SB</v>
          </cell>
          <cell r="L477" t="str">
            <v>SR-94 WB</v>
          </cell>
          <cell r="M477">
            <v>66181</v>
          </cell>
          <cell r="N477">
            <v>11093</v>
          </cell>
          <cell r="O477">
            <v>17883</v>
          </cell>
          <cell r="P477" t="str">
            <v>PeMS2016</v>
          </cell>
        </row>
        <row r="478">
          <cell r="C478">
            <v>9</v>
          </cell>
          <cell r="D478">
            <v>2</v>
          </cell>
          <cell r="E478">
            <v>1173</v>
          </cell>
          <cell r="F478">
            <v>1</v>
          </cell>
          <cell r="G478">
            <v>1</v>
          </cell>
          <cell r="H478" t="str">
            <v>I-15 SB</v>
          </cell>
          <cell r="I478">
            <v>12</v>
          </cell>
          <cell r="J478">
            <v>0</v>
          </cell>
          <cell r="K478" t="str">
            <v>SR-94 EB</v>
          </cell>
          <cell r="L478" t="str">
            <v>MARKET</v>
          </cell>
          <cell r="M478">
            <v>72413</v>
          </cell>
          <cell r="N478">
            <v>13055</v>
          </cell>
          <cell r="O478">
            <v>17864</v>
          </cell>
          <cell r="P478" t="str">
            <v>Caltran</v>
          </cell>
        </row>
        <row r="479">
          <cell r="C479">
            <v>9</v>
          </cell>
          <cell r="D479">
            <v>2</v>
          </cell>
          <cell r="E479">
            <v>28417</v>
          </cell>
          <cell r="F479">
            <v>1</v>
          </cell>
          <cell r="G479">
            <v>1</v>
          </cell>
          <cell r="H479" t="str">
            <v>I-15 SB</v>
          </cell>
          <cell r="I479">
            <v>16</v>
          </cell>
          <cell r="J479">
            <v>0</v>
          </cell>
          <cell r="K479" t="str">
            <v>IMPERIAL</v>
          </cell>
          <cell r="L479" t="str">
            <v>IMPERIAL</v>
          </cell>
          <cell r="M479">
            <v>69122</v>
          </cell>
          <cell r="N479">
            <v>12645</v>
          </cell>
          <cell r="O479">
            <v>16528</v>
          </cell>
          <cell r="P479" t="str">
            <v>PeMS2016</v>
          </cell>
        </row>
        <row r="480">
          <cell r="C480">
            <v>9</v>
          </cell>
          <cell r="D480">
            <v>2</v>
          </cell>
          <cell r="E480">
            <v>579</v>
          </cell>
          <cell r="F480">
            <v>1</v>
          </cell>
          <cell r="G480">
            <v>1</v>
          </cell>
          <cell r="H480" t="str">
            <v>I-15 SB</v>
          </cell>
          <cell r="I480">
            <v>18</v>
          </cell>
          <cell r="J480">
            <v>0</v>
          </cell>
          <cell r="K480" t="str">
            <v>OCEAN VIEW</v>
          </cell>
          <cell r="L480" t="str">
            <v>I-5 SB</v>
          </cell>
          <cell r="M480">
            <v>60014</v>
          </cell>
          <cell r="N480">
            <v>10965</v>
          </cell>
          <cell r="O480">
            <v>14033</v>
          </cell>
          <cell r="P480" t="str">
            <v>Caltran</v>
          </cell>
        </row>
        <row r="481">
          <cell r="C481">
            <v>32</v>
          </cell>
          <cell r="D481">
            <v>2</v>
          </cell>
          <cell r="E481">
            <v>29587</v>
          </cell>
          <cell r="F481">
            <v>1</v>
          </cell>
          <cell r="G481">
            <v>2</v>
          </cell>
          <cell r="H481" t="str">
            <v>I-5 HOV SB</v>
          </cell>
          <cell r="I481">
            <v>21</v>
          </cell>
          <cell r="J481">
            <v>1</v>
          </cell>
          <cell r="K481" t="str">
            <v>LOMAS SANTA FE</v>
          </cell>
          <cell r="L481" t="str">
            <v>LOMAS SANTA FE</v>
          </cell>
          <cell r="M481">
            <v>8922</v>
          </cell>
          <cell r="N481">
            <v>1671</v>
          </cell>
          <cell r="O481">
            <v>2055</v>
          </cell>
          <cell r="P481" t="str">
            <v>PeMS2016</v>
          </cell>
        </row>
        <row r="482">
          <cell r="C482">
            <v>32</v>
          </cell>
          <cell r="D482">
            <v>2</v>
          </cell>
          <cell r="E482">
            <v>29575</v>
          </cell>
          <cell r="F482">
            <v>1</v>
          </cell>
          <cell r="G482">
            <v>2</v>
          </cell>
          <cell r="H482" t="str">
            <v>I-5 HOV SB</v>
          </cell>
          <cell r="I482">
            <v>22</v>
          </cell>
          <cell r="J482">
            <v>1</v>
          </cell>
          <cell r="K482" t="str">
            <v>VIA DE LA VALLE</v>
          </cell>
          <cell r="L482" t="str">
            <v>VIA DE LA VALLE</v>
          </cell>
          <cell r="M482">
            <v>10075</v>
          </cell>
          <cell r="N482">
            <v>1821</v>
          </cell>
          <cell r="O482">
            <v>2260</v>
          </cell>
          <cell r="P482" t="str">
            <v>PeMS2016</v>
          </cell>
        </row>
        <row r="483">
          <cell r="C483">
            <v>32</v>
          </cell>
          <cell r="D483">
            <v>2</v>
          </cell>
          <cell r="E483">
            <v>29577</v>
          </cell>
          <cell r="F483">
            <v>1</v>
          </cell>
          <cell r="G483">
            <v>2</v>
          </cell>
          <cell r="H483" t="str">
            <v>I-5 HOV SB</v>
          </cell>
          <cell r="I483">
            <v>23</v>
          </cell>
          <cell r="J483">
            <v>0</v>
          </cell>
          <cell r="K483" t="str">
            <v>VIA DE LA VALLE</v>
          </cell>
          <cell r="L483" t="str">
            <v>VIA DE LA VALLE</v>
          </cell>
          <cell r="M483">
            <v>9294</v>
          </cell>
          <cell r="N483">
            <v>1676</v>
          </cell>
          <cell r="O483">
            <v>2152</v>
          </cell>
          <cell r="P483" t="str">
            <v>PeMS2016</v>
          </cell>
        </row>
        <row r="484">
          <cell r="C484">
            <v>32</v>
          </cell>
          <cell r="D484">
            <v>2</v>
          </cell>
          <cell r="E484">
            <v>29573</v>
          </cell>
          <cell r="F484">
            <v>1</v>
          </cell>
          <cell r="G484">
            <v>2</v>
          </cell>
          <cell r="H484" t="str">
            <v>I-5 HOV SB</v>
          </cell>
          <cell r="I484">
            <v>24</v>
          </cell>
          <cell r="J484">
            <v>0</v>
          </cell>
          <cell r="K484" t="str">
            <v>CARMEL VALLEY</v>
          </cell>
          <cell r="L484" t="str">
            <v>CARMEL VALLEY</v>
          </cell>
          <cell r="M484">
            <v>11704</v>
          </cell>
          <cell r="N484">
            <v>2095</v>
          </cell>
          <cell r="O484">
            <v>2478</v>
          </cell>
          <cell r="P484" t="str">
            <v>PeMS2016</v>
          </cell>
        </row>
        <row r="485">
          <cell r="C485">
            <v>8</v>
          </cell>
          <cell r="D485">
            <v>2</v>
          </cell>
          <cell r="E485">
            <v>27520</v>
          </cell>
          <cell r="F485">
            <v>1</v>
          </cell>
          <cell r="G485">
            <v>1</v>
          </cell>
          <cell r="H485" t="str">
            <v>I-5 SB</v>
          </cell>
          <cell r="I485">
            <v>6</v>
          </cell>
          <cell r="J485">
            <v>8</v>
          </cell>
          <cell r="K485" t="str">
            <v>BASILONE</v>
          </cell>
          <cell r="L485" t="str">
            <v>LAS PULGAS</v>
          </cell>
          <cell r="M485">
            <v>70400</v>
          </cell>
          <cell r="N485">
            <v>12405</v>
          </cell>
          <cell r="O485">
            <v>12732</v>
          </cell>
          <cell r="P485" t="str">
            <v>PeMS2016</v>
          </cell>
        </row>
        <row r="486">
          <cell r="C486">
            <v>8</v>
          </cell>
          <cell r="D486">
            <v>2</v>
          </cell>
          <cell r="E486">
            <v>27598</v>
          </cell>
          <cell r="F486">
            <v>1</v>
          </cell>
          <cell r="G486">
            <v>1</v>
          </cell>
          <cell r="H486" t="str">
            <v>I-5 SB</v>
          </cell>
          <cell r="I486">
            <v>8</v>
          </cell>
          <cell r="J486">
            <v>7</v>
          </cell>
          <cell r="K486" t="str">
            <v>LAS PULGAS</v>
          </cell>
          <cell r="L486" t="str">
            <v>VANDEGRIFT</v>
          </cell>
          <cell r="M486">
            <v>54384</v>
          </cell>
          <cell r="N486">
            <v>7168</v>
          </cell>
          <cell r="O486">
            <v>12591</v>
          </cell>
          <cell r="P486" t="str">
            <v>PeMS2016</v>
          </cell>
        </row>
        <row r="487">
          <cell r="C487">
            <v>8</v>
          </cell>
          <cell r="D487">
            <v>2</v>
          </cell>
          <cell r="E487">
            <v>26623</v>
          </cell>
          <cell r="F487">
            <v>1</v>
          </cell>
          <cell r="G487">
            <v>1</v>
          </cell>
          <cell r="H487" t="str">
            <v>I-5 SB</v>
          </cell>
          <cell r="I487">
            <v>9</v>
          </cell>
          <cell r="J487">
            <v>0</v>
          </cell>
          <cell r="K487" t="str">
            <v>VANDEGRIFT</v>
          </cell>
          <cell r="L487" t="str">
            <v>VANDEGRIFT</v>
          </cell>
          <cell r="M487">
            <v>63309</v>
          </cell>
          <cell r="N487">
            <v>8192</v>
          </cell>
          <cell r="O487">
            <v>14449</v>
          </cell>
          <cell r="P487" t="str">
            <v>PeMS2016</v>
          </cell>
        </row>
        <row r="488">
          <cell r="C488">
            <v>8</v>
          </cell>
          <cell r="D488">
            <v>2</v>
          </cell>
          <cell r="E488">
            <v>28515</v>
          </cell>
          <cell r="F488">
            <v>1</v>
          </cell>
          <cell r="G488">
            <v>1</v>
          </cell>
          <cell r="H488" t="str">
            <v>I-5 SB</v>
          </cell>
          <cell r="I488">
            <v>12</v>
          </cell>
          <cell r="J488">
            <v>0</v>
          </cell>
          <cell r="K488" t="str">
            <v>SR-76</v>
          </cell>
          <cell r="L488" t="str">
            <v>SR-76</v>
          </cell>
          <cell r="M488">
            <v>68617</v>
          </cell>
          <cell r="N488">
            <v>9270</v>
          </cell>
          <cell r="O488">
            <v>15983</v>
          </cell>
          <cell r="P488" t="str">
            <v>PeMS2016</v>
          </cell>
        </row>
        <row r="489">
          <cell r="C489">
            <v>8</v>
          </cell>
          <cell r="D489">
            <v>2</v>
          </cell>
          <cell r="E489">
            <v>28490</v>
          </cell>
          <cell r="F489">
            <v>1</v>
          </cell>
          <cell r="G489">
            <v>1</v>
          </cell>
          <cell r="H489" t="str">
            <v>I-5 SB</v>
          </cell>
          <cell r="I489">
            <v>13</v>
          </cell>
          <cell r="J489">
            <v>0</v>
          </cell>
          <cell r="K489" t="str">
            <v>SR-76</v>
          </cell>
          <cell r="L489" t="str">
            <v>MISSION</v>
          </cell>
          <cell r="M489">
            <v>86225</v>
          </cell>
          <cell r="N489">
            <v>12802</v>
          </cell>
          <cell r="O489">
            <v>19293</v>
          </cell>
          <cell r="P489" t="str">
            <v>Caltran</v>
          </cell>
        </row>
        <row r="490">
          <cell r="C490">
            <v>8</v>
          </cell>
          <cell r="D490">
            <v>2</v>
          </cell>
          <cell r="E490">
            <v>28493</v>
          </cell>
          <cell r="F490">
            <v>1</v>
          </cell>
          <cell r="G490">
            <v>1</v>
          </cell>
          <cell r="H490" t="str">
            <v>I-5 SB</v>
          </cell>
          <cell r="I490">
            <v>14</v>
          </cell>
          <cell r="J490">
            <v>0</v>
          </cell>
          <cell r="K490" t="str">
            <v>MISSION</v>
          </cell>
          <cell r="L490" t="str">
            <v>MISSION</v>
          </cell>
          <cell r="M490">
            <v>81917</v>
          </cell>
          <cell r="N490">
            <v>12629</v>
          </cell>
          <cell r="O490">
            <v>18019</v>
          </cell>
          <cell r="P490" t="str">
            <v>PeMS2016</v>
          </cell>
        </row>
        <row r="491">
          <cell r="C491">
            <v>8</v>
          </cell>
          <cell r="D491">
            <v>2</v>
          </cell>
          <cell r="E491">
            <v>26562</v>
          </cell>
          <cell r="F491">
            <v>1</v>
          </cell>
          <cell r="G491">
            <v>1</v>
          </cell>
          <cell r="H491" t="str">
            <v>I-5 SB</v>
          </cell>
          <cell r="I491">
            <v>17</v>
          </cell>
          <cell r="J491">
            <v>0</v>
          </cell>
          <cell r="K491" t="str">
            <v>OCEANSIDE</v>
          </cell>
          <cell r="L491" t="str">
            <v>OCEANSIDE</v>
          </cell>
          <cell r="M491">
            <v>88515</v>
          </cell>
          <cell r="N491">
            <v>14332</v>
          </cell>
          <cell r="O491">
            <v>19014</v>
          </cell>
          <cell r="P491" t="str">
            <v>PeMS2016</v>
          </cell>
        </row>
        <row r="492">
          <cell r="C492">
            <v>8</v>
          </cell>
          <cell r="D492">
            <v>2</v>
          </cell>
          <cell r="E492">
            <v>12247</v>
          </cell>
          <cell r="F492">
            <v>1</v>
          </cell>
          <cell r="G492">
            <v>1</v>
          </cell>
          <cell r="H492" t="str">
            <v>I-5 SB</v>
          </cell>
          <cell r="I492">
            <v>20</v>
          </cell>
          <cell r="J492">
            <v>0</v>
          </cell>
          <cell r="K492" t="str">
            <v>RAMP</v>
          </cell>
          <cell r="L492" t="str">
            <v>CASSIDY</v>
          </cell>
          <cell r="M492">
            <v>98586</v>
          </cell>
          <cell r="N492">
            <v>16650</v>
          </cell>
          <cell r="O492">
            <v>20955</v>
          </cell>
          <cell r="P492" t="str">
            <v>PeMS2016</v>
          </cell>
        </row>
        <row r="493">
          <cell r="C493">
            <v>8</v>
          </cell>
          <cell r="D493">
            <v>2</v>
          </cell>
          <cell r="E493">
            <v>9025</v>
          </cell>
          <cell r="F493">
            <v>1</v>
          </cell>
          <cell r="G493">
            <v>1</v>
          </cell>
          <cell r="H493" t="str">
            <v>I-5 SB</v>
          </cell>
          <cell r="I493">
            <v>21</v>
          </cell>
          <cell r="J493">
            <v>0</v>
          </cell>
          <cell r="K493" t="str">
            <v>CASSIDY</v>
          </cell>
          <cell r="L493" t="str">
            <v>VISTA WY</v>
          </cell>
          <cell r="M493">
            <v>102699</v>
          </cell>
          <cell r="N493">
            <v>17176</v>
          </cell>
          <cell r="O493">
            <v>21835</v>
          </cell>
          <cell r="P493" t="str">
            <v>Caltran</v>
          </cell>
        </row>
        <row r="494">
          <cell r="C494">
            <v>8</v>
          </cell>
          <cell r="D494">
            <v>2</v>
          </cell>
          <cell r="E494">
            <v>12589</v>
          </cell>
          <cell r="F494">
            <v>1</v>
          </cell>
          <cell r="G494">
            <v>1</v>
          </cell>
          <cell r="H494" t="str">
            <v>I-5 SB</v>
          </cell>
          <cell r="I494">
            <v>25</v>
          </cell>
          <cell r="J494">
            <v>0</v>
          </cell>
          <cell r="K494" t="str">
            <v>LAS FLORES</v>
          </cell>
          <cell r="L494" t="str">
            <v>LAS FLORES</v>
          </cell>
          <cell r="M494">
            <v>96391</v>
          </cell>
          <cell r="N494">
            <v>18320</v>
          </cell>
          <cell r="O494">
            <v>18413</v>
          </cell>
          <cell r="P494" t="str">
            <v>PeMS2016</v>
          </cell>
        </row>
        <row r="495">
          <cell r="C495">
            <v>8</v>
          </cell>
          <cell r="D495">
            <v>2</v>
          </cell>
          <cell r="E495">
            <v>12583</v>
          </cell>
          <cell r="F495">
            <v>1</v>
          </cell>
          <cell r="G495">
            <v>1</v>
          </cell>
          <cell r="H495" t="str">
            <v>I-5 SB</v>
          </cell>
          <cell r="I495">
            <v>27</v>
          </cell>
          <cell r="J495">
            <v>0</v>
          </cell>
          <cell r="K495" t="str">
            <v>CARLSBAD VILLAGE</v>
          </cell>
          <cell r="L495" t="str">
            <v>CARLSBAD VILLAGE</v>
          </cell>
          <cell r="M495">
            <v>90080</v>
          </cell>
          <cell r="N495">
            <v>17547</v>
          </cell>
          <cell r="O495">
            <v>16727</v>
          </cell>
          <cell r="P495" t="str">
            <v>PeMS2016</v>
          </cell>
        </row>
        <row r="496">
          <cell r="C496">
            <v>8</v>
          </cell>
          <cell r="D496">
            <v>2</v>
          </cell>
          <cell r="E496">
            <v>26563</v>
          </cell>
          <cell r="F496">
            <v>1</v>
          </cell>
          <cell r="G496">
            <v>1</v>
          </cell>
          <cell r="H496" t="str">
            <v>I-5 SB</v>
          </cell>
          <cell r="I496">
            <v>29</v>
          </cell>
          <cell r="J496">
            <v>0</v>
          </cell>
          <cell r="K496" t="str">
            <v>TAMARACK</v>
          </cell>
          <cell r="L496" t="str">
            <v>TAMARACK</v>
          </cell>
          <cell r="M496">
            <v>94615</v>
          </cell>
          <cell r="N496">
            <v>18558</v>
          </cell>
          <cell r="O496">
            <v>17492</v>
          </cell>
          <cell r="P496" t="str">
            <v>PeMS2016</v>
          </cell>
        </row>
        <row r="497">
          <cell r="C497">
            <v>8</v>
          </cell>
          <cell r="D497">
            <v>2</v>
          </cell>
          <cell r="E497">
            <v>675</v>
          </cell>
          <cell r="F497">
            <v>1</v>
          </cell>
          <cell r="G497">
            <v>1</v>
          </cell>
          <cell r="H497" t="str">
            <v>I-5 SB</v>
          </cell>
          <cell r="I497">
            <v>30</v>
          </cell>
          <cell r="J497">
            <v>0</v>
          </cell>
          <cell r="K497" t="str">
            <v>TAMARACK</v>
          </cell>
          <cell r="L497" t="str">
            <v>TAMARACK</v>
          </cell>
          <cell r="M497">
            <v>99844</v>
          </cell>
          <cell r="N497">
            <v>19790</v>
          </cell>
          <cell r="O497">
            <v>18707</v>
          </cell>
          <cell r="P497" t="str">
            <v>Caltran</v>
          </cell>
        </row>
        <row r="498">
          <cell r="C498">
            <v>8</v>
          </cell>
          <cell r="D498">
            <v>2</v>
          </cell>
          <cell r="E498">
            <v>674</v>
          </cell>
          <cell r="F498">
            <v>1</v>
          </cell>
          <cell r="G498">
            <v>1</v>
          </cell>
          <cell r="H498" t="str">
            <v>I-5 SB</v>
          </cell>
          <cell r="I498">
            <v>32</v>
          </cell>
          <cell r="J498">
            <v>0</v>
          </cell>
          <cell r="K498" t="str">
            <v>CANNON</v>
          </cell>
          <cell r="L498" t="str">
            <v>CANNON</v>
          </cell>
          <cell r="M498">
            <v>92809</v>
          </cell>
          <cell r="N498">
            <v>17741</v>
          </cell>
          <cell r="O498">
            <v>17352</v>
          </cell>
          <cell r="P498" t="str">
            <v>PeMS2016</v>
          </cell>
        </row>
        <row r="499">
          <cell r="C499">
            <v>8</v>
          </cell>
          <cell r="D499">
            <v>2</v>
          </cell>
          <cell r="E499">
            <v>13273</v>
          </cell>
          <cell r="F499">
            <v>1</v>
          </cell>
          <cell r="G499">
            <v>1</v>
          </cell>
          <cell r="H499" t="str">
            <v>I-5 SB</v>
          </cell>
          <cell r="I499">
            <v>34</v>
          </cell>
          <cell r="J499">
            <v>0</v>
          </cell>
          <cell r="K499" t="str">
            <v>PALOMAR AIRPORT</v>
          </cell>
          <cell r="L499" t="str">
            <v>PALOMAR AIRPORT</v>
          </cell>
          <cell r="M499">
            <v>84304</v>
          </cell>
          <cell r="N499">
            <v>15421</v>
          </cell>
          <cell r="O499">
            <v>16127</v>
          </cell>
          <cell r="P499" t="str">
            <v>PeMS2016</v>
          </cell>
        </row>
        <row r="500">
          <cell r="C500">
            <v>8</v>
          </cell>
          <cell r="D500">
            <v>2</v>
          </cell>
          <cell r="E500">
            <v>13282</v>
          </cell>
          <cell r="F500">
            <v>1</v>
          </cell>
          <cell r="G500">
            <v>1</v>
          </cell>
          <cell r="H500" t="str">
            <v>I-5 SB</v>
          </cell>
          <cell r="I500">
            <v>36</v>
          </cell>
          <cell r="J500">
            <v>0</v>
          </cell>
          <cell r="K500" t="str">
            <v>PALOMAR AIRPORT</v>
          </cell>
          <cell r="L500" t="str">
            <v>POINSETTIA</v>
          </cell>
          <cell r="M500">
            <v>95358</v>
          </cell>
          <cell r="N500">
            <v>15741</v>
          </cell>
          <cell r="O500">
            <v>19768</v>
          </cell>
          <cell r="P500" t="str">
            <v>PeMS2016</v>
          </cell>
        </row>
        <row r="501">
          <cell r="C501">
            <v>8</v>
          </cell>
          <cell r="D501">
            <v>2</v>
          </cell>
          <cell r="E501">
            <v>8771</v>
          </cell>
          <cell r="F501">
            <v>1</v>
          </cell>
          <cell r="G501">
            <v>1</v>
          </cell>
          <cell r="H501" t="str">
            <v>I-5 SB</v>
          </cell>
          <cell r="I501">
            <v>39</v>
          </cell>
          <cell r="J501">
            <v>0</v>
          </cell>
          <cell r="K501" t="str">
            <v>POINSETTIA</v>
          </cell>
          <cell r="L501" t="str">
            <v>LA COSTA</v>
          </cell>
          <cell r="M501">
            <v>92586</v>
          </cell>
          <cell r="N501">
            <v>15031</v>
          </cell>
          <cell r="O501">
            <v>19695</v>
          </cell>
          <cell r="P501" t="str">
            <v>PeMS2016</v>
          </cell>
        </row>
        <row r="502">
          <cell r="C502">
            <v>8</v>
          </cell>
          <cell r="D502">
            <v>2</v>
          </cell>
          <cell r="E502">
            <v>1250</v>
          </cell>
          <cell r="F502">
            <v>1</v>
          </cell>
          <cell r="G502">
            <v>1</v>
          </cell>
          <cell r="H502" t="str">
            <v>I-5 SB</v>
          </cell>
          <cell r="I502">
            <v>41</v>
          </cell>
          <cell r="J502">
            <v>0</v>
          </cell>
          <cell r="K502" t="str">
            <v>LA COSTA</v>
          </cell>
          <cell r="L502" t="str">
            <v>LEUCADIA</v>
          </cell>
          <cell r="M502">
            <v>89683</v>
          </cell>
          <cell r="N502">
            <v>14251</v>
          </cell>
          <cell r="O502">
            <v>18732</v>
          </cell>
          <cell r="P502" t="str">
            <v>PeMS2016</v>
          </cell>
        </row>
        <row r="503">
          <cell r="C503">
            <v>8</v>
          </cell>
          <cell r="D503">
            <v>2</v>
          </cell>
          <cell r="E503">
            <v>8772</v>
          </cell>
          <cell r="F503">
            <v>1</v>
          </cell>
          <cell r="G503">
            <v>1</v>
          </cell>
          <cell r="H503" t="str">
            <v>I-5 SB</v>
          </cell>
          <cell r="I503">
            <v>42</v>
          </cell>
          <cell r="J503">
            <v>0</v>
          </cell>
          <cell r="K503" t="str">
            <v>LA COSTA</v>
          </cell>
          <cell r="L503" t="str">
            <v>LEUCADIA</v>
          </cell>
          <cell r="M503">
            <v>80705</v>
          </cell>
          <cell r="N503">
            <v>14411</v>
          </cell>
          <cell r="O503">
            <v>16669</v>
          </cell>
          <cell r="P503" t="str">
            <v>PeMS2016</v>
          </cell>
        </row>
        <row r="504">
          <cell r="C504">
            <v>8</v>
          </cell>
          <cell r="D504">
            <v>2</v>
          </cell>
          <cell r="E504">
            <v>8773</v>
          </cell>
          <cell r="F504">
            <v>1</v>
          </cell>
          <cell r="G504">
            <v>1</v>
          </cell>
          <cell r="H504" t="str">
            <v>I-5 SB</v>
          </cell>
          <cell r="I504">
            <v>43</v>
          </cell>
          <cell r="J504">
            <v>0</v>
          </cell>
          <cell r="K504" t="str">
            <v>LEUCADIA</v>
          </cell>
          <cell r="L504" t="str">
            <v>LEUCADIA</v>
          </cell>
          <cell r="M504">
            <v>94564</v>
          </cell>
          <cell r="N504">
            <v>16118</v>
          </cell>
          <cell r="O504">
            <v>19924</v>
          </cell>
          <cell r="P504" t="str">
            <v>PeMS2016</v>
          </cell>
        </row>
        <row r="505">
          <cell r="C505">
            <v>8</v>
          </cell>
          <cell r="D505">
            <v>2</v>
          </cell>
          <cell r="E505">
            <v>16272</v>
          </cell>
          <cell r="F505">
            <v>1</v>
          </cell>
          <cell r="G505">
            <v>1</v>
          </cell>
          <cell r="H505" t="str">
            <v>I-5 SB</v>
          </cell>
          <cell r="I505">
            <v>44</v>
          </cell>
          <cell r="J505">
            <v>0</v>
          </cell>
          <cell r="K505" t="str">
            <v>LEUCADIA</v>
          </cell>
          <cell r="L505" t="str">
            <v>ENCINITAS</v>
          </cell>
          <cell r="M505">
            <v>98571</v>
          </cell>
          <cell r="N505">
            <v>16044</v>
          </cell>
          <cell r="O505">
            <v>20948</v>
          </cell>
          <cell r="P505" t="str">
            <v>PeMS2016</v>
          </cell>
        </row>
        <row r="506">
          <cell r="C506">
            <v>8</v>
          </cell>
          <cell r="D506">
            <v>2</v>
          </cell>
          <cell r="E506">
            <v>621</v>
          </cell>
          <cell r="F506">
            <v>1</v>
          </cell>
          <cell r="G506">
            <v>1</v>
          </cell>
          <cell r="H506" t="str">
            <v>I-5 SB</v>
          </cell>
          <cell r="I506">
            <v>45</v>
          </cell>
          <cell r="J506">
            <v>0</v>
          </cell>
          <cell r="K506" t="str">
            <v>ENCINITAS</v>
          </cell>
          <cell r="L506" t="str">
            <v>ENCINITAS</v>
          </cell>
          <cell r="M506">
            <v>95566</v>
          </cell>
          <cell r="N506">
            <v>17024</v>
          </cell>
          <cell r="O506">
            <v>19711</v>
          </cell>
          <cell r="P506" t="str">
            <v>PeMS2016</v>
          </cell>
        </row>
        <row r="507">
          <cell r="C507">
            <v>8</v>
          </cell>
          <cell r="D507">
            <v>2</v>
          </cell>
          <cell r="E507">
            <v>13580</v>
          </cell>
          <cell r="F507">
            <v>1</v>
          </cell>
          <cell r="G507">
            <v>1</v>
          </cell>
          <cell r="H507" t="str">
            <v>I-5 SB</v>
          </cell>
          <cell r="I507">
            <v>47</v>
          </cell>
          <cell r="J507">
            <v>0</v>
          </cell>
          <cell r="K507" t="str">
            <v>ENCINITAS</v>
          </cell>
          <cell r="L507" t="str">
            <v>SANTA FE</v>
          </cell>
          <cell r="M507">
            <v>104739</v>
          </cell>
          <cell r="N507">
            <v>17876</v>
          </cell>
          <cell r="O507">
            <v>21292</v>
          </cell>
          <cell r="P507" t="str">
            <v>Caltran</v>
          </cell>
        </row>
        <row r="508">
          <cell r="C508">
            <v>8</v>
          </cell>
          <cell r="D508">
            <v>2</v>
          </cell>
          <cell r="E508">
            <v>13582</v>
          </cell>
          <cell r="F508">
            <v>1</v>
          </cell>
          <cell r="G508">
            <v>1</v>
          </cell>
          <cell r="H508" t="str">
            <v>I-5 SB</v>
          </cell>
          <cell r="I508">
            <v>49</v>
          </cell>
          <cell r="J508">
            <v>0</v>
          </cell>
          <cell r="K508" t="str">
            <v>SANTA FE</v>
          </cell>
          <cell r="L508" t="str">
            <v>SANTA FE</v>
          </cell>
          <cell r="M508">
            <v>100592</v>
          </cell>
          <cell r="N508">
            <v>18145</v>
          </cell>
          <cell r="O508">
            <v>20582</v>
          </cell>
          <cell r="P508" t="str">
            <v>PeMS2016</v>
          </cell>
        </row>
        <row r="509">
          <cell r="C509">
            <v>8</v>
          </cell>
          <cell r="D509">
            <v>2</v>
          </cell>
          <cell r="E509">
            <v>13589</v>
          </cell>
          <cell r="F509">
            <v>1</v>
          </cell>
          <cell r="G509">
            <v>1</v>
          </cell>
          <cell r="H509" t="str">
            <v>I-5 SB</v>
          </cell>
          <cell r="I509">
            <v>52</v>
          </cell>
          <cell r="J509">
            <v>0</v>
          </cell>
          <cell r="K509" t="str">
            <v>BIRMINGHAM</v>
          </cell>
          <cell r="L509" t="str">
            <v>BIRMINGHAM</v>
          </cell>
          <cell r="M509">
            <v>101738</v>
          </cell>
          <cell r="N509">
            <v>18887</v>
          </cell>
          <cell r="O509">
            <v>20568</v>
          </cell>
          <cell r="P509" t="str">
            <v>PeMS2016</v>
          </cell>
        </row>
        <row r="510">
          <cell r="C510">
            <v>8</v>
          </cell>
          <cell r="D510">
            <v>2</v>
          </cell>
          <cell r="E510">
            <v>13590</v>
          </cell>
          <cell r="F510">
            <v>1</v>
          </cell>
          <cell r="G510">
            <v>1</v>
          </cell>
          <cell r="H510" t="str">
            <v>I-5 SB</v>
          </cell>
          <cell r="I510">
            <v>53</v>
          </cell>
          <cell r="J510">
            <v>0</v>
          </cell>
          <cell r="K510" t="str">
            <v>BIRMINGHAM</v>
          </cell>
          <cell r="L510" t="str">
            <v>MANCHESTER</v>
          </cell>
          <cell r="M510">
            <v>97387</v>
          </cell>
          <cell r="N510">
            <v>18103</v>
          </cell>
          <cell r="O510">
            <v>19999</v>
          </cell>
          <cell r="P510" t="str">
            <v>PeMS2016</v>
          </cell>
        </row>
        <row r="511">
          <cell r="C511">
            <v>8</v>
          </cell>
          <cell r="D511">
            <v>2</v>
          </cell>
          <cell r="E511">
            <v>643</v>
          </cell>
          <cell r="F511">
            <v>1</v>
          </cell>
          <cell r="G511">
            <v>1</v>
          </cell>
          <cell r="H511" t="str">
            <v>I-5 SB</v>
          </cell>
          <cell r="I511">
            <v>54</v>
          </cell>
          <cell r="J511">
            <v>0</v>
          </cell>
          <cell r="K511" t="str">
            <v>MANCHESTER</v>
          </cell>
          <cell r="L511" t="str">
            <v>MANCHESTER</v>
          </cell>
          <cell r="M511">
            <v>105824</v>
          </cell>
          <cell r="N511">
            <v>20787</v>
          </cell>
          <cell r="O511">
            <v>21001</v>
          </cell>
          <cell r="P511" t="str">
            <v>PeMS2016</v>
          </cell>
        </row>
        <row r="512">
          <cell r="C512">
            <v>8</v>
          </cell>
          <cell r="D512">
            <v>2</v>
          </cell>
          <cell r="E512">
            <v>13594</v>
          </cell>
          <cell r="F512">
            <v>1</v>
          </cell>
          <cell r="G512">
            <v>1</v>
          </cell>
          <cell r="H512" t="str">
            <v>I-5 SB</v>
          </cell>
          <cell r="I512">
            <v>56</v>
          </cell>
          <cell r="J512">
            <v>0</v>
          </cell>
          <cell r="K512" t="str">
            <v>MANCHESTER</v>
          </cell>
          <cell r="L512" t="str">
            <v>LOMAS SANTA FE</v>
          </cell>
          <cell r="M512">
            <v>116241</v>
          </cell>
          <cell r="N512">
            <v>23298</v>
          </cell>
          <cell r="O512">
            <v>22251</v>
          </cell>
          <cell r="P512" t="str">
            <v>PeMS2016</v>
          </cell>
        </row>
        <row r="513">
          <cell r="C513">
            <v>8</v>
          </cell>
          <cell r="D513">
            <v>2</v>
          </cell>
          <cell r="E513">
            <v>13598</v>
          </cell>
          <cell r="F513">
            <v>1</v>
          </cell>
          <cell r="G513">
            <v>1</v>
          </cell>
          <cell r="H513" t="str">
            <v>I-5 SB</v>
          </cell>
          <cell r="I513">
            <v>58</v>
          </cell>
          <cell r="J513">
            <v>0</v>
          </cell>
          <cell r="K513" t="str">
            <v>LOMAS SANTA FE</v>
          </cell>
          <cell r="L513" t="str">
            <v>LOMAS SANTA FE</v>
          </cell>
          <cell r="M513">
            <v>111400</v>
          </cell>
          <cell r="N513">
            <v>22921</v>
          </cell>
          <cell r="O513">
            <v>21264</v>
          </cell>
          <cell r="P513" t="str">
            <v>PeMS2016</v>
          </cell>
        </row>
        <row r="514">
          <cell r="C514">
            <v>8</v>
          </cell>
          <cell r="D514">
            <v>2</v>
          </cell>
          <cell r="E514">
            <v>13597</v>
          </cell>
          <cell r="F514">
            <v>1</v>
          </cell>
          <cell r="G514">
            <v>1</v>
          </cell>
          <cell r="H514" t="str">
            <v>I-5 SB</v>
          </cell>
          <cell r="I514">
            <v>59</v>
          </cell>
          <cell r="J514">
            <v>0</v>
          </cell>
          <cell r="K514" t="str">
            <v>LOMAS SANTA FE</v>
          </cell>
          <cell r="L514" t="str">
            <v>VIA DE LA VALLE</v>
          </cell>
          <cell r="M514">
            <v>122507</v>
          </cell>
          <cell r="N514">
            <v>24180</v>
          </cell>
          <cell r="O514">
            <v>24283</v>
          </cell>
          <cell r="P514" t="str">
            <v>Caltran</v>
          </cell>
        </row>
        <row r="515">
          <cell r="C515">
            <v>8</v>
          </cell>
          <cell r="D515">
            <v>2</v>
          </cell>
          <cell r="E515">
            <v>14247</v>
          </cell>
          <cell r="F515">
            <v>1</v>
          </cell>
          <cell r="G515">
            <v>1</v>
          </cell>
          <cell r="H515" t="str">
            <v>I-5 SB</v>
          </cell>
          <cell r="I515">
            <v>61</v>
          </cell>
          <cell r="J515">
            <v>0</v>
          </cell>
          <cell r="K515" t="str">
            <v>VIA DE LA VALLE</v>
          </cell>
          <cell r="L515" t="str">
            <v>VIA DE LA VALLE</v>
          </cell>
          <cell r="M515">
            <v>100343</v>
          </cell>
          <cell r="N515">
            <v>20888</v>
          </cell>
          <cell r="O515">
            <v>19130</v>
          </cell>
          <cell r="P515" t="str">
            <v>PeMS2016</v>
          </cell>
        </row>
        <row r="516">
          <cell r="C516">
            <v>8</v>
          </cell>
          <cell r="D516">
            <v>2</v>
          </cell>
          <cell r="E516">
            <v>14246</v>
          </cell>
          <cell r="F516">
            <v>1</v>
          </cell>
          <cell r="G516">
            <v>1</v>
          </cell>
          <cell r="H516" t="str">
            <v>I-5 SB</v>
          </cell>
          <cell r="I516">
            <v>63</v>
          </cell>
          <cell r="J516">
            <v>1</v>
          </cell>
          <cell r="K516" t="str">
            <v>VIA DE LA VALLE</v>
          </cell>
          <cell r="L516" t="str">
            <v>DEL MAR HEIGHTS</v>
          </cell>
          <cell r="M516">
            <v>118688</v>
          </cell>
          <cell r="N516">
            <v>24318</v>
          </cell>
          <cell r="O516">
            <v>22898</v>
          </cell>
          <cell r="P516" t="str">
            <v>PeMS2016</v>
          </cell>
        </row>
        <row r="517">
          <cell r="C517">
            <v>8</v>
          </cell>
          <cell r="D517">
            <v>2</v>
          </cell>
          <cell r="E517">
            <v>9022</v>
          </cell>
          <cell r="F517">
            <v>1</v>
          </cell>
          <cell r="G517">
            <v>1</v>
          </cell>
          <cell r="H517" t="str">
            <v>I-5 SB</v>
          </cell>
          <cell r="I517">
            <v>64</v>
          </cell>
          <cell r="J517">
            <v>0</v>
          </cell>
          <cell r="K517" t="str">
            <v>DEL MAR HEIGHTS</v>
          </cell>
          <cell r="L517" t="str">
            <v>DEL MAR HEIGHTS</v>
          </cell>
          <cell r="M517">
            <v>107214</v>
          </cell>
          <cell r="N517">
            <v>22191</v>
          </cell>
          <cell r="O517">
            <v>20249</v>
          </cell>
          <cell r="P517" t="str">
            <v>PeMS2016</v>
          </cell>
        </row>
        <row r="518">
          <cell r="C518">
            <v>8</v>
          </cell>
          <cell r="D518">
            <v>2</v>
          </cell>
          <cell r="E518">
            <v>8774</v>
          </cell>
          <cell r="F518">
            <v>1</v>
          </cell>
          <cell r="G518">
            <v>1</v>
          </cell>
          <cell r="H518" t="str">
            <v>I-5 SB</v>
          </cell>
          <cell r="I518">
            <v>65</v>
          </cell>
          <cell r="J518">
            <v>0</v>
          </cell>
          <cell r="K518" t="str">
            <v>DEL MAR HEIGHTS</v>
          </cell>
          <cell r="L518" t="str">
            <v>DEL MAR HEIGHTS</v>
          </cell>
          <cell r="M518">
            <v>107214</v>
          </cell>
          <cell r="N518">
            <v>22191</v>
          </cell>
          <cell r="O518">
            <v>20249</v>
          </cell>
          <cell r="P518" t="str">
            <v>PeMS2016</v>
          </cell>
        </row>
        <row r="519">
          <cell r="C519">
            <v>8</v>
          </cell>
          <cell r="D519">
            <v>2</v>
          </cell>
          <cell r="E519">
            <v>8899</v>
          </cell>
          <cell r="F519">
            <v>1</v>
          </cell>
          <cell r="G519">
            <v>1</v>
          </cell>
          <cell r="H519" t="str">
            <v>I-5 SB</v>
          </cell>
          <cell r="I519">
            <v>67</v>
          </cell>
          <cell r="J519">
            <v>0</v>
          </cell>
          <cell r="K519" t="str">
            <v>DEL MAR HEIGHTS</v>
          </cell>
          <cell r="L519" t="str">
            <v>CARMEL VALLEY</v>
          </cell>
          <cell r="M519">
            <v>86844</v>
          </cell>
          <cell r="N519">
            <v>17848</v>
          </cell>
          <cell r="O519">
            <v>14572</v>
          </cell>
          <cell r="P519" t="str">
            <v>PeMS2016</v>
          </cell>
        </row>
        <row r="520">
          <cell r="C520">
            <v>8</v>
          </cell>
          <cell r="D520">
            <v>2</v>
          </cell>
          <cell r="E520">
            <v>14255</v>
          </cell>
          <cell r="F520">
            <v>1</v>
          </cell>
          <cell r="G520">
            <v>1</v>
          </cell>
          <cell r="H520" t="str">
            <v>I-5 SB</v>
          </cell>
          <cell r="I520">
            <v>70</v>
          </cell>
          <cell r="J520">
            <v>0</v>
          </cell>
          <cell r="K520" t="str">
            <v>CARMEL VALLEY</v>
          </cell>
          <cell r="L520" t="str">
            <v>CARMEL VALLEY</v>
          </cell>
          <cell r="M520">
            <v>85924</v>
          </cell>
          <cell r="N520">
            <v>17984</v>
          </cell>
          <cell r="O520">
            <v>14023</v>
          </cell>
          <cell r="P520" t="str">
            <v>PeMS2016</v>
          </cell>
        </row>
        <row r="521">
          <cell r="C521">
            <v>8</v>
          </cell>
          <cell r="D521">
            <v>2</v>
          </cell>
          <cell r="E521">
            <v>30776</v>
          </cell>
          <cell r="F521">
            <v>1</v>
          </cell>
          <cell r="G521">
            <v>1</v>
          </cell>
          <cell r="H521" t="str">
            <v>I-5 SB</v>
          </cell>
          <cell r="I521">
            <v>73</v>
          </cell>
          <cell r="J521">
            <v>0</v>
          </cell>
          <cell r="K521" t="str">
            <v>CARMEL VALLEY</v>
          </cell>
          <cell r="L521" t="str">
            <v>I-805 SB</v>
          </cell>
          <cell r="M521">
            <v>102978</v>
          </cell>
          <cell r="N521">
            <v>20341</v>
          </cell>
          <cell r="O521">
            <v>18486</v>
          </cell>
          <cell r="P521" t="str">
            <v>Caltran</v>
          </cell>
        </row>
        <row r="522">
          <cell r="C522">
            <v>8</v>
          </cell>
          <cell r="D522">
            <v>2</v>
          </cell>
          <cell r="E522">
            <v>14263</v>
          </cell>
          <cell r="F522">
            <v>1</v>
          </cell>
          <cell r="G522">
            <v>1</v>
          </cell>
          <cell r="H522" t="str">
            <v>I-5 SB</v>
          </cell>
          <cell r="I522">
            <v>75</v>
          </cell>
          <cell r="J522">
            <v>0</v>
          </cell>
          <cell r="K522" t="str">
            <v>I-805 SB</v>
          </cell>
          <cell r="L522" t="str">
            <v>SORRENTO VALLEY</v>
          </cell>
          <cell r="M522">
            <v>72660</v>
          </cell>
          <cell r="N522">
            <v>15164</v>
          </cell>
          <cell r="O522">
            <v>14198</v>
          </cell>
          <cell r="P522" t="str">
            <v>Caltran</v>
          </cell>
        </row>
        <row r="523">
          <cell r="C523">
            <v>8</v>
          </cell>
          <cell r="D523">
            <v>2</v>
          </cell>
          <cell r="E523">
            <v>14286</v>
          </cell>
          <cell r="F523">
            <v>1</v>
          </cell>
          <cell r="G523">
            <v>1</v>
          </cell>
          <cell r="H523" t="str">
            <v>I-5 SB</v>
          </cell>
          <cell r="I523">
            <v>78</v>
          </cell>
          <cell r="J523">
            <v>0</v>
          </cell>
          <cell r="K523" t="str">
            <v>GENESEE</v>
          </cell>
          <cell r="L523" t="str">
            <v>GENESEE</v>
          </cell>
          <cell r="M523">
            <v>64818</v>
          </cell>
          <cell r="N523">
            <v>11972</v>
          </cell>
          <cell r="O523">
            <v>14999</v>
          </cell>
          <cell r="P523" t="str">
            <v>PeMS2016</v>
          </cell>
        </row>
        <row r="524">
          <cell r="C524">
            <v>8</v>
          </cell>
          <cell r="D524">
            <v>2</v>
          </cell>
          <cell r="E524">
            <v>9252</v>
          </cell>
          <cell r="F524">
            <v>1</v>
          </cell>
          <cell r="G524">
            <v>1</v>
          </cell>
          <cell r="H524" t="str">
            <v>I-5 SB</v>
          </cell>
          <cell r="I524">
            <v>81</v>
          </cell>
          <cell r="J524">
            <v>0</v>
          </cell>
          <cell r="K524" t="str">
            <v>LA JOLLA VILLAGE</v>
          </cell>
          <cell r="L524" t="str">
            <v>LA JOLLA VILLAGE</v>
          </cell>
          <cell r="M524">
            <v>59572</v>
          </cell>
          <cell r="N524">
            <v>8909</v>
          </cell>
          <cell r="O524">
            <v>14135</v>
          </cell>
          <cell r="P524" t="str">
            <v>PeMS2016</v>
          </cell>
        </row>
        <row r="525">
          <cell r="C525">
            <v>8</v>
          </cell>
          <cell r="D525">
            <v>2</v>
          </cell>
          <cell r="E525">
            <v>15039</v>
          </cell>
          <cell r="F525">
            <v>1</v>
          </cell>
          <cell r="G525">
            <v>1</v>
          </cell>
          <cell r="H525" t="str">
            <v>I-5 SB</v>
          </cell>
          <cell r="I525">
            <v>83</v>
          </cell>
          <cell r="J525">
            <v>0</v>
          </cell>
          <cell r="K525" t="str">
            <v>LA JOLLA VILLAGE</v>
          </cell>
          <cell r="L525" t="str">
            <v>NOBEL</v>
          </cell>
          <cell r="M525">
            <v>72760</v>
          </cell>
          <cell r="N525">
            <v>9838</v>
          </cell>
          <cell r="O525">
            <v>18571</v>
          </cell>
          <cell r="P525" t="str">
            <v>PeMS2016</v>
          </cell>
        </row>
        <row r="526">
          <cell r="C526">
            <v>8</v>
          </cell>
          <cell r="D526">
            <v>2</v>
          </cell>
          <cell r="E526">
            <v>15035</v>
          </cell>
          <cell r="F526">
            <v>1</v>
          </cell>
          <cell r="G526">
            <v>1</v>
          </cell>
          <cell r="H526" t="str">
            <v>I-5 SB</v>
          </cell>
          <cell r="I526">
            <v>84</v>
          </cell>
          <cell r="J526">
            <v>0</v>
          </cell>
          <cell r="K526" t="str">
            <v>NOBEL</v>
          </cell>
          <cell r="L526" t="str">
            <v>GILMAN</v>
          </cell>
          <cell r="M526">
            <v>72760</v>
          </cell>
          <cell r="N526">
            <v>9838</v>
          </cell>
          <cell r="O526">
            <v>18571</v>
          </cell>
          <cell r="P526" t="str">
            <v>PeMS2016</v>
          </cell>
        </row>
        <row r="527">
          <cell r="C527">
            <v>8</v>
          </cell>
          <cell r="D527">
            <v>2</v>
          </cell>
          <cell r="E527">
            <v>8777</v>
          </cell>
          <cell r="F527">
            <v>1</v>
          </cell>
          <cell r="G527">
            <v>1</v>
          </cell>
          <cell r="H527" t="str">
            <v>I-5 SB</v>
          </cell>
          <cell r="I527">
            <v>85</v>
          </cell>
          <cell r="J527">
            <v>0</v>
          </cell>
          <cell r="K527" t="str">
            <v>GILMAN</v>
          </cell>
          <cell r="L527" t="str">
            <v>GILMAN</v>
          </cell>
          <cell r="M527">
            <v>80789</v>
          </cell>
          <cell r="N527">
            <v>10436</v>
          </cell>
          <cell r="O527">
            <v>21678</v>
          </cell>
          <cell r="P527" t="str">
            <v>PeMS2016</v>
          </cell>
        </row>
        <row r="528">
          <cell r="C528">
            <v>8</v>
          </cell>
          <cell r="D528">
            <v>2</v>
          </cell>
          <cell r="E528">
            <v>12009</v>
          </cell>
          <cell r="F528">
            <v>1</v>
          </cell>
          <cell r="G528">
            <v>1</v>
          </cell>
          <cell r="H528" t="str">
            <v>I-5 SB</v>
          </cell>
          <cell r="I528">
            <v>87</v>
          </cell>
          <cell r="J528">
            <v>0</v>
          </cell>
          <cell r="K528" t="str">
            <v>SR-52 EB</v>
          </cell>
          <cell r="L528" t="str">
            <v>SR-52 WB</v>
          </cell>
          <cell r="M528">
            <v>83645</v>
          </cell>
          <cell r="N528">
            <v>12245</v>
          </cell>
          <cell r="O528">
            <v>21728</v>
          </cell>
          <cell r="P528" t="str">
            <v>PeMS2016</v>
          </cell>
        </row>
        <row r="529">
          <cell r="C529">
            <v>8</v>
          </cell>
          <cell r="D529">
            <v>2</v>
          </cell>
          <cell r="E529">
            <v>26065</v>
          </cell>
          <cell r="F529">
            <v>1</v>
          </cell>
          <cell r="G529">
            <v>1</v>
          </cell>
          <cell r="H529" t="str">
            <v>I-5 SB</v>
          </cell>
          <cell r="I529">
            <v>88</v>
          </cell>
          <cell r="J529">
            <v>0</v>
          </cell>
          <cell r="K529" t="str">
            <v>SR-52 WB</v>
          </cell>
          <cell r="L529" t="str">
            <v>MISSION BAY</v>
          </cell>
          <cell r="M529">
            <v>105583</v>
          </cell>
          <cell r="N529">
            <v>14540</v>
          </cell>
          <cell r="O529">
            <v>27538</v>
          </cell>
          <cell r="P529" t="str">
            <v>Caltran</v>
          </cell>
        </row>
        <row r="530">
          <cell r="C530">
            <v>8</v>
          </cell>
          <cell r="D530">
            <v>2</v>
          </cell>
          <cell r="E530">
            <v>26017</v>
          </cell>
          <cell r="F530">
            <v>1</v>
          </cell>
          <cell r="G530">
            <v>1</v>
          </cell>
          <cell r="H530" t="str">
            <v>I-5 SB</v>
          </cell>
          <cell r="I530">
            <v>89</v>
          </cell>
          <cell r="J530">
            <v>0</v>
          </cell>
          <cell r="K530" t="str">
            <v>SR-52 WB</v>
          </cell>
          <cell r="L530" t="str">
            <v>MISSION BAY</v>
          </cell>
          <cell r="M530">
            <v>98559</v>
          </cell>
          <cell r="N530">
            <v>13537</v>
          </cell>
          <cell r="O530">
            <v>26378</v>
          </cell>
          <cell r="P530" t="str">
            <v>PeMS2016</v>
          </cell>
        </row>
        <row r="531">
          <cell r="C531">
            <v>8</v>
          </cell>
          <cell r="D531">
            <v>2</v>
          </cell>
          <cell r="E531">
            <v>8780</v>
          </cell>
          <cell r="F531">
            <v>1</v>
          </cell>
          <cell r="G531">
            <v>1</v>
          </cell>
          <cell r="H531" t="str">
            <v>I-5 SB</v>
          </cell>
          <cell r="I531">
            <v>90</v>
          </cell>
          <cell r="J531">
            <v>0</v>
          </cell>
          <cell r="K531" t="str">
            <v>MISSION BAY</v>
          </cell>
          <cell r="L531" t="str">
            <v>GARNET</v>
          </cell>
          <cell r="M531">
            <v>77304</v>
          </cell>
          <cell r="N531">
            <v>11236</v>
          </cell>
          <cell r="O531">
            <v>21493</v>
          </cell>
          <cell r="P531" t="str">
            <v>PeMS2016</v>
          </cell>
        </row>
        <row r="532">
          <cell r="C532">
            <v>8</v>
          </cell>
          <cell r="D532">
            <v>2</v>
          </cell>
          <cell r="E532">
            <v>20684</v>
          </cell>
          <cell r="F532">
            <v>1</v>
          </cell>
          <cell r="G532">
            <v>1</v>
          </cell>
          <cell r="H532" t="str">
            <v>I-5 SB</v>
          </cell>
          <cell r="I532">
            <v>91</v>
          </cell>
          <cell r="J532">
            <v>0</v>
          </cell>
          <cell r="K532" t="str">
            <v>GARNET</v>
          </cell>
          <cell r="L532" t="str">
            <v>MISSION BAY</v>
          </cell>
          <cell r="M532">
            <v>86925</v>
          </cell>
          <cell r="N532">
            <v>13168</v>
          </cell>
          <cell r="O532">
            <v>23832</v>
          </cell>
          <cell r="P532" t="str">
            <v>PeMS2016</v>
          </cell>
        </row>
        <row r="533">
          <cell r="C533">
            <v>8</v>
          </cell>
          <cell r="D533">
            <v>2</v>
          </cell>
          <cell r="E533">
            <v>8787</v>
          </cell>
          <cell r="F533">
            <v>1</v>
          </cell>
          <cell r="G533">
            <v>1</v>
          </cell>
          <cell r="H533" t="str">
            <v>I-5 SB</v>
          </cell>
          <cell r="I533">
            <v>93</v>
          </cell>
          <cell r="J533">
            <v>0</v>
          </cell>
          <cell r="K533" t="str">
            <v>CLAIREMONT</v>
          </cell>
          <cell r="L533" t="str">
            <v>CLAIREMONT</v>
          </cell>
          <cell r="M533">
            <v>115020</v>
          </cell>
          <cell r="N533">
            <v>18971</v>
          </cell>
          <cell r="O533">
            <v>28959</v>
          </cell>
          <cell r="P533" t="str">
            <v>PeMS2016</v>
          </cell>
        </row>
        <row r="534">
          <cell r="C534">
            <v>8</v>
          </cell>
          <cell r="D534">
            <v>2</v>
          </cell>
          <cell r="E534">
            <v>30816</v>
          </cell>
          <cell r="F534">
            <v>1</v>
          </cell>
          <cell r="G534">
            <v>1</v>
          </cell>
          <cell r="H534" t="str">
            <v>I-5 SB</v>
          </cell>
          <cell r="I534">
            <v>95</v>
          </cell>
          <cell r="J534">
            <v>0</v>
          </cell>
          <cell r="K534" t="str">
            <v>CLAIREMONT</v>
          </cell>
          <cell r="L534" t="str">
            <v>SEA WORLD</v>
          </cell>
          <cell r="M534">
            <v>110995</v>
          </cell>
          <cell r="N534">
            <v>18048</v>
          </cell>
          <cell r="O534">
            <v>27665</v>
          </cell>
          <cell r="P534" t="str">
            <v>PeMS2016</v>
          </cell>
        </row>
        <row r="535">
          <cell r="C535">
            <v>8</v>
          </cell>
          <cell r="D535">
            <v>2</v>
          </cell>
          <cell r="E535">
            <v>8791</v>
          </cell>
          <cell r="F535">
            <v>1</v>
          </cell>
          <cell r="G535">
            <v>1</v>
          </cell>
          <cell r="H535" t="str">
            <v>I-5 SB</v>
          </cell>
          <cell r="I535">
            <v>97</v>
          </cell>
          <cell r="J535">
            <v>0</v>
          </cell>
          <cell r="K535" t="str">
            <v>SEA WORLD</v>
          </cell>
          <cell r="L535" t="str">
            <v>SEA WORLD</v>
          </cell>
          <cell r="M535">
            <v>101566</v>
          </cell>
          <cell r="N535">
            <v>17550</v>
          </cell>
          <cell r="O535">
            <v>25382</v>
          </cell>
          <cell r="P535" t="str">
            <v>PeMS2016</v>
          </cell>
        </row>
        <row r="536">
          <cell r="C536">
            <v>8</v>
          </cell>
          <cell r="D536">
            <v>2</v>
          </cell>
          <cell r="E536">
            <v>20689</v>
          </cell>
          <cell r="F536">
            <v>1</v>
          </cell>
          <cell r="G536">
            <v>1</v>
          </cell>
          <cell r="H536" t="str">
            <v>I-5 SB</v>
          </cell>
          <cell r="I536">
            <v>101</v>
          </cell>
          <cell r="J536">
            <v>0</v>
          </cell>
          <cell r="K536" t="str">
            <v>I-8 EB</v>
          </cell>
          <cell r="L536" t="str">
            <v>OLD TOWN</v>
          </cell>
          <cell r="M536">
            <v>107543</v>
          </cell>
          <cell r="N536">
            <v>19787</v>
          </cell>
          <cell r="O536">
            <v>24040</v>
          </cell>
          <cell r="P536" t="str">
            <v>PeMS2016</v>
          </cell>
        </row>
        <row r="537">
          <cell r="C537">
            <v>8</v>
          </cell>
          <cell r="D537">
            <v>2</v>
          </cell>
          <cell r="E537">
            <v>10965</v>
          </cell>
          <cell r="F537">
            <v>1</v>
          </cell>
          <cell r="G537">
            <v>1</v>
          </cell>
          <cell r="H537" t="str">
            <v>I-5 SB</v>
          </cell>
          <cell r="I537">
            <v>103</v>
          </cell>
          <cell r="J537">
            <v>0</v>
          </cell>
          <cell r="K537" t="str">
            <v>OLD TOWN</v>
          </cell>
          <cell r="L537" t="str">
            <v>OLD TOWN</v>
          </cell>
          <cell r="M537">
            <v>97702</v>
          </cell>
          <cell r="N537">
            <v>17729</v>
          </cell>
          <cell r="O537">
            <v>21606</v>
          </cell>
          <cell r="P537" t="str">
            <v>PeMS2016</v>
          </cell>
        </row>
        <row r="538">
          <cell r="C538">
            <v>8</v>
          </cell>
          <cell r="D538">
            <v>2</v>
          </cell>
          <cell r="E538">
            <v>10968</v>
          </cell>
          <cell r="F538">
            <v>1</v>
          </cell>
          <cell r="G538">
            <v>1</v>
          </cell>
          <cell r="H538" t="str">
            <v>I-5 SB</v>
          </cell>
          <cell r="I538">
            <v>106</v>
          </cell>
          <cell r="J538">
            <v>0</v>
          </cell>
          <cell r="K538" t="str">
            <v>HANCOCK</v>
          </cell>
          <cell r="L538" t="str">
            <v>KETTNER</v>
          </cell>
          <cell r="M538">
            <v>97802</v>
          </cell>
          <cell r="N538">
            <v>17096</v>
          </cell>
          <cell r="O538">
            <v>21092</v>
          </cell>
          <cell r="P538" t="str">
            <v>PeMS2016</v>
          </cell>
        </row>
        <row r="539">
          <cell r="C539">
            <v>8</v>
          </cell>
          <cell r="D539">
            <v>2</v>
          </cell>
          <cell r="E539">
            <v>20693</v>
          </cell>
          <cell r="F539">
            <v>1</v>
          </cell>
          <cell r="G539">
            <v>1</v>
          </cell>
          <cell r="H539" t="str">
            <v>I-5 SB</v>
          </cell>
          <cell r="I539">
            <v>107</v>
          </cell>
          <cell r="J539">
            <v>0</v>
          </cell>
          <cell r="K539" t="str">
            <v>KETTNER</v>
          </cell>
          <cell r="L539" t="str">
            <v>HANCOCK</v>
          </cell>
          <cell r="M539">
            <v>68584</v>
          </cell>
          <cell r="N539">
            <v>12968</v>
          </cell>
          <cell r="O539">
            <v>13655</v>
          </cell>
          <cell r="P539" t="str">
            <v>PeMS2016</v>
          </cell>
        </row>
        <row r="540">
          <cell r="C540">
            <v>8</v>
          </cell>
          <cell r="D540">
            <v>2</v>
          </cell>
          <cell r="E540">
            <v>20694</v>
          </cell>
          <cell r="F540">
            <v>1</v>
          </cell>
          <cell r="G540">
            <v>1</v>
          </cell>
          <cell r="H540" t="str">
            <v>I-5 SB</v>
          </cell>
          <cell r="I540">
            <v>108</v>
          </cell>
          <cell r="J540">
            <v>0</v>
          </cell>
          <cell r="K540" t="str">
            <v>HANCOCK</v>
          </cell>
          <cell r="L540" t="str">
            <v>PACIFIC</v>
          </cell>
          <cell r="M540">
            <v>98644</v>
          </cell>
          <cell r="N540">
            <v>17969</v>
          </cell>
          <cell r="O540">
            <v>14247</v>
          </cell>
          <cell r="P540" t="str">
            <v>PeMS2016</v>
          </cell>
        </row>
        <row r="541">
          <cell r="C541">
            <v>8</v>
          </cell>
          <cell r="D541">
            <v>2</v>
          </cell>
          <cell r="E541">
            <v>16578</v>
          </cell>
          <cell r="F541">
            <v>1</v>
          </cell>
          <cell r="G541">
            <v>1</v>
          </cell>
          <cell r="H541" t="str">
            <v>I-5 SB</v>
          </cell>
          <cell r="I541">
            <v>109</v>
          </cell>
          <cell r="J541">
            <v>0</v>
          </cell>
          <cell r="K541" t="str">
            <v>PACIFIC</v>
          </cell>
          <cell r="L541" t="str">
            <v>KETTNER</v>
          </cell>
          <cell r="M541">
            <v>98694</v>
          </cell>
          <cell r="N541">
            <v>16698</v>
          </cell>
          <cell r="O541">
            <v>21357</v>
          </cell>
          <cell r="P541" t="str">
            <v>PeMS2016</v>
          </cell>
        </row>
        <row r="542">
          <cell r="C542">
            <v>8</v>
          </cell>
          <cell r="D542">
            <v>2</v>
          </cell>
          <cell r="E542">
            <v>20700</v>
          </cell>
          <cell r="F542">
            <v>1</v>
          </cell>
          <cell r="G542">
            <v>1</v>
          </cell>
          <cell r="H542" t="str">
            <v>I-5 SB</v>
          </cell>
          <cell r="I542">
            <v>111</v>
          </cell>
          <cell r="J542">
            <v>0</v>
          </cell>
          <cell r="K542" t="str">
            <v>FRONT</v>
          </cell>
          <cell r="L542" t="str">
            <v>STATE</v>
          </cell>
          <cell r="M542">
            <v>80685</v>
          </cell>
          <cell r="N542">
            <v>11453</v>
          </cell>
          <cell r="O542">
            <v>19374</v>
          </cell>
          <cell r="P542" t="str">
            <v>PeMS2016</v>
          </cell>
        </row>
        <row r="543">
          <cell r="C543">
            <v>8</v>
          </cell>
          <cell r="D543">
            <v>2</v>
          </cell>
          <cell r="E543">
            <v>27834</v>
          </cell>
          <cell r="F543">
            <v>1</v>
          </cell>
          <cell r="G543">
            <v>1</v>
          </cell>
          <cell r="H543" t="str">
            <v>I-5 SB</v>
          </cell>
          <cell r="I543">
            <v>114</v>
          </cell>
          <cell r="J543">
            <v>0</v>
          </cell>
          <cell r="L543" t="str">
            <v>05TH</v>
          </cell>
          <cell r="M543">
            <v>99080</v>
          </cell>
          <cell r="N543">
            <v>12285</v>
          </cell>
          <cell r="O543">
            <v>25401</v>
          </cell>
          <cell r="P543" t="str">
            <v>PeMS2016</v>
          </cell>
        </row>
        <row r="544">
          <cell r="C544">
            <v>8</v>
          </cell>
          <cell r="D544">
            <v>2</v>
          </cell>
          <cell r="E544">
            <v>27824</v>
          </cell>
          <cell r="F544">
            <v>1</v>
          </cell>
          <cell r="G544">
            <v>1</v>
          </cell>
          <cell r="H544" t="str">
            <v>I-5 SB</v>
          </cell>
          <cell r="I544">
            <v>117</v>
          </cell>
          <cell r="J544">
            <v>0</v>
          </cell>
          <cell r="K544" t="str">
            <v>PERSHING</v>
          </cell>
          <cell r="L544" t="str">
            <v>SR-94 EB</v>
          </cell>
          <cell r="M544">
            <v>99726</v>
          </cell>
          <cell r="N544">
            <v>11882</v>
          </cell>
          <cell r="O544">
            <v>26226</v>
          </cell>
          <cell r="P544" t="str">
            <v>PeMS2016</v>
          </cell>
        </row>
        <row r="545">
          <cell r="C545">
            <v>8</v>
          </cell>
          <cell r="D545">
            <v>2</v>
          </cell>
          <cell r="E545">
            <v>20709</v>
          </cell>
          <cell r="F545">
            <v>1</v>
          </cell>
          <cell r="G545">
            <v>1</v>
          </cell>
          <cell r="H545" t="str">
            <v>I-5 SB</v>
          </cell>
          <cell r="I545">
            <v>120</v>
          </cell>
          <cell r="J545">
            <v>0</v>
          </cell>
          <cell r="K545" t="str">
            <v>PERSHING</v>
          </cell>
          <cell r="L545" t="str">
            <v>E</v>
          </cell>
          <cell r="M545">
            <v>94097</v>
          </cell>
          <cell r="N545">
            <v>14214</v>
          </cell>
          <cell r="O545">
            <v>20981</v>
          </cell>
          <cell r="P545" t="str">
            <v>PeMS2016</v>
          </cell>
        </row>
        <row r="546">
          <cell r="C546">
            <v>8</v>
          </cell>
          <cell r="D546">
            <v>2</v>
          </cell>
          <cell r="E546">
            <v>27806</v>
          </cell>
          <cell r="F546">
            <v>1</v>
          </cell>
          <cell r="G546">
            <v>1</v>
          </cell>
          <cell r="H546" t="str">
            <v>I-5 SB</v>
          </cell>
          <cell r="I546">
            <v>121</v>
          </cell>
          <cell r="J546">
            <v>0</v>
          </cell>
          <cell r="K546" t="str">
            <v>E</v>
          </cell>
          <cell r="L546" t="str">
            <v>IMPERIAL</v>
          </cell>
          <cell r="M546">
            <v>81733</v>
          </cell>
          <cell r="N546">
            <v>12457</v>
          </cell>
          <cell r="O546">
            <v>18771</v>
          </cell>
          <cell r="P546" t="str">
            <v>PeMS2016</v>
          </cell>
        </row>
        <row r="547">
          <cell r="C547">
            <v>8</v>
          </cell>
          <cell r="D547">
            <v>2</v>
          </cell>
          <cell r="E547">
            <v>20711</v>
          </cell>
          <cell r="F547">
            <v>1</v>
          </cell>
          <cell r="G547">
            <v>1</v>
          </cell>
          <cell r="H547" t="str">
            <v>I-5 SB</v>
          </cell>
          <cell r="I547">
            <v>129</v>
          </cell>
          <cell r="J547">
            <v>0</v>
          </cell>
          <cell r="K547" t="str">
            <v>NATIONAL</v>
          </cell>
          <cell r="L547" t="str">
            <v>29TH</v>
          </cell>
          <cell r="M547">
            <v>75681</v>
          </cell>
          <cell r="N547">
            <v>8670</v>
          </cell>
          <cell r="O547">
            <v>19188</v>
          </cell>
          <cell r="P547" t="str">
            <v>PeMS2016</v>
          </cell>
        </row>
        <row r="548">
          <cell r="C548">
            <v>8</v>
          </cell>
          <cell r="D548">
            <v>2</v>
          </cell>
          <cell r="E548">
            <v>28736</v>
          </cell>
          <cell r="F548">
            <v>1</v>
          </cell>
          <cell r="G548">
            <v>1</v>
          </cell>
          <cell r="H548" t="str">
            <v>I-5 SB</v>
          </cell>
          <cell r="I548">
            <v>130</v>
          </cell>
          <cell r="J548">
            <v>0</v>
          </cell>
          <cell r="K548" t="str">
            <v>29TH</v>
          </cell>
          <cell r="L548" t="str">
            <v>MAIN</v>
          </cell>
          <cell r="M548">
            <v>79004</v>
          </cell>
          <cell r="N548">
            <v>8299</v>
          </cell>
          <cell r="O548">
            <v>20217</v>
          </cell>
          <cell r="P548" t="str">
            <v>PeMS2016</v>
          </cell>
        </row>
        <row r="549">
          <cell r="C549">
            <v>8</v>
          </cell>
          <cell r="D549">
            <v>2</v>
          </cell>
          <cell r="E549">
            <v>27781</v>
          </cell>
          <cell r="F549">
            <v>1</v>
          </cell>
          <cell r="G549">
            <v>1</v>
          </cell>
          <cell r="H549" t="str">
            <v>I-5 SB</v>
          </cell>
          <cell r="I549">
            <v>132</v>
          </cell>
          <cell r="J549">
            <v>0</v>
          </cell>
          <cell r="K549" t="str">
            <v>MAIN</v>
          </cell>
          <cell r="L549" t="str">
            <v>SR-15 SB</v>
          </cell>
          <cell r="M549">
            <v>67128</v>
          </cell>
          <cell r="N549">
            <v>7057</v>
          </cell>
          <cell r="O549">
            <v>17560</v>
          </cell>
          <cell r="P549" t="str">
            <v>PeMS2016</v>
          </cell>
        </row>
        <row r="550">
          <cell r="C550">
            <v>8</v>
          </cell>
          <cell r="D550">
            <v>2</v>
          </cell>
          <cell r="E550">
            <v>28726</v>
          </cell>
          <cell r="F550">
            <v>1</v>
          </cell>
          <cell r="G550">
            <v>1</v>
          </cell>
          <cell r="H550" t="str">
            <v>I-5 SB</v>
          </cell>
          <cell r="I550">
            <v>134</v>
          </cell>
          <cell r="J550">
            <v>0</v>
          </cell>
          <cell r="K550" t="str">
            <v>MAIN</v>
          </cell>
          <cell r="L550" t="str">
            <v>08TH</v>
          </cell>
          <cell r="M550">
            <v>88978</v>
          </cell>
          <cell r="N550">
            <v>10347</v>
          </cell>
          <cell r="O550">
            <v>23110</v>
          </cell>
          <cell r="P550" t="str">
            <v>PeMS2016</v>
          </cell>
        </row>
        <row r="551">
          <cell r="C551">
            <v>8</v>
          </cell>
          <cell r="D551">
            <v>2</v>
          </cell>
          <cell r="E551">
            <v>28717</v>
          </cell>
          <cell r="F551">
            <v>1</v>
          </cell>
          <cell r="G551">
            <v>1</v>
          </cell>
          <cell r="H551" t="str">
            <v>I-5 SB</v>
          </cell>
          <cell r="I551">
            <v>136</v>
          </cell>
          <cell r="J551">
            <v>0</v>
          </cell>
          <cell r="K551" t="str">
            <v>CIVIC CENTER</v>
          </cell>
          <cell r="L551" t="str">
            <v>CIVIC CENTER</v>
          </cell>
          <cell r="M551">
            <v>97561</v>
          </cell>
          <cell r="N551">
            <v>12101</v>
          </cell>
          <cell r="O551">
            <v>25627</v>
          </cell>
          <cell r="P551" t="str">
            <v>PeMS2016</v>
          </cell>
        </row>
        <row r="552">
          <cell r="C552">
            <v>8</v>
          </cell>
          <cell r="D552">
            <v>2</v>
          </cell>
          <cell r="E552">
            <v>28706</v>
          </cell>
          <cell r="F552">
            <v>1</v>
          </cell>
          <cell r="G552">
            <v>1</v>
          </cell>
          <cell r="H552" t="str">
            <v>I-5 SB</v>
          </cell>
          <cell r="I552">
            <v>139</v>
          </cell>
          <cell r="J552">
            <v>0</v>
          </cell>
          <cell r="K552" t="str">
            <v>24TH</v>
          </cell>
          <cell r="L552" t="str">
            <v>24TH</v>
          </cell>
          <cell r="M552">
            <v>78531</v>
          </cell>
          <cell r="N552">
            <v>8108</v>
          </cell>
          <cell r="O552">
            <v>22365</v>
          </cell>
          <cell r="P552" t="str">
            <v>PeMS2016</v>
          </cell>
        </row>
        <row r="553">
          <cell r="C553">
            <v>8</v>
          </cell>
          <cell r="D553">
            <v>2</v>
          </cell>
          <cell r="E553">
            <v>27934</v>
          </cell>
          <cell r="F553">
            <v>1</v>
          </cell>
          <cell r="G553">
            <v>1</v>
          </cell>
          <cell r="H553" t="str">
            <v>I-5 SB</v>
          </cell>
          <cell r="I553">
            <v>149</v>
          </cell>
          <cell r="J553">
            <v>0</v>
          </cell>
          <cell r="K553" t="str">
            <v>J</v>
          </cell>
          <cell r="L553" t="str">
            <v>J</v>
          </cell>
          <cell r="M553">
            <v>76063</v>
          </cell>
          <cell r="N553">
            <v>9051</v>
          </cell>
          <cell r="O553">
            <v>20376</v>
          </cell>
          <cell r="P553" t="str">
            <v>PeMS2016</v>
          </cell>
        </row>
        <row r="554">
          <cell r="C554">
            <v>8</v>
          </cell>
          <cell r="D554">
            <v>2</v>
          </cell>
          <cell r="E554">
            <v>27915</v>
          </cell>
          <cell r="F554">
            <v>1</v>
          </cell>
          <cell r="G554">
            <v>1</v>
          </cell>
          <cell r="H554" t="str">
            <v>I-5 SB</v>
          </cell>
          <cell r="I554">
            <v>155</v>
          </cell>
          <cell r="J554">
            <v>0</v>
          </cell>
          <cell r="K554" t="str">
            <v>MAIN</v>
          </cell>
          <cell r="L554" t="str">
            <v>MAIN</v>
          </cell>
          <cell r="M554">
            <v>82654</v>
          </cell>
          <cell r="N554">
            <v>8192</v>
          </cell>
          <cell r="O554">
            <v>24174</v>
          </cell>
          <cell r="P554" t="str">
            <v>Caltran</v>
          </cell>
        </row>
        <row r="555">
          <cell r="C555">
            <v>8</v>
          </cell>
          <cell r="D555">
            <v>2</v>
          </cell>
          <cell r="E555">
            <v>27902</v>
          </cell>
          <cell r="F555">
            <v>1</v>
          </cell>
          <cell r="G555">
            <v>1</v>
          </cell>
          <cell r="H555" t="str">
            <v>I-5 SB</v>
          </cell>
          <cell r="I555">
            <v>160</v>
          </cell>
          <cell r="J555">
            <v>0</v>
          </cell>
          <cell r="K555" t="str">
            <v>CORONADO</v>
          </cell>
          <cell r="L555" t="str">
            <v>CORONADO</v>
          </cell>
          <cell r="M555">
            <v>53560</v>
          </cell>
          <cell r="N555">
            <v>4660</v>
          </cell>
          <cell r="O555">
            <v>16668</v>
          </cell>
          <cell r="P555" t="str">
            <v>PeMS2016</v>
          </cell>
        </row>
        <row r="556">
          <cell r="C556">
            <v>8</v>
          </cell>
          <cell r="D556">
            <v>2</v>
          </cell>
          <cell r="E556">
            <v>27878</v>
          </cell>
          <cell r="F556">
            <v>1</v>
          </cell>
          <cell r="G556">
            <v>1</v>
          </cell>
          <cell r="H556" t="str">
            <v>I-5 SB</v>
          </cell>
          <cell r="I556">
            <v>162</v>
          </cell>
          <cell r="J556">
            <v>0</v>
          </cell>
          <cell r="K556" t="str">
            <v>SR-905</v>
          </cell>
          <cell r="L556" t="str">
            <v>SR-905 WB</v>
          </cell>
          <cell r="M556">
            <v>34852</v>
          </cell>
          <cell r="N556">
            <v>2230</v>
          </cell>
          <cell r="O556">
            <v>11019</v>
          </cell>
          <cell r="P556" t="str">
            <v>PeMS2016</v>
          </cell>
        </row>
        <row r="557">
          <cell r="C557">
            <v>8</v>
          </cell>
          <cell r="D557">
            <v>2</v>
          </cell>
          <cell r="E557">
            <v>27860</v>
          </cell>
          <cell r="F557">
            <v>1</v>
          </cell>
          <cell r="G557">
            <v>1</v>
          </cell>
          <cell r="H557" t="str">
            <v>I-5 SB</v>
          </cell>
          <cell r="I557">
            <v>164</v>
          </cell>
          <cell r="J557">
            <v>0</v>
          </cell>
          <cell r="K557" t="str">
            <v>SR-905 EB</v>
          </cell>
          <cell r="L557" t="str">
            <v>DAIRY MART</v>
          </cell>
          <cell r="M557">
            <v>37045</v>
          </cell>
          <cell r="N557">
            <v>2488</v>
          </cell>
          <cell r="O557">
            <v>11501</v>
          </cell>
          <cell r="P557" t="str">
            <v>PeMS2016</v>
          </cell>
        </row>
        <row r="558">
          <cell r="C558">
            <v>8</v>
          </cell>
          <cell r="D558">
            <v>2</v>
          </cell>
          <cell r="E558">
            <v>27887</v>
          </cell>
          <cell r="F558">
            <v>1</v>
          </cell>
          <cell r="G558">
            <v>1</v>
          </cell>
          <cell r="H558" t="str">
            <v>I-5 SB</v>
          </cell>
          <cell r="I558">
            <v>165</v>
          </cell>
          <cell r="J558">
            <v>0</v>
          </cell>
          <cell r="K558" t="str">
            <v>DAIRY MART</v>
          </cell>
          <cell r="L558" t="str">
            <v>DAIRY MART</v>
          </cell>
          <cell r="M558">
            <v>27793</v>
          </cell>
          <cell r="N558">
            <v>1659</v>
          </cell>
          <cell r="O558">
            <v>9158</v>
          </cell>
          <cell r="P558" t="str">
            <v>PeMS2016</v>
          </cell>
        </row>
        <row r="559">
          <cell r="C559">
            <v>22</v>
          </cell>
          <cell r="D559">
            <v>4</v>
          </cell>
          <cell r="E559">
            <v>28455</v>
          </cell>
          <cell r="F559">
            <v>1</v>
          </cell>
          <cell r="G559">
            <v>1</v>
          </cell>
          <cell r="H559" t="str">
            <v>I-8 EB</v>
          </cell>
          <cell r="I559">
            <v>1</v>
          </cell>
          <cell r="J559">
            <v>0</v>
          </cell>
          <cell r="K559" t="str">
            <v>I-8 EB</v>
          </cell>
          <cell r="L559" t="str">
            <v>I-8 EB</v>
          </cell>
          <cell r="M559">
            <v>25624</v>
          </cell>
          <cell r="N559">
            <v>5382</v>
          </cell>
          <cell r="O559">
            <v>4715</v>
          </cell>
          <cell r="P559" t="str">
            <v>PeMS2016</v>
          </cell>
        </row>
        <row r="560">
          <cell r="C560">
            <v>22</v>
          </cell>
          <cell r="D560">
            <v>4</v>
          </cell>
          <cell r="E560">
            <v>28086</v>
          </cell>
          <cell r="F560">
            <v>1</v>
          </cell>
          <cell r="G560">
            <v>1</v>
          </cell>
          <cell r="H560" t="str">
            <v>I-8 EB</v>
          </cell>
          <cell r="I560">
            <v>3</v>
          </cell>
          <cell r="J560">
            <v>0</v>
          </cell>
          <cell r="K560" t="str">
            <v>MIDWAY</v>
          </cell>
          <cell r="L560" t="str">
            <v>I-5 SB</v>
          </cell>
          <cell r="M560">
            <v>55004</v>
          </cell>
          <cell r="N560">
            <v>9984</v>
          </cell>
          <cell r="O560">
            <v>12709</v>
          </cell>
          <cell r="P560" t="str">
            <v>PeMS2016</v>
          </cell>
        </row>
        <row r="561">
          <cell r="C561">
            <v>22</v>
          </cell>
          <cell r="D561">
            <v>4</v>
          </cell>
          <cell r="E561">
            <v>27603</v>
          </cell>
          <cell r="F561">
            <v>1</v>
          </cell>
          <cell r="G561">
            <v>1</v>
          </cell>
          <cell r="H561" t="str">
            <v>I-8 EB</v>
          </cell>
          <cell r="I561">
            <v>9</v>
          </cell>
          <cell r="J561">
            <v>0</v>
          </cell>
          <cell r="K561" t="str">
            <v>MORENA</v>
          </cell>
          <cell r="L561" t="str">
            <v>TAYLOR</v>
          </cell>
          <cell r="M561">
            <v>100852</v>
          </cell>
          <cell r="N561">
            <v>14106</v>
          </cell>
          <cell r="O561">
            <v>22897</v>
          </cell>
          <cell r="P561" t="str">
            <v>PeMS2016</v>
          </cell>
        </row>
        <row r="562">
          <cell r="C562">
            <v>22</v>
          </cell>
          <cell r="D562">
            <v>4</v>
          </cell>
          <cell r="E562">
            <v>27551</v>
          </cell>
          <cell r="F562">
            <v>1</v>
          </cell>
          <cell r="G562">
            <v>1</v>
          </cell>
          <cell r="H562" t="str">
            <v>I-8 EB</v>
          </cell>
          <cell r="I562">
            <v>10</v>
          </cell>
          <cell r="J562">
            <v>0</v>
          </cell>
          <cell r="K562" t="str">
            <v>TAYLOR</v>
          </cell>
          <cell r="L562" t="str">
            <v>TAYLOR</v>
          </cell>
          <cell r="M562">
            <v>102178</v>
          </cell>
          <cell r="N562">
            <v>14240</v>
          </cell>
          <cell r="O562">
            <v>25270</v>
          </cell>
          <cell r="P562" t="str">
            <v>PeMS2016</v>
          </cell>
        </row>
        <row r="563">
          <cell r="C563">
            <v>22</v>
          </cell>
          <cell r="D563">
            <v>4</v>
          </cell>
          <cell r="E563">
            <v>27605</v>
          </cell>
          <cell r="F563">
            <v>1</v>
          </cell>
          <cell r="G563">
            <v>1</v>
          </cell>
          <cell r="H563" t="str">
            <v>I-8 EB</v>
          </cell>
          <cell r="I563">
            <v>11</v>
          </cell>
          <cell r="J563">
            <v>0</v>
          </cell>
          <cell r="K563" t="str">
            <v>HOTEL CIRCLE NORTH</v>
          </cell>
          <cell r="L563" t="str">
            <v>HOTEL CIRCLE SOUTH</v>
          </cell>
          <cell r="M563">
            <v>102178</v>
          </cell>
          <cell r="N563">
            <v>14240</v>
          </cell>
          <cell r="O563">
            <v>25270</v>
          </cell>
          <cell r="P563" t="str">
            <v>PeMS2016</v>
          </cell>
        </row>
        <row r="564">
          <cell r="C564">
            <v>22</v>
          </cell>
          <cell r="D564">
            <v>4</v>
          </cell>
          <cell r="E564">
            <v>27555</v>
          </cell>
          <cell r="F564">
            <v>1</v>
          </cell>
          <cell r="G564">
            <v>1</v>
          </cell>
          <cell r="H564" t="str">
            <v>I-8 EB</v>
          </cell>
          <cell r="I564">
            <v>12</v>
          </cell>
          <cell r="J564">
            <v>0</v>
          </cell>
          <cell r="K564" t="str">
            <v>HOTEL CIRCLE SOUTH</v>
          </cell>
          <cell r="L564" t="str">
            <v>HOTEL CIRCLE SOUTH</v>
          </cell>
          <cell r="M564">
            <v>102480</v>
          </cell>
          <cell r="N564">
            <v>14260</v>
          </cell>
          <cell r="O564">
            <v>25476</v>
          </cell>
          <cell r="P564" t="str">
            <v>PeMS2016</v>
          </cell>
        </row>
        <row r="565">
          <cell r="C565">
            <v>22</v>
          </cell>
          <cell r="D565">
            <v>4</v>
          </cell>
          <cell r="E565">
            <v>29089</v>
          </cell>
          <cell r="F565">
            <v>1</v>
          </cell>
          <cell r="G565">
            <v>1</v>
          </cell>
          <cell r="H565" t="str">
            <v>I-8 EB</v>
          </cell>
          <cell r="I565">
            <v>14</v>
          </cell>
          <cell r="J565">
            <v>0</v>
          </cell>
          <cell r="K565" t="str">
            <v>HOTEL CIRCLE SOUTH</v>
          </cell>
          <cell r="L565" t="str">
            <v>HOTEL CIRCLE SOUTH</v>
          </cell>
          <cell r="M565">
            <v>99377</v>
          </cell>
          <cell r="N565">
            <v>13705</v>
          </cell>
          <cell r="O565">
            <v>25023</v>
          </cell>
          <cell r="P565" t="str">
            <v>PeMS2016</v>
          </cell>
        </row>
        <row r="566">
          <cell r="C566">
            <v>22</v>
          </cell>
          <cell r="D566">
            <v>4</v>
          </cell>
          <cell r="E566">
            <v>29108</v>
          </cell>
          <cell r="F566">
            <v>1</v>
          </cell>
          <cell r="G566">
            <v>1</v>
          </cell>
          <cell r="H566" t="str">
            <v>I-8 EB</v>
          </cell>
          <cell r="I566">
            <v>19</v>
          </cell>
          <cell r="J566">
            <v>0</v>
          </cell>
          <cell r="K566" t="str">
            <v>MISSION CENTER</v>
          </cell>
          <cell r="L566" t="str">
            <v>TEXAS</v>
          </cell>
          <cell r="M566">
            <v>110584</v>
          </cell>
          <cell r="N566">
            <v>11418</v>
          </cell>
          <cell r="O566">
            <v>30291</v>
          </cell>
          <cell r="P566" t="str">
            <v>PeMS2016</v>
          </cell>
        </row>
        <row r="567">
          <cell r="C567">
            <v>22</v>
          </cell>
          <cell r="D567">
            <v>4</v>
          </cell>
          <cell r="E567">
            <v>27607</v>
          </cell>
          <cell r="F567">
            <v>1</v>
          </cell>
          <cell r="G567">
            <v>1</v>
          </cell>
          <cell r="H567" t="str">
            <v>I-8 EB</v>
          </cell>
          <cell r="I567">
            <v>21</v>
          </cell>
          <cell r="J567">
            <v>0</v>
          </cell>
          <cell r="K567" t="str">
            <v>I-805 SB</v>
          </cell>
          <cell r="L567" t="str">
            <v>TEXAS</v>
          </cell>
          <cell r="M567">
            <v>69995</v>
          </cell>
          <cell r="N567">
            <v>7388</v>
          </cell>
          <cell r="O567">
            <v>19235</v>
          </cell>
          <cell r="P567" t="str">
            <v>PeMS2016</v>
          </cell>
        </row>
        <row r="568">
          <cell r="C568">
            <v>22</v>
          </cell>
          <cell r="D568">
            <v>4</v>
          </cell>
          <cell r="E568">
            <v>28106</v>
          </cell>
          <cell r="F568">
            <v>1</v>
          </cell>
          <cell r="G568">
            <v>1</v>
          </cell>
          <cell r="H568" t="str">
            <v>I-8 EB</v>
          </cell>
          <cell r="I568">
            <v>23</v>
          </cell>
          <cell r="J568">
            <v>0</v>
          </cell>
          <cell r="K568" t="str">
            <v>TEXAS</v>
          </cell>
          <cell r="L568" t="str">
            <v>I-805 NB</v>
          </cell>
          <cell r="M568">
            <v>89518</v>
          </cell>
          <cell r="N568">
            <v>9527</v>
          </cell>
          <cell r="O568">
            <v>23330</v>
          </cell>
          <cell r="P568" t="str">
            <v>PeMS2016</v>
          </cell>
        </row>
        <row r="569">
          <cell r="C569">
            <v>22</v>
          </cell>
          <cell r="D569">
            <v>4</v>
          </cell>
          <cell r="E569">
            <v>10996</v>
          </cell>
          <cell r="F569">
            <v>1</v>
          </cell>
          <cell r="G569">
            <v>1</v>
          </cell>
          <cell r="H569" t="str">
            <v>I-8 EB</v>
          </cell>
          <cell r="I569">
            <v>24</v>
          </cell>
          <cell r="J569">
            <v>0</v>
          </cell>
          <cell r="K569" t="str">
            <v>I-805 NB</v>
          </cell>
          <cell r="L569" t="str">
            <v>SR-15 SB</v>
          </cell>
          <cell r="M569">
            <v>125503</v>
          </cell>
          <cell r="N569">
            <v>13738</v>
          </cell>
          <cell r="O569">
            <v>32396</v>
          </cell>
          <cell r="P569" t="str">
            <v>Caltran</v>
          </cell>
        </row>
        <row r="570">
          <cell r="C570">
            <v>22</v>
          </cell>
          <cell r="D570">
            <v>4</v>
          </cell>
          <cell r="E570">
            <v>16096</v>
          </cell>
          <cell r="F570">
            <v>1</v>
          </cell>
          <cell r="G570">
            <v>1</v>
          </cell>
          <cell r="H570" t="str">
            <v>I-8 EB</v>
          </cell>
          <cell r="I570">
            <v>25</v>
          </cell>
          <cell r="J570">
            <v>0</v>
          </cell>
          <cell r="K570" t="str">
            <v>SR-15 SB</v>
          </cell>
          <cell r="L570" t="str">
            <v>SR-15 SB</v>
          </cell>
          <cell r="M570">
            <v>82283</v>
          </cell>
          <cell r="N570">
            <v>8956</v>
          </cell>
          <cell r="O570">
            <v>22510</v>
          </cell>
          <cell r="P570" t="str">
            <v>PeMS2016</v>
          </cell>
        </row>
        <row r="571">
          <cell r="C571">
            <v>22</v>
          </cell>
          <cell r="D571">
            <v>4</v>
          </cell>
          <cell r="E571">
            <v>15432</v>
          </cell>
          <cell r="F571">
            <v>1</v>
          </cell>
          <cell r="G571">
            <v>1</v>
          </cell>
          <cell r="H571" t="str">
            <v>I-8 EB</v>
          </cell>
          <cell r="I571">
            <v>28</v>
          </cell>
          <cell r="J571">
            <v>0</v>
          </cell>
          <cell r="K571" t="str">
            <v>FAIRMOUNT</v>
          </cell>
          <cell r="L571" t="str">
            <v>WARING</v>
          </cell>
          <cell r="M571">
            <v>123160</v>
          </cell>
          <cell r="N571">
            <v>15120</v>
          </cell>
          <cell r="O571">
            <v>32759</v>
          </cell>
          <cell r="P571" t="str">
            <v>PeMS2016</v>
          </cell>
        </row>
        <row r="572">
          <cell r="C572">
            <v>22</v>
          </cell>
          <cell r="D572">
            <v>4</v>
          </cell>
          <cell r="E572">
            <v>14953</v>
          </cell>
          <cell r="F572">
            <v>1</v>
          </cell>
          <cell r="G572">
            <v>1</v>
          </cell>
          <cell r="H572" t="str">
            <v>I-8 EB</v>
          </cell>
          <cell r="I572">
            <v>30</v>
          </cell>
          <cell r="J572">
            <v>0</v>
          </cell>
          <cell r="K572" t="str">
            <v>WARING</v>
          </cell>
          <cell r="L572" t="str">
            <v>COLLEGE</v>
          </cell>
          <cell r="M572">
            <v>119243</v>
          </cell>
          <cell r="N572">
            <v>14391</v>
          </cell>
          <cell r="O572">
            <v>32175</v>
          </cell>
          <cell r="P572" t="str">
            <v>PeMS2016</v>
          </cell>
        </row>
        <row r="573">
          <cell r="C573">
            <v>22</v>
          </cell>
          <cell r="D573">
            <v>4</v>
          </cell>
          <cell r="E573">
            <v>15443</v>
          </cell>
          <cell r="F573">
            <v>1</v>
          </cell>
          <cell r="G573">
            <v>1</v>
          </cell>
          <cell r="H573" t="str">
            <v>I-8 EB</v>
          </cell>
          <cell r="I573">
            <v>31</v>
          </cell>
          <cell r="J573">
            <v>0</v>
          </cell>
          <cell r="K573" t="str">
            <v>WARING</v>
          </cell>
          <cell r="L573" t="str">
            <v>COLLEGE</v>
          </cell>
          <cell r="M573">
            <v>113934</v>
          </cell>
          <cell r="N573">
            <v>14341</v>
          </cell>
          <cell r="O573">
            <v>31197</v>
          </cell>
          <cell r="P573" t="str">
            <v>PeMS2016</v>
          </cell>
        </row>
        <row r="574">
          <cell r="C574">
            <v>22</v>
          </cell>
          <cell r="D574">
            <v>4</v>
          </cell>
          <cell r="E574">
            <v>15457</v>
          </cell>
          <cell r="F574">
            <v>1</v>
          </cell>
          <cell r="G574">
            <v>1</v>
          </cell>
          <cell r="H574" t="str">
            <v>I-8 EB</v>
          </cell>
          <cell r="I574">
            <v>32</v>
          </cell>
          <cell r="J574">
            <v>0</v>
          </cell>
          <cell r="K574" t="str">
            <v>COLLEGE</v>
          </cell>
          <cell r="L574" t="str">
            <v>COLLEGE</v>
          </cell>
          <cell r="M574">
            <v>103006</v>
          </cell>
          <cell r="N574">
            <v>11938</v>
          </cell>
          <cell r="O574">
            <v>29007</v>
          </cell>
          <cell r="P574" t="str">
            <v>PeMS2016</v>
          </cell>
        </row>
        <row r="575">
          <cell r="C575">
            <v>22</v>
          </cell>
          <cell r="D575">
            <v>4</v>
          </cell>
          <cell r="E575">
            <v>15459</v>
          </cell>
          <cell r="F575">
            <v>1</v>
          </cell>
          <cell r="G575">
            <v>1</v>
          </cell>
          <cell r="H575" t="str">
            <v>I-8 EB</v>
          </cell>
          <cell r="I575">
            <v>33</v>
          </cell>
          <cell r="J575">
            <v>0</v>
          </cell>
          <cell r="K575" t="str">
            <v>COLLEGE</v>
          </cell>
          <cell r="L575" t="str">
            <v>LAKE MURRAY</v>
          </cell>
          <cell r="M575">
            <v>100757</v>
          </cell>
          <cell r="N575">
            <v>11653</v>
          </cell>
          <cell r="O575">
            <v>28021</v>
          </cell>
          <cell r="P575" t="str">
            <v>Caltran</v>
          </cell>
        </row>
        <row r="576">
          <cell r="C576">
            <v>22</v>
          </cell>
          <cell r="D576">
            <v>4</v>
          </cell>
          <cell r="E576">
            <v>11035</v>
          </cell>
          <cell r="F576">
            <v>1</v>
          </cell>
          <cell r="G576">
            <v>1</v>
          </cell>
          <cell r="H576" t="str">
            <v>I-8 EB</v>
          </cell>
          <cell r="I576">
            <v>35</v>
          </cell>
          <cell r="J576">
            <v>0</v>
          </cell>
          <cell r="K576" t="str">
            <v>LAKE MURRAY</v>
          </cell>
          <cell r="L576" t="str">
            <v>FLETCHER</v>
          </cell>
          <cell r="M576">
            <v>101417</v>
          </cell>
          <cell r="N576">
            <v>12107</v>
          </cell>
          <cell r="O576">
            <v>28522</v>
          </cell>
          <cell r="P576" t="str">
            <v>PeMS2016</v>
          </cell>
        </row>
        <row r="577">
          <cell r="C577">
            <v>22</v>
          </cell>
          <cell r="D577">
            <v>4</v>
          </cell>
          <cell r="E577">
            <v>28123</v>
          </cell>
          <cell r="F577">
            <v>1</v>
          </cell>
          <cell r="G577">
            <v>1</v>
          </cell>
          <cell r="H577" t="str">
            <v>I-8 EB</v>
          </cell>
          <cell r="I577">
            <v>36</v>
          </cell>
          <cell r="J577">
            <v>0</v>
          </cell>
          <cell r="K577" t="str">
            <v>FLETCHER</v>
          </cell>
          <cell r="L577" t="str">
            <v>ALVARADO</v>
          </cell>
          <cell r="M577">
            <v>86552</v>
          </cell>
          <cell r="N577">
            <v>10567</v>
          </cell>
          <cell r="O577">
            <v>24159</v>
          </cell>
          <cell r="P577" t="str">
            <v>PeMS2016</v>
          </cell>
        </row>
        <row r="578">
          <cell r="C578">
            <v>22</v>
          </cell>
          <cell r="D578">
            <v>4</v>
          </cell>
          <cell r="E578">
            <v>20719</v>
          </cell>
          <cell r="F578">
            <v>1</v>
          </cell>
          <cell r="G578">
            <v>1</v>
          </cell>
          <cell r="H578" t="str">
            <v>I-8 EB</v>
          </cell>
          <cell r="I578">
            <v>38</v>
          </cell>
          <cell r="J578">
            <v>0</v>
          </cell>
          <cell r="K578" t="str">
            <v>SPRING</v>
          </cell>
          <cell r="L578" t="str">
            <v>EL CAJON</v>
          </cell>
          <cell r="M578">
            <v>84789</v>
          </cell>
          <cell r="N578">
            <v>10578</v>
          </cell>
          <cell r="O578">
            <v>23483</v>
          </cell>
          <cell r="P578" t="str">
            <v>PeMS2016</v>
          </cell>
        </row>
        <row r="579">
          <cell r="C579">
            <v>22</v>
          </cell>
          <cell r="D579">
            <v>4</v>
          </cell>
          <cell r="E579">
            <v>28143</v>
          </cell>
          <cell r="F579">
            <v>1</v>
          </cell>
          <cell r="G579">
            <v>1</v>
          </cell>
          <cell r="H579" t="str">
            <v>I-8 EB</v>
          </cell>
          <cell r="I579">
            <v>39</v>
          </cell>
          <cell r="J579">
            <v>0</v>
          </cell>
          <cell r="K579" t="str">
            <v>EL CAJON</v>
          </cell>
          <cell r="L579" t="str">
            <v>GROSSMONT</v>
          </cell>
          <cell r="M579">
            <v>99542</v>
          </cell>
          <cell r="N579">
            <v>12532</v>
          </cell>
          <cell r="O579">
            <v>26961</v>
          </cell>
          <cell r="P579" t="str">
            <v>Caltran</v>
          </cell>
        </row>
        <row r="580">
          <cell r="C580">
            <v>22</v>
          </cell>
          <cell r="D580">
            <v>4</v>
          </cell>
          <cell r="E580">
            <v>28390</v>
          </cell>
          <cell r="F580">
            <v>1</v>
          </cell>
          <cell r="G580">
            <v>1</v>
          </cell>
          <cell r="H580" t="str">
            <v>I-8 EB</v>
          </cell>
          <cell r="I580">
            <v>40</v>
          </cell>
          <cell r="J580">
            <v>0</v>
          </cell>
          <cell r="K580" t="str">
            <v>GROSSMONT</v>
          </cell>
          <cell r="L580" t="str">
            <v>GROSSMONT</v>
          </cell>
          <cell r="M580">
            <v>78729</v>
          </cell>
          <cell r="N580">
            <v>10210</v>
          </cell>
          <cell r="O580">
            <v>21198</v>
          </cell>
          <cell r="P580" t="str">
            <v>PeMS2016</v>
          </cell>
        </row>
        <row r="581">
          <cell r="C581">
            <v>22</v>
          </cell>
          <cell r="D581">
            <v>4</v>
          </cell>
          <cell r="E581">
            <v>11268</v>
          </cell>
          <cell r="F581">
            <v>1</v>
          </cell>
          <cell r="G581">
            <v>1</v>
          </cell>
          <cell r="H581" t="str">
            <v>I-8 EB</v>
          </cell>
          <cell r="I581">
            <v>47</v>
          </cell>
          <cell r="J581">
            <v>0</v>
          </cell>
          <cell r="K581" t="str">
            <v>GROSSMONT</v>
          </cell>
          <cell r="L581" t="str">
            <v>EL CAJON</v>
          </cell>
          <cell r="M581">
            <v>124107</v>
          </cell>
          <cell r="N581">
            <v>17287</v>
          </cell>
          <cell r="O581">
            <v>31372</v>
          </cell>
          <cell r="P581" t="str">
            <v>PeMS2016</v>
          </cell>
        </row>
        <row r="582">
          <cell r="C582">
            <v>22</v>
          </cell>
          <cell r="D582">
            <v>4</v>
          </cell>
          <cell r="E582">
            <v>11054</v>
          </cell>
          <cell r="F582">
            <v>1</v>
          </cell>
          <cell r="G582">
            <v>1</v>
          </cell>
          <cell r="H582" t="str">
            <v>I-8 EB</v>
          </cell>
          <cell r="I582">
            <v>48</v>
          </cell>
          <cell r="J582">
            <v>0</v>
          </cell>
          <cell r="K582" t="str">
            <v>EL CAJON</v>
          </cell>
          <cell r="L582" t="str">
            <v>MAIN</v>
          </cell>
          <cell r="M582">
            <v>100339</v>
          </cell>
          <cell r="N582">
            <v>14513</v>
          </cell>
          <cell r="O582">
            <v>24705</v>
          </cell>
          <cell r="P582" t="str">
            <v>PeMS2016</v>
          </cell>
        </row>
        <row r="583">
          <cell r="C583">
            <v>22</v>
          </cell>
          <cell r="D583">
            <v>4</v>
          </cell>
          <cell r="E583">
            <v>11055</v>
          </cell>
          <cell r="F583">
            <v>1</v>
          </cell>
          <cell r="G583">
            <v>1</v>
          </cell>
          <cell r="H583" t="str">
            <v>I-8 EB</v>
          </cell>
          <cell r="I583">
            <v>49</v>
          </cell>
          <cell r="J583">
            <v>0</v>
          </cell>
          <cell r="K583" t="str">
            <v>MAIN</v>
          </cell>
          <cell r="L583" t="str">
            <v>MAIN</v>
          </cell>
          <cell r="M583">
            <v>83545</v>
          </cell>
          <cell r="N583">
            <v>12276</v>
          </cell>
          <cell r="O583">
            <v>21546</v>
          </cell>
          <cell r="P583" t="str">
            <v>PeMS2016</v>
          </cell>
        </row>
        <row r="584">
          <cell r="C584">
            <v>22</v>
          </cell>
          <cell r="D584">
            <v>4</v>
          </cell>
          <cell r="E584">
            <v>14949</v>
          </cell>
          <cell r="F584">
            <v>1</v>
          </cell>
          <cell r="G584">
            <v>1</v>
          </cell>
          <cell r="H584" t="str">
            <v>I-8 EB</v>
          </cell>
          <cell r="I584">
            <v>51</v>
          </cell>
          <cell r="J584">
            <v>0</v>
          </cell>
          <cell r="K584" t="str">
            <v>JOHNSON</v>
          </cell>
          <cell r="L584" t="str">
            <v>SR-67 NB</v>
          </cell>
          <cell r="M584">
            <v>78886</v>
          </cell>
          <cell r="N584">
            <v>11251</v>
          </cell>
          <cell r="O584">
            <v>20885</v>
          </cell>
          <cell r="P584" t="str">
            <v>PeMS2016</v>
          </cell>
        </row>
        <row r="585">
          <cell r="C585">
            <v>22</v>
          </cell>
          <cell r="D585">
            <v>4</v>
          </cell>
          <cell r="E585">
            <v>28179</v>
          </cell>
          <cell r="F585">
            <v>1</v>
          </cell>
          <cell r="G585">
            <v>1</v>
          </cell>
          <cell r="H585" t="str">
            <v>I-8 EB</v>
          </cell>
          <cell r="I585">
            <v>54</v>
          </cell>
          <cell r="J585">
            <v>0</v>
          </cell>
          <cell r="K585" t="str">
            <v>MAGNOLIA</v>
          </cell>
          <cell r="L585" t="str">
            <v>MOLLISON</v>
          </cell>
          <cell r="M585">
            <v>59645</v>
          </cell>
          <cell r="N585">
            <v>7513</v>
          </cell>
          <cell r="O585">
            <v>16047</v>
          </cell>
          <cell r="P585" t="str">
            <v>PeMS2016</v>
          </cell>
        </row>
        <row r="586">
          <cell r="C586">
            <v>22</v>
          </cell>
          <cell r="D586">
            <v>4</v>
          </cell>
          <cell r="E586">
            <v>28184</v>
          </cell>
          <cell r="F586">
            <v>1</v>
          </cell>
          <cell r="G586">
            <v>1</v>
          </cell>
          <cell r="H586" t="str">
            <v>I-8 EB</v>
          </cell>
          <cell r="I586">
            <v>55</v>
          </cell>
          <cell r="J586">
            <v>0</v>
          </cell>
          <cell r="K586" t="str">
            <v>MOLLISON</v>
          </cell>
          <cell r="L586" t="str">
            <v>MOLLISON</v>
          </cell>
          <cell r="M586">
            <v>58421</v>
          </cell>
          <cell r="N586">
            <v>7223</v>
          </cell>
          <cell r="O586">
            <v>15932</v>
          </cell>
          <cell r="P586" t="str">
            <v>PeMS2016</v>
          </cell>
        </row>
        <row r="587">
          <cell r="C587">
            <v>22</v>
          </cell>
          <cell r="D587">
            <v>4</v>
          </cell>
          <cell r="E587">
            <v>28186</v>
          </cell>
          <cell r="F587">
            <v>1</v>
          </cell>
          <cell r="G587">
            <v>1</v>
          </cell>
          <cell r="H587" t="str">
            <v>I-8 EB</v>
          </cell>
          <cell r="I587">
            <v>56</v>
          </cell>
          <cell r="J587">
            <v>0</v>
          </cell>
          <cell r="K587" t="str">
            <v>MOLLISON</v>
          </cell>
          <cell r="L587" t="str">
            <v>02ND</v>
          </cell>
          <cell r="M587">
            <v>61008</v>
          </cell>
          <cell r="N587">
            <v>7560</v>
          </cell>
          <cell r="O587">
            <v>16600</v>
          </cell>
          <cell r="P587" t="str">
            <v>PeMS2016</v>
          </cell>
        </row>
        <row r="588">
          <cell r="C588">
            <v>22</v>
          </cell>
          <cell r="D588">
            <v>4</v>
          </cell>
          <cell r="E588">
            <v>28380</v>
          </cell>
          <cell r="F588">
            <v>1</v>
          </cell>
          <cell r="G588">
            <v>1</v>
          </cell>
          <cell r="H588" t="str">
            <v>I-8 EB</v>
          </cell>
          <cell r="I588">
            <v>58</v>
          </cell>
          <cell r="J588">
            <v>0</v>
          </cell>
          <cell r="K588" t="str">
            <v>SR  54</v>
          </cell>
          <cell r="L588" t="str">
            <v>MAIN</v>
          </cell>
          <cell r="M588">
            <v>40350</v>
          </cell>
          <cell r="N588">
            <v>4689</v>
          </cell>
          <cell r="O588">
            <v>11477</v>
          </cell>
          <cell r="P588" t="str">
            <v>PeMS2016</v>
          </cell>
        </row>
        <row r="589">
          <cell r="C589">
            <v>22</v>
          </cell>
          <cell r="D589">
            <v>4</v>
          </cell>
          <cell r="E589">
            <v>28199</v>
          </cell>
          <cell r="F589">
            <v>1</v>
          </cell>
          <cell r="G589">
            <v>1</v>
          </cell>
          <cell r="H589" t="str">
            <v>I-8 EB</v>
          </cell>
          <cell r="I589">
            <v>60</v>
          </cell>
          <cell r="J589">
            <v>0</v>
          </cell>
          <cell r="K589" t="str">
            <v>SR  54</v>
          </cell>
          <cell r="L589" t="str">
            <v>GREENFIELD</v>
          </cell>
          <cell r="M589">
            <v>48429</v>
          </cell>
          <cell r="N589">
            <v>5612</v>
          </cell>
          <cell r="O589">
            <v>13517</v>
          </cell>
          <cell r="P589" t="str">
            <v>PeMS2016</v>
          </cell>
        </row>
        <row r="590">
          <cell r="C590">
            <v>22</v>
          </cell>
          <cell r="D590">
            <v>4</v>
          </cell>
          <cell r="E590">
            <v>28635</v>
          </cell>
          <cell r="F590">
            <v>1</v>
          </cell>
          <cell r="G590">
            <v>1</v>
          </cell>
          <cell r="H590" t="str">
            <v>I-8 EB</v>
          </cell>
          <cell r="I590">
            <v>62</v>
          </cell>
          <cell r="J590">
            <v>0</v>
          </cell>
          <cell r="K590" t="str">
            <v>GREENFIELD</v>
          </cell>
          <cell r="L590" t="str">
            <v>GREENFIELD</v>
          </cell>
          <cell r="M590">
            <v>39284</v>
          </cell>
          <cell r="N590">
            <v>4706</v>
          </cell>
          <cell r="O590">
            <v>10967</v>
          </cell>
          <cell r="P590" t="str">
            <v>PeMS2016</v>
          </cell>
        </row>
        <row r="591">
          <cell r="C591">
            <v>22</v>
          </cell>
          <cell r="D591">
            <v>4</v>
          </cell>
          <cell r="E591">
            <v>28636</v>
          </cell>
          <cell r="F591">
            <v>1</v>
          </cell>
          <cell r="G591">
            <v>1</v>
          </cell>
          <cell r="H591" t="str">
            <v>I-8 EB</v>
          </cell>
          <cell r="I591">
            <v>63</v>
          </cell>
          <cell r="J591">
            <v>0</v>
          </cell>
          <cell r="K591" t="str">
            <v>GREENFIELD</v>
          </cell>
          <cell r="L591" t="str">
            <v>CAM CANADA</v>
          </cell>
          <cell r="M591">
            <v>43277</v>
          </cell>
          <cell r="N591">
            <v>9718</v>
          </cell>
          <cell r="O591">
            <v>8529</v>
          </cell>
          <cell r="P591" t="str">
            <v>PeMS2016</v>
          </cell>
        </row>
        <row r="592">
          <cell r="C592">
            <v>22</v>
          </cell>
          <cell r="D592">
            <v>4</v>
          </cell>
          <cell r="E592">
            <v>28203</v>
          </cell>
          <cell r="F592">
            <v>1</v>
          </cell>
          <cell r="G592">
            <v>1</v>
          </cell>
          <cell r="H592" t="str">
            <v>I-8 EB</v>
          </cell>
          <cell r="I592">
            <v>64</v>
          </cell>
          <cell r="J592">
            <v>0</v>
          </cell>
          <cell r="K592" t="str">
            <v>CAM CANADA</v>
          </cell>
          <cell r="L592" t="str">
            <v>CAM CANADA</v>
          </cell>
          <cell r="M592">
            <v>30683</v>
          </cell>
          <cell r="N592">
            <v>3901</v>
          </cell>
          <cell r="O592">
            <v>8493</v>
          </cell>
          <cell r="P592" t="str">
            <v>PeMS2016</v>
          </cell>
        </row>
        <row r="593">
          <cell r="C593">
            <v>22</v>
          </cell>
          <cell r="D593">
            <v>4</v>
          </cell>
          <cell r="E593">
            <v>28208</v>
          </cell>
          <cell r="F593">
            <v>1</v>
          </cell>
          <cell r="G593">
            <v>1</v>
          </cell>
          <cell r="H593" t="str">
            <v>I-8 EB</v>
          </cell>
          <cell r="I593">
            <v>65</v>
          </cell>
          <cell r="J593">
            <v>1</v>
          </cell>
          <cell r="K593" t="str">
            <v>CAM CANADA</v>
          </cell>
          <cell r="L593" t="str">
            <v>LAKE JENNINGS PARK</v>
          </cell>
          <cell r="M593">
            <v>37191</v>
          </cell>
          <cell r="N593">
            <v>4418</v>
          </cell>
          <cell r="O593">
            <v>10341</v>
          </cell>
          <cell r="P593" t="str">
            <v>PeMS2016</v>
          </cell>
        </row>
        <row r="594">
          <cell r="C594">
            <v>22</v>
          </cell>
          <cell r="D594">
            <v>4</v>
          </cell>
          <cell r="E594">
            <v>28214</v>
          </cell>
          <cell r="F594">
            <v>1</v>
          </cell>
          <cell r="G594">
            <v>1</v>
          </cell>
          <cell r="H594" t="str">
            <v>I-8 EB</v>
          </cell>
          <cell r="I594">
            <v>67</v>
          </cell>
          <cell r="J594">
            <v>0</v>
          </cell>
          <cell r="K594" t="str">
            <v>LAKE JENNINGS PARK</v>
          </cell>
          <cell r="L594" t="str">
            <v>LAKE JENNINGS PARK</v>
          </cell>
          <cell r="M594">
            <v>27524</v>
          </cell>
          <cell r="N594">
            <v>3362</v>
          </cell>
          <cell r="O594">
            <v>7863</v>
          </cell>
          <cell r="P594" t="str">
            <v>PeMS2016</v>
          </cell>
        </row>
        <row r="595">
          <cell r="C595">
            <v>22</v>
          </cell>
          <cell r="D595">
            <v>4</v>
          </cell>
          <cell r="E595">
            <v>28216</v>
          </cell>
          <cell r="F595">
            <v>1</v>
          </cell>
          <cell r="G595">
            <v>1</v>
          </cell>
          <cell r="H595" t="str">
            <v>I-8 EB</v>
          </cell>
          <cell r="I595">
            <v>68</v>
          </cell>
          <cell r="J595">
            <v>3</v>
          </cell>
          <cell r="K595" t="str">
            <v>LAKE JENNINGS PARK</v>
          </cell>
          <cell r="L595" t="str">
            <v>DUNBAR</v>
          </cell>
          <cell r="M595">
            <v>29209</v>
          </cell>
          <cell r="N595">
            <v>3509</v>
          </cell>
          <cell r="O595">
            <v>8246</v>
          </cell>
          <cell r="P595" t="str">
            <v>Caltran</v>
          </cell>
        </row>
        <row r="596">
          <cell r="C596">
            <v>22</v>
          </cell>
          <cell r="D596">
            <v>4</v>
          </cell>
          <cell r="E596">
            <v>29215</v>
          </cell>
          <cell r="F596">
            <v>1</v>
          </cell>
          <cell r="G596">
            <v>1</v>
          </cell>
          <cell r="H596" t="str">
            <v>I-8 EB</v>
          </cell>
          <cell r="I596">
            <v>80</v>
          </cell>
          <cell r="J596">
            <v>2</v>
          </cell>
          <cell r="K596" t="str">
            <v>JAPATUL VALLEY</v>
          </cell>
          <cell r="L596" t="str">
            <v>PINE VALLEY</v>
          </cell>
          <cell r="M596">
            <v>10818</v>
          </cell>
          <cell r="N596">
            <v>1350</v>
          </cell>
          <cell r="O596">
            <v>2708</v>
          </cell>
          <cell r="P596" t="str">
            <v>Caltran</v>
          </cell>
        </row>
        <row r="597">
          <cell r="C597">
            <v>22</v>
          </cell>
          <cell r="D597">
            <v>4</v>
          </cell>
          <cell r="E597">
            <v>28269</v>
          </cell>
          <cell r="F597">
            <v>1</v>
          </cell>
          <cell r="G597">
            <v>1</v>
          </cell>
          <cell r="H597" t="str">
            <v>I-8 EB</v>
          </cell>
          <cell r="I597">
            <v>86</v>
          </cell>
          <cell r="J597">
            <v>2</v>
          </cell>
          <cell r="K597" t="str">
            <v>BUCKMAN SPRINGS</v>
          </cell>
          <cell r="L597" t="str">
            <v>CAMERON TRUCK</v>
          </cell>
          <cell r="M597">
            <v>8499</v>
          </cell>
          <cell r="N597">
            <v>1090</v>
          </cell>
          <cell r="O597">
            <v>1915</v>
          </cell>
          <cell r="P597" t="str">
            <v>Caltran</v>
          </cell>
        </row>
        <row r="598">
          <cell r="C598">
            <v>22</v>
          </cell>
          <cell r="D598">
            <v>4</v>
          </cell>
          <cell r="E598">
            <v>27539</v>
          </cell>
          <cell r="F598">
            <v>1</v>
          </cell>
          <cell r="G598">
            <v>1</v>
          </cell>
          <cell r="H598" t="str">
            <v>I-8 EB</v>
          </cell>
          <cell r="I598">
            <v>92</v>
          </cell>
          <cell r="J598">
            <v>7</v>
          </cell>
          <cell r="K598" t="str">
            <v>SR-94</v>
          </cell>
          <cell r="L598" t="str">
            <v>CORRIZO GORGE</v>
          </cell>
          <cell r="M598">
            <v>7355</v>
          </cell>
          <cell r="N598">
            <v>902</v>
          </cell>
          <cell r="O598">
            <v>1608</v>
          </cell>
          <cell r="P598" t="str">
            <v>Caltran</v>
          </cell>
        </row>
        <row r="599">
          <cell r="C599">
            <v>35</v>
          </cell>
          <cell r="D599">
            <v>2</v>
          </cell>
          <cell r="E599">
            <v>29548</v>
          </cell>
          <cell r="F599">
            <v>1</v>
          </cell>
          <cell r="G599">
            <v>2</v>
          </cell>
          <cell r="H599" t="str">
            <v>I-805 HOV SB</v>
          </cell>
          <cell r="I599">
            <v>5</v>
          </cell>
          <cell r="J599">
            <v>0</v>
          </cell>
          <cell r="K599" t="str">
            <v>ramp I-805 HOV SB</v>
          </cell>
          <cell r="L599" t="str">
            <v>ramp I-805 HOV SB</v>
          </cell>
          <cell r="M599">
            <v>7422</v>
          </cell>
          <cell r="N599">
            <v>804</v>
          </cell>
          <cell r="O599">
            <v>2838</v>
          </cell>
          <cell r="P599" t="str">
            <v>PeMS2016</v>
          </cell>
        </row>
        <row r="600">
          <cell r="C600">
            <v>10</v>
          </cell>
          <cell r="D600">
            <v>2</v>
          </cell>
          <cell r="E600">
            <v>28793</v>
          </cell>
          <cell r="F600">
            <v>1</v>
          </cell>
          <cell r="G600">
            <v>1</v>
          </cell>
          <cell r="H600" t="str">
            <v>I-805 SB</v>
          </cell>
          <cell r="I600">
            <v>1</v>
          </cell>
          <cell r="J600">
            <v>0</v>
          </cell>
          <cell r="K600" t="str">
            <v>I-5 SB</v>
          </cell>
          <cell r="L600" t="str">
            <v>I-5 SB</v>
          </cell>
          <cell r="M600">
            <v>59194</v>
          </cell>
          <cell r="N600">
            <v>12263</v>
          </cell>
          <cell r="O600">
            <v>9432</v>
          </cell>
          <cell r="P600" t="str">
            <v>PeMS2016</v>
          </cell>
        </row>
        <row r="601">
          <cell r="C601">
            <v>10</v>
          </cell>
          <cell r="D601">
            <v>2</v>
          </cell>
          <cell r="E601">
            <v>20781</v>
          </cell>
          <cell r="F601">
            <v>1</v>
          </cell>
          <cell r="G601">
            <v>1</v>
          </cell>
          <cell r="H601" t="str">
            <v>I-805 SB</v>
          </cell>
          <cell r="I601">
            <v>2</v>
          </cell>
          <cell r="J601">
            <v>0</v>
          </cell>
          <cell r="K601" t="str">
            <v>I-5 SB</v>
          </cell>
          <cell r="L601" t="str">
            <v>SORRENTO VALLEY</v>
          </cell>
          <cell r="M601">
            <v>87684</v>
          </cell>
          <cell r="N601">
            <v>18844</v>
          </cell>
          <cell r="O601">
            <v>15531</v>
          </cell>
          <cell r="P601" t="str">
            <v>Caltran</v>
          </cell>
        </row>
        <row r="602">
          <cell r="C602">
            <v>10</v>
          </cell>
          <cell r="D602">
            <v>2</v>
          </cell>
          <cell r="E602">
            <v>28798</v>
          </cell>
          <cell r="F602">
            <v>1</v>
          </cell>
          <cell r="G602">
            <v>1</v>
          </cell>
          <cell r="H602" t="str">
            <v>I-805 SB</v>
          </cell>
          <cell r="I602">
            <v>4</v>
          </cell>
          <cell r="J602">
            <v>0</v>
          </cell>
          <cell r="K602" t="str">
            <v>SORRENTO VALLEY</v>
          </cell>
          <cell r="L602" t="str">
            <v>SORRENTO VALLEY</v>
          </cell>
          <cell r="M602">
            <v>77974</v>
          </cell>
          <cell r="N602">
            <v>16384</v>
          </cell>
          <cell r="O602">
            <v>12370</v>
          </cell>
          <cell r="P602" t="str">
            <v>PeMS2016</v>
          </cell>
        </row>
        <row r="603">
          <cell r="C603">
            <v>10</v>
          </cell>
          <cell r="D603">
            <v>2</v>
          </cell>
          <cell r="E603">
            <v>8802</v>
          </cell>
          <cell r="F603">
            <v>1</v>
          </cell>
          <cell r="G603">
            <v>1</v>
          </cell>
          <cell r="H603" t="str">
            <v>I-805 SB</v>
          </cell>
          <cell r="I603">
            <v>5</v>
          </cell>
          <cell r="J603">
            <v>0</v>
          </cell>
          <cell r="K603" t="str">
            <v>SORRENTO VALLEY</v>
          </cell>
          <cell r="L603" t="str">
            <v>SORRENTO VALLEY</v>
          </cell>
          <cell r="M603">
            <v>80219</v>
          </cell>
          <cell r="N603">
            <v>14787</v>
          </cell>
          <cell r="O603">
            <v>16116</v>
          </cell>
          <cell r="P603" t="str">
            <v>PeMS2016</v>
          </cell>
        </row>
        <row r="604">
          <cell r="C604">
            <v>10</v>
          </cell>
          <cell r="D604">
            <v>2</v>
          </cell>
          <cell r="E604">
            <v>26791</v>
          </cell>
          <cell r="F604">
            <v>1</v>
          </cell>
          <cell r="G604">
            <v>1</v>
          </cell>
          <cell r="H604" t="str">
            <v>I-805 SB</v>
          </cell>
          <cell r="I604">
            <v>7</v>
          </cell>
          <cell r="J604">
            <v>0</v>
          </cell>
          <cell r="K604" t="str">
            <v>SORRENTO VALLEY</v>
          </cell>
          <cell r="L604" t="str">
            <v>LA JOLLA VILLAGE</v>
          </cell>
          <cell r="M604">
            <v>84108</v>
          </cell>
          <cell r="N604">
            <v>15226</v>
          </cell>
          <cell r="O604">
            <v>16818</v>
          </cell>
          <cell r="P604" t="str">
            <v>PeMS2016</v>
          </cell>
        </row>
        <row r="605">
          <cell r="C605">
            <v>10</v>
          </cell>
          <cell r="D605">
            <v>2</v>
          </cell>
          <cell r="E605">
            <v>24703</v>
          </cell>
          <cell r="F605">
            <v>1</v>
          </cell>
          <cell r="G605">
            <v>1</v>
          </cell>
          <cell r="H605" t="str">
            <v>I-805 SB</v>
          </cell>
          <cell r="I605">
            <v>9</v>
          </cell>
          <cell r="J605">
            <v>0</v>
          </cell>
          <cell r="K605" t="str">
            <v>LA JOLLA VILLAGE</v>
          </cell>
          <cell r="L605" t="str">
            <v>LA JOLLA VILLAGE</v>
          </cell>
          <cell r="M605">
            <v>69774</v>
          </cell>
          <cell r="N605">
            <v>10886</v>
          </cell>
          <cell r="O605">
            <v>14690</v>
          </cell>
          <cell r="P605" t="str">
            <v>PeMS2016</v>
          </cell>
        </row>
        <row r="606">
          <cell r="C606">
            <v>10</v>
          </cell>
          <cell r="D606">
            <v>2</v>
          </cell>
          <cell r="E606">
            <v>15065</v>
          </cell>
          <cell r="F606">
            <v>1</v>
          </cell>
          <cell r="G606">
            <v>1</v>
          </cell>
          <cell r="H606" t="str">
            <v>I-805 SB</v>
          </cell>
          <cell r="I606">
            <v>11</v>
          </cell>
          <cell r="J606">
            <v>0</v>
          </cell>
          <cell r="K606" t="str">
            <v>LA JOLLA VILLAGE</v>
          </cell>
          <cell r="L606" t="str">
            <v>NOBEL</v>
          </cell>
          <cell r="M606">
            <v>83493</v>
          </cell>
          <cell r="N606">
            <v>11843</v>
          </cell>
          <cell r="O606">
            <v>19570</v>
          </cell>
          <cell r="P606" t="str">
            <v>PeMS2016</v>
          </cell>
        </row>
        <row r="607">
          <cell r="C607">
            <v>10</v>
          </cell>
          <cell r="D607">
            <v>2</v>
          </cell>
          <cell r="E607">
            <v>24704</v>
          </cell>
          <cell r="F607">
            <v>1</v>
          </cell>
          <cell r="G607">
            <v>1</v>
          </cell>
          <cell r="H607" t="str">
            <v>I-805 SB</v>
          </cell>
          <cell r="I607">
            <v>13</v>
          </cell>
          <cell r="J607">
            <v>0</v>
          </cell>
          <cell r="K607" t="str">
            <v>GOVERNOR</v>
          </cell>
          <cell r="L607" t="str">
            <v>GOVERNOR</v>
          </cell>
          <cell r="M607">
            <v>90898</v>
          </cell>
          <cell r="N607">
            <v>12446</v>
          </cell>
          <cell r="O607">
            <v>20288</v>
          </cell>
          <cell r="P607" t="str">
            <v>PeMS2016</v>
          </cell>
        </row>
        <row r="608">
          <cell r="C608">
            <v>10</v>
          </cell>
          <cell r="D608">
            <v>2</v>
          </cell>
          <cell r="E608">
            <v>770</v>
          </cell>
          <cell r="F608">
            <v>1</v>
          </cell>
          <cell r="G608">
            <v>1</v>
          </cell>
          <cell r="H608" t="str">
            <v>I-805 SB</v>
          </cell>
          <cell r="I608">
            <v>18</v>
          </cell>
          <cell r="J608">
            <v>0</v>
          </cell>
          <cell r="K608" t="str">
            <v>SR-52 WB</v>
          </cell>
          <cell r="L608" t="str">
            <v>SR-52 EB</v>
          </cell>
          <cell r="M608">
            <v>89607</v>
          </cell>
          <cell r="N608">
            <v>12074</v>
          </cell>
          <cell r="O608">
            <v>19295</v>
          </cell>
          <cell r="P608" t="str">
            <v>PeMS2016</v>
          </cell>
        </row>
        <row r="609">
          <cell r="C609">
            <v>10</v>
          </cell>
          <cell r="D609">
            <v>2</v>
          </cell>
          <cell r="E609">
            <v>771</v>
          </cell>
          <cell r="F609">
            <v>1</v>
          </cell>
          <cell r="G609">
            <v>1</v>
          </cell>
          <cell r="H609" t="str">
            <v>I-805 SB</v>
          </cell>
          <cell r="I609">
            <v>19</v>
          </cell>
          <cell r="J609">
            <v>0</v>
          </cell>
          <cell r="K609" t="str">
            <v>SR-52 EB</v>
          </cell>
          <cell r="L609" t="str">
            <v>CLAIREMONT MESA</v>
          </cell>
          <cell r="M609">
            <v>97841</v>
          </cell>
          <cell r="N609">
            <v>13366</v>
          </cell>
          <cell r="O609">
            <v>20237</v>
          </cell>
          <cell r="P609" t="str">
            <v>PeMS2016</v>
          </cell>
        </row>
        <row r="610">
          <cell r="C610">
            <v>10</v>
          </cell>
          <cell r="D610">
            <v>2</v>
          </cell>
          <cell r="E610">
            <v>772</v>
          </cell>
          <cell r="F610">
            <v>1</v>
          </cell>
          <cell r="G610">
            <v>1</v>
          </cell>
          <cell r="H610" t="str">
            <v>I-805 SB</v>
          </cell>
          <cell r="I610">
            <v>20</v>
          </cell>
          <cell r="J610">
            <v>0</v>
          </cell>
          <cell r="K610" t="str">
            <v>CLAIREMONT MESA</v>
          </cell>
          <cell r="L610" t="str">
            <v>CLAIREMONT MESA</v>
          </cell>
          <cell r="M610">
            <v>93083</v>
          </cell>
          <cell r="N610">
            <v>11815</v>
          </cell>
          <cell r="O610">
            <v>20101</v>
          </cell>
          <cell r="P610" t="str">
            <v>PeMS2016</v>
          </cell>
        </row>
        <row r="611">
          <cell r="C611">
            <v>10</v>
          </cell>
          <cell r="D611">
            <v>2</v>
          </cell>
          <cell r="E611">
            <v>777</v>
          </cell>
          <cell r="F611">
            <v>1</v>
          </cell>
          <cell r="G611">
            <v>1</v>
          </cell>
          <cell r="H611" t="str">
            <v>I-805 SB</v>
          </cell>
          <cell r="I611">
            <v>24</v>
          </cell>
          <cell r="J611">
            <v>0</v>
          </cell>
          <cell r="K611" t="str">
            <v>BALBOA</v>
          </cell>
          <cell r="L611" t="str">
            <v>SR-163 SB</v>
          </cell>
          <cell r="M611">
            <v>106367</v>
          </cell>
          <cell r="N611">
            <v>13887</v>
          </cell>
          <cell r="O611">
            <v>23020</v>
          </cell>
          <cell r="P611" t="str">
            <v>PeMS2016</v>
          </cell>
        </row>
        <row r="612">
          <cell r="C612">
            <v>10</v>
          </cell>
          <cell r="D612">
            <v>2</v>
          </cell>
          <cell r="E612">
            <v>22716</v>
          </cell>
          <cell r="F612">
            <v>1</v>
          </cell>
          <cell r="G612">
            <v>1</v>
          </cell>
          <cell r="H612" t="str">
            <v>I-805 SB</v>
          </cell>
          <cell r="I612">
            <v>25</v>
          </cell>
          <cell r="J612">
            <v>0</v>
          </cell>
          <cell r="K612" t="str">
            <v>SR-163 SB</v>
          </cell>
          <cell r="L612" t="str">
            <v>SR-163 SB</v>
          </cell>
          <cell r="M612">
            <v>74869</v>
          </cell>
          <cell r="N612">
            <v>8546</v>
          </cell>
          <cell r="O612">
            <v>17403</v>
          </cell>
          <cell r="P612" t="str">
            <v>PeMS2016</v>
          </cell>
        </row>
        <row r="613">
          <cell r="C613">
            <v>10</v>
          </cell>
          <cell r="D613">
            <v>2</v>
          </cell>
          <cell r="E613">
            <v>778</v>
          </cell>
          <cell r="F613">
            <v>1</v>
          </cell>
          <cell r="G613">
            <v>1</v>
          </cell>
          <cell r="H613" t="str">
            <v>I-805 SB</v>
          </cell>
          <cell r="I613">
            <v>26</v>
          </cell>
          <cell r="J613">
            <v>0</v>
          </cell>
          <cell r="K613" t="str">
            <v>SR-163 SB</v>
          </cell>
          <cell r="L613" t="str">
            <v>SR-163 SB</v>
          </cell>
          <cell r="M613">
            <v>83231</v>
          </cell>
          <cell r="N613">
            <v>9648</v>
          </cell>
          <cell r="O613">
            <v>18107</v>
          </cell>
          <cell r="P613" t="str">
            <v>PeMS2016</v>
          </cell>
        </row>
        <row r="614">
          <cell r="C614">
            <v>10</v>
          </cell>
          <cell r="D614">
            <v>2</v>
          </cell>
          <cell r="E614">
            <v>779</v>
          </cell>
          <cell r="F614">
            <v>1</v>
          </cell>
          <cell r="G614">
            <v>1</v>
          </cell>
          <cell r="H614" t="str">
            <v>I-805 SB</v>
          </cell>
          <cell r="I614">
            <v>27</v>
          </cell>
          <cell r="J614">
            <v>0</v>
          </cell>
          <cell r="K614" t="str">
            <v>SR-163 SB</v>
          </cell>
          <cell r="L614" t="str">
            <v>MESA COLLEGE</v>
          </cell>
          <cell r="M614">
            <v>77230</v>
          </cell>
          <cell r="N614">
            <v>8734</v>
          </cell>
          <cell r="O614">
            <v>18499</v>
          </cell>
          <cell r="P614" t="str">
            <v>PeMS2016</v>
          </cell>
        </row>
        <row r="615">
          <cell r="C615">
            <v>10</v>
          </cell>
          <cell r="D615">
            <v>2</v>
          </cell>
          <cell r="E615">
            <v>786</v>
          </cell>
          <cell r="F615">
            <v>1</v>
          </cell>
          <cell r="G615">
            <v>1</v>
          </cell>
          <cell r="H615" t="str">
            <v>I-805 SB</v>
          </cell>
          <cell r="I615">
            <v>28</v>
          </cell>
          <cell r="J615">
            <v>0</v>
          </cell>
          <cell r="K615" t="str">
            <v>MESA COLLEGE</v>
          </cell>
          <cell r="L615" t="str">
            <v>MURRAY RIDGE</v>
          </cell>
          <cell r="M615">
            <v>113284</v>
          </cell>
          <cell r="N615">
            <v>11901</v>
          </cell>
          <cell r="O615">
            <v>29959</v>
          </cell>
          <cell r="P615" t="str">
            <v>PeMS2016</v>
          </cell>
        </row>
        <row r="616">
          <cell r="C616">
            <v>10</v>
          </cell>
          <cell r="D616">
            <v>2</v>
          </cell>
          <cell r="E616">
            <v>787</v>
          </cell>
          <cell r="F616">
            <v>1</v>
          </cell>
          <cell r="G616">
            <v>1</v>
          </cell>
          <cell r="H616" t="str">
            <v>I-805 SB</v>
          </cell>
          <cell r="I616">
            <v>29</v>
          </cell>
          <cell r="J616">
            <v>0</v>
          </cell>
          <cell r="K616" t="str">
            <v>MURRAY RIDGE</v>
          </cell>
          <cell r="L616" t="str">
            <v>MURRAY RIDGE</v>
          </cell>
          <cell r="M616">
            <v>109946</v>
          </cell>
          <cell r="N616">
            <v>11566</v>
          </cell>
          <cell r="O616">
            <v>29030</v>
          </cell>
          <cell r="P616" t="str">
            <v>PeMS2016</v>
          </cell>
        </row>
        <row r="617">
          <cell r="C617">
            <v>10</v>
          </cell>
          <cell r="D617">
            <v>2</v>
          </cell>
          <cell r="E617">
            <v>788</v>
          </cell>
          <cell r="F617">
            <v>1</v>
          </cell>
          <cell r="G617">
            <v>1</v>
          </cell>
          <cell r="H617" t="str">
            <v>I-805 SB</v>
          </cell>
          <cell r="I617">
            <v>30</v>
          </cell>
          <cell r="J617">
            <v>0</v>
          </cell>
          <cell r="K617" t="str">
            <v>MURRAY RIDGE</v>
          </cell>
          <cell r="L617" t="str">
            <v>I-8 WB</v>
          </cell>
          <cell r="M617">
            <v>115284</v>
          </cell>
          <cell r="N617">
            <v>12424</v>
          </cell>
          <cell r="O617">
            <v>30741</v>
          </cell>
          <cell r="P617" t="str">
            <v>PeMS2016</v>
          </cell>
        </row>
        <row r="618">
          <cell r="C618">
            <v>10</v>
          </cell>
          <cell r="D618">
            <v>2</v>
          </cell>
          <cell r="E618">
            <v>20782</v>
          </cell>
          <cell r="F618">
            <v>1</v>
          </cell>
          <cell r="G618">
            <v>1</v>
          </cell>
          <cell r="H618" t="str">
            <v>I-805 SB</v>
          </cell>
          <cell r="I618">
            <v>31</v>
          </cell>
          <cell r="J618">
            <v>0</v>
          </cell>
          <cell r="K618" t="str">
            <v>I-8 WB</v>
          </cell>
          <cell r="L618" t="str">
            <v>I-8 EB</v>
          </cell>
          <cell r="M618">
            <v>77538</v>
          </cell>
          <cell r="N618">
            <v>7950</v>
          </cell>
          <cell r="O618">
            <v>21829</v>
          </cell>
          <cell r="P618" t="str">
            <v>PeMS2016</v>
          </cell>
        </row>
        <row r="619">
          <cell r="C619">
            <v>10</v>
          </cell>
          <cell r="D619">
            <v>2</v>
          </cell>
          <cell r="E619">
            <v>792</v>
          </cell>
          <cell r="F619">
            <v>1</v>
          </cell>
          <cell r="G619">
            <v>1</v>
          </cell>
          <cell r="H619" t="str">
            <v>I-805 SB</v>
          </cell>
          <cell r="I619">
            <v>33</v>
          </cell>
          <cell r="J619">
            <v>0</v>
          </cell>
          <cell r="K619" t="str">
            <v>MADISON</v>
          </cell>
          <cell r="L619" t="str">
            <v>EL CAJON</v>
          </cell>
          <cell r="M619">
            <v>103770</v>
          </cell>
          <cell r="N619">
            <v>10440</v>
          </cell>
          <cell r="O619">
            <v>29038</v>
          </cell>
          <cell r="P619" t="str">
            <v>PeMS2016</v>
          </cell>
        </row>
        <row r="620">
          <cell r="C620">
            <v>10</v>
          </cell>
          <cell r="D620">
            <v>2</v>
          </cell>
          <cell r="E620">
            <v>797</v>
          </cell>
          <cell r="F620">
            <v>1</v>
          </cell>
          <cell r="G620">
            <v>1</v>
          </cell>
          <cell r="H620" t="str">
            <v>I-805 SB</v>
          </cell>
          <cell r="I620">
            <v>35</v>
          </cell>
          <cell r="J620">
            <v>0</v>
          </cell>
          <cell r="K620" t="str">
            <v>EL CAJON</v>
          </cell>
          <cell r="L620" t="str">
            <v>UNIVERSITY</v>
          </cell>
          <cell r="M620">
            <v>100286</v>
          </cell>
          <cell r="N620">
            <v>10378</v>
          </cell>
          <cell r="O620">
            <v>28272</v>
          </cell>
          <cell r="P620" t="str">
            <v>Caltran</v>
          </cell>
        </row>
        <row r="621">
          <cell r="C621">
            <v>10</v>
          </cell>
          <cell r="D621">
            <v>2</v>
          </cell>
          <cell r="E621">
            <v>801</v>
          </cell>
          <cell r="F621">
            <v>1</v>
          </cell>
          <cell r="G621">
            <v>1</v>
          </cell>
          <cell r="H621" t="str">
            <v>I-805 SB</v>
          </cell>
          <cell r="I621">
            <v>39</v>
          </cell>
          <cell r="J621">
            <v>0</v>
          </cell>
          <cell r="K621" t="str">
            <v>SR-15 SB</v>
          </cell>
          <cell r="L621" t="str">
            <v>SR-15 SB</v>
          </cell>
          <cell r="M621">
            <v>80553</v>
          </cell>
          <cell r="N621">
            <v>8164</v>
          </cell>
          <cell r="O621">
            <v>23425</v>
          </cell>
          <cell r="P621" t="str">
            <v>PeMS2016</v>
          </cell>
        </row>
        <row r="622">
          <cell r="C622">
            <v>10</v>
          </cell>
          <cell r="D622">
            <v>2</v>
          </cell>
          <cell r="E622">
            <v>802</v>
          </cell>
          <cell r="F622">
            <v>1</v>
          </cell>
          <cell r="G622">
            <v>1</v>
          </cell>
          <cell r="H622" t="str">
            <v>I-805 SB</v>
          </cell>
          <cell r="I622">
            <v>40</v>
          </cell>
          <cell r="J622">
            <v>0</v>
          </cell>
          <cell r="K622" t="str">
            <v>SR-15 SB</v>
          </cell>
          <cell r="L622" t="str">
            <v>HOME</v>
          </cell>
          <cell r="M622">
            <v>124522</v>
          </cell>
          <cell r="N622">
            <v>14270</v>
          </cell>
          <cell r="O622">
            <v>32716</v>
          </cell>
          <cell r="P622" t="str">
            <v>PeMS2016</v>
          </cell>
        </row>
        <row r="623">
          <cell r="C623">
            <v>10</v>
          </cell>
          <cell r="D623">
            <v>2</v>
          </cell>
          <cell r="E623">
            <v>804</v>
          </cell>
          <cell r="F623">
            <v>1</v>
          </cell>
          <cell r="G623">
            <v>1</v>
          </cell>
          <cell r="H623" t="str">
            <v>I-805 SB</v>
          </cell>
          <cell r="I623">
            <v>42</v>
          </cell>
          <cell r="J623">
            <v>0</v>
          </cell>
          <cell r="L623" t="str">
            <v>SR-94 EB</v>
          </cell>
          <cell r="M623">
            <v>86516</v>
          </cell>
          <cell r="N623">
            <v>10536</v>
          </cell>
          <cell r="O623">
            <v>21789</v>
          </cell>
          <cell r="P623" t="str">
            <v>PeMS2016</v>
          </cell>
        </row>
        <row r="624">
          <cell r="C624">
            <v>10</v>
          </cell>
          <cell r="D624">
            <v>2</v>
          </cell>
          <cell r="E624">
            <v>806</v>
          </cell>
          <cell r="F624">
            <v>1</v>
          </cell>
          <cell r="G624">
            <v>1</v>
          </cell>
          <cell r="H624" t="str">
            <v>I-805 SB</v>
          </cell>
          <cell r="I624">
            <v>45</v>
          </cell>
          <cell r="J624">
            <v>0</v>
          </cell>
          <cell r="K624" t="str">
            <v>MARKET</v>
          </cell>
          <cell r="L624" t="str">
            <v>SR-94 EB</v>
          </cell>
          <cell r="M624">
            <v>70389</v>
          </cell>
          <cell r="N624">
            <v>8204</v>
          </cell>
          <cell r="O624">
            <v>19717</v>
          </cell>
          <cell r="P624" t="str">
            <v>PeMS2016</v>
          </cell>
        </row>
        <row r="625">
          <cell r="C625">
            <v>10</v>
          </cell>
          <cell r="D625">
            <v>2</v>
          </cell>
          <cell r="E625">
            <v>807</v>
          </cell>
          <cell r="F625">
            <v>1</v>
          </cell>
          <cell r="G625">
            <v>1</v>
          </cell>
          <cell r="H625" t="str">
            <v>I-805 SB</v>
          </cell>
          <cell r="I625">
            <v>46</v>
          </cell>
          <cell r="J625">
            <v>0</v>
          </cell>
          <cell r="K625" t="str">
            <v>SR-94 EB</v>
          </cell>
          <cell r="L625" t="str">
            <v>MARKET</v>
          </cell>
          <cell r="M625">
            <v>116555</v>
          </cell>
          <cell r="N625">
            <v>13182</v>
          </cell>
          <cell r="O625">
            <v>32011</v>
          </cell>
          <cell r="P625" t="str">
            <v>Caltran</v>
          </cell>
        </row>
        <row r="626">
          <cell r="C626">
            <v>10</v>
          </cell>
          <cell r="D626">
            <v>2</v>
          </cell>
          <cell r="E626">
            <v>3222</v>
          </cell>
          <cell r="F626">
            <v>1</v>
          </cell>
          <cell r="G626">
            <v>1</v>
          </cell>
          <cell r="H626" t="str">
            <v>I-805 SB</v>
          </cell>
          <cell r="I626">
            <v>51</v>
          </cell>
          <cell r="J626">
            <v>0</v>
          </cell>
          <cell r="K626" t="str">
            <v>47TH</v>
          </cell>
          <cell r="L626" t="str">
            <v>47TH</v>
          </cell>
          <cell r="M626">
            <v>73195</v>
          </cell>
          <cell r="N626">
            <v>8331</v>
          </cell>
          <cell r="O626">
            <v>21475</v>
          </cell>
          <cell r="P626" t="str">
            <v>PeMS2016</v>
          </cell>
        </row>
        <row r="627">
          <cell r="C627">
            <v>10</v>
          </cell>
          <cell r="D627">
            <v>2</v>
          </cell>
          <cell r="E627">
            <v>813</v>
          </cell>
          <cell r="F627">
            <v>1</v>
          </cell>
          <cell r="G627">
            <v>1</v>
          </cell>
          <cell r="H627" t="str">
            <v>I-805 SB</v>
          </cell>
          <cell r="I627">
            <v>53</v>
          </cell>
          <cell r="J627">
            <v>0</v>
          </cell>
          <cell r="K627" t="str">
            <v>47TH</v>
          </cell>
          <cell r="L627" t="str">
            <v>43RD</v>
          </cell>
          <cell r="M627">
            <v>103150</v>
          </cell>
          <cell r="N627">
            <v>12545</v>
          </cell>
          <cell r="O627">
            <v>27118</v>
          </cell>
          <cell r="P627" t="str">
            <v>PeMS2016</v>
          </cell>
        </row>
        <row r="628">
          <cell r="C628">
            <v>10</v>
          </cell>
          <cell r="D628">
            <v>2</v>
          </cell>
          <cell r="E628">
            <v>815</v>
          </cell>
          <cell r="F628">
            <v>1</v>
          </cell>
          <cell r="G628">
            <v>1</v>
          </cell>
          <cell r="H628" t="str">
            <v>I-805 SB</v>
          </cell>
          <cell r="I628">
            <v>54</v>
          </cell>
          <cell r="J628">
            <v>0</v>
          </cell>
          <cell r="K628" t="str">
            <v>43RD</v>
          </cell>
          <cell r="L628" t="str">
            <v>PLAZA</v>
          </cell>
          <cell r="M628">
            <v>111954</v>
          </cell>
          <cell r="N628">
            <v>12966</v>
          </cell>
          <cell r="O628">
            <v>31203</v>
          </cell>
          <cell r="P628" t="str">
            <v>Caltran</v>
          </cell>
        </row>
        <row r="629">
          <cell r="C629">
            <v>10</v>
          </cell>
          <cell r="D629">
            <v>2</v>
          </cell>
          <cell r="E629">
            <v>20789</v>
          </cell>
          <cell r="F629">
            <v>1</v>
          </cell>
          <cell r="G629">
            <v>1</v>
          </cell>
          <cell r="H629" t="str">
            <v>I-805 SB</v>
          </cell>
          <cell r="I629">
            <v>55</v>
          </cell>
          <cell r="J629">
            <v>0</v>
          </cell>
          <cell r="K629" t="str">
            <v>PLAZA</v>
          </cell>
          <cell r="L629" t="str">
            <v>PLAZA</v>
          </cell>
          <cell r="M629">
            <v>96705</v>
          </cell>
          <cell r="N629">
            <v>12206</v>
          </cell>
          <cell r="O629">
            <v>27045</v>
          </cell>
          <cell r="P629" t="str">
            <v>PeMS2016</v>
          </cell>
        </row>
        <row r="630">
          <cell r="C630">
            <v>10</v>
          </cell>
          <cell r="D630">
            <v>2</v>
          </cell>
          <cell r="E630">
            <v>20790</v>
          </cell>
          <cell r="F630">
            <v>1</v>
          </cell>
          <cell r="G630">
            <v>1</v>
          </cell>
          <cell r="H630" t="str">
            <v>I-805 SB</v>
          </cell>
          <cell r="I630">
            <v>56</v>
          </cell>
          <cell r="J630">
            <v>0</v>
          </cell>
          <cell r="K630" t="str">
            <v>PLAZA</v>
          </cell>
          <cell r="L630" t="str">
            <v>SR-54 WB</v>
          </cell>
          <cell r="M630">
            <v>106659</v>
          </cell>
          <cell r="N630">
            <v>14108</v>
          </cell>
          <cell r="O630">
            <v>27413</v>
          </cell>
          <cell r="P630" t="str">
            <v>PeMS2016</v>
          </cell>
        </row>
        <row r="631">
          <cell r="C631">
            <v>10</v>
          </cell>
          <cell r="D631">
            <v>2</v>
          </cell>
          <cell r="E631">
            <v>835</v>
          </cell>
          <cell r="F631">
            <v>1</v>
          </cell>
          <cell r="G631">
            <v>1</v>
          </cell>
          <cell r="H631" t="str">
            <v>I-805 SB</v>
          </cell>
          <cell r="I631">
            <v>62</v>
          </cell>
          <cell r="J631">
            <v>0</v>
          </cell>
          <cell r="K631" t="str">
            <v>SR-54 EB</v>
          </cell>
          <cell r="L631" t="str">
            <v>BONITA</v>
          </cell>
          <cell r="M631">
            <v>131719</v>
          </cell>
          <cell r="N631">
            <v>16897</v>
          </cell>
          <cell r="O631">
            <v>35806</v>
          </cell>
          <cell r="P631" t="str">
            <v>Caltran</v>
          </cell>
        </row>
        <row r="632">
          <cell r="C632">
            <v>10</v>
          </cell>
          <cell r="D632">
            <v>2</v>
          </cell>
          <cell r="E632">
            <v>836</v>
          </cell>
          <cell r="F632">
            <v>1</v>
          </cell>
          <cell r="G632">
            <v>1</v>
          </cell>
          <cell r="H632" t="str">
            <v>I-805 SB</v>
          </cell>
          <cell r="I632">
            <v>63</v>
          </cell>
          <cell r="J632">
            <v>0</v>
          </cell>
          <cell r="K632" t="str">
            <v>BONITA</v>
          </cell>
          <cell r="L632" t="str">
            <v>BONITA</v>
          </cell>
          <cell r="M632">
            <v>116348</v>
          </cell>
          <cell r="N632">
            <v>15909</v>
          </cell>
          <cell r="O632">
            <v>30376</v>
          </cell>
          <cell r="P632" t="str">
            <v>PeMS2016</v>
          </cell>
        </row>
        <row r="633">
          <cell r="C633">
            <v>10</v>
          </cell>
          <cell r="D633">
            <v>2</v>
          </cell>
          <cell r="E633">
            <v>22157</v>
          </cell>
          <cell r="F633">
            <v>1</v>
          </cell>
          <cell r="G633">
            <v>1</v>
          </cell>
          <cell r="H633" t="str">
            <v>I-805 SB</v>
          </cell>
          <cell r="I633">
            <v>66</v>
          </cell>
          <cell r="J633">
            <v>0</v>
          </cell>
          <cell r="K633" t="str">
            <v>H</v>
          </cell>
          <cell r="L633" t="str">
            <v>H</v>
          </cell>
          <cell r="M633">
            <v>102842</v>
          </cell>
          <cell r="N633">
            <v>13283</v>
          </cell>
          <cell r="O633">
            <v>26889</v>
          </cell>
          <cell r="P633" t="str">
            <v>PeMS2016</v>
          </cell>
        </row>
        <row r="634">
          <cell r="C634">
            <v>10</v>
          </cell>
          <cell r="D634">
            <v>2</v>
          </cell>
          <cell r="E634">
            <v>841</v>
          </cell>
          <cell r="F634">
            <v>1</v>
          </cell>
          <cell r="G634">
            <v>1</v>
          </cell>
          <cell r="H634" t="str">
            <v>I-805 SB</v>
          </cell>
          <cell r="I634">
            <v>69</v>
          </cell>
          <cell r="J634">
            <v>0</v>
          </cell>
          <cell r="K634" t="str">
            <v>H</v>
          </cell>
          <cell r="L634" t="str">
            <v>TELEGRAPH CANYON</v>
          </cell>
          <cell r="M634">
            <v>108504</v>
          </cell>
          <cell r="N634">
            <v>14889</v>
          </cell>
          <cell r="O634">
            <v>26224</v>
          </cell>
          <cell r="P634" t="str">
            <v>PeMS2016</v>
          </cell>
        </row>
        <row r="635">
          <cell r="C635">
            <v>10</v>
          </cell>
          <cell r="D635">
            <v>2</v>
          </cell>
          <cell r="E635">
            <v>10633</v>
          </cell>
          <cell r="F635">
            <v>1</v>
          </cell>
          <cell r="G635">
            <v>1</v>
          </cell>
          <cell r="H635" t="str">
            <v>I-805 SB</v>
          </cell>
          <cell r="I635">
            <v>70</v>
          </cell>
          <cell r="J635">
            <v>0</v>
          </cell>
          <cell r="K635" t="str">
            <v>TELEGRAPH CANYON</v>
          </cell>
          <cell r="L635" t="str">
            <v>TELEGRAPH CANYON</v>
          </cell>
          <cell r="M635">
            <v>61865</v>
          </cell>
          <cell r="N635">
            <v>8479</v>
          </cell>
          <cell r="O635">
            <v>16943</v>
          </cell>
          <cell r="P635" t="str">
            <v>PeMS2016</v>
          </cell>
        </row>
        <row r="636">
          <cell r="C636">
            <v>10</v>
          </cell>
          <cell r="D636">
            <v>2</v>
          </cell>
          <cell r="E636">
            <v>843</v>
          </cell>
          <cell r="F636">
            <v>1</v>
          </cell>
          <cell r="G636">
            <v>1</v>
          </cell>
          <cell r="H636" t="str">
            <v>I-805 SB</v>
          </cell>
          <cell r="I636">
            <v>72</v>
          </cell>
          <cell r="J636">
            <v>0</v>
          </cell>
          <cell r="K636" t="str">
            <v>TELEGRAPH CANYON</v>
          </cell>
          <cell r="L636" t="str">
            <v>PALOMAR</v>
          </cell>
          <cell r="M636">
            <v>67552</v>
          </cell>
          <cell r="N636">
            <v>9914</v>
          </cell>
          <cell r="O636">
            <v>16630</v>
          </cell>
          <cell r="P636" t="str">
            <v>PeMS2016</v>
          </cell>
        </row>
        <row r="637">
          <cell r="C637">
            <v>10</v>
          </cell>
          <cell r="D637">
            <v>2</v>
          </cell>
          <cell r="E637">
            <v>851</v>
          </cell>
          <cell r="F637">
            <v>1</v>
          </cell>
          <cell r="G637">
            <v>1</v>
          </cell>
          <cell r="H637" t="str">
            <v>I-805 SB</v>
          </cell>
          <cell r="I637">
            <v>77</v>
          </cell>
          <cell r="J637">
            <v>0</v>
          </cell>
          <cell r="K637" t="str">
            <v>OTAY VALLEY</v>
          </cell>
          <cell r="L637" t="str">
            <v>OTAY VALLEY</v>
          </cell>
          <cell r="M637">
            <v>73646</v>
          </cell>
          <cell r="N637">
            <v>11286</v>
          </cell>
          <cell r="O637">
            <v>17965</v>
          </cell>
          <cell r="P637" t="str">
            <v>PeMS2016</v>
          </cell>
        </row>
        <row r="638">
          <cell r="C638">
            <v>10</v>
          </cell>
          <cell r="D638">
            <v>2</v>
          </cell>
          <cell r="E638">
            <v>853</v>
          </cell>
          <cell r="F638">
            <v>1</v>
          </cell>
          <cell r="G638">
            <v>1</v>
          </cell>
          <cell r="H638" t="str">
            <v>I-805 SB</v>
          </cell>
          <cell r="I638">
            <v>79</v>
          </cell>
          <cell r="J638">
            <v>0</v>
          </cell>
          <cell r="K638" t="str">
            <v>PALM</v>
          </cell>
          <cell r="L638" t="str">
            <v>PALM</v>
          </cell>
          <cell r="M638">
            <v>56541</v>
          </cell>
          <cell r="N638">
            <v>9082</v>
          </cell>
          <cell r="O638">
            <v>13679</v>
          </cell>
          <cell r="P638" t="str">
            <v>PeMS2016</v>
          </cell>
        </row>
        <row r="639">
          <cell r="C639">
            <v>10</v>
          </cell>
          <cell r="D639">
            <v>2</v>
          </cell>
          <cell r="E639">
            <v>854</v>
          </cell>
          <cell r="F639">
            <v>1</v>
          </cell>
          <cell r="G639">
            <v>1</v>
          </cell>
          <cell r="H639" t="str">
            <v>I-805 SB</v>
          </cell>
          <cell r="I639">
            <v>80</v>
          </cell>
          <cell r="J639">
            <v>0</v>
          </cell>
          <cell r="K639" t="str">
            <v>PALM</v>
          </cell>
          <cell r="L639" t="str">
            <v>SR-905 WB</v>
          </cell>
          <cell r="M639">
            <v>64667</v>
          </cell>
          <cell r="N639">
            <v>10005</v>
          </cell>
          <cell r="O639">
            <v>14280</v>
          </cell>
          <cell r="P639" t="str">
            <v>PeMS2016</v>
          </cell>
        </row>
        <row r="640">
          <cell r="C640">
            <v>10</v>
          </cell>
          <cell r="D640">
            <v>2</v>
          </cell>
          <cell r="E640">
            <v>25533</v>
          </cell>
          <cell r="F640">
            <v>1</v>
          </cell>
          <cell r="G640">
            <v>1</v>
          </cell>
          <cell r="H640" t="str">
            <v>I-805 SB</v>
          </cell>
          <cell r="I640">
            <v>81</v>
          </cell>
          <cell r="J640">
            <v>0</v>
          </cell>
          <cell r="K640" t="str">
            <v>SR-905 WB</v>
          </cell>
          <cell r="L640" t="str">
            <v>SR-905 WB</v>
          </cell>
          <cell r="M640">
            <v>30465</v>
          </cell>
          <cell r="N640">
            <v>3030</v>
          </cell>
          <cell r="O640">
            <v>8561</v>
          </cell>
          <cell r="P640" t="str">
            <v>PeMS2016</v>
          </cell>
        </row>
        <row r="641">
          <cell r="C641">
            <v>10</v>
          </cell>
          <cell r="D641">
            <v>2</v>
          </cell>
          <cell r="E641">
            <v>857</v>
          </cell>
          <cell r="F641">
            <v>1</v>
          </cell>
          <cell r="G641">
            <v>1</v>
          </cell>
          <cell r="H641" t="str">
            <v>I-805 SB</v>
          </cell>
          <cell r="I641">
            <v>85</v>
          </cell>
          <cell r="J641">
            <v>0</v>
          </cell>
          <cell r="K641" t="str">
            <v>SR-905 EB</v>
          </cell>
          <cell r="L641" t="str">
            <v>EAST SAN YSIDRO</v>
          </cell>
          <cell r="M641">
            <v>44431</v>
          </cell>
          <cell r="N641">
            <v>4516</v>
          </cell>
          <cell r="O641">
            <v>12542</v>
          </cell>
          <cell r="P641" t="str">
            <v>PeMS2016</v>
          </cell>
        </row>
        <row r="642">
          <cell r="C642">
            <v>10</v>
          </cell>
          <cell r="D642">
            <v>2</v>
          </cell>
          <cell r="E642">
            <v>858</v>
          </cell>
          <cell r="F642">
            <v>1</v>
          </cell>
          <cell r="G642">
            <v>1</v>
          </cell>
          <cell r="H642" t="str">
            <v>I-805 SB</v>
          </cell>
          <cell r="I642">
            <v>86</v>
          </cell>
          <cell r="J642">
            <v>0</v>
          </cell>
          <cell r="K642" t="str">
            <v>EAST SAN YSIDRO</v>
          </cell>
          <cell r="L642" t="str">
            <v>EAST SAN YSIDRO</v>
          </cell>
          <cell r="M642">
            <v>23695</v>
          </cell>
          <cell r="N642">
            <v>2261</v>
          </cell>
          <cell r="O642">
            <v>6694</v>
          </cell>
          <cell r="P642" t="str">
            <v>PeMS2016</v>
          </cell>
        </row>
        <row r="643">
          <cell r="C643">
            <v>12</v>
          </cell>
          <cell r="D643">
            <v>2</v>
          </cell>
          <cell r="E643">
            <v>28925</v>
          </cell>
          <cell r="F643">
            <v>1</v>
          </cell>
          <cell r="G643">
            <v>1</v>
          </cell>
          <cell r="H643" t="str">
            <v>SR-125 SB</v>
          </cell>
          <cell r="I643">
            <v>2</v>
          </cell>
          <cell r="J643">
            <v>0</v>
          </cell>
          <cell r="K643" t="str">
            <v>SR-52 WB</v>
          </cell>
          <cell r="L643" t="str">
            <v>SR-52 EB</v>
          </cell>
          <cell r="M643">
            <v>21874</v>
          </cell>
          <cell r="N643">
            <v>4070</v>
          </cell>
          <cell r="O643">
            <v>5438</v>
          </cell>
          <cell r="P643" t="str">
            <v>PeMS2016</v>
          </cell>
        </row>
        <row r="644">
          <cell r="C644">
            <v>12</v>
          </cell>
          <cell r="D644">
            <v>2</v>
          </cell>
          <cell r="E644">
            <v>28950</v>
          </cell>
          <cell r="F644">
            <v>1</v>
          </cell>
          <cell r="G644">
            <v>1</v>
          </cell>
          <cell r="H644" t="str">
            <v>SR-125 SB</v>
          </cell>
          <cell r="I644">
            <v>3</v>
          </cell>
          <cell r="J644">
            <v>1</v>
          </cell>
          <cell r="K644" t="str">
            <v>SR-52 EB</v>
          </cell>
          <cell r="L644" t="str">
            <v>GROSSMONT COLLEGE DR</v>
          </cell>
          <cell r="M644">
            <v>35263</v>
          </cell>
          <cell r="N644">
            <v>5236</v>
          </cell>
          <cell r="O644">
            <v>10546</v>
          </cell>
          <cell r="P644" t="str">
            <v>Caltran</v>
          </cell>
        </row>
        <row r="645">
          <cell r="C645">
            <v>12</v>
          </cell>
          <cell r="D645">
            <v>2</v>
          </cell>
          <cell r="E645">
            <v>28949</v>
          </cell>
          <cell r="F645">
            <v>1</v>
          </cell>
          <cell r="G645">
            <v>1</v>
          </cell>
          <cell r="H645" t="str">
            <v>SR-125 SB</v>
          </cell>
          <cell r="I645">
            <v>5</v>
          </cell>
          <cell r="J645">
            <v>0</v>
          </cell>
          <cell r="K645" t="str">
            <v>GROSSMONT COLLEGE DR</v>
          </cell>
          <cell r="L645" t="str">
            <v>NAVAJO</v>
          </cell>
          <cell r="M645">
            <v>25845</v>
          </cell>
          <cell r="N645">
            <v>3972</v>
          </cell>
          <cell r="O645">
            <v>7791</v>
          </cell>
          <cell r="P645" t="str">
            <v>PeMS2016</v>
          </cell>
        </row>
        <row r="646">
          <cell r="C646">
            <v>12</v>
          </cell>
          <cell r="D646">
            <v>2</v>
          </cell>
          <cell r="E646">
            <v>12065</v>
          </cell>
          <cell r="F646">
            <v>1</v>
          </cell>
          <cell r="G646">
            <v>1</v>
          </cell>
          <cell r="H646" t="str">
            <v>SR-125 SB</v>
          </cell>
          <cell r="I646">
            <v>7</v>
          </cell>
          <cell r="J646">
            <v>0</v>
          </cell>
          <cell r="K646" t="str">
            <v>NAVAJO</v>
          </cell>
          <cell r="L646" t="str">
            <v>NAVAJO</v>
          </cell>
          <cell r="M646">
            <v>33296</v>
          </cell>
          <cell r="N646">
            <v>4831</v>
          </cell>
          <cell r="O646">
            <v>9705</v>
          </cell>
          <cell r="P646" t="str">
            <v>PeMS2016</v>
          </cell>
        </row>
        <row r="647">
          <cell r="C647">
            <v>12</v>
          </cell>
          <cell r="D647">
            <v>2</v>
          </cell>
          <cell r="E647">
            <v>28941</v>
          </cell>
          <cell r="F647">
            <v>1</v>
          </cell>
          <cell r="G647">
            <v>1</v>
          </cell>
          <cell r="H647" t="str">
            <v>SR-125 SB</v>
          </cell>
          <cell r="I647">
            <v>8</v>
          </cell>
          <cell r="J647">
            <v>0</v>
          </cell>
          <cell r="K647" t="str">
            <v>NAVAJO</v>
          </cell>
          <cell r="L647" t="str">
            <v>AMAYA</v>
          </cell>
          <cell r="M647">
            <v>45940</v>
          </cell>
          <cell r="N647">
            <v>7199</v>
          </cell>
          <cell r="O647">
            <v>12576</v>
          </cell>
          <cell r="P647" t="str">
            <v>PeMS2016</v>
          </cell>
        </row>
        <row r="648">
          <cell r="C648">
            <v>12</v>
          </cell>
          <cell r="D648">
            <v>2</v>
          </cell>
          <cell r="E648">
            <v>28938</v>
          </cell>
          <cell r="F648">
            <v>1</v>
          </cell>
          <cell r="G648">
            <v>1</v>
          </cell>
          <cell r="H648" t="str">
            <v>SR-125 SB</v>
          </cell>
          <cell r="I648">
            <v>9</v>
          </cell>
          <cell r="J648">
            <v>0</v>
          </cell>
          <cell r="K648" t="str">
            <v>AMAYA</v>
          </cell>
          <cell r="L648" t="str">
            <v>AMAYA</v>
          </cell>
          <cell r="M648">
            <v>40547</v>
          </cell>
          <cell r="N648">
            <v>6321</v>
          </cell>
          <cell r="O648">
            <v>11022</v>
          </cell>
          <cell r="P648" t="str">
            <v>PeMS2016</v>
          </cell>
        </row>
        <row r="649">
          <cell r="C649">
            <v>12</v>
          </cell>
          <cell r="D649">
            <v>2</v>
          </cell>
          <cell r="E649">
            <v>9043</v>
          </cell>
          <cell r="F649">
            <v>1</v>
          </cell>
          <cell r="G649">
            <v>1</v>
          </cell>
          <cell r="H649" t="str">
            <v>SR-125 SB</v>
          </cell>
          <cell r="I649">
            <v>20</v>
          </cell>
          <cell r="J649">
            <v>0</v>
          </cell>
          <cell r="K649" t="str">
            <v>SPRING</v>
          </cell>
          <cell r="L649" t="str">
            <v>SPRING</v>
          </cell>
          <cell r="M649">
            <v>80248</v>
          </cell>
          <cell r="N649">
            <v>13302</v>
          </cell>
          <cell r="O649">
            <v>18998</v>
          </cell>
          <cell r="P649" t="str">
            <v>PeMS2016</v>
          </cell>
        </row>
        <row r="650">
          <cell r="C650">
            <v>12</v>
          </cell>
          <cell r="D650">
            <v>2</v>
          </cell>
          <cell r="E650">
            <v>10177</v>
          </cell>
          <cell r="F650">
            <v>1</v>
          </cell>
          <cell r="G650">
            <v>1</v>
          </cell>
          <cell r="H650" t="str">
            <v>SR-125 SB</v>
          </cell>
          <cell r="I650">
            <v>21</v>
          </cell>
          <cell r="J650">
            <v>0</v>
          </cell>
          <cell r="K650" t="str">
            <v>SPRING</v>
          </cell>
          <cell r="L650" t="str">
            <v>SR-94 WB</v>
          </cell>
          <cell r="M650">
            <v>69560</v>
          </cell>
          <cell r="N650">
            <v>10221</v>
          </cell>
          <cell r="O650">
            <v>20215</v>
          </cell>
          <cell r="P650" t="str">
            <v>PeMS2016</v>
          </cell>
        </row>
        <row r="651">
          <cell r="C651">
            <v>12</v>
          </cell>
          <cell r="D651">
            <v>2</v>
          </cell>
          <cell r="E651">
            <v>10791</v>
          </cell>
          <cell r="F651">
            <v>1</v>
          </cell>
          <cell r="G651">
            <v>1</v>
          </cell>
          <cell r="H651" t="str">
            <v>SR-125 SB</v>
          </cell>
          <cell r="I651">
            <v>3</v>
          </cell>
          <cell r="J651">
            <v>1</v>
          </cell>
          <cell r="K651" t="str">
            <v>TROY</v>
          </cell>
          <cell r="L651" t="str">
            <v>JAMACHA ROAD</v>
          </cell>
          <cell r="M651">
            <v>69503</v>
          </cell>
          <cell r="N651">
            <v>10176</v>
          </cell>
          <cell r="O651">
            <v>20233</v>
          </cell>
          <cell r="P651" t="str">
            <v>PeMS2016</v>
          </cell>
        </row>
        <row r="652">
          <cell r="C652">
            <v>12</v>
          </cell>
          <cell r="D652">
            <v>2</v>
          </cell>
          <cell r="E652">
            <v>7258</v>
          </cell>
          <cell r="F652">
            <v>1</v>
          </cell>
          <cell r="G652">
            <v>1</v>
          </cell>
          <cell r="H652" t="str">
            <v>SR-125 SB</v>
          </cell>
          <cell r="I652">
            <v>5</v>
          </cell>
          <cell r="J652">
            <v>0</v>
          </cell>
          <cell r="K652" t="str">
            <v>JAMACHA ROAD</v>
          </cell>
          <cell r="L652" t="str">
            <v>SR  54</v>
          </cell>
          <cell r="M652">
            <v>50766</v>
          </cell>
          <cell r="N652">
            <v>8320</v>
          </cell>
          <cell r="O652">
            <v>14935</v>
          </cell>
          <cell r="P652" t="str">
            <v>PeMS2016</v>
          </cell>
        </row>
        <row r="653">
          <cell r="C653">
            <v>12</v>
          </cell>
          <cell r="D653">
            <v>2</v>
          </cell>
          <cell r="E653">
            <v>7259</v>
          </cell>
          <cell r="F653">
            <v>1</v>
          </cell>
          <cell r="G653">
            <v>1</v>
          </cell>
          <cell r="H653" t="str">
            <v>SR-125 SB</v>
          </cell>
          <cell r="I653">
            <v>6</v>
          </cell>
          <cell r="J653">
            <v>0</v>
          </cell>
          <cell r="K653" t="str">
            <v>SR  54</v>
          </cell>
          <cell r="L653" t="str">
            <v>PARADISE VALLEY</v>
          </cell>
          <cell r="M653">
            <v>49880</v>
          </cell>
          <cell r="N653">
            <v>9047</v>
          </cell>
          <cell r="O653">
            <v>14060</v>
          </cell>
          <cell r="P653" t="str">
            <v>PeMS2016</v>
          </cell>
        </row>
        <row r="654">
          <cell r="C654">
            <v>12</v>
          </cell>
          <cell r="D654">
            <v>2</v>
          </cell>
          <cell r="E654">
            <v>9012</v>
          </cell>
          <cell r="F654">
            <v>1</v>
          </cell>
          <cell r="G654">
            <v>4</v>
          </cell>
          <cell r="H654" t="str">
            <v>SR-125 SB</v>
          </cell>
          <cell r="I654">
            <v>1</v>
          </cell>
          <cell r="J654">
            <v>2</v>
          </cell>
          <cell r="K654" t="str">
            <v>SR-54 EB</v>
          </cell>
          <cell r="L654" t="str">
            <v>SAN MIGUEL</v>
          </cell>
          <cell r="M654">
            <v>17181</v>
          </cell>
          <cell r="N654">
            <v>2521</v>
          </cell>
          <cell r="O654">
            <v>5914</v>
          </cell>
          <cell r="P654" t="str">
            <v>SANDAG</v>
          </cell>
        </row>
        <row r="655">
          <cell r="C655">
            <v>12</v>
          </cell>
          <cell r="D655">
            <v>2</v>
          </cell>
          <cell r="E655">
            <v>30782</v>
          </cell>
          <cell r="F655">
            <v>1</v>
          </cell>
          <cell r="G655">
            <v>4</v>
          </cell>
          <cell r="H655" t="str">
            <v>SR-125 SB</v>
          </cell>
          <cell r="I655">
            <v>3</v>
          </cell>
          <cell r="J655">
            <v>0</v>
          </cell>
          <cell r="K655" t="str">
            <v>SAN MIGUEL</v>
          </cell>
          <cell r="L655" t="str">
            <v>H</v>
          </cell>
          <cell r="M655">
            <v>15613</v>
          </cell>
          <cell r="N655">
            <v>2374</v>
          </cell>
          <cell r="O655">
            <v>5332</v>
          </cell>
          <cell r="P655" t="str">
            <v>SANDAG</v>
          </cell>
        </row>
        <row r="656">
          <cell r="C656">
            <v>12</v>
          </cell>
          <cell r="D656">
            <v>2</v>
          </cell>
          <cell r="E656">
            <v>9142</v>
          </cell>
          <cell r="F656">
            <v>1</v>
          </cell>
          <cell r="G656">
            <v>4</v>
          </cell>
          <cell r="H656" t="str">
            <v>SR-125 SB</v>
          </cell>
          <cell r="I656">
            <v>6</v>
          </cell>
          <cell r="J656">
            <v>0</v>
          </cell>
          <cell r="K656" t="str">
            <v>H</v>
          </cell>
          <cell r="L656" t="str">
            <v>TELEGRAPH CANYON</v>
          </cell>
          <cell r="M656">
            <v>12993</v>
          </cell>
          <cell r="N656">
            <v>2265</v>
          </cell>
          <cell r="O656">
            <v>4233</v>
          </cell>
          <cell r="P656" t="str">
            <v>SANDAG</v>
          </cell>
        </row>
        <row r="657">
          <cell r="C657">
            <v>12</v>
          </cell>
          <cell r="D657">
            <v>2</v>
          </cell>
          <cell r="E657">
            <v>9516</v>
          </cell>
          <cell r="F657">
            <v>1</v>
          </cell>
          <cell r="G657">
            <v>4</v>
          </cell>
          <cell r="H657" t="str">
            <v>SR-125 SB</v>
          </cell>
          <cell r="I657">
            <v>9</v>
          </cell>
          <cell r="J657">
            <v>0</v>
          </cell>
          <cell r="K657" t="str">
            <v>TELEGRAPH CANYON</v>
          </cell>
          <cell r="L657" t="str">
            <v>TOLL PLAZA</v>
          </cell>
          <cell r="M657">
            <v>9252</v>
          </cell>
          <cell r="N657">
            <v>1902</v>
          </cell>
          <cell r="O657">
            <v>2769</v>
          </cell>
          <cell r="P657" t="str">
            <v>SANDAG</v>
          </cell>
        </row>
        <row r="658">
          <cell r="C658">
            <v>12</v>
          </cell>
          <cell r="D658">
            <v>2</v>
          </cell>
          <cell r="E658">
            <v>9510</v>
          </cell>
          <cell r="F658">
            <v>1</v>
          </cell>
          <cell r="G658">
            <v>4</v>
          </cell>
          <cell r="H658" t="str">
            <v>SR-125 SB</v>
          </cell>
          <cell r="I658">
            <v>12</v>
          </cell>
          <cell r="J658">
            <v>0</v>
          </cell>
          <cell r="K658" t="str">
            <v>RAMP</v>
          </cell>
          <cell r="L658" t="str">
            <v>EAST CENTER</v>
          </cell>
          <cell r="M658">
            <v>6601</v>
          </cell>
          <cell r="N658">
            <v>1923</v>
          </cell>
          <cell r="O658">
            <v>1552</v>
          </cell>
          <cell r="P658" t="str">
            <v>SANDAG</v>
          </cell>
        </row>
        <row r="659">
          <cell r="C659">
            <v>12</v>
          </cell>
          <cell r="D659">
            <v>2</v>
          </cell>
          <cell r="E659">
            <v>9488</v>
          </cell>
          <cell r="F659">
            <v>1</v>
          </cell>
          <cell r="G659">
            <v>4</v>
          </cell>
          <cell r="H659" t="str">
            <v>SR-125 SB</v>
          </cell>
          <cell r="I659">
            <v>15</v>
          </cell>
          <cell r="J659">
            <v>0</v>
          </cell>
          <cell r="K659" t="str">
            <v>EAST CENTER</v>
          </cell>
          <cell r="L659" t="str">
            <v>WOLF CANYON</v>
          </cell>
          <cell r="M659">
            <v>4893</v>
          </cell>
          <cell r="N659">
            <v>1728</v>
          </cell>
          <cell r="O659">
            <v>757</v>
          </cell>
          <cell r="P659" t="str">
            <v>SANDAG</v>
          </cell>
        </row>
        <row r="660">
          <cell r="C660">
            <v>11</v>
          </cell>
          <cell r="D660">
            <v>2</v>
          </cell>
          <cell r="E660">
            <v>7374</v>
          </cell>
          <cell r="F660">
            <v>1</v>
          </cell>
          <cell r="G660">
            <v>1</v>
          </cell>
          <cell r="H660" t="str">
            <v>SR-163 SB</v>
          </cell>
          <cell r="I660">
            <v>1</v>
          </cell>
          <cell r="J660">
            <v>0</v>
          </cell>
          <cell r="K660" t="str">
            <v>I-15 SB</v>
          </cell>
          <cell r="L660" t="str">
            <v>I-15 HOV SB</v>
          </cell>
          <cell r="M660">
            <v>69598</v>
          </cell>
          <cell r="N660">
            <v>16292</v>
          </cell>
          <cell r="O660">
            <v>17739</v>
          </cell>
          <cell r="P660" t="str">
            <v>PeMS2016</v>
          </cell>
        </row>
        <row r="661">
          <cell r="C661">
            <v>11</v>
          </cell>
          <cell r="D661">
            <v>2</v>
          </cell>
          <cell r="E661">
            <v>16162</v>
          </cell>
          <cell r="F661">
            <v>1</v>
          </cell>
          <cell r="G661">
            <v>1</v>
          </cell>
          <cell r="H661" t="str">
            <v>SR-163 SB</v>
          </cell>
          <cell r="I661">
            <v>2</v>
          </cell>
          <cell r="J661">
            <v>0</v>
          </cell>
          <cell r="K661" t="str">
            <v>I-15 HOV SB</v>
          </cell>
          <cell r="L661" t="str">
            <v>KEARNY VILLA</v>
          </cell>
          <cell r="M661">
            <v>84632</v>
          </cell>
          <cell r="N661">
            <v>20495</v>
          </cell>
          <cell r="O661">
            <v>20825</v>
          </cell>
          <cell r="P661" t="str">
            <v>PeMS2016</v>
          </cell>
        </row>
        <row r="662">
          <cell r="C662">
            <v>11</v>
          </cell>
          <cell r="D662">
            <v>2</v>
          </cell>
          <cell r="E662">
            <v>16163</v>
          </cell>
          <cell r="F662">
            <v>1</v>
          </cell>
          <cell r="G662">
            <v>1</v>
          </cell>
          <cell r="H662" t="str">
            <v>SR-163 SB</v>
          </cell>
          <cell r="I662">
            <v>4</v>
          </cell>
          <cell r="J662">
            <v>0</v>
          </cell>
          <cell r="K662" t="str">
            <v>KEARNY VILLA</v>
          </cell>
          <cell r="L662" t="str">
            <v>SR-52 WB</v>
          </cell>
          <cell r="M662">
            <v>95405</v>
          </cell>
          <cell r="N662">
            <v>21995</v>
          </cell>
          <cell r="O662">
            <v>25016</v>
          </cell>
          <cell r="P662" t="str">
            <v>PeMS2016</v>
          </cell>
        </row>
        <row r="663">
          <cell r="C663">
            <v>11</v>
          </cell>
          <cell r="D663">
            <v>2</v>
          </cell>
          <cell r="E663">
            <v>8820</v>
          </cell>
          <cell r="F663">
            <v>1</v>
          </cell>
          <cell r="G663">
            <v>1</v>
          </cell>
          <cell r="H663" t="str">
            <v>SR-163 SB</v>
          </cell>
          <cell r="I663">
            <v>9</v>
          </cell>
          <cell r="J663">
            <v>0</v>
          </cell>
          <cell r="K663" t="str">
            <v>CLAIREMONT MESA</v>
          </cell>
          <cell r="L663" t="str">
            <v>BALBOA</v>
          </cell>
          <cell r="M663">
            <v>93098</v>
          </cell>
          <cell r="N663">
            <v>19639</v>
          </cell>
          <cell r="O663">
            <v>23317</v>
          </cell>
          <cell r="P663" t="str">
            <v>PeMS2016</v>
          </cell>
        </row>
        <row r="664">
          <cell r="C664">
            <v>11</v>
          </cell>
          <cell r="D664">
            <v>2</v>
          </cell>
          <cell r="E664">
            <v>8823</v>
          </cell>
          <cell r="F664">
            <v>1</v>
          </cell>
          <cell r="G664">
            <v>1</v>
          </cell>
          <cell r="H664" t="str">
            <v>SR-163 SB</v>
          </cell>
          <cell r="I664">
            <v>10</v>
          </cell>
          <cell r="J664">
            <v>0</v>
          </cell>
          <cell r="K664" t="str">
            <v>BALBOA</v>
          </cell>
          <cell r="L664" t="str">
            <v>BALBOA</v>
          </cell>
          <cell r="M664">
            <v>72199</v>
          </cell>
          <cell r="N664">
            <v>15683</v>
          </cell>
          <cell r="O664">
            <v>18036</v>
          </cell>
          <cell r="P664" t="str">
            <v>PeMS2016</v>
          </cell>
        </row>
        <row r="665">
          <cell r="C665">
            <v>11</v>
          </cell>
          <cell r="D665">
            <v>2</v>
          </cell>
          <cell r="E665">
            <v>15688</v>
          </cell>
          <cell r="F665">
            <v>1</v>
          </cell>
          <cell r="G665">
            <v>1</v>
          </cell>
          <cell r="H665" t="str">
            <v>SR-163 SB</v>
          </cell>
          <cell r="I665">
            <v>11</v>
          </cell>
          <cell r="J665">
            <v>0</v>
          </cell>
          <cell r="K665" t="str">
            <v>BALBOA</v>
          </cell>
          <cell r="L665" t="str">
            <v>I-805 SB</v>
          </cell>
          <cell r="M665">
            <v>89583</v>
          </cell>
          <cell r="N665">
            <v>17286</v>
          </cell>
          <cell r="O665">
            <v>23134</v>
          </cell>
          <cell r="P665" t="str">
            <v>PeMS2016</v>
          </cell>
        </row>
        <row r="666">
          <cell r="C666">
            <v>11</v>
          </cell>
          <cell r="D666">
            <v>2</v>
          </cell>
          <cell r="E666">
            <v>31184</v>
          </cell>
          <cell r="F666">
            <v>1</v>
          </cell>
          <cell r="G666">
            <v>1</v>
          </cell>
          <cell r="H666" t="str">
            <v>SR-163 SB</v>
          </cell>
          <cell r="I666">
            <v>13</v>
          </cell>
          <cell r="J666">
            <v>0</v>
          </cell>
          <cell r="K666" t="str">
            <v>I-805 SB</v>
          </cell>
          <cell r="L666" t="str">
            <v>MESA COLLEGE</v>
          </cell>
          <cell r="M666">
            <v>96691</v>
          </cell>
          <cell r="N666">
            <v>19741</v>
          </cell>
          <cell r="O666">
            <v>21898</v>
          </cell>
          <cell r="P666" t="str">
            <v>PeMS2016</v>
          </cell>
        </row>
        <row r="667">
          <cell r="C667">
            <v>11</v>
          </cell>
          <cell r="D667">
            <v>2</v>
          </cell>
          <cell r="E667">
            <v>15705</v>
          </cell>
          <cell r="F667">
            <v>1</v>
          </cell>
          <cell r="G667">
            <v>1</v>
          </cell>
          <cell r="H667" t="str">
            <v>SR-163 SB</v>
          </cell>
          <cell r="I667">
            <v>17</v>
          </cell>
          <cell r="J667">
            <v>0</v>
          </cell>
          <cell r="K667" t="str">
            <v>GENESEE</v>
          </cell>
          <cell r="L667" t="str">
            <v>GENESEE</v>
          </cell>
          <cell r="M667">
            <v>74548</v>
          </cell>
          <cell r="N667">
            <v>14577</v>
          </cell>
          <cell r="O667">
            <v>17086</v>
          </cell>
          <cell r="P667" t="str">
            <v>PeMS2016</v>
          </cell>
        </row>
        <row r="668">
          <cell r="C668">
            <v>11</v>
          </cell>
          <cell r="D668">
            <v>2</v>
          </cell>
          <cell r="E668">
            <v>25142</v>
          </cell>
          <cell r="F668">
            <v>1</v>
          </cell>
          <cell r="G668">
            <v>1</v>
          </cell>
          <cell r="H668" t="str">
            <v>SR-163 SB</v>
          </cell>
          <cell r="I668">
            <v>19</v>
          </cell>
          <cell r="J668">
            <v>0</v>
          </cell>
          <cell r="K668" t="str">
            <v>GENESEE</v>
          </cell>
          <cell r="L668" t="str">
            <v>FRIARS</v>
          </cell>
          <cell r="M668">
            <v>91467</v>
          </cell>
          <cell r="N668">
            <v>16799</v>
          </cell>
          <cell r="O668">
            <v>21723</v>
          </cell>
          <cell r="P668" t="str">
            <v>PeMS2016</v>
          </cell>
        </row>
        <row r="669">
          <cell r="C669">
            <v>11</v>
          </cell>
          <cell r="D669">
            <v>2</v>
          </cell>
          <cell r="E669">
            <v>15722</v>
          </cell>
          <cell r="F669">
            <v>1</v>
          </cell>
          <cell r="G669">
            <v>1</v>
          </cell>
          <cell r="H669" t="str">
            <v>SR-163 SB</v>
          </cell>
          <cell r="I669">
            <v>22</v>
          </cell>
          <cell r="J669">
            <v>0</v>
          </cell>
          <cell r="K669" t="str">
            <v>FRIARS</v>
          </cell>
          <cell r="L669" t="str">
            <v>FRIARS</v>
          </cell>
          <cell r="M669">
            <v>90440</v>
          </cell>
          <cell r="N669">
            <v>18089</v>
          </cell>
          <cell r="O669">
            <v>19872</v>
          </cell>
          <cell r="P669" t="str">
            <v>PeMS2016</v>
          </cell>
        </row>
        <row r="670">
          <cell r="C670">
            <v>11</v>
          </cell>
          <cell r="D670">
            <v>2</v>
          </cell>
          <cell r="E670">
            <v>8887</v>
          </cell>
          <cell r="F670">
            <v>1</v>
          </cell>
          <cell r="G670">
            <v>1</v>
          </cell>
          <cell r="H670" t="str">
            <v>SR-163 SB</v>
          </cell>
          <cell r="I670">
            <v>28</v>
          </cell>
          <cell r="J670">
            <v>0</v>
          </cell>
          <cell r="K670" t="str">
            <v>I-8 EB</v>
          </cell>
          <cell r="L670" t="str">
            <v>06TH EX</v>
          </cell>
          <cell r="M670">
            <v>99194</v>
          </cell>
          <cell r="N670">
            <v>18032</v>
          </cell>
          <cell r="O670">
            <v>22727</v>
          </cell>
          <cell r="P670" t="str">
            <v>PeMS2016</v>
          </cell>
        </row>
        <row r="671">
          <cell r="C671">
            <v>11</v>
          </cell>
          <cell r="D671">
            <v>2</v>
          </cell>
          <cell r="E671">
            <v>16045</v>
          </cell>
          <cell r="F671">
            <v>1</v>
          </cell>
          <cell r="G671">
            <v>1</v>
          </cell>
          <cell r="H671" t="str">
            <v>SR-163 SB</v>
          </cell>
          <cell r="I671">
            <v>30</v>
          </cell>
          <cell r="J671">
            <v>0</v>
          </cell>
          <cell r="K671" t="str">
            <v>WASHINGTON</v>
          </cell>
          <cell r="L671" t="str">
            <v>WASHINGTON</v>
          </cell>
          <cell r="M671">
            <v>51020</v>
          </cell>
          <cell r="N671">
            <v>10240</v>
          </cell>
          <cell r="O671">
            <v>10840</v>
          </cell>
          <cell r="P671" t="str">
            <v>PeMS2016</v>
          </cell>
        </row>
        <row r="672">
          <cell r="C672">
            <v>11</v>
          </cell>
          <cell r="D672">
            <v>2</v>
          </cell>
          <cell r="E672">
            <v>21848</v>
          </cell>
          <cell r="F672">
            <v>1</v>
          </cell>
          <cell r="G672">
            <v>1</v>
          </cell>
          <cell r="H672" t="str">
            <v>SR-163 SB</v>
          </cell>
          <cell r="I672">
            <v>32</v>
          </cell>
          <cell r="J672">
            <v>0</v>
          </cell>
          <cell r="K672" t="str">
            <v>UNIVERSITY</v>
          </cell>
          <cell r="L672" t="str">
            <v>ROBINSON</v>
          </cell>
          <cell r="M672">
            <v>53153</v>
          </cell>
          <cell r="N672">
            <v>9920</v>
          </cell>
          <cell r="O672">
            <v>11803</v>
          </cell>
          <cell r="P672" t="str">
            <v>Caltran</v>
          </cell>
        </row>
        <row r="673">
          <cell r="C673">
            <v>24</v>
          </cell>
          <cell r="D673">
            <v>4</v>
          </cell>
          <cell r="E673">
            <v>28466</v>
          </cell>
          <cell r="F673">
            <v>1</v>
          </cell>
          <cell r="G673">
            <v>1</v>
          </cell>
          <cell r="H673" t="str">
            <v>SR-52 EB</v>
          </cell>
          <cell r="I673">
            <v>1</v>
          </cell>
          <cell r="J673">
            <v>0</v>
          </cell>
          <cell r="K673" t="str">
            <v>RAMP SR-52 EB</v>
          </cell>
          <cell r="L673" t="str">
            <v>I-5 SB</v>
          </cell>
          <cell r="M673">
            <v>45772</v>
          </cell>
          <cell r="N673">
            <v>5984</v>
          </cell>
          <cell r="O673">
            <v>12559</v>
          </cell>
          <cell r="P673" t="str">
            <v>PeMS2016</v>
          </cell>
        </row>
        <row r="674">
          <cell r="C674">
            <v>24</v>
          </cell>
          <cell r="D674">
            <v>4</v>
          </cell>
          <cell r="E674">
            <v>28276</v>
          </cell>
          <cell r="F674">
            <v>1</v>
          </cell>
          <cell r="G674">
            <v>1</v>
          </cell>
          <cell r="H674" t="str">
            <v>SR-52 EB</v>
          </cell>
          <cell r="I674">
            <v>3</v>
          </cell>
          <cell r="J674">
            <v>0</v>
          </cell>
          <cell r="K674" t="str">
            <v>REGENTS</v>
          </cell>
          <cell r="L674" t="str">
            <v>REGENTS</v>
          </cell>
          <cell r="M674">
            <v>37442</v>
          </cell>
          <cell r="N674">
            <v>5372</v>
          </cell>
          <cell r="O674">
            <v>9591</v>
          </cell>
          <cell r="P674" t="str">
            <v>PeMS2016</v>
          </cell>
        </row>
        <row r="675">
          <cell r="C675">
            <v>24</v>
          </cell>
          <cell r="D675">
            <v>4</v>
          </cell>
          <cell r="E675">
            <v>28281</v>
          </cell>
          <cell r="F675">
            <v>1</v>
          </cell>
          <cell r="G675">
            <v>1</v>
          </cell>
          <cell r="H675" t="str">
            <v>SR-52 EB</v>
          </cell>
          <cell r="I675">
            <v>4</v>
          </cell>
          <cell r="J675">
            <v>0</v>
          </cell>
          <cell r="K675" t="str">
            <v>REGENTS</v>
          </cell>
          <cell r="L675" t="str">
            <v>GENESEE</v>
          </cell>
          <cell r="M675">
            <v>44693</v>
          </cell>
          <cell r="N675">
            <v>7255</v>
          </cell>
          <cell r="O675">
            <v>10970</v>
          </cell>
          <cell r="P675" t="str">
            <v>PeMS2016</v>
          </cell>
        </row>
        <row r="676">
          <cell r="C676">
            <v>24</v>
          </cell>
          <cell r="D676">
            <v>4</v>
          </cell>
          <cell r="E676">
            <v>11095</v>
          </cell>
          <cell r="F676">
            <v>1</v>
          </cell>
          <cell r="G676">
            <v>1</v>
          </cell>
          <cell r="H676" t="str">
            <v>SR-52 EB</v>
          </cell>
          <cell r="I676">
            <v>6</v>
          </cell>
          <cell r="J676">
            <v>0</v>
          </cell>
          <cell r="K676" t="str">
            <v>GENESEE</v>
          </cell>
          <cell r="L676" t="str">
            <v>I-805 SB</v>
          </cell>
          <cell r="M676">
            <v>48677</v>
          </cell>
          <cell r="N676">
            <v>8676</v>
          </cell>
          <cell r="O676">
            <v>11876</v>
          </cell>
          <cell r="P676" t="str">
            <v>Caltran</v>
          </cell>
        </row>
        <row r="677">
          <cell r="C677">
            <v>24</v>
          </cell>
          <cell r="D677">
            <v>4</v>
          </cell>
          <cell r="E677">
            <v>11103</v>
          </cell>
          <cell r="F677">
            <v>1</v>
          </cell>
          <cell r="G677">
            <v>1</v>
          </cell>
          <cell r="H677" t="str">
            <v>SR-52 EB</v>
          </cell>
          <cell r="I677">
            <v>10</v>
          </cell>
          <cell r="J677">
            <v>0</v>
          </cell>
          <cell r="K677" t="str">
            <v>I-805 NB</v>
          </cell>
          <cell r="L677" t="str">
            <v>CONVOY</v>
          </cell>
          <cell r="M677">
            <v>57136</v>
          </cell>
          <cell r="N677">
            <v>9001</v>
          </cell>
          <cell r="O677">
            <v>15241</v>
          </cell>
          <cell r="P677" t="str">
            <v>PeMS2016</v>
          </cell>
        </row>
        <row r="678">
          <cell r="C678">
            <v>24</v>
          </cell>
          <cell r="D678">
            <v>4</v>
          </cell>
          <cell r="E678">
            <v>7430</v>
          </cell>
          <cell r="F678">
            <v>1</v>
          </cell>
          <cell r="G678">
            <v>1</v>
          </cell>
          <cell r="H678" t="str">
            <v>SR-52 EB</v>
          </cell>
          <cell r="I678">
            <v>11</v>
          </cell>
          <cell r="J678">
            <v>0</v>
          </cell>
          <cell r="K678" t="str">
            <v>CONVOY</v>
          </cell>
          <cell r="L678" t="str">
            <v>CONVOY</v>
          </cell>
          <cell r="M678">
            <v>57059</v>
          </cell>
          <cell r="N678">
            <v>8658</v>
          </cell>
          <cell r="O678">
            <v>15528</v>
          </cell>
          <cell r="P678" t="str">
            <v>Caltran</v>
          </cell>
        </row>
        <row r="679">
          <cell r="C679">
            <v>24</v>
          </cell>
          <cell r="D679">
            <v>4</v>
          </cell>
          <cell r="E679">
            <v>7497</v>
          </cell>
          <cell r="F679">
            <v>1</v>
          </cell>
          <cell r="G679">
            <v>1</v>
          </cell>
          <cell r="H679" t="str">
            <v>SR-52 EB</v>
          </cell>
          <cell r="I679">
            <v>12</v>
          </cell>
          <cell r="J679">
            <v>0</v>
          </cell>
          <cell r="K679" t="str">
            <v>CONVOY</v>
          </cell>
          <cell r="L679" t="str">
            <v>CONVOY</v>
          </cell>
          <cell r="M679">
            <v>60316</v>
          </cell>
          <cell r="N679">
            <v>8690</v>
          </cell>
          <cell r="O679">
            <v>16404</v>
          </cell>
          <cell r="P679" t="str">
            <v>Caltran</v>
          </cell>
        </row>
        <row r="680">
          <cell r="C680">
            <v>24</v>
          </cell>
          <cell r="D680">
            <v>4</v>
          </cell>
          <cell r="E680">
            <v>28904</v>
          </cell>
          <cell r="F680">
            <v>1</v>
          </cell>
          <cell r="G680">
            <v>1</v>
          </cell>
          <cell r="H680" t="str">
            <v>SR-52 EB</v>
          </cell>
          <cell r="I680">
            <v>17</v>
          </cell>
          <cell r="J680">
            <v>0</v>
          </cell>
          <cell r="K680" t="str">
            <v>SR-163 NB</v>
          </cell>
          <cell r="L680" t="str">
            <v>KEARNY VILLA</v>
          </cell>
          <cell r="M680">
            <v>29818</v>
          </cell>
          <cell r="N680">
            <v>3520</v>
          </cell>
          <cell r="O680">
            <v>6136</v>
          </cell>
          <cell r="P680" t="str">
            <v>PeMS2016</v>
          </cell>
        </row>
        <row r="681">
          <cell r="C681">
            <v>24</v>
          </cell>
          <cell r="D681">
            <v>4</v>
          </cell>
          <cell r="E681">
            <v>9028</v>
          </cell>
          <cell r="F681">
            <v>1</v>
          </cell>
          <cell r="G681">
            <v>1</v>
          </cell>
          <cell r="H681" t="str">
            <v>SR-52 EB</v>
          </cell>
          <cell r="I681">
            <v>21</v>
          </cell>
          <cell r="J681">
            <v>0</v>
          </cell>
          <cell r="K681" t="str">
            <v>I-15 NB</v>
          </cell>
          <cell r="L681" t="str">
            <v>SANTO</v>
          </cell>
          <cell r="M681">
            <v>52885</v>
          </cell>
          <cell r="N681">
            <v>5614</v>
          </cell>
          <cell r="O681">
            <v>16332</v>
          </cell>
          <cell r="P681" t="str">
            <v>Caltran</v>
          </cell>
        </row>
        <row r="682">
          <cell r="C682">
            <v>24</v>
          </cell>
          <cell r="D682">
            <v>4</v>
          </cell>
          <cell r="E682">
            <v>7772</v>
          </cell>
          <cell r="F682">
            <v>1</v>
          </cell>
          <cell r="G682">
            <v>1</v>
          </cell>
          <cell r="H682" t="str">
            <v>SR-52 EB</v>
          </cell>
          <cell r="I682">
            <v>25</v>
          </cell>
          <cell r="J682">
            <v>2</v>
          </cell>
          <cell r="K682" t="str">
            <v>SANTO</v>
          </cell>
          <cell r="L682" t="str">
            <v>MAST</v>
          </cell>
          <cell r="M682">
            <v>51824</v>
          </cell>
          <cell r="N682">
            <v>5481</v>
          </cell>
          <cell r="O682">
            <v>17040</v>
          </cell>
          <cell r="P682" t="str">
            <v>Caltran</v>
          </cell>
        </row>
        <row r="683">
          <cell r="C683">
            <v>24</v>
          </cell>
          <cell r="D683">
            <v>4</v>
          </cell>
          <cell r="E683">
            <v>7375</v>
          </cell>
          <cell r="F683">
            <v>1</v>
          </cell>
          <cell r="G683">
            <v>1</v>
          </cell>
          <cell r="H683" t="str">
            <v>SR-52 EB</v>
          </cell>
          <cell r="I683">
            <v>28</v>
          </cell>
          <cell r="J683">
            <v>0</v>
          </cell>
          <cell r="K683" t="str">
            <v>SANTO</v>
          </cell>
          <cell r="L683" t="str">
            <v>MAST</v>
          </cell>
          <cell r="M683">
            <v>51626</v>
          </cell>
          <cell r="N683">
            <v>5305</v>
          </cell>
          <cell r="O683">
            <v>17410</v>
          </cell>
          <cell r="P683" t="str">
            <v>Caltran</v>
          </cell>
        </row>
        <row r="684">
          <cell r="C684">
            <v>24</v>
          </cell>
          <cell r="D684">
            <v>4</v>
          </cell>
          <cell r="E684">
            <v>15239</v>
          </cell>
          <cell r="F684">
            <v>1</v>
          </cell>
          <cell r="G684">
            <v>1</v>
          </cell>
          <cell r="H684" t="str">
            <v>SR-52 EB</v>
          </cell>
          <cell r="I684">
            <v>29</v>
          </cell>
          <cell r="J684">
            <v>0</v>
          </cell>
          <cell r="K684" t="str">
            <v>MAST</v>
          </cell>
          <cell r="L684" t="str">
            <v>MAST</v>
          </cell>
          <cell r="M684">
            <v>43172</v>
          </cell>
          <cell r="N684">
            <v>4824</v>
          </cell>
          <cell r="O684">
            <v>14034</v>
          </cell>
          <cell r="P684" t="str">
            <v>PeMS2016</v>
          </cell>
        </row>
        <row r="685">
          <cell r="C685">
            <v>24</v>
          </cell>
          <cell r="D685">
            <v>4</v>
          </cell>
          <cell r="E685">
            <v>11124</v>
          </cell>
          <cell r="F685">
            <v>1</v>
          </cell>
          <cell r="G685">
            <v>1</v>
          </cell>
          <cell r="H685" t="str">
            <v>SR-52 EB</v>
          </cell>
          <cell r="I685">
            <v>30</v>
          </cell>
          <cell r="J685">
            <v>0</v>
          </cell>
          <cell r="K685" t="str">
            <v>MAST</v>
          </cell>
          <cell r="L685" t="str">
            <v>MISSION GORGE</v>
          </cell>
          <cell r="M685">
            <v>45213</v>
          </cell>
          <cell r="N685">
            <v>4965</v>
          </cell>
          <cell r="O685">
            <v>14494</v>
          </cell>
          <cell r="P685" t="str">
            <v>Caltran</v>
          </cell>
        </row>
        <row r="686">
          <cell r="C686">
            <v>24</v>
          </cell>
          <cell r="D686">
            <v>4</v>
          </cell>
          <cell r="E686">
            <v>19481</v>
          </cell>
          <cell r="F686">
            <v>1</v>
          </cell>
          <cell r="G686">
            <v>1</v>
          </cell>
          <cell r="H686" t="str">
            <v>SR-52 EB</v>
          </cell>
          <cell r="I686">
            <v>31</v>
          </cell>
          <cell r="J686">
            <v>0</v>
          </cell>
          <cell r="K686" t="str">
            <v>MISSION GORGE</v>
          </cell>
          <cell r="L686" t="str">
            <v>NEW MISSION GORGE</v>
          </cell>
          <cell r="M686">
            <v>46785</v>
          </cell>
          <cell r="N686">
            <v>5416</v>
          </cell>
          <cell r="O686">
            <v>14757</v>
          </cell>
          <cell r="P686" t="str">
            <v>PeMS2016</v>
          </cell>
        </row>
        <row r="687">
          <cell r="C687">
            <v>24</v>
          </cell>
          <cell r="D687">
            <v>4</v>
          </cell>
          <cell r="E687">
            <v>7377</v>
          </cell>
          <cell r="F687">
            <v>1</v>
          </cell>
          <cell r="G687">
            <v>1</v>
          </cell>
          <cell r="H687" t="str">
            <v>SR-52 EB</v>
          </cell>
          <cell r="I687">
            <v>36</v>
          </cell>
          <cell r="J687">
            <v>0</v>
          </cell>
          <cell r="K687" t="str">
            <v>FANITA</v>
          </cell>
          <cell r="L687" t="str">
            <v>CUYAMACA</v>
          </cell>
          <cell r="M687">
            <v>45188</v>
          </cell>
          <cell r="N687">
            <v>6057</v>
          </cell>
          <cell r="O687">
            <v>12887</v>
          </cell>
          <cell r="P687" t="str">
            <v>Caltran</v>
          </cell>
        </row>
        <row r="688">
          <cell r="C688">
            <v>24</v>
          </cell>
          <cell r="D688">
            <v>4</v>
          </cell>
          <cell r="E688">
            <v>27229</v>
          </cell>
          <cell r="F688">
            <v>1</v>
          </cell>
          <cell r="G688">
            <v>1</v>
          </cell>
          <cell r="H688" t="str">
            <v>SR-52 EB</v>
          </cell>
          <cell r="I688">
            <v>38</v>
          </cell>
          <cell r="J688">
            <v>0</v>
          </cell>
          <cell r="K688" t="str">
            <v>CUYAMACA</v>
          </cell>
          <cell r="L688" t="str">
            <v>MAGNOLIA</v>
          </cell>
          <cell r="M688">
            <v>42647</v>
          </cell>
          <cell r="N688">
            <v>4805</v>
          </cell>
          <cell r="O688">
            <v>12478</v>
          </cell>
          <cell r="P688" t="str">
            <v>Caltran</v>
          </cell>
        </row>
        <row r="689">
          <cell r="C689">
            <v>25</v>
          </cell>
          <cell r="D689">
            <v>4</v>
          </cell>
          <cell r="E689">
            <v>27959</v>
          </cell>
          <cell r="F689">
            <v>1</v>
          </cell>
          <cell r="G689">
            <v>1</v>
          </cell>
          <cell r="H689" t="str">
            <v>SR-54 EB</v>
          </cell>
          <cell r="I689">
            <v>1</v>
          </cell>
          <cell r="J689">
            <v>0</v>
          </cell>
          <cell r="K689" t="str">
            <v>NATIONAL CITY</v>
          </cell>
          <cell r="L689" t="str">
            <v>HIGHLAND</v>
          </cell>
          <cell r="M689">
            <v>57110</v>
          </cell>
          <cell r="N689">
            <v>6772</v>
          </cell>
          <cell r="O689">
            <v>15496</v>
          </cell>
          <cell r="P689" t="str">
            <v>Caltran</v>
          </cell>
        </row>
        <row r="690">
          <cell r="C690">
            <v>25</v>
          </cell>
          <cell r="D690">
            <v>4</v>
          </cell>
          <cell r="E690">
            <v>28676</v>
          </cell>
          <cell r="F690">
            <v>1</v>
          </cell>
          <cell r="G690">
            <v>1</v>
          </cell>
          <cell r="H690" t="str">
            <v>SR-54 EB</v>
          </cell>
          <cell r="I690">
            <v>6</v>
          </cell>
          <cell r="J690">
            <v>0</v>
          </cell>
          <cell r="K690" t="str">
            <v>I-805 NB</v>
          </cell>
          <cell r="L690" t="str">
            <v>VALLEY</v>
          </cell>
          <cell r="M690">
            <v>70212</v>
          </cell>
          <cell r="N690">
            <v>9294</v>
          </cell>
          <cell r="O690">
            <v>18999</v>
          </cell>
          <cell r="P690" t="str">
            <v>Caltran</v>
          </cell>
        </row>
        <row r="691">
          <cell r="C691">
            <v>25</v>
          </cell>
          <cell r="D691">
            <v>4</v>
          </cell>
          <cell r="E691">
            <v>28678</v>
          </cell>
          <cell r="F691">
            <v>1</v>
          </cell>
          <cell r="G691">
            <v>1</v>
          </cell>
          <cell r="H691" t="str">
            <v>SR-54 EB</v>
          </cell>
          <cell r="I691">
            <v>7</v>
          </cell>
          <cell r="J691">
            <v>0</v>
          </cell>
          <cell r="K691" t="str">
            <v>VALLEY</v>
          </cell>
          <cell r="L691" t="str">
            <v>VALLEY</v>
          </cell>
          <cell r="M691">
            <v>60476</v>
          </cell>
          <cell r="N691">
            <v>8647</v>
          </cell>
          <cell r="O691">
            <v>16037</v>
          </cell>
          <cell r="P691" t="str">
            <v>PeMS2016</v>
          </cell>
        </row>
        <row r="692">
          <cell r="C692">
            <v>25</v>
          </cell>
          <cell r="D692">
            <v>4</v>
          </cell>
          <cell r="E692">
            <v>14143</v>
          </cell>
          <cell r="F692">
            <v>1</v>
          </cell>
          <cell r="G692">
            <v>1</v>
          </cell>
          <cell r="H692" t="str">
            <v>SR-54 EB</v>
          </cell>
          <cell r="I692">
            <v>8</v>
          </cell>
          <cell r="J692">
            <v>0</v>
          </cell>
          <cell r="K692" t="str">
            <v>VALLEY</v>
          </cell>
          <cell r="L692" t="str">
            <v>WOODMAN</v>
          </cell>
          <cell r="M692">
            <v>64932</v>
          </cell>
          <cell r="N692">
            <v>9064</v>
          </cell>
          <cell r="O692">
            <v>17321</v>
          </cell>
          <cell r="P692" t="str">
            <v>Caltran</v>
          </cell>
        </row>
        <row r="693">
          <cell r="C693">
            <v>25</v>
          </cell>
          <cell r="D693">
            <v>4</v>
          </cell>
          <cell r="E693">
            <v>14151</v>
          </cell>
          <cell r="F693">
            <v>1</v>
          </cell>
          <cell r="G693">
            <v>1</v>
          </cell>
          <cell r="H693" t="str">
            <v>SR-54 EB</v>
          </cell>
          <cell r="I693">
            <v>9</v>
          </cell>
          <cell r="J693">
            <v>0</v>
          </cell>
          <cell r="K693" t="str">
            <v>WOODMAN</v>
          </cell>
          <cell r="L693" t="str">
            <v>WOODMAN</v>
          </cell>
          <cell r="M693">
            <v>56930</v>
          </cell>
          <cell r="N693">
            <v>8580</v>
          </cell>
          <cell r="O693">
            <v>15033</v>
          </cell>
          <cell r="P693" t="str">
            <v>PeMS2016</v>
          </cell>
        </row>
        <row r="694">
          <cell r="C694">
            <v>25</v>
          </cell>
          <cell r="D694">
            <v>4</v>
          </cell>
          <cell r="E694">
            <v>14153</v>
          </cell>
          <cell r="F694">
            <v>1</v>
          </cell>
          <cell r="G694">
            <v>1</v>
          </cell>
          <cell r="H694" t="str">
            <v>SR-54 EB</v>
          </cell>
          <cell r="I694">
            <v>10</v>
          </cell>
          <cell r="J694">
            <v>0</v>
          </cell>
          <cell r="K694" t="str">
            <v>WOODMAN</v>
          </cell>
          <cell r="L694" t="str">
            <v>BRIARWOOD</v>
          </cell>
          <cell r="M694">
            <v>59399</v>
          </cell>
          <cell r="N694">
            <v>9045</v>
          </cell>
          <cell r="O694">
            <v>15541</v>
          </cell>
          <cell r="P694" t="str">
            <v>Caltran</v>
          </cell>
        </row>
        <row r="695">
          <cell r="C695">
            <v>25</v>
          </cell>
          <cell r="D695">
            <v>4</v>
          </cell>
          <cell r="E695">
            <v>7514</v>
          </cell>
          <cell r="F695">
            <v>1</v>
          </cell>
          <cell r="G695">
            <v>1</v>
          </cell>
          <cell r="H695" t="str">
            <v>SR-54 EB</v>
          </cell>
          <cell r="I695">
            <v>11</v>
          </cell>
          <cell r="J695">
            <v>0</v>
          </cell>
          <cell r="K695" t="str">
            <v>BRIARWOOD</v>
          </cell>
          <cell r="L695" t="str">
            <v>BRIARWOOD</v>
          </cell>
          <cell r="M695">
            <v>49729</v>
          </cell>
          <cell r="N695">
            <v>8254</v>
          </cell>
          <cell r="O695">
            <v>12664</v>
          </cell>
          <cell r="P695" t="str">
            <v>PeMS2016</v>
          </cell>
        </row>
        <row r="696">
          <cell r="C696">
            <v>25</v>
          </cell>
          <cell r="D696">
            <v>4</v>
          </cell>
          <cell r="E696">
            <v>7525</v>
          </cell>
          <cell r="F696">
            <v>1</v>
          </cell>
          <cell r="G696">
            <v>1</v>
          </cell>
          <cell r="H696" t="str">
            <v>SR-54 EB</v>
          </cell>
          <cell r="I696">
            <v>12</v>
          </cell>
          <cell r="J696">
            <v>0</v>
          </cell>
          <cell r="K696" t="str">
            <v>BRIARWOOD</v>
          </cell>
          <cell r="L696" t="str">
            <v>SR-125 SB</v>
          </cell>
          <cell r="M696">
            <v>55066</v>
          </cell>
          <cell r="N696">
            <v>9523</v>
          </cell>
          <cell r="O696">
            <v>13722</v>
          </cell>
          <cell r="P696" t="str">
            <v>Caltran</v>
          </cell>
        </row>
        <row r="697">
          <cell r="C697">
            <v>26</v>
          </cell>
          <cell r="D697">
            <v>4</v>
          </cell>
          <cell r="E697">
            <v>7636</v>
          </cell>
          <cell r="F697">
            <v>1</v>
          </cell>
          <cell r="G697">
            <v>1</v>
          </cell>
          <cell r="H697" t="str">
            <v>SR-56 EB</v>
          </cell>
          <cell r="I697">
            <v>1</v>
          </cell>
          <cell r="J697">
            <v>0</v>
          </cell>
          <cell r="K697" t="str">
            <v>EL CAMINO REAL</v>
          </cell>
          <cell r="L697" t="str">
            <v>CARMEL CREEK</v>
          </cell>
          <cell r="M697">
            <v>32687</v>
          </cell>
          <cell r="N697">
            <v>3583</v>
          </cell>
          <cell r="O697">
            <v>11173</v>
          </cell>
          <cell r="P697" t="str">
            <v>PeMS2016</v>
          </cell>
        </row>
        <row r="698">
          <cell r="C698">
            <v>26</v>
          </cell>
          <cell r="D698">
            <v>4</v>
          </cell>
          <cell r="E698">
            <v>27505</v>
          </cell>
          <cell r="F698">
            <v>1</v>
          </cell>
          <cell r="G698">
            <v>1</v>
          </cell>
          <cell r="H698" t="str">
            <v>SR-56 EB</v>
          </cell>
          <cell r="I698">
            <v>3</v>
          </cell>
          <cell r="J698">
            <v>0</v>
          </cell>
          <cell r="K698" t="str">
            <v>CARMEL CREEK</v>
          </cell>
          <cell r="L698" t="str">
            <v>CARMEL CREEK</v>
          </cell>
          <cell r="M698">
            <v>39891</v>
          </cell>
          <cell r="N698">
            <v>4891</v>
          </cell>
          <cell r="O698">
            <v>11784</v>
          </cell>
          <cell r="P698" t="str">
            <v>PeMS2016</v>
          </cell>
        </row>
        <row r="699">
          <cell r="C699">
            <v>26</v>
          </cell>
          <cell r="D699">
            <v>4</v>
          </cell>
          <cell r="E699">
            <v>27507</v>
          </cell>
          <cell r="F699">
            <v>1</v>
          </cell>
          <cell r="G699">
            <v>1</v>
          </cell>
          <cell r="H699" t="str">
            <v>SR-56 EB</v>
          </cell>
          <cell r="I699">
            <v>4</v>
          </cell>
          <cell r="J699">
            <v>0</v>
          </cell>
          <cell r="K699" t="str">
            <v>CARMEL CREEK</v>
          </cell>
          <cell r="L699" t="str">
            <v>CARMEL COUNTRY</v>
          </cell>
          <cell r="M699">
            <v>44209</v>
          </cell>
          <cell r="N699">
            <v>5196</v>
          </cell>
          <cell r="O699">
            <v>13771</v>
          </cell>
          <cell r="P699" t="str">
            <v>Caltran</v>
          </cell>
        </row>
        <row r="700">
          <cell r="C700">
            <v>26</v>
          </cell>
          <cell r="D700">
            <v>4</v>
          </cell>
          <cell r="E700">
            <v>29168</v>
          </cell>
          <cell r="F700">
            <v>1</v>
          </cell>
          <cell r="G700">
            <v>1</v>
          </cell>
          <cell r="H700" t="str">
            <v>SR-56 EB</v>
          </cell>
          <cell r="I700">
            <v>5</v>
          </cell>
          <cell r="J700">
            <v>0</v>
          </cell>
          <cell r="K700" t="str">
            <v>CARMEL COUNTRY</v>
          </cell>
          <cell r="L700" t="str">
            <v>CARMEL COUNTRY</v>
          </cell>
          <cell r="M700">
            <v>35357</v>
          </cell>
          <cell r="N700">
            <v>4183</v>
          </cell>
          <cell r="O700">
            <v>10644</v>
          </cell>
          <cell r="P700" t="str">
            <v>PeMS2016</v>
          </cell>
        </row>
        <row r="701">
          <cell r="C701">
            <v>26</v>
          </cell>
          <cell r="D701">
            <v>4</v>
          </cell>
          <cell r="E701">
            <v>16356</v>
          </cell>
          <cell r="F701">
            <v>1</v>
          </cell>
          <cell r="G701">
            <v>1</v>
          </cell>
          <cell r="H701" t="str">
            <v>SR-56 EB</v>
          </cell>
          <cell r="I701">
            <v>6</v>
          </cell>
          <cell r="J701">
            <v>0</v>
          </cell>
          <cell r="K701" t="str">
            <v>CARMEL COUNTRY</v>
          </cell>
          <cell r="L701" t="str">
            <v>CAMINO SANTA FE</v>
          </cell>
          <cell r="M701">
            <v>41638</v>
          </cell>
          <cell r="N701">
            <v>5037</v>
          </cell>
          <cell r="O701">
            <v>13298</v>
          </cell>
          <cell r="P701" t="str">
            <v>Caltran</v>
          </cell>
        </row>
        <row r="702">
          <cell r="C702">
            <v>26</v>
          </cell>
          <cell r="D702">
            <v>4</v>
          </cell>
          <cell r="E702">
            <v>29169</v>
          </cell>
          <cell r="F702">
            <v>1</v>
          </cell>
          <cell r="G702">
            <v>1</v>
          </cell>
          <cell r="H702" t="str">
            <v>SR-56 EB</v>
          </cell>
          <cell r="I702">
            <v>7</v>
          </cell>
          <cell r="J702">
            <v>0</v>
          </cell>
          <cell r="K702" t="str">
            <v>CAMINO SANTA FE</v>
          </cell>
          <cell r="L702" t="str">
            <v>CAMINO SANTA FE</v>
          </cell>
          <cell r="M702">
            <v>34373</v>
          </cell>
          <cell r="N702">
            <v>3717</v>
          </cell>
          <cell r="O702">
            <v>11369</v>
          </cell>
          <cell r="P702" t="str">
            <v>PeMS2016</v>
          </cell>
        </row>
        <row r="703">
          <cell r="C703">
            <v>26</v>
          </cell>
          <cell r="D703">
            <v>4</v>
          </cell>
          <cell r="E703">
            <v>16360</v>
          </cell>
          <cell r="F703">
            <v>1</v>
          </cell>
          <cell r="G703">
            <v>1</v>
          </cell>
          <cell r="H703" t="str">
            <v>SR-56 EB</v>
          </cell>
          <cell r="I703">
            <v>8</v>
          </cell>
          <cell r="J703">
            <v>1</v>
          </cell>
          <cell r="K703" t="str">
            <v>CAMINO SANTA FE</v>
          </cell>
          <cell r="L703" t="str">
            <v>CAMINO RUIZ</v>
          </cell>
          <cell r="M703">
            <v>37676</v>
          </cell>
          <cell r="N703">
            <v>4034</v>
          </cell>
          <cell r="O703">
            <v>12653</v>
          </cell>
          <cell r="P703" t="str">
            <v>Caltran</v>
          </cell>
        </row>
        <row r="704">
          <cell r="C704">
            <v>26</v>
          </cell>
          <cell r="D704">
            <v>4</v>
          </cell>
          <cell r="E704">
            <v>16350</v>
          </cell>
          <cell r="F704">
            <v>1</v>
          </cell>
          <cell r="G704">
            <v>1</v>
          </cell>
          <cell r="H704" t="str">
            <v>SR-56 EB</v>
          </cell>
          <cell r="I704">
            <v>9</v>
          </cell>
          <cell r="J704">
            <v>0</v>
          </cell>
          <cell r="K704" t="str">
            <v>CAMINO SANTA FE</v>
          </cell>
          <cell r="L704" t="str">
            <v>CAMINO RUIZ</v>
          </cell>
          <cell r="M704">
            <v>38813</v>
          </cell>
          <cell r="N704">
            <v>4263</v>
          </cell>
          <cell r="O704">
            <v>12710</v>
          </cell>
          <cell r="P704" t="str">
            <v>PeMS2016</v>
          </cell>
        </row>
        <row r="705">
          <cell r="C705">
            <v>26</v>
          </cell>
          <cell r="D705">
            <v>4</v>
          </cell>
          <cell r="E705">
            <v>29173</v>
          </cell>
          <cell r="F705">
            <v>1</v>
          </cell>
          <cell r="G705">
            <v>1</v>
          </cell>
          <cell r="H705" t="str">
            <v>SR-56 EB</v>
          </cell>
          <cell r="I705">
            <v>11</v>
          </cell>
          <cell r="J705">
            <v>0</v>
          </cell>
          <cell r="K705" t="str">
            <v>CAMINO RUIZ</v>
          </cell>
          <cell r="L705" t="str">
            <v>CAMINO RUIZ</v>
          </cell>
          <cell r="M705">
            <v>32308</v>
          </cell>
          <cell r="N705">
            <v>3501</v>
          </cell>
          <cell r="O705">
            <v>10972</v>
          </cell>
          <cell r="P705" t="str">
            <v>PeMS2016</v>
          </cell>
        </row>
        <row r="706">
          <cell r="C706">
            <v>26</v>
          </cell>
          <cell r="D706">
            <v>4</v>
          </cell>
          <cell r="E706">
            <v>16353</v>
          </cell>
          <cell r="F706">
            <v>1</v>
          </cell>
          <cell r="G706">
            <v>1</v>
          </cell>
          <cell r="H706" t="str">
            <v>SR-56 EB</v>
          </cell>
          <cell r="I706">
            <v>13</v>
          </cell>
          <cell r="J706">
            <v>0</v>
          </cell>
          <cell r="K706" t="str">
            <v>CAMINO RUIZ</v>
          </cell>
          <cell r="L706" t="str">
            <v>BLACK MOUNTAIN</v>
          </cell>
          <cell r="M706">
            <v>38278</v>
          </cell>
          <cell r="N706">
            <v>4534</v>
          </cell>
          <cell r="O706">
            <v>12737</v>
          </cell>
          <cell r="P706" t="str">
            <v>Caltran</v>
          </cell>
        </row>
        <row r="707">
          <cell r="C707">
            <v>26</v>
          </cell>
          <cell r="D707">
            <v>4</v>
          </cell>
          <cell r="E707">
            <v>16144</v>
          </cell>
          <cell r="F707">
            <v>1</v>
          </cell>
          <cell r="G707">
            <v>1</v>
          </cell>
          <cell r="H707" t="str">
            <v>SR-56 EB</v>
          </cell>
          <cell r="I707">
            <v>15</v>
          </cell>
          <cell r="J707">
            <v>0</v>
          </cell>
          <cell r="K707" t="str">
            <v>BLACK MOUNTAIN</v>
          </cell>
          <cell r="L707" t="str">
            <v>RANCHO PENASQUITOS</v>
          </cell>
          <cell r="M707">
            <v>32157</v>
          </cell>
          <cell r="N707">
            <v>3940</v>
          </cell>
          <cell r="O707">
            <v>10773</v>
          </cell>
          <cell r="P707" t="str">
            <v>PeMS2016</v>
          </cell>
        </row>
        <row r="708">
          <cell r="C708">
            <v>26</v>
          </cell>
          <cell r="D708">
            <v>4</v>
          </cell>
          <cell r="E708">
            <v>11379</v>
          </cell>
          <cell r="F708">
            <v>1</v>
          </cell>
          <cell r="G708">
            <v>1</v>
          </cell>
          <cell r="H708" t="str">
            <v>SR-56 EB</v>
          </cell>
          <cell r="I708">
            <v>16</v>
          </cell>
          <cell r="J708">
            <v>0</v>
          </cell>
          <cell r="K708" t="str">
            <v>RANCHO PENASQUITOS</v>
          </cell>
          <cell r="L708" t="str">
            <v>RANCHO PENASQUITOS</v>
          </cell>
          <cell r="M708">
            <v>31454</v>
          </cell>
          <cell r="N708">
            <v>4570</v>
          </cell>
          <cell r="O708">
            <v>9505</v>
          </cell>
          <cell r="P708" t="str">
            <v>PeMS2016</v>
          </cell>
        </row>
        <row r="709">
          <cell r="C709">
            <v>26</v>
          </cell>
          <cell r="D709">
            <v>4</v>
          </cell>
          <cell r="E709">
            <v>16523</v>
          </cell>
          <cell r="F709">
            <v>1</v>
          </cell>
          <cell r="G709">
            <v>1</v>
          </cell>
          <cell r="H709" t="str">
            <v>SR-56 EB</v>
          </cell>
          <cell r="I709">
            <v>17</v>
          </cell>
          <cell r="J709">
            <v>0</v>
          </cell>
          <cell r="K709" t="str">
            <v>RANCHO PENASQUITOS</v>
          </cell>
          <cell r="L709" t="str">
            <v>I-15 SB</v>
          </cell>
          <cell r="M709">
            <v>34858</v>
          </cell>
          <cell r="N709">
            <v>5505</v>
          </cell>
          <cell r="O709">
            <v>10219</v>
          </cell>
          <cell r="P709" t="str">
            <v>PeMS2016</v>
          </cell>
        </row>
        <row r="710">
          <cell r="C710">
            <v>13</v>
          </cell>
          <cell r="D710">
            <v>2</v>
          </cell>
          <cell r="E710">
            <v>9033</v>
          </cell>
          <cell r="F710">
            <v>1</v>
          </cell>
          <cell r="G710">
            <v>1</v>
          </cell>
          <cell r="H710" t="str">
            <v>SR-67 SB</v>
          </cell>
          <cell r="I710">
            <v>9</v>
          </cell>
          <cell r="J710">
            <v>0</v>
          </cell>
          <cell r="K710" t="str">
            <v>WOODSIDE(N)</v>
          </cell>
          <cell r="L710" t="str">
            <v>SR-52 WB</v>
          </cell>
          <cell r="M710">
            <v>37462</v>
          </cell>
          <cell r="N710">
            <v>7851</v>
          </cell>
          <cell r="O710">
            <v>8372</v>
          </cell>
          <cell r="P710" t="str">
            <v>Caltran</v>
          </cell>
        </row>
        <row r="711">
          <cell r="C711">
            <v>13</v>
          </cell>
          <cell r="D711">
            <v>2</v>
          </cell>
          <cell r="E711">
            <v>13035</v>
          </cell>
          <cell r="F711">
            <v>1</v>
          </cell>
          <cell r="G711">
            <v>1</v>
          </cell>
          <cell r="H711" t="str">
            <v>SR-67 SB</v>
          </cell>
          <cell r="I711">
            <v>12</v>
          </cell>
          <cell r="J711">
            <v>0</v>
          </cell>
          <cell r="K711" t="str">
            <v>SR-52 EB</v>
          </cell>
          <cell r="L711" t="str">
            <v>BRADLEY</v>
          </cell>
          <cell r="M711">
            <v>53462</v>
          </cell>
          <cell r="N711">
            <v>8703</v>
          </cell>
          <cell r="O711">
            <v>13580</v>
          </cell>
          <cell r="P711" t="str">
            <v>Caltran</v>
          </cell>
        </row>
        <row r="712">
          <cell r="C712">
            <v>14</v>
          </cell>
          <cell r="D712">
            <v>2</v>
          </cell>
          <cell r="E712">
            <v>7724</v>
          </cell>
          <cell r="F712">
            <v>1</v>
          </cell>
          <cell r="G712">
            <v>1</v>
          </cell>
          <cell r="H712" t="str">
            <v>SR-75 SB</v>
          </cell>
          <cell r="I712">
            <v>6</v>
          </cell>
          <cell r="J712">
            <v>0</v>
          </cell>
          <cell r="K712" t="str">
            <v>I-5 SB</v>
          </cell>
          <cell r="L712" t="str">
            <v>GLORIETTA</v>
          </cell>
          <cell r="M712">
            <v>42960</v>
          </cell>
          <cell r="N712">
            <v>5359</v>
          </cell>
          <cell r="O712">
            <v>11465</v>
          </cell>
          <cell r="P712" t="str">
            <v>Caltran</v>
          </cell>
        </row>
        <row r="713">
          <cell r="C713">
            <v>23</v>
          </cell>
          <cell r="D713">
            <v>4</v>
          </cell>
          <cell r="E713">
            <v>16489</v>
          </cell>
          <cell r="F713">
            <v>1</v>
          </cell>
          <cell r="G713">
            <v>1</v>
          </cell>
          <cell r="H713" t="str">
            <v>SR-78 EB</v>
          </cell>
          <cell r="I713">
            <v>4</v>
          </cell>
          <cell r="J713">
            <v>0</v>
          </cell>
          <cell r="K713" t="str">
            <v>I-5 NB</v>
          </cell>
          <cell r="L713" t="str">
            <v>JEFFERSON</v>
          </cell>
          <cell r="M713">
            <v>69579</v>
          </cell>
          <cell r="N713">
            <v>9318</v>
          </cell>
          <cell r="O713">
            <v>18307</v>
          </cell>
          <cell r="P713" t="str">
            <v>PeMS2016</v>
          </cell>
        </row>
        <row r="714">
          <cell r="C714">
            <v>23</v>
          </cell>
          <cell r="D714">
            <v>4</v>
          </cell>
          <cell r="E714">
            <v>28535</v>
          </cell>
          <cell r="F714">
            <v>1</v>
          </cell>
          <cell r="G714">
            <v>1</v>
          </cell>
          <cell r="H714" t="str">
            <v>SR-78 EB</v>
          </cell>
          <cell r="I714">
            <v>5</v>
          </cell>
          <cell r="J714">
            <v>0</v>
          </cell>
          <cell r="K714" t="str">
            <v>JEFFERSON</v>
          </cell>
          <cell r="L714" t="str">
            <v>JEFFERSON</v>
          </cell>
          <cell r="M714">
            <v>55866</v>
          </cell>
          <cell r="N714">
            <v>8299</v>
          </cell>
          <cell r="O714">
            <v>15065</v>
          </cell>
          <cell r="P714" t="str">
            <v>PeMS2016</v>
          </cell>
        </row>
        <row r="715">
          <cell r="C715">
            <v>23</v>
          </cell>
          <cell r="D715">
            <v>4</v>
          </cell>
          <cell r="E715">
            <v>27544</v>
          </cell>
          <cell r="F715">
            <v>1</v>
          </cell>
          <cell r="G715">
            <v>1</v>
          </cell>
          <cell r="H715" t="str">
            <v>SR-78 EB</v>
          </cell>
          <cell r="I715">
            <v>6</v>
          </cell>
          <cell r="J715">
            <v>0</v>
          </cell>
          <cell r="K715" t="str">
            <v>JEFFERSON</v>
          </cell>
          <cell r="L715" t="str">
            <v>EL CAMINO REAL</v>
          </cell>
          <cell r="M715">
            <v>63736</v>
          </cell>
          <cell r="N715">
            <v>8792</v>
          </cell>
          <cell r="O715">
            <v>16132</v>
          </cell>
          <cell r="P715" t="str">
            <v>Caltran</v>
          </cell>
        </row>
        <row r="716">
          <cell r="C716">
            <v>23</v>
          </cell>
          <cell r="D716">
            <v>4</v>
          </cell>
          <cell r="E716">
            <v>27245</v>
          </cell>
          <cell r="F716">
            <v>1</v>
          </cell>
          <cell r="G716">
            <v>1</v>
          </cell>
          <cell r="H716" t="str">
            <v>SR-78 EB</v>
          </cell>
          <cell r="I716">
            <v>7</v>
          </cell>
          <cell r="J716">
            <v>0</v>
          </cell>
          <cell r="K716" t="str">
            <v>EL CAMINO REAL</v>
          </cell>
          <cell r="L716" t="str">
            <v>EL CAMINO REAL</v>
          </cell>
          <cell r="M716">
            <v>54153</v>
          </cell>
          <cell r="N716">
            <v>7688</v>
          </cell>
          <cell r="O716">
            <v>13752</v>
          </cell>
          <cell r="P716" t="str">
            <v>PeMS2016</v>
          </cell>
        </row>
        <row r="717">
          <cell r="C717">
            <v>23</v>
          </cell>
          <cell r="D717">
            <v>4</v>
          </cell>
          <cell r="E717">
            <v>8829</v>
          </cell>
          <cell r="F717">
            <v>1</v>
          </cell>
          <cell r="G717">
            <v>1</v>
          </cell>
          <cell r="H717" t="str">
            <v>SR-78 EB</v>
          </cell>
          <cell r="I717">
            <v>8</v>
          </cell>
          <cell r="J717">
            <v>0</v>
          </cell>
          <cell r="K717" t="str">
            <v>EL CAMINO REAL</v>
          </cell>
          <cell r="L717" t="str">
            <v>RANCHO DEL ORO</v>
          </cell>
          <cell r="M717">
            <v>72382</v>
          </cell>
          <cell r="N717">
            <v>10165</v>
          </cell>
          <cell r="O717">
            <v>18241</v>
          </cell>
          <cell r="P717" t="str">
            <v>Caltran</v>
          </cell>
        </row>
        <row r="718">
          <cell r="C718">
            <v>23</v>
          </cell>
          <cell r="D718">
            <v>4</v>
          </cell>
          <cell r="E718">
            <v>8831</v>
          </cell>
          <cell r="F718">
            <v>1</v>
          </cell>
          <cell r="G718">
            <v>1</v>
          </cell>
          <cell r="H718" t="str">
            <v>SR-78 EB</v>
          </cell>
          <cell r="I718">
            <v>11</v>
          </cell>
          <cell r="J718">
            <v>0</v>
          </cell>
          <cell r="K718" t="str">
            <v>COLLEGE</v>
          </cell>
          <cell r="L718" t="str">
            <v>PLAZA</v>
          </cell>
          <cell r="M718">
            <v>55236</v>
          </cell>
          <cell r="N718">
            <v>7948</v>
          </cell>
          <cell r="O718">
            <v>13844</v>
          </cell>
          <cell r="P718" t="str">
            <v>PeMS2016</v>
          </cell>
        </row>
        <row r="719">
          <cell r="C719">
            <v>23</v>
          </cell>
          <cell r="D719">
            <v>4</v>
          </cell>
          <cell r="E719">
            <v>8830</v>
          </cell>
          <cell r="F719">
            <v>1</v>
          </cell>
          <cell r="G719">
            <v>1</v>
          </cell>
          <cell r="H719" t="str">
            <v>SR-78 EB</v>
          </cell>
          <cell r="I719">
            <v>12</v>
          </cell>
          <cell r="J719">
            <v>0</v>
          </cell>
          <cell r="K719" t="str">
            <v>PLAZA</v>
          </cell>
          <cell r="L719" t="str">
            <v>PLAZA</v>
          </cell>
          <cell r="M719">
            <v>53613</v>
          </cell>
          <cell r="N719">
            <v>7830</v>
          </cell>
          <cell r="O719">
            <v>13469</v>
          </cell>
          <cell r="P719" t="str">
            <v>PeMS2016</v>
          </cell>
        </row>
        <row r="720">
          <cell r="C720">
            <v>23</v>
          </cell>
          <cell r="D720">
            <v>4</v>
          </cell>
          <cell r="E720">
            <v>16566</v>
          </cell>
          <cell r="F720">
            <v>1</v>
          </cell>
          <cell r="G720">
            <v>1</v>
          </cell>
          <cell r="H720" t="str">
            <v>SR-78 EB</v>
          </cell>
          <cell r="I720">
            <v>14</v>
          </cell>
          <cell r="J720">
            <v>0</v>
          </cell>
          <cell r="K720" t="str">
            <v>EMERALD</v>
          </cell>
          <cell r="L720" t="str">
            <v>EMERALD</v>
          </cell>
          <cell r="M720">
            <v>54939</v>
          </cell>
          <cell r="N720">
            <v>8687</v>
          </cell>
          <cell r="O720">
            <v>13311</v>
          </cell>
          <cell r="P720" t="str">
            <v>PeMS2016</v>
          </cell>
        </row>
        <row r="721">
          <cell r="C721">
            <v>23</v>
          </cell>
          <cell r="D721">
            <v>4</v>
          </cell>
          <cell r="E721">
            <v>16565</v>
          </cell>
          <cell r="F721">
            <v>1</v>
          </cell>
          <cell r="G721">
            <v>1</v>
          </cell>
          <cell r="H721" t="str">
            <v>SR-78 EB</v>
          </cell>
          <cell r="I721">
            <v>15</v>
          </cell>
          <cell r="J721">
            <v>1</v>
          </cell>
          <cell r="K721" t="str">
            <v>EMERALD</v>
          </cell>
          <cell r="L721" t="str">
            <v>MELROSE</v>
          </cell>
          <cell r="M721">
            <v>69059</v>
          </cell>
          <cell r="N721">
            <v>10925</v>
          </cell>
          <cell r="O721">
            <v>16661</v>
          </cell>
          <cell r="P721" t="str">
            <v>Caltran</v>
          </cell>
        </row>
        <row r="722">
          <cell r="C722">
            <v>23</v>
          </cell>
          <cell r="D722">
            <v>4</v>
          </cell>
          <cell r="E722">
            <v>7872</v>
          </cell>
          <cell r="F722">
            <v>1</v>
          </cell>
          <cell r="G722">
            <v>1</v>
          </cell>
          <cell r="H722" t="str">
            <v>SR-78 EB</v>
          </cell>
          <cell r="I722">
            <v>18</v>
          </cell>
          <cell r="J722">
            <v>0</v>
          </cell>
          <cell r="K722" t="str">
            <v>MELROSE</v>
          </cell>
          <cell r="L722" t="str">
            <v>MELROSE</v>
          </cell>
          <cell r="M722">
            <v>50628</v>
          </cell>
          <cell r="N722">
            <v>8879</v>
          </cell>
          <cell r="O722">
            <v>11425</v>
          </cell>
          <cell r="P722" t="str">
            <v>PeMS2016</v>
          </cell>
        </row>
        <row r="723">
          <cell r="C723">
            <v>23</v>
          </cell>
          <cell r="D723">
            <v>4</v>
          </cell>
          <cell r="E723">
            <v>27247</v>
          </cell>
          <cell r="F723">
            <v>1</v>
          </cell>
          <cell r="G723">
            <v>1</v>
          </cell>
          <cell r="H723" t="str">
            <v>SR-78 EB</v>
          </cell>
          <cell r="I723">
            <v>20</v>
          </cell>
          <cell r="J723">
            <v>0</v>
          </cell>
          <cell r="K723" t="str">
            <v>SUNSET</v>
          </cell>
          <cell r="L723" t="str">
            <v>SUNSET</v>
          </cell>
          <cell r="M723">
            <v>57274</v>
          </cell>
          <cell r="N723">
            <v>10884</v>
          </cell>
          <cell r="O723">
            <v>11810</v>
          </cell>
          <cell r="P723" t="str">
            <v>PeMS2016</v>
          </cell>
        </row>
        <row r="724">
          <cell r="C724">
            <v>23</v>
          </cell>
          <cell r="D724">
            <v>4</v>
          </cell>
          <cell r="E724">
            <v>7873</v>
          </cell>
          <cell r="F724">
            <v>1</v>
          </cell>
          <cell r="G724">
            <v>1</v>
          </cell>
          <cell r="H724" t="str">
            <v>SR-78 EB</v>
          </cell>
          <cell r="I724">
            <v>22</v>
          </cell>
          <cell r="J724">
            <v>0</v>
          </cell>
          <cell r="K724" t="str">
            <v>MAR VISTA</v>
          </cell>
          <cell r="L724" t="str">
            <v>MAR VISTA</v>
          </cell>
          <cell r="M724">
            <v>68789</v>
          </cell>
          <cell r="N724">
            <v>14496</v>
          </cell>
          <cell r="O724">
            <v>13522</v>
          </cell>
          <cell r="P724" t="str">
            <v>PeMS2016</v>
          </cell>
        </row>
        <row r="725">
          <cell r="C725">
            <v>23</v>
          </cell>
          <cell r="D725">
            <v>4</v>
          </cell>
          <cell r="E725">
            <v>8840</v>
          </cell>
          <cell r="F725">
            <v>1</v>
          </cell>
          <cell r="G725">
            <v>1</v>
          </cell>
          <cell r="H725" t="str">
            <v>SR-78 EB</v>
          </cell>
          <cell r="I725">
            <v>24</v>
          </cell>
          <cell r="J725">
            <v>0</v>
          </cell>
          <cell r="K725" t="str">
            <v>SYCAMORE</v>
          </cell>
          <cell r="L725" t="str">
            <v>SYCAMORE</v>
          </cell>
          <cell r="M725">
            <v>58203</v>
          </cell>
          <cell r="N725">
            <v>12402</v>
          </cell>
          <cell r="O725">
            <v>11323</v>
          </cell>
          <cell r="P725" t="str">
            <v>PeMS2016</v>
          </cell>
        </row>
        <row r="726">
          <cell r="C726">
            <v>23</v>
          </cell>
          <cell r="D726">
            <v>4</v>
          </cell>
          <cell r="E726">
            <v>8841</v>
          </cell>
          <cell r="F726">
            <v>1</v>
          </cell>
          <cell r="G726">
            <v>1</v>
          </cell>
          <cell r="H726" t="str">
            <v>SR-78 EB</v>
          </cell>
          <cell r="I726">
            <v>27</v>
          </cell>
          <cell r="J726">
            <v>0</v>
          </cell>
          <cell r="K726" t="str">
            <v>SYCAMORE</v>
          </cell>
          <cell r="L726" t="str">
            <v>RANCHO SANTA FE</v>
          </cell>
          <cell r="M726">
            <v>67828</v>
          </cell>
          <cell r="N726">
            <v>13820</v>
          </cell>
          <cell r="O726">
            <v>13576</v>
          </cell>
          <cell r="P726" t="str">
            <v>Caltran</v>
          </cell>
        </row>
        <row r="727">
          <cell r="C727">
            <v>23</v>
          </cell>
          <cell r="D727">
            <v>4</v>
          </cell>
          <cell r="E727">
            <v>29182</v>
          </cell>
          <cell r="F727">
            <v>1</v>
          </cell>
          <cell r="G727">
            <v>1</v>
          </cell>
          <cell r="H727" t="str">
            <v>SR-78 EB</v>
          </cell>
          <cell r="I727">
            <v>28</v>
          </cell>
          <cell r="J727">
            <v>0</v>
          </cell>
          <cell r="K727" t="str">
            <v>RANCHO SANTA FE</v>
          </cell>
          <cell r="L727" t="str">
            <v>RANCHO SANTA FE</v>
          </cell>
          <cell r="M727">
            <v>63050</v>
          </cell>
          <cell r="N727">
            <v>13175</v>
          </cell>
          <cell r="O727">
            <v>12174</v>
          </cell>
          <cell r="P727" t="str">
            <v>PeMS2016</v>
          </cell>
        </row>
        <row r="728">
          <cell r="C728">
            <v>23</v>
          </cell>
          <cell r="D728">
            <v>4</v>
          </cell>
          <cell r="E728">
            <v>16428</v>
          </cell>
          <cell r="F728">
            <v>1</v>
          </cell>
          <cell r="G728">
            <v>1</v>
          </cell>
          <cell r="H728" t="str">
            <v>SR-78 EB</v>
          </cell>
          <cell r="I728">
            <v>29</v>
          </cell>
          <cell r="J728">
            <v>0</v>
          </cell>
          <cell r="K728" t="str">
            <v>RANCHO SANTA FE</v>
          </cell>
          <cell r="L728" t="str">
            <v>LAS POSAS</v>
          </cell>
          <cell r="M728">
            <v>72061</v>
          </cell>
          <cell r="N728">
            <v>14402</v>
          </cell>
          <cell r="O728">
            <v>14152</v>
          </cell>
          <cell r="P728" t="str">
            <v>Caltran</v>
          </cell>
        </row>
        <row r="729">
          <cell r="C729">
            <v>23</v>
          </cell>
          <cell r="D729">
            <v>4</v>
          </cell>
          <cell r="E729">
            <v>19571</v>
          </cell>
          <cell r="F729">
            <v>1</v>
          </cell>
          <cell r="G729">
            <v>1</v>
          </cell>
          <cell r="H729" t="str">
            <v>SR-78 EB</v>
          </cell>
          <cell r="I729">
            <v>33</v>
          </cell>
          <cell r="J729">
            <v>0</v>
          </cell>
          <cell r="K729" t="str">
            <v>LAS POSAS</v>
          </cell>
          <cell r="L729" t="str">
            <v>SAN MARCOS</v>
          </cell>
          <cell r="M729">
            <v>61707</v>
          </cell>
          <cell r="N729">
            <v>12831</v>
          </cell>
          <cell r="O729">
            <v>11206</v>
          </cell>
          <cell r="P729" t="str">
            <v>PeMS2016</v>
          </cell>
        </row>
        <row r="730">
          <cell r="C730">
            <v>23</v>
          </cell>
          <cell r="D730">
            <v>4</v>
          </cell>
          <cell r="E730">
            <v>30792</v>
          </cell>
          <cell r="F730">
            <v>1</v>
          </cell>
          <cell r="G730">
            <v>1</v>
          </cell>
          <cell r="H730" t="str">
            <v>SR-78 EB</v>
          </cell>
          <cell r="I730">
            <v>35</v>
          </cell>
          <cell r="J730">
            <v>0</v>
          </cell>
          <cell r="K730" t="str">
            <v>SAN MARCOS</v>
          </cell>
          <cell r="L730" t="str">
            <v>SAN MARCOS</v>
          </cell>
          <cell r="M730">
            <v>70277</v>
          </cell>
          <cell r="N730">
            <v>13852</v>
          </cell>
          <cell r="O730">
            <v>12855</v>
          </cell>
          <cell r="P730" t="str">
            <v>PeMS2016</v>
          </cell>
        </row>
        <row r="731">
          <cell r="C731">
            <v>23</v>
          </cell>
          <cell r="D731">
            <v>4</v>
          </cell>
          <cell r="E731">
            <v>16446</v>
          </cell>
          <cell r="F731">
            <v>1</v>
          </cell>
          <cell r="G731">
            <v>1</v>
          </cell>
          <cell r="H731" t="str">
            <v>SR-78 EB</v>
          </cell>
          <cell r="I731">
            <v>37</v>
          </cell>
          <cell r="J731">
            <v>0</v>
          </cell>
          <cell r="K731" t="str">
            <v>TWIN OAKS VALLEY</v>
          </cell>
          <cell r="L731" t="str">
            <v>TWIN OAKS VALLEY</v>
          </cell>
          <cell r="M731">
            <v>73188</v>
          </cell>
          <cell r="N731">
            <v>13131</v>
          </cell>
          <cell r="O731">
            <v>15361</v>
          </cell>
          <cell r="P731" t="str">
            <v>PeMS2016</v>
          </cell>
        </row>
        <row r="732">
          <cell r="C732">
            <v>23</v>
          </cell>
          <cell r="D732">
            <v>4</v>
          </cell>
          <cell r="E732">
            <v>8846</v>
          </cell>
          <cell r="F732">
            <v>1</v>
          </cell>
          <cell r="G732">
            <v>1</v>
          </cell>
          <cell r="H732" t="str">
            <v>SR-78 EB</v>
          </cell>
          <cell r="I732">
            <v>42</v>
          </cell>
          <cell r="J732">
            <v>0</v>
          </cell>
          <cell r="K732" t="str">
            <v>WOODLAND</v>
          </cell>
          <cell r="L732" t="str">
            <v>BARHAM</v>
          </cell>
          <cell r="M732">
            <v>70985</v>
          </cell>
          <cell r="N732">
            <v>11953</v>
          </cell>
          <cell r="O732">
            <v>15772</v>
          </cell>
          <cell r="P732" t="str">
            <v>PeMS2016</v>
          </cell>
        </row>
        <row r="733">
          <cell r="C733">
            <v>23</v>
          </cell>
          <cell r="D733">
            <v>4</v>
          </cell>
          <cell r="E733">
            <v>8042</v>
          </cell>
          <cell r="F733">
            <v>1</v>
          </cell>
          <cell r="G733">
            <v>1</v>
          </cell>
          <cell r="H733" t="str">
            <v>SR-78 EB</v>
          </cell>
          <cell r="I733">
            <v>44</v>
          </cell>
          <cell r="J733">
            <v>0</v>
          </cell>
          <cell r="K733" t="str">
            <v>NORDAHL</v>
          </cell>
          <cell r="L733" t="str">
            <v>NORDAHL</v>
          </cell>
          <cell r="M733">
            <v>76592</v>
          </cell>
          <cell r="N733">
            <v>12561</v>
          </cell>
          <cell r="O733">
            <v>18047</v>
          </cell>
          <cell r="P733" t="str">
            <v>PeMS2016</v>
          </cell>
        </row>
        <row r="734">
          <cell r="C734">
            <v>23</v>
          </cell>
          <cell r="D734">
            <v>4</v>
          </cell>
          <cell r="E734">
            <v>12838</v>
          </cell>
          <cell r="F734">
            <v>1</v>
          </cell>
          <cell r="G734">
            <v>1</v>
          </cell>
          <cell r="H734" t="str">
            <v>SR-78 EB</v>
          </cell>
          <cell r="I734">
            <v>45</v>
          </cell>
          <cell r="J734">
            <v>0</v>
          </cell>
          <cell r="K734" t="str">
            <v>NORDAHL</v>
          </cell>
          <cell r="L734" t="str">
            <v>I-15 SB</v>
          </cell>
          <cell r="M734">
            <v>91699</v>
          </cell>
          <cell r="N734">
            <v>14735</v>
          </cell>
          <cell r="O734">
            <v>21956</v>
          </cell>
          <cell r="P734" t="str">
            <v>PeMS2016</v>
          </cell>
        </row>
        <row r="735">
          <cell r="C735">
            <v>23</v>
          </cell>
          <cell r="D735">
            <v>4</v>
          </cell>
          <cell r="E735">
            <v>12841</v>
          </cell>
          <cell r="F735">
            <v>1</v>
          </cell>
          <cell r="G735">
            <v>1</v>
          </cell>
          <cell r="H735" t="str">
            <v>SR-78 EB</v>
          </cell>
          <cell r="I735">
            <v>46</v>
          </cell>
          <cell r="J735">
            <v>0</v>
          </cell>
          <cell r="K735" t="str">
            <v>I-15 SB</v>
          </cell>
          <cell r="L735" t="str">
            <v>I-15 NB</v>
          </cell>
          <cell r="M735">
            <v>40304</v>
          </cell>
          <cell r="N735">
            <v>5075</v>
          </cell>
          <cell r="O735">
            <v>10358</v>
          </cell>
          <cell r="P735" t="str">
            <v>PeMS2016</v>
          </cell>
        </row>
        <row r="736">
          <cell r="C736">
            <v>27</v>
          </cell>
          <cell r="D736">
            <v>4</v>
          </cell>
          <cell r="E736">
            <v>27855</v>
          </cell>
          <cell r="F736">
            <v>1</v>
          </cell>
          <cell r="G736">
            <v>1</v>
          </cell>
          <cell r="H736" t="str">
            <v>SR-905 EB</v>
          </cell>
          <cell r="I736">
            <v>5</v>
          </cell>
          <cell r="J736">
            <v>0</v>
          </cell>
          <cell r="K736" t="str">
            <v>I-5 SB</v>
          </cell>
          <cell r="L736" t="str">
            <v>BEYER</v>
          </cell>
          <cell r="M736">
            <v>29656</v>
          </cell>
          <cell r="N736">
            <v>4997</v>
          </cell>
          <cell r="O736">
            <v>8022</v>
          </cell>
          <cell r="P736" t="str">
            <v>Caltran</v>
          </cell>
        </row>
        <row r="737">
          <cell r="C737">
            <v>27</v>
          </cell>
          <cell r="D737">
            <v>4</v>
          </cell>
          <cell r="E737">
            <v>9914</v>
          </cell>
          <cell r="F737">
            <v>1</v>
          </cell>
          <cell r="G737">
            <v>1</v>
          </cell>
          <cell r="H737" t="str">
            <v>SR-905 EB</v>
          </cell>
          <cell r="I737">
            <v>12</v>
          </cell>
          <cell r="J737">
            <v>0</v>
          </cell>
          <cell r="K737" t="str">
            <v>I-805 SB</v>
          </cell>
          <cell r="L737" t="str">
            <v>I-805 NB</v>
          </cell>
          <cell r="M737">
            <v>14989</v>
          </cell>
          <cell r="N737">
            <v>3173</v>
          </cell>
          <cell r="O737">
            <v>3466</v>
          </cell>
          <cell r="P737" t="str">
            <v>PeMS2016</v>
          </cell>
        </row>
        <row r="738">
          <cell r="C738">
            <v>27</v>
          </cell>
          <cell r="D738">
            <v>4</v>
          </cell>
          <cell r="E738">
            <v>9903</v>
          </cell>
          <cell r="F738">
            <v>1</v>
          </cell>
          <cell r="G738">
            <v>1</v>
          </cell>
          <cell r="H738" t="str">
            <v>SR-905 EB</v>
          </cell>
          <cell r="I738">
            <v>13</v>
          </cell>
          <cell r="J738">
            <v>0</v>
          </cell>
          <cell r="K738" t="str">
            <v>I-805 NB</v>
          </cell>
          <cell r="L738" t="str">
            <v>CALIENTE</v>
          </cell>
          <cell r="M738">
            <v>40484</v>
          </cell>
          <cell r="N738">
            <v>9020</v>
          </cell>
          <cell r="O738">
            <v>7641</v>
          </cell>
          <cell r="P738" t="str">
            <v>Caltran</v>
          </cell>
        </row>
        <row r="739">
          <cell r="C739">
            <v>27</v>
          </cell>
          <cell r="D739">
            <v>4</v>
          </cell>
          <cell r="E739">
            <v>27737</v>
          </cell>
          <cell r="F739">
            <v>1</v>
          </cell>
          <cell r="G739">
            <v>1</v>
          </cell>
          <cell r="H739" t="str">
            <v>SR-905 EB</v>
          </cell>
          <cell r="I739">
            <v>3</v>
          </cell>
          <cell r="J739">
            <v>0</v>
          </cell>
          <cell r="K739" t="str">
            <v>CALIENTE</v>
          </cell>
          <cell r="L739" t="str">
            <v>HERITAGE</v>
          </cell>
          <cell r="M739">
            <v>40671</v>
          </cell>
          <cell r="N739">
            <v>8248</v>
          </cell>
          <cell r="O739">
            <v>7486</v>
          </cell>
          <cell r="P739" t="str">
            <v>PeMS2016</v>
          </cell>
        </row>
        <row r="740">
          <cell r="C740">
            <v>27</v>
          </cell>
          <cell r="D740">
            <v>4</v>
          </cell>
          <cell r="E740">
            <v>27720</v>
          </cell>
          <cell r="F740">
            <v>1</v>
          </cell>
          <cell r="G740">
            <v>1</v>
          </cell>
          <cell r="H740" t="str">
            <v>SR-905 EB</v>
          </cell>
          <cell r="I740">
            <v>8</v>
          </cell>
          <cell r="J740">
            <v>0</v>
          </cell>
          <cell r="K740" t="str">
            <v>BRITANNIA</v>
          </cell>
          <cell r="L740" t="str">
            <v>LA MEDIA</v>
          </cell>
          <cell r="M740">
            <v>31643</v>
          </cell>
          <cell r="N740">
            <v>5257</v>
          </cell>
          <cell r="O740">
            <v>7398</v>
          </cell>
          <cell r="P740" t="str">
            <v>PeMS2016</v>
          </cell>
        </row>
        <row r="741">
          <cell r="C741">
            <v>27</v>
          </cell>
          <cell r="D741">
            <v>4</v>
          </cell>
          <cell r="E741">
            <v>9953</v>
          </cell>
          <cell r="F741">
            <v>1</v>
          </cell>
          <cell r="G741">
            <v>1</v>
          </cell>
          <cell r="H741" t="str">
            <v>SR-905 EB</v>
          </cell>
          <cell r="I741">
            <v>10</v>
          </cell>
          <cell r="J741">
            <v>0</v>
          </cell>
          <cell r="K741" t="str">
            <v>LA MEDIA</v>
          </cell>
          <cell r="L741" t="str">
            <v>SR-125 NB</v>
          </cell>
          <cell r="M741">
            <v>29381</v>
          </cell>
          <cell r="N741">
            <v>4656</v>
          </cell>
          <cell r="O741">
            <v>5920</v>
          </cell>
          <cell r="P741" t="str">
            <v>PeMS2016</v>
          </cell>
        </row>
        <row r="742">
          <cell r="C742">
            <v>28</v>
          </cell>
          <cell r="D742">
            <v>4</v>
          </cell>
          <cell r="E742">
            <v>15859</v>
          </cell>
          <cell r="F742">
            <v>1</v>
          </cell>
          <cell r="G742">
            <v>1</v>
          </cell>
          <cell r="H742" t="str">
            <v>SR-94 EB</v>
          </cell>
          <cell r="I742">
            <v>4</v>
          </cell>
          <cell r="J742">
            <v>0</v>
          </cell>
          <cell r="K742" t="str">
            <v>I-5 SB</v>
          </cell>
          <cell r="L742" t="str">
            <v>25TH</v>
          </cell>
          <cell r="M742">
            <v>67832</v>
          </cell>
          <cell r="N742">
            <v>5254</v>
          </cell>
          <cell r="O742">
            <v>21430</v>
          </cell>
          <cell r="P742" t="str">
            <v>PeMS2016</v>
          </cell>
        </row>
        <row r="743">
          <cell r="C743">
            <v>28</v>
          </cell>
          <cell r="D743">
            <v>4</v>
          </cell>
          <cell r="E743">
            <v>15855</v>
          </cell>
          <cell r="F743">
            <v>1</v>
          </cell>
          <cell r="G743">
            <v>1</v>
          </cell>
          <cell r="H743" t="str">
            <v>SR-94 EB</v>
          </cell>
          <cell r="I743">
            <v>6</v>
          </cell>
          <cell r="J743">
            <v>0</v>
          </cell>
          <cell r="K743" t="str">
            <v>28TH</v>
          </cell>
          <cell r="L743" t="str">
            <v>28TH</v>
          </cell>
          <cell r="M743">
            <v>72071</v>
          </cell>
          <cell r="N743">
            <v>5803</v>
          </cell>
          <cell r="O743">
            <v>23078</v>
          </cell>
          <cell r="P743" t="str">
            <v>PeMS2016</v>
          </cell>
        </row>
        <row r="744">
          <cell r="C744">
            <v>28</v>
          </cell>
          <cell r="D744">
            <v>4</v>
          </cell>
          <cell r="E744">
            <v>31212</v>
          </cell>
          <cell r="F744">
            <v>1</v>
          </cell>
          <cell r="G744">
            <v>1</v>
          </cell>
          <cell r="H744" t="str">
            <v>SR-94 EB</v>
          </cell>
          <cell r="I744">
            <v>7</v>
          </cell>
          <cell r="J744">
            <v>0</v>
          </cell>
          <cell r="K744" t="str">
            <v>28TH</v>
          </cell>
          <cell r="L744" t="str">
            <v>32ND</v>
          </cell>
          <cell r="M744">
            <v>80711</v>
          </cell>
          <cell r="N744">
            <v>7099</v>
          </cell>
          <cell r="O744">
            <v>25356</v>
          </cell>
          <cell r="P744" t="str">
            <v>PeMS2016</v>
          </cell>
        </row>
        <row r="745">
          <cell r="C745">
            <v>28</v>
          </cell>
          <cell r="D745">
            <v>4</v>
          </cell>
          <cell r="E745">
            <v>15853</v>
          </cell>
          <cell r="F745">
            <v>1</v>
          </cell>
          <cell r="G745">
            <v>1</v>
          </cell>
          <cell r="H745" t="str">
            <v>SR-94 EB</v>
          </cell>
          <cell r="I745">
            <v>8</v>
          </cell>
          <cell r="J745">
            <v>0</v>
          </cell>
          <cell r="K745" t="str">
            <v>28TH</v>
          </cell>
          <cell r="L745" t="str">
            <v>32ND</v>
          </cell>
          <cell r="M745">
            <v>80376</v>
          </cell>
          <cell r="N745">
            <v>7024</v>
          </cell>
          <cell r="O745">
            <v>25413</v>
          </cell>
          <cell r="P745" t="str">
            <v>PeMS2016</v>
          </cell>
        </row>
        <row r="746">
          <cell r="C746">
            <v>28</v>
          </cell>
          <cell r="D746">
            <v>4</v>
          </cell>
          <cell r="E746">
            <v>29052</v>
          </cell>
          <cell r="F746">
            <v>1</v>
          </cell>
          <cell r="G746">
            <v>1</v>
          </cell>
          <cell r="H746" t="str">
            <v>SR-94 EB</v>
          </cell>
          <cell r="I746">
            <v>12</v>
          </cell>
          <cell r="J746">
            <v>0</v>
          </cell>
          <cell r="K746" t="str">
            <v>SR-15 NB</v>
          </cell>
          <cell r="L746" t="str">
            <v>SR-15 SB</v>
          </cell>
          <cell r="M746">
            <v>60594</v>
          </cell>
          <cell r="N746">
            <v>5087</v>
          </cell>
          <cell r="O746">
            <v>20068</v>
          </cell>
          <cell r="P746" t="str">
            <v>PeMS2016</v>
          </cell>
        </row>
        <row r="747">
          <cell r="C747">
            <v>28</v>
          </cell>
          <cell r="D747">
            <v>4</v>
          </cell>
          <cell r="E747">
            <v>29047</v>
          </cell>
          <cell r="F747">
            <v>1</v>
          </cell>
          <cell r="G747">
            <v>1</v>
          </cell>
          <cell r="H747" t="str">
            <v>SR-94 EB</v>
          </cell>
          <cell r="I747">
            <v>14</v>
          </cell>
          <cell r="J747">
            <v>0</v>
          </cell>
          <cell r="K747" t="str">
            <v>I-805 SB</v>
          </cell>
          <cell r="L747" t="str">
            <v>I-805 NB</v>
          </cell>
          <cell r="M747">
            <v>65558</v>
          </cell>
          <cell r="N747">
            <v>7074</v>
          </cell>
          <cell r="O747">
            <v>17407</v>
          </cell>
          <cell r="P747" t="str">
            <v>PeMS2016</v>
          </cell>
        </row>
        <row r="748">
          <cell r="C748">
            <v>28</v>
          </cell>
          <cell r="D748">
            <v>4</v>
          </cell>
          <cell r="E748">
            <v>29039</v>
          </cell>
          <cell r="F748">
            <v>1</v>
          </cell>
          <cell r="G748">
            <v>1</v>
          </cell>
          <cell r="H748" t="str">
            <v>SR-94 EB</v>
          </cell>
          <cell r="I748">
            <v>16</v>
          </cell>
          <cell r="J748">
            <v>0</v>
          </cell>
          <cell r="K748" t="str">
            <v>47TH</v>
          </cell>
          <cell r="L748" t="str">
            <v>EUCLID</v>
          </cell>
          <cell r="M748">
            <v>103032</v>
          </cell>
          <cell r="N748">
            <v>11051</v>
          </cell>
          <cell r="O748">
            <v>29831</v>
          </cell>
          <cell r="P748" t="str">
            <v>PeMS2016</v>
          </cell>
        </row>
        <row r="749">
          <cell r="C749">
            <v>28</v>
          </cell>
          <cell r="D749">
            <v>4</v>
          </cell>
          <cell r="E749">
            <v>29035</v>
          </cell>
          <cell r="F749">
            <v>1</v>
          </cell>
          <cell r="G749">
            <v>1</v>
          </cell>
          <cell r="H749" t="str">
            <v>SR-94 EB</v>
          </cell>
          <cell r="I749">
            <v>17</v>
          </cell>
          <cell r="J749">
            <v>0</v>
          </cell>
          <cell r="K749" t="str">
            <v>EUCLID</v>
          </cell>
          <cell r="L749" t="str">
            <v>EUCLID</v>
          </cell>
          <cell r="M749">
            <v>87766</v>
          </cell>
          <cell r="N749">
            <v>8723</v>
          </cell>
          <cell r="O749">
            <v>26851</v>
          </cell>
          <cell r="P749" t="str">
            <v>PeMS2016</v>
          </cell>
        </row>
        <row r="750">
          <cell r="C750">
            <v>28</v>
          </cell>
          <cell r="D750">
            <v>4</v>
          </cell>
          <cell r="E750">
            <v>29027</v>
          </cell>
          <cell r="F750">
            <v>1</v>
          </cell>
          <cell r="G750">
            <v>1</v>
          </cell>
          <cell r="H750" t="str">
            <v>SR-94 EB</v>
          </cell>
          <cell r="I750">
            <v>18</v>
          </cell>
          <cell r="J750">
            <v>0</v>
          </cell>
          <cell r="K750" t="str">
            <v>EUCLID</v>
          </cell>
          <cell r="L750" t="str">
            <v>KELTON</v>
          </cell>
          <cell r="M750">
            <v>92082</v>
          </cell>
          <cell r="N750">
            <v>9425</v>
          </cell>
          <cell r="O750">
            <v>27704</v>
          </cell>
          <cell r="P750" t="str">
            <v>Caltran</v>
          </cell>
        </row>
        <row r="751">
          <cell r="C751">
            <v>28</v>
          </cell>
          <cell r="D751">
            <v>4</v>
          </cell>
          <cell r="E751">
            <v>29023</v>
          </cell>
          <cell r="F751">
            <v>1</v>
          </cell>
          <cell r="G751">
            <v>1</v>
          </cell>
          <cell r="H751" t="str">
            <v>SR-94 EB</v>
          </cell>
          <cell r="I751">
            <v>19</v>
          </cell>
          <cell r="J751">
            <v>0</v>
          </cell>
          <cell r="K751" t="str">
            <v>KELTON</v>
          </cell>
          <cell r="L751" t="str">
            <v>KELTON</v>
          </cell>
          <cell r="M751">
            <v>90365</v>
          </cell>
          <cell r="N751">
            <v>9370</v>
          </cell>
          <cell r="O751">
            <v>27341</v>
          </cell>
          <cell r="P751" t="str">
            <v>PeMS2016</v>
          </cell>
        </row>
        <row r="752">
          <cell r="C752">
            <v>28</v>
          </cell>
          <cell r="D752">
            <v>4</v>
          </cell>
          <cell r="E752">
            <v>29025</v>
          </cell>
          <cell r="F752">
            <v>1</v>
          </cell>
          <cell r="G752">
            <v>1</v>
          </cell>
          <cell r="H752" t="str">
            <v>SR-94 EB</v>
          </cell>
          <cell r="I752">
            <v>21</v>
          </cell>
          <cell r="J752">
            <v>1</v>
          </cell>
          <cell r="K752" t="str">
            <v>FEDERAL</v>
          </cell>
          <cell r="L752" t="str">
            <v>COLLEGE GROVE</v>
          </cell>
          <cell r="M752">
            <v>71673</v>
          </cell>
          <cell r="N752">
            <v>7961</v>
          </cell>
          <cell r="O752">
            <v>21170</v>
          </cell>
          <cell r="P752" t="str">
            <v>PeMS2016</v>
          </cell>
        </row>
        <row r="753">
          <cell r="C753">
            <v>28</v>
          </cell>
          <cell r="D753">
            <v>4</v>
          </cell>
          <cell r="E753">
            <v>27993</v>
          </cell>
          <cell r="F753">
            <v>1</v>
          </cell>
          <cell r="G753">
            <v>1</v>
          </cell>
          <cell r="H753" t="str">
            <v>SR-94 EB</v>
          </cell>
          <cell r="I753">
            <v>23</v>
          </cell>
          <cell r="J753">
            <v>0</v>
          </cell>
          <cell r="K753" t="str">
            <v>MASSACHUSETTS</v>
          </cell>
          <cell r="L753" t="str">
            <v>MASSACHUSETTS</v>
          </cell>
          <cell r="M753">
            <v>61102</v>
          </cell>
          <cell r="N753">
            <v>6605</v>
          </cell>
          <cell r="O753">
            <v>18924</v>
          </cell>
          <cell r="P753" t="str">
            <v>PeMS2016</v>
          </cell>
        </row>
        <row r="754">
          <cell r="C754">
            <v>28</v>
          </cell>
          <cell r="D754">
            <v>4</v>
          </cell>
          <cell r="E754">
            <v>28002</v>
          </cell>
          <cell r="F754">
            <v>1</v>
          </cell>
          <cell r="G754">
            <v>1</v>
          </cell>
          <cell r="H754" t="str">
            <v>SR-94 EB</v>
          </cell>
          <cell r="I754">
            <v>24</v>
          </cell>
          <cell r="J754">
            <v>0</v>
          </cell>
          <cell r="K754" t="str">
            <v>WAITE</v>
          </cell>
          <cell r="L754" t="str">
            <v>LEMON GROVE</v>
          </cell>
          <cell r="M754">
            <v>72360</v>
          </cell>
          <cell r="N754">
            <v>8231</v>
          </cell>
          <cell r="O754">
            <v>21485</v>
          </cell>
          <cell r="P754" t="str">
            <v>Caltran</v>
          </cell>
        </row>
        <row r="755">
          <cell r="C755">
            <v>28</v>
          </cell>
          <cell r="D755">
            <v>4</v>
          </cell>
          <cell r="E755">
            <v>10252</v>
          </cell>
          <cell r="F755">
            <v>1</v>
          </cell>
          <cell r="G755">
            <v>1</v>
          </cell>
          <cell r="H755" t="str">
            <v>SR-94 EB</v>
          </cell>
          <cell r="I755">
            <v>25</v>
          </cell>
          <cell r="J755">
            <v>0</v>
          </cell>
          <cell r="K755" t="str">
            <v>LEMON GROVE</v>
          </cell>
          <cell r="L755" t="str">
            <v>LEMON GROVE</v>
          </cell>
          <cell r="M755">
            <v>67837</v>
          </cell>
          <cell r="N755">
            <v>7920</v>
          </cell>
          <cell r="O755">
            <v>20208</v>
          </cell>
          <cell r="P755" t="str">
            <v>PeMS2016</v>
          </cell>
        </row>
        <row r="756">
          <cell r="C756">
            <v>28</v>
          </cell>
          <cell r="D756">
            <v>4</v>
          </cell>
          <cell r="E756">
            <v>28012</v>
          </cell>
          <cell r="F756">
            <v>1</v>
          </cell>
          <cell r="G756">
            <v>1</v>
          </cell>
          <cell r="H756" t="str">
            <v>SR-94 EB</v>
          </cell>
          <cell r="I756">
            <v>26</v>
          </cell>
          <cell r="J756">
            <v>0</v>
          </cell>
          <cell r="K756" t="str">
            <v>LEMON GROVE</v>
          </cell>
          <cell r="L756" t="str">
            <v>GROVE</v>
          </cell>
          <cell r="M756">
            <v>74942</v>
          </cell>
          <cell r="N756">
            <v>9226</v>
          </cell>
          <cell r="O756">
            <v>21715</v>
          </cell>
          <cell r="P756" t="str">
            <v>Caltran</v>
          </cell>
        </row>
        <row r="757">
          <cell r="C757">
            <v>28</v>
          </cell>
          <cell r="D757">
            <v>4</v>
          </cell>
          <cell r="E757">
            <v>10159</v>
          </cell>
          <cell r="F757">
            <v>1</v>
          </cell>
          <cell r="G757">
            <v>1</v>
          </cell>
          <cell r="H757" t="str">
            <v>SR-94 EB</v>
          </cell>
          <cell r="I757">
            <v>29</v>
          </cell>
          <cell r="J757">
            <v>0</v>
          </cell>
          <cell r="K757" t="str">
            <v>SR-125 NB</v>
          </cell>
          <cell r="L757" t="str">
            <v>SPRING</v>
          </cell>
          <cell r="M757">
            <v>31928</v>
          </cell>
          <cell r="N757">
            <v>4489</v>
          </cell>
          <cell r="O757">
            <v>8226</v>
          </cell>
          <cell r="P757" t="str">
            <v>PeMS2016</v>
          </cell>
        </row>
        <row r="758">
          <cell r="C758">
            <v>28</v>
          </cell>
          <cell r="D758">
            <v>4</v>
          </cell>
          <cell r="E758">
            <v>28623</v>
          </cell>
          <cell r="F758">
            <v>1</v>
          </cell>
          <cell r="G758">
            <v>1</v>
          </cell>
          <cell r="H758" t="str">
            <v>SR-94 EB</v>
          </cell>
          <cell r="I758">
            <v>9</v>
          </cell>
          <cell r="J758">
            <v>0</v>
          </cell>
          <cell r="K758" t="str">
            <v>AVOCADO</v>
          </cell>
          <cell r="L758" t="str">
            <v>CAMPO</v>
          </cell>
          <cell r="M758">
            <v>30556</v>
          </cell>
          <cell r="N758">
            <v>4287</v>
          </cell>
          <cell r="O758">
            <v>8655</v>
          </cell>
          <cell r="P758" t="str">
            <v>Caltran</v>
          </cell>
        </row>
      </sheetData>
      <sheetData sheetId="1">
        <row r="2">
          <cell r="C2">
            <v>1</v>
          </cell>
          <cell r="E2">
            <v>9919</v>
          </cell>
          <cell r="H2" t="str">
            <v>I-5 NB</v>
          </cell>
          <cell r="I2">
            <v>1</v>
          </cell>
          <cell r="J2">
            <v>0</v>
          </cell>
          <cell r="K2" t="str">
            <v>MEXICAN BORDER</v>
          </cell>
          <cell r="L2" t="str">
            <v>EAST SAN YSIDRO</v>
          </cell>
          <cell r="O2">
            <v>6959</v>
          </cell>
          <cell r="P2" t="str">
            <v>PeMS2016</v>
          </cell>
        </row>
        <row r="3">
          <cell r="C3">
            <v>1</v>
          </cell>
          <cell r="E3">
            <v>27694</v>
          </cell>
          <cell r="H3" t="str">
            <v>I-5 NB</v>
          </cell>
          <cell r="I3">
            <v>4</v>
          </cell>
          <cell r="J3">
            <v>0</v>
          </cell>
          <cell r="K3" t="str">
            <v>I-805 NB</v>
          </cell>
          <cell r="L3" t="str">
            <v>VIA DE SAN YSIDRO</v>
          </cell>
          <cell r="O3">
            <v>3216</v>
          </cell>
          <cell r="P3" t="str">
            <v>Caltran</v>
          </cell>
        </row>
        <row r="4">
          <cell r="C4">
            <v>1</v>
          </cell>
          <cell r="E4">
            <v>27154</v>
          </cell>
          <cell r="H4" t="str">
            <v>I-5 NB</v>
          </cell>
          <cell r="I4">
            <v>5</v>
          </cell>
          <cell r="J4">
            <v>0</v>
          </cell>
          <cell r="K4" t="str">
            <v>VIA DE SAN YSIDRO</v>
          </cell>
          <cell r="L4" t="str">
            <v>VIA DE SAN YSIDRO</v>
          </cell>
          <cell r="O4">
            <v>3094</v>
          </cell>
          <cell r="P4" t="str">
            <v>PeMS2016</v>
          </cell>
        </row>
        <row r="5">
          <cell r="C5">
            <v>1</v>
          </cell>
          <cell r="E5">
            <v>27884</v>
          </cell>
          <cell r="H5" t="str">
            <v>I-5 NB</v>
          </cell>
          <cell r="I5">
            <v>6</v>
          </cell>
          <cell r="J5">
            <v>0</v>
          </cell>
          <cell r="K5" t="str">
            <v>VIA DE SAN YSIDRO</v>
          </cell>
          <cell r="L5" t="str">
            <v>SAN YSIDRO</v>
          </cell>
          <cell r="O5">
            <v>4940</v>
          </cell>
          <cell r="P5" t="str">
            <v>PeMS2016</v>
          </cell>
        </row>
        <row r="6">
          <cell r="C6">
            <v>1</v>
          </cell>
          <cell r="E6">
            <v>27883</v>
          </cell>
          <cell r="H6" t="str">
            <v>I-5 NB</v>
          </cell>
          <cell r="I6">
            <v>7</v>
          </cell>
          <cell r="J6">
            <v>0</v>
          </cell>
          <cell r="K6" t="str">
            <v>SAN YSIDRO</v>
          </cell>
          <cell r="L6" t="str">
            <v>SAN YSIDRO</v>
          </cell>
          <cell r="O6">
            <v>4161</v>
          </cell>
          <cell r="P6" t="str">
            <v>PeMS2016</v>
          </cell>
        </row>
        <row r="7">
          <cell r="C7">
            <v>1</v>
          </cell>
          <cell r="E7">
            <v>27875</v>
          </cell>
          <cell r="H7" t="str">
            <v>I-5 NB</v>
          </cell>
          <cell r="I7">
            <v>9</v>
          </cell>
          <cell r="J7">
            <v>0</v>
          </cell>
          <cell r="K7" t="str">
            <v>SR-905 EB</v>
          </cell>
          <cell r="L7" t="str">
            <v>SR-905 WB</v>
          </cell>
          <cell r="O7">
            <v>6313</v>
          </cell>
          <cell r="P7" t="str">
            <v>PeMS2016</v>
          </cell>
        </row>
        <row r="8">
          <cell r="C8">
            <v>1</v>
          </cell>
          <cell r="E8">
            <v>27877</v>
          </cell>
          <cell r="H8" t="str">
            <v>I-5 NB</v>
          </cell>
          <cell r="I8">
            <v>10</v>
          </cell>
          <cell r="J8">
            <v>0</v>
          </cell>
          <cell r="K8" t="str">
            <v>SR-905 EB</v>
          </cell>
          <cell r="L8" t="str">
            <v>SR-905 WB</v>
          </cell>
          <cell r="O8">
            <v>6417</v>
          </cell>
          <cell r="P8" t="str">
            <v>PeMS2016</v>
          </cell>
        </row>
        <row r="9">
          <cell r="C9">
            <v>1</v>
          </cell>
          <cell r="E9">
            <v>20464</v>
          </cell>
          <cell r="H9" t="str">
            <v>I-5 NB</v>
          </cell>
          <cell r="I9">
            <v>13</v>
          </cell>
          <cell r="J9">
            <v>0</v>
          </cell>
          <cell r="K9" t="str">
            <v>CORONADO</v>
          </cell>
          <cell r="L9" t="str">
            <v>PALM</v>
          </cell>
          <cell r="O9">
            <v>13335</v>
          </cell>
          <cell r="P9" t="str">
            <v>PeMS2016</v>
          </cell>
        </row>
        <row r="10">
          <cell r="C10">
            <v>1</v>
          </cell>
          <cell r="E10">
            <v>27903</v>
          </cell>
          <cell r="H10" t="str">
            <v>I-5 NB</v>
          </cell>
          <cell r="I10">
            <v>14</v>
          </cell>
          <cell r="J10">
            <v>0</v>
          </cell>
          <cell r="K10" t="str">
            <v>PALM</v>
          </cell>
          <cell r="L10" t="str">
            <v>PALM</v>
          </cell>
          <cell r="O10">
            <v>9582</v>
          </cell>
          <cell r="P10" t="str">
            <v>PeMS2016</v>
          </cell>
        </row>
        <row r="11">
          <cell r="C11">
            <v>1</v>
          </cell>
          <cell r="E11">
            <v>27914</v>
          </cell>
          <cell r="H11" t="str">
            <v>I-5 NB</v>
          </cell>
          <cell r="I11">
            <v>15</v>
          </cell>
          <cell r="J11">
            <v>0</v>
          </cell>
          <cell r="K11" t="str">
            <v>PALM</v>
          </cell>
          <cell r="L11" t="str">
            <v>MAIN</v>
          </cell>
          <cell r="O11">
            <v>15901</v>
          </cell>
          <cell r="P11" t="str">
            <v>Caltran</v>
          </cell>
        </row>
        <row r="12">
          <cell r="C12">
            <v>1</v>
          </cell>
          <cell r="E12">
            <v>27916</v>
          </cell>
          <cell r="H12" t="str">
            <v>I-5 NB</v>
          </cell>
          <cell r="I12">
            <v>16</v>
          </cell>
          <cell r="J12">
            <v>0</v>
          </cell>
          <cell r="K12" t="str">
            <v>MAIN</v>
          </cell>
          <cell r="L12" t="str">
            <v>MAIN</v>
          </cell>
          <cell r="O12">
            <v>15095</v>
          </cell>
          <cell r="P12" t="str">
            <v>PeMS2016</v>
          </cell>
        </row>
        <row r="13">
          <cell r="C13">
            <v>1</v>
          </cell>
          <cell r="E13">
            <v>27921</v>
          </cell>
          <cell r="H13" t="str">
            <v>I-5 NB</v>
          </cell>
          <cell r="I13">
            <v>18</v>
          </cell>
          <cell r="J13">
            <v>0</v>
          </cell>
          <cell r="K13" t="str">
            <v>PALOMAR</v>
          </cell>
          <cell r="L13" t="str">
            <v>PALOMAR</v>
          </cell>
          <cell r="O13">
            <v>13340</v>
          </cell>
          <cell r="P13" t="str">
            <v>PeMS2016</v>
          </cell>
        </row>
        <row r="14">
          <cell r="C14">
            <v>1</v>
          </cell>
          <cell r="E14">
            <v>27925</v>
          </cell>
          <cell r="H14" t="str">
            <v>I-5 NB</v>
          </cell>
          <cell r="I14">
            <v>19</v>
          </cell>
          <cell r="J14">
            <v>0</v>
          </cell>
          <cell r="K14" t="str">
            <v>PALOMAR</v>
          </cell>
          <cell r="L14" t="str">
            <v>INDUSTRIAL</v>
          </cell>
          <cell r="O14">
            <v>16048</v>
          </cell>
          <cell r="P14" t="str">
            <v>PeMS2016</v>
          </cell>
        </row>
        <row r="15">
          <cell r="C15">
            <v>1</v>
          </cell>
          <cell r="E15">
            <v>27929</v>
          </cell>
          <cell r="H15" t="str">
            <v>I-5 NB</v>
          </cell>
          <cell r="I15">
            <v>20</v>
          </cell>
          <cell r="J15">
            <v>0</v>
          </cell>
          <cell r="K15" t="str">
            <v>INDUSTRIAL</v>
          </cell>
          <cell r="L15" t="str">
            <v>INDUSTRIAL</v>
          </cell>
          <cell r="O15">
            <v>13856</v>
          </cell>
          <cell r="P15" t="str">
            <v>PeMS2016</v>
          </cell>
        </row>
        <row r="16">
          <cell r="C16">
            <v>1</v>
          </cell>
          <cell r="E16">
            <v>27933</v>
          </cell>
          <cell r="H16" t="str">
            <v>I-5 NB</v>
          </cell>
          <cell r="I16">
            <v>22</v>
          </cell>
          <cell r="J16">
            <v>0</v>
          </cell>
          <cell r="K16" t="str">
            <v>J</v>
          </cell>
          <cell r="L16" t="str">
            <v>J</v>
          </cell>
          <cell r="O16">
            <v>16098</v>
          </cell>
          <cell r="P16" t="str">
            <v>PeMS2016</v>
          </cell>
        </row>
        <row r="17">
          <cell r="C17">
            <v>1</v>
          </cell>
          <cell r="E17">
            <v>27941</v>
          </cell>
          <cell r="H17" t="str">
            <v>I-5 NB</v>
          </cell>
          <cell r="I17">
            <v>24</v>
          </cell>
          <cell r="J17">
            <v>0</v>
          </cell>
          <cell r="K17" t="str">
            <v>H</v>
          </cell>
          <cell r="L17" t="str">
            <v>H</v>
          </cell>
          <cell r="O17">
            <v>16472</v>
          </cell>
          <cell r="P17" t="str">
            <v>PeMS2016</v>
          </cell>
        </row>
        <row r="18">
          <cell r="C18">
            <v>1</v>
          </cell>
          <cell r="E18">
            <v>27946</v>
          </cell>
          <cell r="H18" t="str">
            <v>I-5 NB</v>
          </cell>
          <cell r="I18">
            <v>26</v>
          </cell>
          <cell r="J18">
            <v>0</v>
          </cell>
          <cell r="K18" t="str">
            <v>E ST</v>
          </cell>
          <cell r="L18" t="str">
            <v>E ST</v>
          </cell>
          <cell r="O18">
            <v>16589</v>
          </cell>
          <cell r="P18" t="str">
            <v>PeMS2016</v>
          </cell>
        </row>
        <row r="19">
          <cell r="C19">
            <v>1</v>
          </cell>
          <cell r="E19">
            <v>27948</v>
          </cell>
          <cell r="H19" t="str">
            <v>I-5 NB</v>
          </cell>
          <cell r="I19">
            <v>27</v>
          </cell>
          <cell r="J19">
            <v>0</v>
          </cell>
          <cell r="K19" t="str">
            <v>E ST</v>
          </cell>
          <cell r="L19" t="str">
            <v>SR-54 EB</v>
          </cell>
          <cell r="O19">
            <v>16211</v>
          </cell>
          <cell r="P19" t="str">
            <v>PeMS2016</v>
          </cell>
        </row>
        <row r="20">
          <cell r="C20">
            <v>1</v>
          </cell>
          <cell r="E20">
            <v>28695</v>
          </cell>
          <cell r="H20" t="str">
            <v>I-5 NB</v>
          </cell>
          <cell r="I20">
            <v>31</v>
          </cell>
          <cell r="J20">
            <v>0</v>
          </cell>
          <cell r="K20" t="str">
            <v>24TH</v>
          </cell>
          <cell r="L20" t="str">
            <v>24TH</v>
          </cell>
          <cell r="O20">
            <v>13780</v>
          </cell>
          <cell r="P20" t="str">
            <v>PeMS2016</v>
          </cell>
        </row>
        <row r="21">
          <cell r="C21">
            <v>1</v>
          </cell>
          <cell r="E21">
            <v>28718</v>
          </cell>
          <cell r="H21" t="str">
            <v>I-5 NB</v>
          </cell>
          <cell r="I21">
            <v>34</v>
          </cell>
          <cell r="J21">
            <v>0</v>
          </cell>
          <cell r="K21" t="str">
            <v>CIVIC CENTER</v>
          </cell>
          <cell r="L21" t="str">
            <v>CIVIC CENTER</v>
          </cell>
          <cell r="O21">
            <v>15393</v>
          </cell>
          <cell r="P21" t="str">
            <v>PeMS2016</v>
          </cell>
        </row>
        <row r="22">
          <cell r="C22">
            <v>1</v>
          </cell>
          <cell r="E22">
            <v>28725</v>
          </cell>
          <cell r="H22" t="str">
            <v>I-5 NB</v>
          </cell>
          <cell r="I22">
            <v>35</v>
          </cell>
          <cell r="J22">
            <v>0</v>
          </cell>
          <cell r="K22" t="str">
            <v>CIVIC CENTER</v>
          </cell>
          <cell r="L22" t="str">
            <v>CIVIC CENTER</v>
          </cell>
          <cell r="O22">
            <v>13528</v>
          </cell>
          <cell r="P22" t="str">
            <v>PeMS2016</v>
          </cell>
        </row>
        <row r="23">
          <cell r="C23">
            <v>1</v>
          </cell>
          <cell r="E23">
            <v>28727</v>
          </cell>
          <cell r="H23" t="str">
            <v>I-5 NB</v>
          </cell>
          <cell r="I23">
            <v>36</v>
          </cell>
          <cell r="J23">
            <v>0</v>
          </cell>
          <cell r="K23" t="str">
            <v>CIVIC CENTER</v>
          </cell>
          <cell r="L23" t="str">
            <v>MAIN</v>
          </cell>
          <cell r="O23">
            <v>18512</v>
          </cell>
          <cell r="P23" t="str">
            <v>Caltran</v>
          </cell>
        </row>
        <row r="24">
          <cell r="C24">
            <v>1</v>
          </cell>
          <cell r="E24">
            <v>20465</v>
          </cell>
          <cell r="H24" t="str">
            <v>I-5 NB</v>
          </cell>
          <cell r="I24">
            <v>38</v>
          </cell>
          <cell r="J24">
            <v>0</v>
          </cell>
          <cell r="K24" t="str">
            <v>MAIN</v>
          </cell>
          <cell r="L24" t="str">
            <v>SR-15 NB</v>
          </cell>
          <cell r="O24">
            <v>19491</v>
          </cell>
          <cell r="P24" t="str">
            <v>PeMS2016</v>
          </cell>
        </row>
        <row r="25">
          <cell r="C25">
            <v>1</v>
          </cell>
          <cell r="E25">
            <v>20466</v>
          </cell>
          <cell r="H25" t="str">
            <v>I-5 NB</v>
          </cell>
          <cell r="I25">
            <v>39</v>
          </cell>
          <cell r="J25">
            <v>0</v>
          </cell>
          <cell r="K25" t="str">
            <v>SR-15 NB</v>
          </cell>
          <cell r="L25" t="str">
            <v>SR-15 SB</v>
          </cell>
          <cell r="O25">
            <v>13222</v>
          </cell>
          <cell r="P25" t="str">
            <v>PeMS2016</v>
          </cell>
        </row>
        <row r="26">
          <cell r="C26">
            <v>1</v>
          </cell>
          <cell r="E26">
            <v>28735</v>
          </cell>
          <cell r="H26" t="str">
            <v>I-5 NB</v>
          </cell>
          <cell r="I26">
            <v>40</v>
          </cell>
          <cell r="J26">
            <v>0</v>
          </cell>
          <cell r="K26" t="str">
            <v>SR-15 SB</v>
          </cell>
          <cell r="L26" t="str">
            <v>NATIONAL</v>
          </cell>
          <cell r="O26">
            <v>13512</v>
          </cell>
          <cell r="P26" t="str">
            <v>PeMS2016</v>
          </cell>
        </row>
        <row r="27">
          <cell r="C27">
            <v>1</v>
          </cell>
          <cell r="E27">
            <v>20467</v>
          </cell>
          <cell r="H27" t="str">
            <v>I-5 NB</v>
          </cell>
          <cell r="I27">
            <v>41</v>
          </cell>
          <cell r="J27">
            <v>0</v>
          </cell>
          <cell r="K27" t="str">
            <v>NATIONAL</v>
          </cell>
          <cell r="L27" t="str">
            <v>28TH</v>
          </cell>
          <cell r="O27">
            <v>16004</v>
          </cell>
          <cell r="P27" t="str">
            <v>PeMS2016</v>
          </cell>
        </row>
        <row r="28">
          <cell r="C28">
            <v>1</v>
          </cell>
          <cell r="E28">
            <v>27792</v>
          </cell>
          <cell r="H28" t="str">
            <v>I-5 NB</v>
          </cell>
          <cell r="I28">
            <v>47</v>
          </cell>
          <cell r="J28">
            <v>0</v>
          </cell>
          <cell r="K28" t="str">
            <v>SR-75 NB</v>
          </cell>
          <cell r="L28" t="str">
            <v>IMPERIAL</v>
          </cell>
          <cell r="O28">
            <v>17494</v>
          </cell>
          <cell r="P28" t="str">
            <v>PeMS2016</v>
          </cell>
        </row>
        <row r="29">
          <cell r="C29">
            <v>1</v>
          </cell>
          <cell r="E29">
            <v>27807</v>
          </cell>
          <cell r="H29" t="str">
            <v>I-5 NB</v>
          </cell>
          <cell r="I29">
            <v>50</v>
          </cell>
          <cell r="J29">
            <v>0</v>
          </cell>
          <cell r="K29" t="str">
            <v>19TH</v>
          </cell>
          <cell r="L29" t="str">
            <v>PERSHING</v>
          </cell>
          <cell r="O29">
            <v>17981</v>
          </cell>
          <cell r="P29" t="str">
            <v>Caltran</v>
          </cell>
        </row>
        <row r="30">
          <cell r="C30">
            <v>1</v>
          </cell>
          <cell r="E30">
            <v>30862</v>
          </cell>
          <cell r="H30" t="str">
            <v>I-5 NB</v>
          </cell>
          <cell r="I30">
            <v>53</v>
          </cell>
          <cell r="J30">
            <v>0</v>
          </cell>
          <cell r="K30" t="str">
            <v>SR-94 WB</v>
          </cell>
          <cell r="L30" t="str">
            <v>PERSHING</v>
          </cell>
          <cell r="O30">
            <v>16768</v>
          </cell>
          <cell r="P30" t="str">
            <v>PeMS2016</v>
          </cell>
        </row>
        <row r="31">
          <cell r="C31">
            <v>1</v>
          </cell>
          <cell r="E31">
            <v>27825</v>
          </cell>
          <cell r="H31" t="str">
            <v>I-5 NB</v>
          </cell>
          <cell r="I31">
            <v>56</v>
          </cell>
          <cell r="J31">
            <v>0</v>
          </cell>
          <cell r="K31" t="str">
            <v>PERSHING</v>
          </cell>
          <cell r="L31" t="str">
            <v>PARK</v>
          </cell>
          <cell r="O31">
            <v>25692</v>
          </cell>
          <cell r="P31" t="str">
            <v>PeMS2016</v>
          </cell>
        </row>
        <row r="32">
          <cell r="C32">
            <v>1</v>
          </cell>
          <cell r="E32">
            <v>27832</v>
          </cell>
          <cell r="H32" t="str">
            <v>I-5 NB</v>
          </cell>
          <cell r="I32">
            <v>58</v>
          </cell>
          <cell r="J32">
            <v>0</v>
          </cell>
          <cell r="K32" t="str">
            <v>PARK</v>
          </cell>
          <cell r="L32" t="str">
            <v>PARK</v>
          </cell>
          <cell r="O32">
            <v>24518</v>
          </cell>
          <cell r="P32" t="str">
            <v>PeMS2016</v>
          </cell>
        </row>
        <row r="33">
          <cell r="C33">
            <v>1</v>
          </cell>
          <cell r="E33">
            <v>29232</v>
          </cell>
          <cell r="H33" t="str">
            <v>I-5 NB</v>
          </cell>
          <cell r="I33">
            <v>59</v>
          </cell>
          <cell r="J33">
            <v>0</v>
          </cell>
          <cell r="K33" t="str">
            <v>PARK</v>
          </cell>
          <cell r="L33" t="str">
            <v>06TH</v>
          </cell>
          <cell r="O33">
            <v>16511</v>
          </cell>
          <cell r="P33" t="str">
            <v>PeMS2016</v>
          </cell>
        </row>
        <row r="34">
          <cell r="C34">
            <v>1</v>
          </cell>
          <cell r="E34">
            <v>29756</v>
          </cell>
          <cell r="H34" t="str">
            <v>I-5 NB</v>
          </cell>
          <cell r="I34">
            <v>61</v>
          </cell>
          <cell r="J34">
            <v>0</v>
          </cell>
          <cell r="K34" t="str">
            <v>HAWTHORN</v>
          </cell>
          <cell r="L34" t="str">
            <v>01ST</v>
          </cell>
          <cell r="O34">
            <v>17069</v>
          </cell>
          <cell r="P34" t="str">
            <v>PeMS2016</v>
          </cell>
        </row>
        <row r="35">
          <cell r="C35">
            <v>1</v>
          </cell>
          <cell r="E35">
            <v>30864</v>
          </cell>
          <cell r="H35" t="str">
            <v>I-5 NB</v>
          </cell>
          <cell r="I35">
            <v>63</v>
          </cell>
          <cell r="J35">
            <v>0</v>
          </cell>
          <cell r="K35" t="str">
            <v>01ST</v>
          </cell>
          <cell r="L35" t="str">
            <v>HAWTHORN</v>
          </cell>
          <cell r="O35">
            <v>22881</v>
          </cell>
          <cell r="P35" t="str">
            <v>PeMS2016</v>
          </cell>
        </row>
        <row r="36">
          <cell r="C36">
            <v>1</v>
          </cell>
          <cell r="E36">
            <v>20529</v>
          </cell>
          <cell r="H36" t="str">
            <v>I-5 NB</v>
          </cell>
          <cell r="I36">
            <v>66</v>
          </cell>
          <cell r="J36">
            <v>0</v>
          </cell>
          <cell r="K36" t="str">
            <v>INDIA</v>
          </cell>
          <cell r="L36" t="str">
            <v>PACIFIC</v>
          </cell>
          <cell r="O36">
            <v>18567</v>
          </cell>
          <cell r="P36" t="str">
            <v>PeMS2016</v>
          </cell>
        </row>
        <row r="37">
          <cell r="C37">
            <v>1</v>
          </cell>
          <cell r="E37">
            <v>20549</v>
          </cell>
          <cell r="H37" t="str">
            <v>I-5 NB</v>
          </cell>
          <cell r="I37">
            <v>67</v>
          </cell>
          <cell r="J37">
            <v>0</v>
          </cell>
          <cell r="K37" t="str">
            <v>PACIFIC</v>
          </cell>
          <cell r="L37" t="str">
            <v>INDIA</v>
          </cell>
          <cell r="O37">
            <v>18612</v>
          </cell>
          <cell r="P37" t="str">
            <v>PeMS2016</v>
          </cell>
        </row>
        <row r="38">
          <cell r="C38">
            <v>1</v>
          </cell>
          <cell r="E38">
            <v>20588</v>
          </cell>
          <cell r="H38" t="str">
            <v>I-5 NB</v>
          </cell>
          <cell r="I38">
            <v>68</v>
          </cell>
          <cell r="J38">
            <v>0</v>
          </cell>
          <cell r="K38" t="str">
            <v>INDIA</v>
          </cell>
          <cell r="L38" t="str">
            <v>INDIA</v>
          </cell>
          <cell r="O38">
            <v>17424</v>
          </cell>
          <cell r="P38" t="str">
            <v>PeMS2016</v>
          </cell>
        </row>
        <row r="39">
          <cell r="C39">
            <v>1</v>
          </cell>
          <cell r="E39">
            <v>10969</v>
          </cell>
          <cell r="H39" t="str">
            <v>I-5 NB</v>
          </cell>
          <cell r="I39">
            <v>69</v>
          </cell>
          <cell r="J39">
            <v>0</v>
          </cell>
          <cell r="K39" t="str">
            <v>INDIA</v>
          </cell>
          <cell r="L39" t="str">
            <v>WASHINGTON</v>
          </cell>
          <cell r="O39">
            <v>19134</v>
          </cell>
          <cell r="P39" t="str">
            <v>PeMS2016</v>
          </cell>
        </row>
        <row r="40">
          <cell r="C40">
            <v>1</v>
          </cell>
          <cell r="E40">
            <v>30813</v>
          </cell>
          <cell r="H40" t="str">
            <v>I-5 NB</v>
          </cell>
          <cell r="I40">
            <v>71</v>
          </cell>
          <cell r="J40">
            <v>0</v>
          </cell>
          <cell r="K40" t="str">
            <v>OLD TOWN</v>
          </cell>
          <cell r="L40" t="str">
            <v>OLD TOWN</v>
          </cell>
          <cell r="O40">
            <v>21648</v>
          </cell>
          <cell r="P40" t="str">
            <v>PeMS2016</v>
          </cell>
        </row>
        <row r="41">
          <cell r="C41">
            <v>1</v>
          </cell>
          <cell r="E41">
            <v>10966</v>
          </cell>
          <cell r="H41" t="str">
            <v>I-5 NB</v>
          </cell>
          <cell r="I41">
            <v>73</v>
          </cell>
          <cell r="J41">
            <v>0</v>
          </cell>
          <cell r="K41" t="str">
            <v>OLD TOWN</v>
          </cell>
          <cell r="L41" t="str">
            <v>OLD TOWN</v>
          </cell>
          <cell r="O41">
            <v>21758</v>
          </cell>
          <cell r="P41" t="str">
            <v>PeMS2016</v>
          </cell>
        </row>
        <row r="42">
          <cell r="C42">
            <v>1</v>
          </cell>
          <cell r="E42">
            <v>20600</v>
          </cell>
          <cell r="H42" t="str">
            <v>I-5 NB</v>
          </cell>
          <cell r="I42">
            <v>75</v>
          </cell>
          <cell r="J42">
            <v>0</v>
          </cell>
          <cell r="K42" t="str">
            <v>I-8 EB</v>
          </cell>
          <cell r="L42" t="str">
            <v>CAM DEL RIO WEST</v>
          </cell>
          <cell r="O42">
            <v>16826</v>
          </cell>
          <cell r="P42" t="str">
            <v>PeMS2016</v>
          </cell>
        </row>
        <row r="43">
          <cell r="C43">
            <v>1</v>
          </cell>
          <cell r="E43">
            <v>26708</v>
          </cell>
          <cell r="H43" t="str">
            <v>I-5 NB</v>
          </cell>
          <cell r="I43">
            <v>81</v>
          </cell>
          <cell r="J43">
            <v>0</v>
          </cell>
          <cell r="K43" t="str">
            <v>TECOLOTE</v>
          </cell>
          <cell r="L43" t="str">
            <v>TECOLOTE</v>
          </cell>
          <cell r="O43">
            <v>21260</v>
          </cell>
          <cell r="P43" t="str">
            <v>PeMS2016</v>
          </cell>
        </row>
        <row r="44">
          <cell r="C44">
            <v>1</v>
          </cell>
          <cell r="E44">
            <v>8790</v>
          </cell>
          <cell r="H44" t="str">
            <v>I-5 NB</v>
          </cell>
          <cell r="I44">
            <v>85</v>
          </cell>
          <cell r="J44">
            <v>0</v>
          </cell>
          <cell r="K44" t="str">
            <v>TECOLOTE</v>
          </cell>
          <cell r="L44" t="str">
            <v>CLAIREMONT</v>
          </cell>
          <cell r="O44">
            <v>18096</v>
          </cell>
          <cell r="P44" t="str">
            <v>PeMS2016</v>
          </cell>
        </row>
        <row r="45">
          <cell r="C45">
            <v>1</v>
          </cell>
          <cell r="E45">
            <v>8784</v>
          </cell>
          <cell r="H45" t="str">
            <v>I-5 NB</v>
          </cell>
          <cell r="I45">
            <v>86</v>
          </cell>
          <cell r="J45">
            <v>0</v>
          </cell>
          <cell r="K45" t="str">
            <v>CLAIREMONT</v>
          </cell>
          <cell r="L45" t="str">
            <v>CLAIREMONT</v>
          </cell>
          <cell r="O45">
            <v>22959</v>
          </cell>
          <cell r="P45" t="str">
            <v>PeMS2016</v>
          </cell>
        </row>
        <row r="46">
          <cell r="C46">
            <v>1</v>
          </cell>
          <cell r="E46">
            <v>20640</v>
          </cell>
          <cell r="H46" t="str">
            <v>I-5 NB</v>
          </cell>
          <cell r="I46">
            <v>88</v>
          </cell>
          <cell r="J46">
            <v>0</v>
          </cell>
          <cell r="K46" t="str">
            <v>MISSION BAY</v>
          </cell>
          <cell r="L46" t="str">
            <v>BALBOA</v>
          </cell>
          <cell r="O46">
            <v>17572</v>
          </cell>
          <cell r="P46" t="str">
            <v>PeMS2016</v>
          </cell>
        </row>
        <row r="47">
          <cell r="C47">
            <v>1</v>
          </cell>
          <cell r="E47">
            <v>8781</v>
          </cell>
          <cell r="H47" t="str">
            <v>I-5 NB</v>
          </cell>
          <cell r="I47">
            <v>89</v>
          </cell>
          <cell r="J47">
            <v>0</v>
          </cell>
          <cell r="K47" t="str">
            <v>BALBOA</v>
          </cell>
          <cell r="L47" t="str">
            <v>MISSION BAY</v>
          </cell>
          <cell r="O47">
            <v>15363</v>
          </cell>
          <cell r="P47" t="str">
            <v>PeMS2016</v>
          </cell>
        </row>
        <row r="48">
          <cell r="C48">
            <v>1</v>
          </cell>
          <cell r="E48">
            <v>26014</v>
          </cell>
          <cell r="H48" t="str">
            <v>I-5 NB</v>
          </cell>
          <cell r="I48">
            <v>91</v>
          </cell>
          <cell r="J48">
            <v>0</v>
          </cell>
          <cell r="K48" t="str">
            <v>MISSION BAY</v>
          </cell>
          <cell r="L48" t="str">
            <v>SR-52 WB</v>
          </cell>
          <cell r="O48">
            <v>19336</v>
          </cell>
          <cell r="P48" t="str">
            <v>Caltran</v>
          </cell>
        </row>
        <row r="49">
          <cell r="C49">
            <v>1</v>
          </cell>
          <cell r="E49">
            <v>12010</v>
          </cell>
          <cell r="H49" t="str">
            <v>I-5 NB</v>
          </cell>
          <cell r="I49">
            <v>92</v>
          </cell>
          <cell r="J49">
            <v>0</v>
          </cell>
          <cell r="K49" t="str">
            <v>SR-52 WB</v>
          </cell>
          <cell r="L49" t="str">
            <v>SR-52 EB</v>
          </cell>
          <cell r="O49">
            <v>14218</v>
          </cell>
          <cell r="P49" t="str">
            <v>PeMS2016</v>
          </cell>
        </row>
        <row r="50">
          <cell r="C50">
            <v>1</v>
          </cell>
          <cell r="E50">
            <v>12007</v>
          </cell>
          <cell r="H50" t="str">
            <v>I-5 NB</v>
          </cell>
          <cell r="I50">
            <v>93</v>
          </cell>
          <cell r="J50">
            <v>0</v>
          </cell>
          <cell r="K50" t="str">
            <v>SR-52 EB</v>
          </cell>
          <cell r="L50" t="str">
            <v>SR-52 WB</v>
          </cell>
          <cell r="O50">
            <v>13075</v>
          </cell>
          <cell r="P50" t="str">
            <v>PeMS2016</v>
          </cell>
        </row>
        <row r="51">
          <cell r="C51">
            <v>1</v>
          </cell>
          <cell r="E51">
            <v>15020</v>
          </cell>
          <cell r="H51" t="str">
            <v>I-5 NB</v>
          </cell>
          <cell r="I51">
            <v>95</v>
          </cell>
          <cell r="J51">
            <v>0</v>
          </cell>
          <cell r="K51" t="str">
            <v>GILMAN</v>
          </cell>
          <cell r="L51" t="str">
            <v>GILMAN</v>
          </cell>
          <cell r="O51">
            <v>15069</v>
          </cell>
          <cell r="P51" t="str">
            <v>PeMS2016</v>
          </cell>
        </row>
        <row r="52">
          <cell r="C52">
            <v>1</v>
          </cell>
          <cell r="E52">
            <v>15036</v>
          </cell>
          <cell r="H52" t="str">
            <v>I-5 NB</v>
          </cell>
          <cell r="I52">
            <v>96</v>
          </cell>
          <cell r="J52">
            <v>0</v>
          </cell>
          <cell r="K52" t="str">
            <v>GILMAN</v>
          </cell>
          <cell r="L52" t="str">
            <v>NOBEL</v>
          </cell>
          <cell r="O52">
            <v>13386</v>
          </cell>
          <cell r="P52" t="str">
            <v>PeMS2016</v>
          </cell>
        </row>
        <row r="53">
          <cell r="C53">
            <v>1</v>
          </cell>
          <cell r="E53">
            <v>15038</v>
          </cell>
          <cell r="H53" t="str">
            <v>I-5 NB</v>
          </cell>
          <cell r="I53">
            <v>98</v>
          </cell>
          <cell r="J53">
            <v>0</v>
          </cell>
          <cell r="K53" t="str">
            <v>LA JOLLA VILLAGE</v>
          </cell>
          <cell r="L53" t="str">
            <v>LA JOLLA VILLAGE</v>
          </cell>
          <cell r="O53">
            <v>15159</v>
          </cell>
          <cell r="P53" t="str">
            <v>PeMS2016</v>
          </cell>
        </row>
        <row r="54">
          <cell r="C54">
            <v>1</v>
          </cell>
          <cell r="E54">
            <v>14290</v>
          </cell>
          <cell r="H54" t="str">
            <v>I-5 NB</v>
          </cell>
          <cell r="I54">
            <v>102</v>
          </cell>
          <cell r="J54">
            <v>0</v>
          </cell>
          <cell r="K54" t="str">
            <v>GENESEE</v>
          </cell>
          <cell r="L54" t="str">
            <v>GENESEE</v>
          </cell>
          <cell r="O54">
            <v>18001</v>
          </cell>
          <cell r="P54" t="str">
            <v>PeMS2016</v>
          </cell>
        </row>
        <row r="55">
          <cell r="C55">
            <v>1</v>
          </cell>
          <cell r="E55">
            <v>8896</v>
          </cell>
          <cell r="H55" t="str">
            <v>I-5 NB</v>
          </cell>
          <cell r="I55">
            <v>105</v>
          </cell>
          <cell r="J55">
            <v>0</v>
          </cell>
          <cell r="K55" t="str">
            <v>SORRENTO VALLEY</v>
          </cell>
          <cell r="L55" t="str">
            <v>I-805 NB</v>
          </cell>
          <cell r="O55">
            <v>18088</v>
          </cell>
          <cell r="P55" t="str">
            <v>Caltran</v>
          </cell>
        </row>
        <row r="56">
          <cell r="C56">
            <v>1</v>
          </cell>
          <cell r="E56">
            <v>14265</v>
          </cell>
          <cell r="H56" t="str">
            <v>I-5 NB</v>
          </cell>
          <cell r="I56">
            <v>106</v>
          </cell>
          <cell r="J56">
            <v>0</v>
          </cell>
          <cell r="K56" t="str">
            <v>I-805 NB</v>
          </cell>
          <cell r="L56" t="str">
            <v>I-805 NB</v>
          </cell>
          <cell r="O56">
            <v>7722</v>
          </cell>
          <cell r="P56" t="str">
            <v>PeMS2016</v>
          </cell>
        </row>
        <row r="57">
          <cell r="C57">
            <v>1</v>
          </cell>
          <cell r="E57">
            <v>4887</v>
          </cell>
          <cell r="H57" t="str">
            <v>I-5 NB</v>
          </cell>
          <cell r="I57">
            <v>108</v>
          </cell>
          <cell r="J57">
            <v>0</v>
          </cell>
          <cell r="K57" t="str">
            <v>I-805 NB</v>
          </cell>
          <cell r="O57">
            <v>21677</v>
          </cell>
          <cell r="P57" t="str">
            <v>Caltran</v>
          </cell>
        </row>
        <row r="58">
          <cell r="C58">
            <v>1</v>
          </cell>
          <cell r="E58">
            <v>26279</v>
          </cell>
          <cell r="H58" t="str">
            <v>I-5 NB</v>
          </cell>
          <cell r="I58">
            <v>109</v>
          </cell>
          <cell r="J58">
            <v>0</v>
          </cell>
          <cell r="K58" t="str">
            <v>I-805 NB</v>
          </cell>
          <cell r="O58">
            <v>19035</v>
          </cell>
          <cell r="P58" t="str">
            <v>PeMS2016</v>
          </cell>
        </row>
        <row r="59">
          <cell r="C59">
            <v>1</v>
          </cell>
          <cell r="E59">
            <v>14262</v>
          </cell>
          <cell r="H59" t="str">
            <v>I-5 NB</v>
          </cell>
          <cell r="I59">
            <v>111</v>
          </cell>
          <cell r="J59">
            <v>0</v>
          </cell>
          <cell r="K59" t="str">
            <v>I-805 NB</v>
          </cell>
          <cell r="O59">
            <v>18033</v>
          </cell>
          <cell r="P59" t="str">
            <v>PeMS2016</v>
          </cell>
        </row>
        <row r="60">
          <cell r="C60">
            <v>1</v>
          </cell>
          <cell r="E60">
            <v>22603</v>
          </cell>
          <cell r="H60" t="str">
            <v>I-5 NB</v>
          </cell>
          <cell r="I60">
            <v>112</v>
          </cell>
          <cell r="J60">
            <v>0</v>
          </cell>
          <cell r="K60" t="str">
            <v>CARMEL VALLEY</v>
          </cell>
          <cell r="L60" t="str">
            <v>CARMEL VALLEY</v>
          </cell>
          <cell r="O60">
            <v>14712</v>
          </cell>
          <cell r="P60" t="str">
            <v>PeMS2016</v>
          </cell>
        </row>
        <row r="61">
          <cell r="C61">
            <v>1</v>
          </cell>
          <cell r="E61">
            <v>14248</v>
          </cell>
          <cell r="H61" t="str">
            <v>I-5 NB</v>
          </cell>
          <cell r="I61">
            <v>115</v>
          </cell>
          <cell r="J61">
            <v>0</v>
          </cell>
          <cell r="K61" t="str">
            <v>CARMEL VALLEY</v>
          </cell>
          <cell r="L61" t="str">
            <v>DEL MAR HEIGHTS</v>
          </cell>
          <cell r="O61">
            <v>13753</v>
          </cell>
          <cell r="P61" t="str">
            <v>PeMS2016</v>
          </cell>
        </row>
        <row r="62">
          <cell r="C62">
            <v>1</v>
          </cell>
          <cell r="E62">
            <v>13861</v>
          </cell>
          <cell r="H62" t="str">
            <v>I-5 NB</v>
          </cell>
          <cell r="I62">
            <v>117</v>
          </cell>
          <cell r="J62">
            <v>0</v>
          </cell>
          <cell r="K62" t="str">
            <v>DEL MAR HEIGHTS</v>
          </cell>
          <cell r="L62" t="str">
            <v>DEL MAR HEIGHTS</v>
          </cell>
          <cell r="O62">
            <v>20207</v>
          </cell>
          <cell r="P62" t="str">
            <v>PeMS2016</v>
          </cell>
        </row>
        <row r="63">
          <cell r="C63">
            <v>1</v>
          </cell>
          <cell r="E63">
            <v>25387</v>
          </cell>
          <cell r="H63" t="str">
            <v>I-5 NB</v>
          </cell>
          <cell r="I63">
            <v>118</v>
          </cell>
          <cell r="J63">
            <v>1</v>
          </cell>
          <cell r="K63" t="str">
            <v>DEL MAR HEIGHTS</v>
          </cell>
          <cell r="L63" t="str">
            <v>VIA DE LA VALLE</v>
          </cell>
          <cell r="O63">
            <v>19331</v>
          </cell>
          <cell r="P63" t="str">
            <v>PeMS2016</v>
          </cell>
        </row>
        <row r="64">
          <cell r="C64">
            <v>1</v>
          </cell>
          <cell r="E64">
            <v>13869</v>
          </cell>
          <cell r="H64" t="str">
            <v>I-5 NB</v>
          </cell>
          <cell r="I64">
            <v>120</v>
          </cell>
          <cell r="J64">
            <v>0</v>
          </cell>
          <cell r="K64" t="str">
            <v>VIA DE LA VALLE</v>
          </cell>
          <cell r="L64" t="str">
            <v>VIA DE LA VALLE</v>
          </cell>
          <cell r="O64">
            <v>19682</v>
          </cell>
          <cell r="P64" t="str">
            <v>PeMS2016</v>
          </cell>
        </row>
        <row r="65">
          <cell r="C65">
            <v>1</v>
          </cell>
          <cell r="E65">
            <v>13600</v>
          </cell>
          <cell r="H65" t="str">
            <v>I-5 NB</v>
          </cell>
          <cell r="I65">
            <v>122</v>
          </cell>
          <cell r="J65">
            <v>0</v>
          </cell>
          <cell r="K65" t="str">
            <v>VIA DE LA VALLE</v>
          </cell>
          <cell r="L65" t="str">
            <v>LOMAS SANTA FE</v>
          </cell>
          <cell r="O65">
            <v>26077</v>
          </cell>
          <cell r="P65" t="str">
            <v>Caltran</v>
          </cell>
        </row>
        <row r="66">
          <cell r="C66">
            <v>1</v>
          </cell>
          <cell r="E66">
            <v>26293</v>
          </cell>
          <cell r="H66" t="str">
            <v>I-5 NB</v>
          </cell>
          <cell r="I66">
            <v>123</v>
          </cell>
          <cell r="J66">
            <v>0</v>
          </cell>
          <cell r="K66" t="str">
            <v>LOMAS SANTA FE</v>
          </cell>
          <cell r="L66" t="str">
            <v>LOMAS SANTA FE</v>
          </cell>
          <cell r="O66">
            <v>20329</v>
          </cell>
          <cell r="P66" t="str">
            <v>PeMS2016</v>
          </cell>
        </row>
        <row r="67">
          <cell r="C67">
            <v>1</v>
          </cell>
          <cell r="E67">
            <v>9872</v>
          </cell>
          <cell r="H67" t="str">
            <v>I-5 NB</v>
          </cell>
          <cell r="I67">
            <v>125</v>
          </cell>
          <cell r="J67">
            <v>0</v>
          </cell>
          <cell r="K67" t="str">
            <v>LOMAS SANTA FE</v>
          </cell>
          <cell r="L67" t="str">
            <v>MANCHESTER</v>
          </cell>
          <cell r="O67">
            <v>21633</v>
          </cell>
          <cell r="P67" t="str">
            <v>PeMS2016</v>
          </cell>
        </row>
        <row r="68">
          <cell r="C68">
            <v>1</v>
          </cell>
          <cell r="E68">
            <v>13527</v>
          </cell>
          <cell r="H68" t="str">
            <v>I-5 NB</v>
          </cell>
          <cell r="I68">
            <v>127</v>
          </cell>
          <cell r="J68">
            <v>0</v>
          </cell>
          <cell r="K68" t="str">
            <v>MANCHESTER</v>
          </cell>
          <cell r="L68" t="str">
            <v>MANCHESTER</v>
          </cell>
          <cell r="O68">
            <v>23882</v>
          </cell>
          <cell r="P68" t="str">
            <v>PeMS2016</v>
          </cell>
        </row>
        <row r="69">
          <cell r="C69">
            <v>1</v>
          </cell>
          <cell r="E69">
            <v>13593</v>
          </cell>
          <cell r="H69" t="str">
            <v>I-5 NB</v>
          </cell>
          <cell r="I69">
            <v>128</v>
          </cell>
          <cell r="J69">
            <v>0</v>
          </cell>
          <cell r="K69" t="str">
            <v>MANCHESTER</v>
          </cell>
          <cell r="L69" t="str">
            <v>BIRMINGHAM</v>
          </cell>
          <cell r="O69">
            <v>22187</v>
          </cell>
          <cell r="P69" t="str">
            <v>PeMS2016</v>
          </cell>
        </row>
        <row r="70">
          <cell r="C70">
            <v>1</v>
          </cell>
          <cell r="E70">
            <v>25842</v>
          </cell>
          <cell r="H70" t="str">
            <v>I-5 NB</v>
          </cell>
          <cell r="I70">
            <v>129</v>
          </cell>
          <cell r="J70">
            <v>0</v>
          </cell>
          <cell r="K70" t="str">
            <v>BIRMINGHAM</v>
          </cell>
          <cell r="L70" t="str">
            <v>BIRMINGHAM</v>
          </cell>
          <cell r="O70">
            <v>22833</v>
          </cell>
          <cell r="P70" t="str">
            <v>PeMS2016</v>
          </cell>
        </row>
        <row r="71">
          <cell r="C71">
            <v>1</v>
          </cell>
          <cell r="E71">
            <v>26523</v>
          </cell>
          <cell r="H71" t="str">
            <v>I-5 NB</v>
          </cell>
          <cell r="I71">
            <v>132</v>
          </cell>
          <cell r="J71">
            <v>0</v>
          </cell>
          <cell r="K71" t="str">
            <v>SANTA FE</v>
          </cell>
          <cell r="L71" t="str">
            <v>SANTA FE</v>
          </cell>
          <cell r="O71">
            <v>21979</v>
          </cell>
          <cell r="P71" t="str">
            <v>PeMS2016</v>
          </cell>
        </row>
        <row r="72">
          <cell r="C72">
            <v>1</v>
          </cell>
          <cell r="E72">
            <v>13581</v>
          </cell>
          <cell r="H72" t="str">
            <v>I-5 NB</v>
          </cell>
          <cell r="I72">
            <v>133</v>
          </cell>
          <cell r="J72">
            <v>0</v>
          </cell>
          <cell r="K72" t="str">
            <v>SANTA FE</v>
          </cell>
          <cell r="L72" t="str">
            <v>SANTA FE</v>
          </cell>
          <cell r="O72">
            <v>22879</v>
          </cell>
          <cell r="P72" t="str">
            <v>PeMS2016</v>
          </cell>
        </row>
        <row r="73">
          <cell r="C73">
            <v>1</v>
          </cell>
          <cell r="E73">
            <v>13579</v>
          </cell>
          <cell r="H73" t="str">
            <v>I-5 NB</v>
          </cell>
          <cell r="I73">
            <v>134</v>
          </cell>
          <cell r="J73">
            <v>0</v>
          </cell>
          <cell r="K73" t="str">
            <v>SANTA FE</v>
          </cell>
          <cell r="L73" t="str">
            <v>ENCINITAS</v>
          </cell>
          <cell r="O73">
            <v>21038</v>
          </cell>
          <cell r="P73" t="str">
            <v>PeMS2016</v>
          </cell>
        </row>
        <row r="74">
          <cell r="C74">
            <v>1</v>
          </cell>
          <cell r="E74">
            <v>615</v>
          </cell>
          <cell r="H74" t="str">
            <v>I-5 NB</v>
          </cell>
          <cell r="I74">
            <v>135</v>
          </cell>
          <cell r="J74">
            <v>0</v>
          </cell>
          <cell r="K74" t="str">
            <v>ENCINITAS</v>
          </cell>
          <cell r="L74" t="str">
            <v>ENCINITAS</v>
          </cell>
          <cell r="O74">
            <v>22142</v>
          </cell>
          <cell r="P74" t="str">
            <v>PeMS2016</v>
          </cell>
        </row>
        <row r="75">
          <cell r="C75">
            <v>1</v>
          </cell>
          <cell r="E75">
            <v>16275</v>
          </cell>
          <cell r="H75" t="str">
            <v>I-5 NB</v>
          </cell>
          <cell r="I75">
            <v>138</v>
          </cell>
          <cell r="J75">
            <v>0</v>
          </cell>
          <cell r="K75" t="str">
            <v>ENCINITAS</v>
          </cell>
          <cell r="L75" t="str">
            <v>LEUCADIA</v>
          </cell>
          <cell r="O75">
            <v>22564</v>
          </cell>
          <cell r="P75" t="str">
            <v>PeMS2016</v>
          </cell>
        </row>
        <row r="76">
          <cell r="C76">
            <v>1</v>
          </cell>
          <cell r="E76">
            <v>16290</v>
          </cell>
          <cell r="H76" t="str">
            <v>I-5 NB</v>
          </cell>
          <cell r="I76">
            <v>139</v>
          </cell>
          <cell r="J76">
            <v>0</v>
          </cell>
          <cell r="K76" t="str">
            <v>LEUCADIA</v>
          </cell>
          <cell r="L76" t="str">
            <v>LEUCADIA</v>
          </cell>
          <cell r="O76">
            <v>21530</v>
          </cell>
          <cell r="P76" t="str">
            <v>PeMS2016</v>
          </cell>
        </row>
        <row r="77">
          <cell r="C77">
            <v>1</v>
          </cell>
          <cell r="E77">
            <v>16291</v>
          </cell>
          <cell r="H77" t="str">
            <v>I-5 NB</v>
          </cell>
          <cell r="I77">
            <v>140</v>
          </cell>
          <cell r="J77">
            <v>0</v>
          </cell>
          <cell r="K77" t="str">
            <v>LEUCADIA</v>
          </cell>
          <cell r="L77" t="str">
            <v>LA COSTA</v>
          </cell>
          <cell r="O77">
            <v>22460</v>
          </cell>
          <cell r="P77" t="str">
            <v>PeMS2016</v>
          </cell>
        </row>
        <row r="78">
          <cell r="C78">
            <v>1</v>
          </cell>
          <cell r="E78">
            <v>671</v>
          </cell>
          <cell r="H78" t="str">
            <v>I-5 NB</v>
          </cell>
          <cell r="I78">
            <v>141</v>
          </cell>
          <cell r="J78">
            <v>0</v>
          </cell>
          <cell r="K78" t="str">
            <v>LA COSTA</v>
          </cell>
          <cell r="L78" t="str">
            <v>LA COSTA</v>
          </cell>
          <cell r="O78">
            <v>20344</v>
          </cell>
          <cell r="P78" t="str">
            <v>PeMS2016</v>
          </cell>
        </row>
        <row r="79">
          <cell r="C79">
            <v>1</v>
          </cell>
          <cell r="E79">
            <v>8770</v>
          </cell>
          <cell r="H79" t="str">
            <v>I-5 NB</v>
          </cell>
          <cell r="I79">
            <v>142</v>
          </cell>
          <cell r="J79">
            <v>0</v>
          </cell>
          <cell r="K79" t="str">
            <v>LA COSTA</v>
          </cell>
          <cell r="L79" t="str">
            <v>POINSETTIA</v>
          </cell>
          <cell r="O79">
            <v>18707</v>
          </cell>
          <cell r="P79" t="str">
            <v>PeMS2016</v>
          </cell>
        </row>
        <row r="80">
          <cell r="C80">
            <v>1</v>
          </cell>
          <cell r="E80">
            <v>26546</v>
          </cell>
          <cell r="H80" t="str">
            <v>I-5 NB</v>
          </cell>
          <cell r="I80">
            <v>143</v>
          </cell>
          <cell r="J80">
            <v>0</v>
          </cell>
          <cell r="K80" t="str">
            <v>POINSETTIA</v>
          </cell>
          <cell r="L80" t="str">
            <v>POINSETTIA</v>
          </cell>
          <cell r="O80">
            <v>19631</v>
          </cell>
          <cell r="P80" t="str">
            <v>PeMS2016</v>
          </cell>
        </row>
        <row r="81">
          <cell r="C81">
            <v>1</v>
          </cell>
          <cell r="E81">
            <v>13279</v>
          </cell>
          <cell r="H81" t="str">
            <v>I-5 NB</v>
          </cell>
          <cell r="I81">
            <v>145</v>
          </cell>
          <cell r="J81">
            <v>0</v>
          </cell>
          <cell r="K81" t="str">
            <v>POINSETTIA</v>
          </cell>
          <cell r="L81" t="str">
            <v>PALOMAR AIRPORT</v>
          </cell>
          <cell r="O81">
            <v>20084</v>
          </cell>
          <cell r="P81" t="str">
            <v>PeMS2016</v>
          </cell>
        </row>
        <row r="82">
          <cell r="C82">
            <v>1</v>
          </cell>
          <cell r="E82">
            <v>13277</v>
          </cell>
          <cell r="H82" t="str">
            <v>I-5 NB</v>
          </cell>
          <cell r="I82">
            <v>146</v>
          </cell>
          <cell r="J82">
            <v>0</v>
          </cell>
          <cell r="K82" t="str">
            <v>PALOMAR AIRPORT</v>
          </cell>
          <cell r="L82" t="str">
            <v>PALOMAR AIRPORT</v>
          </cell>
          <cell r="O82">
            <v>18732</v>
          </cell>
          <cell r="P82" t="str">
            <v>PeMS2016</v>
          </cell>
        </row>
        <row r="83">
          <cell r="C83">
            <v>1</v>
          </cell>
          <cell r="E83">
            <v>673</v>
          </cell>
          <cell r="H83" t="str">
            <v>I-5 NB</v>
          </cell>
          <cell r="I83">
            <v>148</v>
          </cell>
          <cell r="J83">
            <v>0</v>
          </cell>
          <cell r="K83" t="str">
            <v>CANNON</v>
          </cell>
          <cell r="L83" t="str">
            <v>CANNON</v>
          </cell>
          <cell r="O83">
            <v>20930</v>
          </cell>
          <cell r="P83" t="str">
            <v>PeMS2016</v>
          </cell>
        </row>
        <row r="84">
          <cell r="C84">
            <v>1</v>
          </cell>
          <cell r="E84">
            <v>8768</v>
          </cell>
          <cell r="H84" t="str">
            <v>I-5 NB</v>
          </cell>
          <cell r="I84">
            <v>149</v>
          </cell>
          <cell r="J84">
            <v>0</v>
          </cell>
          <cell r="K84" t="str">
            <v>CANNON</v>
          </cell>
          <cell r="L84" t="str">
            <v>TAMARACK</v>
          </cell>
          <cell r="O84">
            <v>24173</v>
          </cell>
          <cell r="P84" t="str">
            <v>PeMS2016</v>
          </cell>
        </row>
        <row r="85">
          <cell r="C85">
            <v>1</v>
          </cell>
          <cell r="E85">
            <v>26547</v>
          </cell>
          <cell r="H85" t="str">
            <v>I-5 NB</v>
          </cell>
          <cell r="I85">
            <v>150</v>
          </cell>
          <cell r="J85">
            <v>0</v>
          </cell>
          <cell r="K85" t="str">
            <v>TAMARACK</v>
          </cell>
          <cell r="L85" t="str">
            <v>TAMARACK</v>
          </cell>
          <cell r="O85">
            <v>24326</v>
          </cell>
          <cell r="P85" t="str">
            <v>Caltran</v>
          </cell>
        </row>
        <row r="86">
          <cell r="C86">
            <v>1</v>
          </cell>
          <cell r="E86">
            <v>12592</v>
          </cell>
          <cell r="H86" t="str">
            <v>I-5 NB</v>
          </cell>
          <cell r="I86">
            <v>151</v>
          </cell>
          <cell r="J86">
            <v>0</v>
          </cell>
          <cell r="K86" t="str">
            <v>TAMARACK</v>
          </cell>
          <cell r="L86" t="str">
            <v>TAMARACK</v>
          </cell>
          <cell r="O86">
            <v>23458</v>
          </cell>
          <cell r="P86" t="str">
            <v>PeMS2016</v>
          </cell>
        </row>
        <row r="87">
          <cell r="C87">
            <v>1</v>
          </cell>
          <cell r="E87">
            <v>16125</v>
          </cell>
          <cell r="H87" t="str">
            <v>I-5 NB</v>
          </cell>
          <cell r="I87">
            <v>156</v>
          </cell>
          <cell r="J87">
            <v>0</v>
          </cell>
          <cell r="K87" t="str">
            <v>LAS FLORES</v>
          </cell>
          <cell r="L87" t="str">
            <v>SR-78 EB</v>
          </cell>
          <cell r="O87">
            <v>21321</v>
          </cell>
          <cell r="P87" t="str">
            <v>PeMS2016</v>
          </cell>
        </row>
        <row r="88">
          <cell r="C88">
            <v>1</v>
          </cell>
          <cell r="E88">
            <v>12253</v>
          </cell>
          <cell r="H88" t="str">
            <v>I-5 NB</v>
          </cell>
          <cell r="I88">
            <v>160</v>
          </cell>
          <cell r="J88">
            <v>0</v>
          </cell>
          <cell r="K88" t="str">
            <v>CASSIDY</v>
          </cell>
          <cell r="L88" t="str">
            <v>CALIFORNIA</v>
          </cell>
          <cell r="O88">
            <v>23051</v>
          </cell>
          <cell r="P88" t="str">
            <v>PeMS2016</v>
          </cell>
        </row>
        <row r="89">
          <cell r="C89">
            <v>1</v>
          </cell>
          <cell r="E89">
            <v>12242</v>
          </cell>
          <cell r="H89" t="str">
            <v>I-5 NB</v>
          </cell>
          <cell r="I89">
            <v>163</v>
          </cell>
          <cell r="J89">
            <v>0</v>
          </cell>
          <cell r="K89" t="str">
            <v>OCEANSIDE</v>
          </cell>
          <cell r="L89" t="str">
            <v>OCEANSIDE</v>
          </cell>
          <cell r="O89">
            <v>19328</v>
          </cell>
          <cell r="P89" t="str">
            <v>PeMS2016</v>
          </cell>
        </row>
        <row r="90">
          <cell r="C90">
            <v>1</v>
          </cell>
          <cell r="E90">
            <v>28495</v>
          </cell>
          <cell r="H90" t="str">
            <v>I-5 NB</v>
          </cell>
          <cell r="I90">
            <v>165</v>
          </cell>
          <cell r="J90">
            <v>0</v>
          </cell>
          <cell r="K90" t="str">
            <v>MISSION</v>
          </cell>
          <cell r="L90" t="str">
            <v>MISSION</v>
          </cell>
          <cell r="O90">
            <v>15508</v>
          </cell>
          <cell r="P90" t="str">
            <v>PeMS2016</v>
          </cell>
        </row>
        <row r="91">
          <cell r="C91">
            <v>1</v>
          </cell>
          <cell r="E91">
            <v>28511</v>
          </cell>
          <cell r="H91" t="str">
            <v>I-5 NB</v>
          </cell>
          <cell r="I91">
            <v>166</v>
          </cell>
          <cell r="J91">
            <v>0</v>
          </cell>
          <cell r="K91" t="str">
            <v>MISSION</v>
          </cell>
          <cell r="L91" t="str">
            <v>SR-76</v>
          </cell>
          <cell r="O91">
            <v>16392</v>
          </cell>
          <cell r="P91" t="str">
            <v>Caltran</v>
          </cell>
        </row>
        <row r="92">
          <cell r="C92">
            <v>1</v>
          </cell>
          <cell r="E92">
            <v>28512</v>
          </cell>
          <cell r="H92" t="str">
            <v>I-5 NB</v>
          </cell>
          <cell r="I92">
            <v>167</v>
          </cell>
          <cell r="J92">
            <v>0</v>
          </cell>
          <cell r="K92" t="str">
            <v>SR-76</v>
          </cell>
          <cell r="L92" t="str">
            <v>SR-76</v>
          </cell>
          <cell r="O92">
            <v>13004</v>
          </cell>
          <cell r="P92" t="str">
            <v>PeMS2016</v>
          </cell>
        </row>
        <row r="93">
          <cell r="C93">
            <v>1</v>
          </cell>
          <cell r="E93">
            <v>28486</v>
          </cell>
          <cell r="H93" t="str">
            <v>I-5 NB</v>
          </cell>
          <cell r="I93">
            <v>171</v>
          </cell>
          <cell r="J93">
            <v>0</v>
          </cell>
          <cell r="K93" t="str">
            <v>VANDEGRIFT</v>
          </cell>
          <cell r="L93" t="str">
            <v>VANDEGRIFT</v>
          </cell>
          <cell r="O93">
            <v>11005</v>
          </cell>
          <cell r="P93" t="str">
            <v>PeMS2016</v>
          </cell>
        </row>
        <row r="94">
          <cell r="C94">
            <v>1</v>
          </cell>
          <cell r="E94">
            <v>27597</v>
          </cell>
          <cell r="H94" t="str">
            <v>I-5 NB</v>
          </cell>
          <cell r="I94">
            <v>172</v>
          </cell>
          <cell r="J94">
            <v>7</v>
          </cell>
          <cell r="K94" t="str">
            <v>VANDEGRIFT</v>
          </cell>
          <cell r="L94" t="str">
            <v>LAS PULGAS</v>
          </cell>
          <cell r="O94">
            <v>11331</v>
          </cell>
          <cell r="P94" t="str">
            <v>PeMS2016</v>
          </cell>
        </row>
        <row r="95">
          <cell r="C95">
            <v>1</v>
          </cell>
          <cell r="E95">
            <v>27519</v>
          </cell>
          <cell r="H95" t="str">
            <v>I-5 NB</v>
          </cell>
          <cell r="I95">
            <v>174</v>
          </cell>
          <cell r="J95">
            <v>8</v>
          </cell>
          <cell r="K95" t="str">
            <v>LAS PULGAS</v>
          </cell>
          <cell r="L95" t="str">
            <v>BASILONE</v>
          </cell>
          <cell r="O95">
            <v>12094</v>
          </cell>
          <cell r="P95" t="str">
            <v>PeMS2016</v>
          </cell>
        </row>
      </sheetData>
      <sheetData sheetId="2">
        <row r="2">
          <cell r="C2">
            <v>2</v>
          </cell>
          <cell r="E2">
            <v>16127</v>
          </cell>
          <cell r="H2" t="str">
            <v>I-15 NB</v>
          </cell>
          <cell r="I2">
            <v>1</v>
          </cell>
          <cell r="J2">
            <v>0</v>
          </cell>
          <cell r="K2" t="str">
            <v>I-5 NB</v>
          </cell>
          <cell r="L2" t="str">
            <v>OCEAN VIEW</v>
          </cell>
          <cell r="O2">
            <v>13149</v>
          </cell>
          <cell r="P2" t="str">
            <v>Caltran</v>
          </cell>
        </row>
        <row r="3">
          <cell r="C3">
            <v>2</v>
          </cell>
          <cell r="E3">
            <v>16128</v>
          </cell>
          <cell r="H3" t="str">
            <v>I-15 NB</v>
          </cell>
          <cell r="I3">
            <v>2</v>
          </cell>
          <cell r="J3">
            <v>0</v>
          </cell>
          <cell r="K3" t="str">
            <v>OCEAN VIEW</v>
          </cell>
          <cell r="L3" t="str">
            <v>OCEAN VIEW</v>
          </cell>
          <cell r="O3">
            <v>13795</v>
          </cell>
          <cell r="P3" t="str">
            <v>PeMS2016</v>
          </cell>
        </row>
        <row r="4">
          <cell r="C4">
            <v>2</v>
          </cell>
          <cell r="E4">
            <v>11327</v>
          </cell>
          <cell r="H4" t="str">
            <v>I-15 NB</v>
          </cell>
          <cell r="I4">
            <v>3</v>
          </cell>
          <cell r="J4">
            <v>0</v>
          </cell>
          <cell r="K4" t="str">
            <v>OCEAN VIEW</v>
          </cell>
          <cell r="L4" t="str">
            <v>IMPERIAL</v>
          </cell>
          <cell r="O4">
            <v>15197</v>
          </cell>
          <cell r="P4" t="str">
            <v>PeMS2016</v>
          </cell>
        </row>
        <row r="5">
          <cell r="C5">
            <v>2</v>
          </cell>
          <cell r="E5">
            <v>16136</v>
          </cell>
          <cell r="H5" t="str">
            <v>I-15 NB</v>
          </cell>
          <cell r="I5">
            <v>5</v>
          </cell>
          <cell r="J5">
            <v>0</v>
          </cell>
          <cell r="L5" t="str">
            <v>MARKET</v>
          </cell>
          <cell r="O5">
            <v>16609</v>
          </cell>
          <cell r="P5" t="str">
            <v>Caltran</v>
          </cell>
        </row>
        <row r="6">
          <cell r="C6">
            <v>2</v>
          </cell>
          <cell r="E6">
            <v>8921</v>
          </cell>
          <cell r="H6" t="str">
            <v>I-15 NB</v>
          </cell>
          <cell r="I6">
            <v>8</v>
          </cell>
          <cell r="J6">
            <v>0</v>
          </cell>
          <cell r="K6" t="str">
            <v>SR-94 EB</v>
          </cell>
          <cell r="L6" t="str">
            <v>I-805 NB</v>
          </cell>
          <cell r="O6">
            <v>14799</v>
          </cell>
          <cell r="P6" t="str">
            <v>PeMS2016</v>
          </cell>
        </row>
        <row r="7">
          <cell r="C7">
            <v>2</v>
          </cell>
          <cell r="E7">
            <v>8939</v>
          </cell>
          <cell r="H7" t="str">
            <v>I-15 NB</v>
          </cell>
          <cell r="I7">
            <v>12</v>
          </cell>
          <cell r="J7">
            <v>0</v>
          </cell>
          <cell r="K7" t="str">
            <v>I-805 NB</v>
          </cell>
          <cell r="L7" t="str">
            <v>40TH</v>
          </cell>
          <cell r="O7">
            <v>20164</v>
          </cell>
          <cell r="P7" t="str">
            <v>PeMS2016</v>
          </cell>
        </row>
        <row r="8">
          <cell r="C8">
            <v>2</v>
          </cell>
          <cell r="E8">
            <v>27578</v>
          </cell>
          <cell r="H8" t="str">
            <v>I-15 NB</v>
          </cell>
          <cell r="I8">
            <v>16</v>
          </cell>
          <cell r="J8">
            <v>0</v>
          </cell>
          <cell r="K8" t="str">
            <v>EL CAJON</v>
          </cell>
          <cell r="L8" t="str">
            <v>EL CAJON</v>
          </cell>
          <cell r="O8">
            <v>15852</v>
          </cell>
          <cell r="P8" t="str">
            <v>PeMS2016</v>
          </cell>
        </row>
        <row r="9">
          <cell r="C9">
            <v>2</v>
          </cell>
          <cell r="E9">
            <v>8977</v>
          </cell>
          <cell r="H9" t="str">
            <v>I-15 NB</v>
          </cell>
          <cell r="I9">
            <v>2</v>
          </cell>
          <cell r="J9">
            <v>0</v>
          </cell>
          <cell r="K9" t="str">
            <v>ADAMS</v>
          </cell>
          <cell r="L9" t="str">
            <v>ADAMS</v>
          </cell>
          <cell r="O9">
            <v>18184</v>
          </cell>
          <cell r="P9" t="str">
            <v>PeMS2016</v>
          </cell>
        </row>
        <row r="10">
          <cell r="C10">
            <v>2</v>
          </cell>
          <cell r="E10">
            <v>6852</v>
          </cell>
          <cell r="H10" t="str">
            <v>I-15 NB</v>
          </cell>
          <cell r="I10">
            <v>6</v>
          </cell>
          <cell r="J10">
            <v>0</v>
          </cell>
          <cell r="K10" t="str">
            <v>I-8 EB</v>
          </cell>
          <cell r="L10" t="str">
            <v>I-8 EB</v>
          </cell>
          <cell r="O10">
            <v>17236</v>
          </cell>
          <cell r="P10" t="str">
            <v>PeMS2016</v>
          </cell>
        </row>
        <row r="11">
          <cell r="C11">
            <v>2</v>
          </cell>
          <cell r="E11">
            <v>16760</v>
          </cell>
          <cell r="H11" t="str">
            <v>I-15 NB</v>
          </cell>
          <cell r="I11">
            <v>8</v>
          </cell>
          <cell r="J11">
            <v>0</v>
          </cell>
          <cell r="K11" t="str">
            <v>I-8 EB</v>
          </cell>
          <cell r="L11" t="str">
            <v>I-8 EB</v>
          </cell>
          <cell r="O11">
            <v>16271</v>
          </cell>
          <cell r="P11" t="str">
            <v>PeMS2016</v>
          </cell>
        </row>
        <row r="12">
          <cell r="C12">
            <v>2</v>
          </cell>
          <cell r="E12">
            <v>15776</v>
          </cell>
          <cell r="H12" t="str">
            <v>I-15 NB</v>
          </cell>
          <cell r="I12">
            <v>10</v>
          </cell>
          <cell r="J12">
            <v>0</v>
          </cell>
          <cell r="K12" t="str">
            <v>I-8 WB</v>
          </cell>
          <cell r="L12" t="str">
            <v>FRIARS</v>
          </cell>
          <cell r="O12">
            <v>21966</v>
          </cell>
          <cell r="P12" t="str">
            <v>Caltran</v>
          </cell>
        </row>
        <row r="13">
          <cell r="C13">
            <v>2</v>
          </cell>
          <cell r="E13">
            <v>20457</v>
          </cell>
          <cell r="H13" t="str">
            <v>I-15 NB</v>
          </cell>
          <cell r="I13">
            <v>11</v>
          </cell>
          <cell r="J13">
            <v>0</v>
          </cell>
          <cell r="K13" t="str">
            <v>FRIARS</v>
          </cell>
          <cell r="L13" t="str">
            <v>FRIARS</v>
          </cell>
          <cell r="O13">
            <v>17640</v>
          </cell>
          <cell r="P13" t="str">
            <v>PeMS2016</v>
          </cell>
        </row>
        <row r="14">
          <cell r="C14">
            <v>2</v>
          </cell>
          <cell r="E14">
            <v>9328</v>
          </cell>
          <cell r="H14" t="str">
            <v>I-15 NB</v>
          </cell>
          <cell r="I14">
            <v>12</v>
          </cell>
          <cell r="J14">
            <v>0</v>
          </cell>
          <cell r="K14" t="str">
            <v>FRIARS</v>
          </cell>
          <cell r="L14" t="str">
            <v>STONECREST</v>
          </cell>
          <cell r="O14">
            <v>21823</v>
          </cell>
          <cell r="P14" t="str">
            <v>PeMS2016</v>
          </cell>
        </row>
        <row r="15">
          <cell r="C15">
            <v>2</v>
          </cell>
          <cell r="E15">
            <v>9333</v>
          </cell>
          <cell r="H15" t="str">
            <v>I-15 NB</v>
          </cell>
          <cell r="I15">
            <v>13</v>
          </cell>
          <cell r="J15">
            <v>0</v>
          </cell>
          <cell r="K15" t="str">
            <v>STONECREST</v>
          </cell>
          <cell r="L15" t="str">
            <v>AERO</v>
          </cell>
          <cell r="O15">
            <v>17693</v>
          </cell>
          <cell r="P15" t="str">
            <v>PeMS2016</v>
          </cell>
        </row>
        <row r="16">
          <cell r="C16">
            <v>2</v>
          </cell>
          <cell r="E16">
            <v>9336</v>
          </cell>
          <cell r="H16" t="str">
            <v>I-15 NB</v>
          </cell>
          <cell r="I16">
            <v>14</v>
          </cell>
          <cell r="J16">
            <v>0</v>
          </cell>
          <cell r="K16" t="str">
            <v>AERO</v>
          </cell>
          <cell r="L16" t="str">
            <v>BALBOA</v>
          </cell>
          <cell r="O16">
            <v>19558</v>
          </cell>
          <cell r="P16" t="str">
            <v>PeMS2016</v>
          </cell>
        </row>
        <row r="17">
          <cell r="C17">
            <v>2</v>
          </cell>
          <cell r="E17">
            <v>9337</v>
          </cell>
          <cell r="H17" t="str">
            <v>I-15 NB</v>
          </cell>
          <cell r="I17">
            <v>15</v>
          </cell>
          <cell r="J17">
            <v>0</v>
          </cell>
          <cell r="K17" t="str">
            <v>BALBOA</v>
          </cell>
          <cell r="L17" t="str">
            <v>BALBOA</v>
          </cell>
          <cell r="O17">
            <v>16940</v>
          </cell>
          <cell r="P17" t="str">
            <v>PeMS2016</v>
          </cell>
        </row>
        <row r="18">
          <cell r="C18">
            <v>2</v>
          </cell>
          <cell r="E18">
            <v>9342</v>
          </cell>
          <cell r="H18" t="str">
            <v>I-15 NB</v>
          </cell>
          <cell r="I18">
            <v>18</v>
          </cell>
          <cell r="J18">
            <v>0</v>
          </cell>
          <cell r="K18" t="str">
            <v>BALBOA</v>
          </cell>
          <cell r="L18" t="str">
            <v>CLAIREMONT MESA</v>
          </cell>
          <cell r="O18">
            <v>19575</v>
          </cell>
          <cell r="P18" t="str">
            <v>PeMS2016</v>
          </cell>
        </row>
        <row r="19">
          <cell r="C19">
            <v>2</v>
          </cell>
          <cell r="E19">
            <v>15230</v>
          </cell>
          <cell r="H19" t="str">
            <v>I-15 NB</v>
          </cell>
          <cell r="I19">
            <v>19</v>
          </cell>
          <cell r="J19">
            <v>0</v>
          </cell>
          <cell r="K19" t="str">
            <v>CLAIREMONT MESA</v>
          </cell>
          <cell r="L19" t="str">
            <v>CLAIREMONT MESA</v>
          </cell>
          <cell r="O19">
            <v>15340</v>
          </cell>
          <cell r="P19" t="str">
            <v>PeMS2016</v>
          </cell>
        </row>
        <row r="20">
          <cell r="C20">
            <v>2</v>
          </cell>
          <cell r="E20">
            <v>22743</v>
          </cell>
          <cell r="H20" t="str">
            <v>I-15 NB</v>
          </cell>
          <cell r="I20">
            <v>20</v>
          </cell>
          <cell r="J20">
            <v>0</v>
          </cell>
          <cell r="K20" t="str">
            <v>SR-52 EB</v>
          </cell>
          <cell r="L20" t="str">
            <v>SR-52 WB</v>
          </cell>
          <cell r="O20">
            <v>17202</v>
          </cell>
          <cell r="P20" t="str">
            <v>PeMS2016</v>
          </cell>
        </row>
        <row r="21">
          <cell r="C21">
            <v>2</v>
          </cell>
          <cell r="E21">
            <v>15188</v>
          </cell>
          <cell r="H21" t="str">
            <v>I-15 NB</v>
          </cell>
          <cell r="I21">
            <v>22</v>
          </cell>
          <cell r="J21">
            <v>0</v>
          </cell>
          <cell r="K21" t="str">
            <v>SR-52 WB</v>
          </cell>
          <cell r="L21" t="str">
            <v>I-15 HOV NB</v>
          </cell>
          <cell r="O21">
            <v>17983</v>
          </cell>
          <cell r="P21" t="str">
            <v>PeMS2016</v>
          </cell>
        </row>
        <row r="22">
          <cell r="C22">
            <v>2</v>
          </cell>
          <cell r="E22">
            <v>15187</v>
          </cell>
          <cell r="H22" t="str">
            <v>I-15 NB</v>
          </cell>
          <cell r="I22">
            <v>23</v>
          </cell>
          <cell r="J22">
            <v>0</v>
          </cell>
          <cell r="K22" t="str">
            <v>I-15 HOV NB</v>
          </cell>
          <cell r="L22" t="str">
            <v>SR-163 NB</v>
          </cell>
          <cell r="O22">
            <v>28908</v>
          </cell>
          <cell r="P22" t="str">
            <v>PeMS2016</v>
          </cell>
        </row>
        <row r="23">
          <cell r="C23">
            <v>2</v>
          </cell>
          <cell r="E23">
            <v>574</v>
          </cell>
          <cell r="H23" t="str">
            <v>I-15 NB</v>
          </cell>
          <cell r="I23">
            <v>24</v>
          </cell>
          <cell r="J23">
            <v>0</v>
          </cell>
          <cell r="K23" t="str">
            <v>SR-163 NB</v>
          </cell>
          <cell r="L23" t="str">
            <v>MIRAMAR WAY</v>
          </cell>
          <cell r="O23">
            <v>36352</v>
          </cell>
          <cell r="P23" t="str">
            <v>PeMS2016</v>
          </cell>
        </row>
        <row r="24">
          <cell r="C24">
            <v>2</v>
          </cell>
          <cell r="E24">
            <v>14682</v>
          </cell>
          <cell r="H24" t="str">
            <v>I-15 NB</v>
          </cell>
          <cell r="I24">
            <v>26</v>
          </cell>
          <cell r="J24">
            <v>0</v>
          </cell>
          <cell r="K24" t="str">
            <v>MIRAMAR WAY</v>
          </cell>
          <cell r="L24" t="str">
            <v>MIRAMAR WAY</v>
          </cell>
          <cell r="O24">
            <v>33562</v>
          </cell>
          <cell r="P24" t="str">
            <v>PeMS2016</v>
          </cell>
        </row>
        <row r="25">
          <cell r="C25">
            <v>2</v>
          </cell>
          <cell r="E25">
            <v>14410</v>
          </cell>
          <cell r="H25" t="str">
            <v>I-15 NB</v>
          </cell>
          <cell r="I25">
            <v>27</v>
          </cell>
          <cell r="J25">
            <v>0</v>
          </cell>
          <cell r="K25" t="str">
            <v>MIRAMAR WAY</v>
          </cell>
          <cell r="L25" t="str">
            <v>POMERADO</v>
          </cell>
          <cell r="O25">
            <v>30190</v>
          </cell>
          <cell r="P25" t="str">
            <v>PeMS2016</v>
          </cell>
        </row>
        <row r="26">
          <cell r="C26">
            <v>2</v>
          </cell>
          <cell r="E26">
            <v>14409</v>
          </cell>
          <cell r="H26" t="str">
            <v>I-15 NB</v>
          </cell>
          <cell r="I26">
            <v>28</v>
          </cell>
          <cell r="J26">
            <v>0</v>
          </cell>
          <cell r="K26" t="str">
            <v>POMERADO</v>
          </cell>
          <cell r="L26" t="str">
            <v>POMERADO</v>
          </cell>
          <cell r="O26">
            <v>32473</v>
          </cell>
          <cell r="P26" t="str">
            <v>PeMS2016</v>
          </cell>
        </row>
        <row r="27">
          <cell r="C27">
            <v>2</v>
          </cell>
          <cell r="E27">
            <v>14402</v>
          </cell>
          <cell r="H27" t="str">
            <v>I-15 NB</v>
          </cell>
          <cell r="I27">
            <v>32</v>
          </cell>
          <cell r="J27">
            <v>0</v>
          </cell>
          <cell r="K27" t="str">
            <v>CARROLL CANYON</v>
          </cell>
          <cell r="L27" t="str">
            <v>CARROLL CANYON</v>
          </cell>
          <cell r="O27">
            <v>32601</v>
          </cell>
          <cell r="P27" t="str">
            <v>PeMS2016</v>
          </cell>
        </row>
        <row r="28">
          <cell r="C28">
            <v>2</v>
          </cell>
          <cell r="E28">
            <v>14397</v>
          </cell>
          <cell r="H28" t="str">
            <v>I-15 NB</v>
          </cell>
          <cell r="I28">
            <v>33</v>
          </cell>
          <cell r="J28">
            <v>0</v>
          </cell>
          <cell r="K28" t="str">
            <v>CARROLL CANYON</v>
          </cell>
          <cell r="L28" t="str">
            <v>MIRA MESA</v>
          </cell>
          <cell r="O28">
            <v>35698</v>
          </cell>
          <cell r="P28" t="str">
            <v>PeMS2016</v>
          </cell>
        </row>
        <row r="29">
          <cell r="C29">
            <v>2</v>
          </cell>
          <cell r="E29">
            <v>25099</v>
          </cell>
          <cell r="H29" t="str">
            <v>I-15 NB</v>
          </cell>
          <cell r="I29">
            <v>34</v>
          </cell>
          <cell r="J29">
            <v>0</v>
          </cell>
          <cell r="K29" t="str">
            <v>MIRA MESA</v>
          </cell>
          <cell r="L29" t="str">
            <v>MIRA MESA</v>
          </cell>
          <cell r="O29">
            <v>29575</v>
          </cell>
          <cell r="P29" t="str">
            <v>SANDAG</v>
          </cell>
        </row>
        <row r="30">
          <cell r="C30">
            <v>2</v>
          </cell>
          <cell r="E30">
            <v>28810</v>
          </cell>
          <cell r="H30" t="str">
            <v>I-15 NB</v>
          </cell>
          <cell r="I30">
            <v>35</v>
          </cell>
          <cell r="J30">
            <v>0</v>
          </cell>
          <cell r="K30" t="str">
            <v>MIRA MESA</v>
          </cell>
          <cell r="L30" t="str">
            <v>MIRA MESA</v>
          </cell>
          <cell r="O30">
            <v>29565</v>
          </cell>
          <cell r="P30" t="str">
            <v>PeMS2016</v>
          </cell>
        </row>
        <row r="31">
          <cell r="C31">
            <v>2</v>
          </cell>
          <cell r="E31">
            <v>14384</v>
          </cell>
          <cell r="H31" t="str">
            <v>I-15 NB</v>
          </cell>
          <cell r="I31">
            <v>37</v>
          </cell>
          <cell r="J31">
            <v>0</v>
          </cell>
          <cell r="K31" t="str">
            <v>MIRA MESA</v>
          </cell>
          <cell r="L31" t="str">
            <v>MERCY</v>
          </cell>
          <cell r="O31">
            <v>31407</v>
          </cell>
          <cell r="P31" t="str">
            <v>PeMS2016</v>
          </cell>
        </row>
        <row r="32">
          <cell r="C32">
            <v>2</v>
          </cell>
          <cell r="E32">
            <v>14386</v>
          </cell>
          <cell r="H32" t="str">
            <v>I-15 NB</v>
          </cell>
          <cell r="I32">
            <v>38</v>
          </cell>
          <cell r="J32">
            <v>0</v>
          </cell>
          <cell r="K32" t="str">
            <v>MERCY</v>
          </cell>
          <cell r="L32" t="str">
            <v>MERCY</v>
          </cell>
          <cell r="O32">
            <v>30988</v>
          </cell>
          <cell r="P32" t="str">
            <v>PeMS2016</v>
          </cell>
        </row>
        <row r="33">
          <cell r="C33">
            <v>2</v>
          </cell>
          <cell r="E33">
            <v>10859</v>
          </cell>
          <cell r="H33" t="str">
            <v>I-15 NB</v>
          </cell>
          <cell r="I33">
            <v>40</v>
          </cell>
          <cell r="J33">
            <v>0</v>
          </cell>
          <cell r="K33" t="str">
            <v>POWAY</v>
          </cell>
          <cell r="L33" t="str">
            <v>POWAY</v>
          </cell>
          <cell r="O33">
            <v>27642</v>
          </cell>
          <cell r="P33" t="str">
            <v>PeMS2016</v>
          </cell>
        </row>
        <row r="34">
          <cell r="C34">
            <v>2</v>
          </cell>
          <cell r="E34">
            <v>14639</v>
          </cell>
          <cell r="H34" t="str">
            <v>I-15 NB</v>
          </cell>
          <cell r="I34">
            <v>42</v>
          </cell>
          <cell r="J34">
            <v>0</v>
          </cell>
          <cell r="K34" t="str">
            <v>POWAY</v>
          </cell>
          <cell r="L34" t="str">
            <v>I-15 HOV NB</v>
          </cell>
          <cell r="O34">
            <v>28826</v>
          </cell>
          <cell r="P34" t="str">
            <v>SANDAG</v>
          </cell>
        </row>
        <row r="35">
          <cell r="C35">
            <v>2</v>
          </cell>
          <cell r="E35">
            <v>3968</v>
          </cell>
          <cell r="H35" t="str">
            <v>I-15 NB</v>
          </cell>
          <cell r="I35">
            <v>44</v>
          </cell>
          <cell r="J35">
            <v>0</v>
          </cell>
          <cell r="K35" t="str">
            <v>SR-56 EB</v>
          </cell>
          <cell r="L35" t="str">
            <v>SR-56 WB</v>
          </cell>
          <cell r="O35">
            <v>25764</v>
          </cell>
          <cell r="P35" t="str">
            <v>PeMS2016</v>
          </cell>
        </row>
        <row r="36">
          <cell r="C36">
            <v>2</v>
          </cell>
          <cell r="E36">
            <v>13672</v>
          </cell>
          <cell r="H36" t="str">
            <v>I-15 NB</v>
          </cell>
          <cell r="I36">
            <v>48</v>
          </cell>
          <cell r="J36">
            <v>0</v>
          </cell>
          <cell r="K36" t="str">
            <v>CARMEL MTN</v>
          </cell>
          <cell r="L36" t="str">
            <v>CARMEL MTN</v>
          </cell>
          <cell r="O36">
            <v>26402</v>
          </cell>
          <cell r="P36" t="str">
            <v>PeMS2016</v>
          </cell>
        </row>
        <row r="37">
          <cell r="C37">
            <v>2</v>
          </cell>
          <cell r="E37">
            <v>13662</v>
          </cell>
          <cell r="H37" t="str">
            <v>I-15 NB</v>
          </cell>
          <cell r="I37">
            <v>49</v>
          </cell>
          <cell r="J37">
            <v>0</v>
          </cell>
          <cell r="K37" t="str">
            <v>CARMEL MTN</v>
          </cell>
          <cell r="L37" t="str">
            <v>CAM DEL NORTE</v>
          </cell>
          <cell r="O37">
            <v>28364</v>
          </cell>
          <cell r="P37" t="str">
            <v>PeMS2016</v>
          </cell>
        </row>
        <row r="38">
          <cell r="C38">
            <v>2</v>
          </cell>
          <cell r="E38">
            <v>516</v>
          </cell>
          <cell r="H38" t="str">
            <v>I-15 NB</v>
          </cell>
          <cell r="I38">
            <v>50</v>
          </cell>
          <cell r="J38">
            <v>0</v>
          </cell>
          <cell r="K38" t="str">
            <v>CAM DEL NORTE</v>
          </cell>
          <cell r="L38" t="str">
            <v>CAM DEL NORTE</v>
          </cell>
          <cell r="O38">
            <v>24337</v>
          </cell>
          <cell r="P38" t="str">
            <v>PeMS2016</v>
          </cell>
        </row>
        <row r="39">
          <cell r="C39">
            <v>2</v>
          </cell>
          <cell r="E39">
            <v>31205</v>
          </cell>
          <cell r="H39" t="str">
            <v>I-15 NB</v>
          </cell>
          <cell r="I39">
            <v>52</v>
          </cell>
          <cell r="J39">
            <v>0</v>
          </cell>
          <cell r="K39" t="str">
            <v>CAM DEL NORTE</v>
          </cell>
          <cell r="L39" t="str">
            <v>BERNARDO CENTER</v>
          </cell>
          <cell r="O39">
            <v>28835</v>
          </cell>
          <cell r="P39" t="str">
            <v>PeMS2016</v>
          </cell>
        </row>
        <row r="40">
          <cell r="C40">
            <v>2</v>
          </cell>
          <cell r="E40">
            <v>13648</v>
          </cell>
          <cell r="H40" t="str">
            <v>I-15 NB</v>
          </cell>
          <cell r="I40">
            <v>53</v>
          </cell>
          <cell r="J40">
            <v>0</v>
          </cell>
          <cell r="K40" t="str">
            <v>BERNARDO CENTER</v>
          </cell>
          <cell r="L40" t="str">
            <v>BERNARDO CENTER</v>
          </cell>
          <cell r="O40">
            <v>24137</v>
          </cell>
          <cell r="P40" t="str">
            <v>PeMS2016</v>
          </cell>
        </row>
        <row r="41">
          <cell r="C41">
            <v>2</v>
          </cell>
          <cell r="E41">
            <v>13637</v>
          </cell>
          <cell r="H41" t="str">
            <v>I-15 NB</v>
          </cell>
          <cell r="I41">
            <v>54</v>
          </cell>
          <cell r="J41">
            <v>0</v>
          </cell>
          <cell r="K41" t="str">
            <v>BERNARDO CENTER</v>
          </cell>
          <cell r="L41" t="str">
            <v>RANCHO BERNARDO</v>
          </cell>
          <cell r="O41">
            <v>27093</v>
          </cell>
          <cell r="P41" t="str">
            <v>PeMS2016</v>
          </cell>
        </row>
        <row r="42">
          <cell r="C42">
            <v>2</v>
          </cell>
          <cell r="E42">
            <v>13639</v>
          </cell>
          <cell r="H42" t="str">
            <v>I-15 NB</v>
          </cell>
          <cell r="I42">
            <v>55</v>
          </cell>
          <cell r="J42">
            <v>0</v>
          </cell>
          <cell r="K42" t="str">
            <v>RANCHO BERNARDO</v>
          </cell>
          <cell r="L42" t="str">
            <v>RANCHO BERNARDO</v>
          </cell>
          <cell r="O42">
            <v>26992</v>
          </cell>
          <cell r="P42" t="str">
            <v>SANDAG</v>
          </cell>
        </row>
        <row r="43">
          <cell r="C43">
            <v>2</v>
          </cell>
          <cell r="E43">
            <v>13640</v>
          </cell>
          <cell r="H43" t="str">
            <v>I-15 NB</v>
          </cell>
          <cell r="I43">
            <v>56</v>
          </cell>
          <cell r="J43">
            <v>0</v>
          </cell>
          <cell r="K43" t="str">
            <v>RANCHO BERNARDO</v>
          </cell>
          <cell r="L43" t="str">
            <v>RANCHO BERNARDO</v>
          </cell>
          <cell r="O43">
            <v>26769</v>
          </cell>
          <cell r="P43" t="str">
            <v>PeMS2016</v>
          </cell>
        </row>
        <row r="44">
          <cell r="C44">
            <v>2</v>
          </cell>
          <cell r="E44">
            <v>31206</v>
          </cell>
          <cell r="H44" t="str">
            <v>I-15 NB</v>
          </cell>
          <cell r="I44">
            <v>58</v>
          </cell>
          <cell r="J44">
            <v>1</v>
          </cell>
          <cell r="K44" t="str">
            <v>RANCHO BERNARDO</v>
          </cell>
          <cell r="L44" t="str">
            <v>POMERADO</v>
          </cell>
          <cell r="O44">
            <v>29783</v>
          </cell>
          <cell r="P44" t="str">
            <v>PeMS2016</v>
          </cell>
        </row>
        <row r="45">
          <cell r="C45">
            <v>2</v>
          </cell>
          <cell r="E45">
            <v>554</v>
          </cell>
          <cell r="H45" t="str">
            <v>I-15 NB</v>
          </cell>
          <cell r="I45">
            <v>59</v>
          </cell>
          <cell r="J45">
            <v>0</v>
          </cell>
          <cell r="K45" t="str">
            <v>RANCHO BERNARDO</v>
          </cell>
          <cell r="L45" t="str">
            <v>POMERADO</v>
          </cell>
          <cell r="O45">
            <v>28594</v>
          </cell>
          <cell r="P45" t="str">
            <v>PeMS2016</v>
          </cell>
        </row>
        <row r="46">
          <cell r="C46">
            <v>2</v>
          </cell>
          <cell r="E46">
            <v>8809</v>
          </cell>
          <cell r="H46" t="str">
            <v>I-15 NB</v>
          </cell>
          <cell r="I46">
            <v>60</v>
          </cell>
          <cell r="J46">
            <v>0</v>
          </cell>
          <cell r="K46" t="str">
            <v>POMERADO</v>
          </cell>
          <cell r="L46" t="str">
            <v>POMERADO</v>
          </cell>
          <cell r="O46">
            <v>28063</v>
          </cell>
          <cell r="P46" t="str">
            <v>PeMS2016</v>
          </cell>
        </row>
        <row r="47">
          <cell r="C47">
            <v>2</v>
          </cell>
          <cell r="E47">
            <v>8807</v>
          </cell>
          <cell r="H47" t="str">
            <v>I-15 NB</v>
          </cell>
          <cell r="I47">
            <v>61</v>
          </cell>
          <cell r="J47">
            <v>0</v>
          </cell>
          <cell r="K47" t="str">
            <v>POMERADO</v>
          </cell>
          <cell r="L47" t="str">
            <v>VIA RANCHO</v>
          </cell>
          <cell r="O47">
            <v>31840</v>
          </cell>
          <cell r="P47" t="str">
            <v>PeMS2016</v>
          </cell>
        </row>
        <row r="48">
          <cell r="C48">
            <v>2</v>
          </cell>
          <cell r="E48">
            <v>721</v>
          </cell>
          <cell r="H48" t="str">
            <v>I-15 NB</v>
          </cell>
          <cell r="I48">
            <v>63</v>
          </cell>
          <cell r="J48">
            <v>0</v>
          </cell>
          <cell r="K48" t="str">
            <v>VIA RANCHO</v>
          </cell>
          <cell r="L48" t="str">
            <v>VIA RANCHO</v>
          </cell>
          <cell r="O48">
            <v>26470</v>
          </cell>
          <cell r="P48" t="str">
            <v>PeMS2016</v>
          </cell>
        </row>
        <row r="49">
          <cell r="C49">
            <v>2</v>
          </cell>
          <cell r="E49">
            <v>12955</v>
          </cell>
          <cell r="H49" t="str">
            <v>I-15 NB</v>
          </cell>
          <cell r="I49">
            <v>66</v>
          </cell>
          <cell r="J49">
            <v>0</v>
          </cell>
          <cell r="K49" t="str">
            <v>CENTRE CITY</v>
          </cell>
          <cell r="L49" t="str">
            <v>CITRACADO</v>
          </cell>
          <cell r="O49">
            <v>22650</v>
          </cell>
          <cell r="P49" t="str">
            <v>PeMS2016</v>
          </cell>
        </row>
        <row r="50">
          <cell r="C50">
            <v>2</v>
          </cell>
          <cell r="E50">
            <v>12957</v>
          </cell>
          <cell r="H50" t="str">
            <v>I-15 NB</v>
          </cell>
          <cell r="I50">
            <v>68</v>
          </cell>
          <cell r="J50">
            <v>0</v>
          </cell>
          <cell r="K50" t="str">
            <v>CITRACADO</v>
          </cell>
          <cell r="L50" t="str">
            <v>CITRACADO</v>
          </cell>
          <cell r="O50">
            <v>26201</v>
          </cell>
          <cell r="P50" t="str">
            <v>SANDAG</v>
          </cell>
        </row>
        <row r="51">
          <cell r="C51">
            <v>2</v>
          </cell>
          <cell r="E51">
            <v>556</v>
          </cell>
          <cell r="H51" t="str">
            <v>I-15 NB</v>
          </cell>
          <cell r="I51">
            <v>70</v>
          </cell>
          <cell r="J51">
            <v>0</v>
          </cell>
          <cell r="K51" t="str">
            <v>CITRACADO</v>
          </cell>
          <cell r="L51" t="str">
            <v>09TH</v>
          </cell>
          <cell r="O51">
            <v>25479</v>
          </cell>
          <cell r="P51" t="str">
            <v>PeMS2016</v>
          </cell>
        </row>
        <row r="52">
          <cell r="C52">
            <v>2</v>
          </cell>
          <cell r="E52">
            <v>669</v>
          </cell>
          <cell r="H52" t="str">
            <v>I-15 NB</v>
          </cell>
          <cell r="I52">
            <v>71</v>
          </cell>
          <cell r="J52">
            <v>0</v>
          </cell>
          <cell r="K52" t="str">
            <v>09TH</v>
          </cell>
          <cell r="L52" t="str">
            <v>09TH</v>
          </cell>
          <cell r="O52">
            <v>25100</v>
          </cell>
          <cell r="P52" t="str">
            <v>PeMS2016</v>
          </cell>
        </row>
        <row r="53">
          <cell r="C53">
            <v>2</v>
          </cell>
          <cell r="E53">
            <v>12929</v>
          </cell>
          <cell r="H53" t="str">
            <v>I-15 NB</v>
          </cell>
          <cell r="I53">
            <v>72</v>
          </cell>
          <cell r="J53">
            <v>0</v>
          </cell>
          <cell r="K53" t="str">
            <v>09TH</v>
          </cell>
          <cell r="L53" t="str">
            <v>VALLEY</v>
          </cell>
          <cell r="O53">
            <v>21239</v>
          </cell>
          <cell r="P53" t="str">
            <v>Caltran</v>
          </cell>
        </row>
        <row r="54">
          <cell r="C54">
            <v>2</v>
          </cell>
          <cell r="E54">
            <v>28588</v>
          </cell>
          <cell r="H54" t="str">
            <v>I-15 NB</v>
          </cell>
          <cell r="I54">
            <v>73</v>
          </cell>
          <cell r="J54">
            <v>0</v>
          </cell>
          <cell r="K54" t="str">
            <v>VALLEY</v>
          </cell>
          <cell r="L54" t="str">
            <v>VALLEY</v>
          </cell>
          <cell r="O54">
            <v>25689</v>
          </cell>
          <cell r="P54" t="str">
            <v>PeMS2016</v>
          </cell>
        </row>
        <row r="55">
          <cell r="C55">
            <v>2</v>
          </cell>
          <cell r="E55">
            <v>558</v>
          </cell>
          <cell r="H55" t="str">
            <v>I-15 NB</v>
          </cell>
          <cell r="I55">
            <v>76</v>
          </cell>
          <cell r="J55">
            <v>0</v>
          </cell>
          <cell r="K55" t="str">
            <v>SR-78 WB</v>
          </cell>
          <cell r="L55" t="str">
            <v>SR-78 EB</v>
          </cell>
          <cell r="O55">
            <v>19188</v>
          </cell>
          <cell r="P55" t="str">
            <v>PeMS2016</v>
          </cell>
        </row>
        <row r="56">
          <cell r="C56">
            <v>2</v>
          </cell>
          <cell r="E56">
            <v>27165</v>
          </cell>
          <cell r="H56" t="str">
            <v>I-15 NB</v>
          </cell>
          <cell r="I56">
            <v>79</v>
          </cell>
          <cell r="J56">
            <v>0</v>
          </cell>
          <cell r="K56" t="str">
            <v>EL NORTE</v>
          </cell>
          <cell r="L56" t="str">
            <v>EL NORTE</v>
          </cell>
          <cell r="O56">
            <v>17365</v>
          </cell>
          <cell r="P56" t="str">
            <v>PeMS2016</v>
          </cell>
        </row>
        <row r="57">
          <cell r="C57">
            <v>2</v>
          </cell>
          <cell r="E57">
            <v>27183</v>
          </cell>
          <cell r="H57" t="str">
            <v>I-15 NB</v>
          </cell>
          <cell r="I57">
            <v>80</v>
          </cell>
          <cell r="J57">
            <v>1</v>
          </cell>
          <cell r="K57" t="str">
            <v>EL NORTE</v>
          </cell>
          <cell r="L57" t="str">
            <v>CENTRE CITY</v>
          </cell>
          <cell r="O57">
            <v>19536</v>
          </cell>
          <cell r="P57" t="str">
            <v>PeMS2016</v>
          </cell>
        </row>
        <row r="58">
          <cell r="C58">
            <v>2</v>
          </cell>
          <cell r="E58">
            <v>27181</v>
          </cell>
          <cell r="H58" t="str">
            <v>I-15 NB</v>
          </cell>
          <cell r="I58">
            <v>83</v>
          </cell>
          <cell r="J58">
            <v>1</v>
          </cell>
          <cell r="K58" t="str">
            <v>CENTRE CITY</v>
          </cell>
          <cell r="L58" t="str">
            <v>DEER SPRINGS</v>
          </cell>
          <cell r="O58">
            <v>20545</v>
          </cell>
          <cell r="P58" t="str">
            <v>PeMS2016</v>
          </cell>
        </row>
        <row r="59">
          <cell r="C59">
            <v>2</v>
          </cell>
          <cell r="E59">
            <v>27166</v>
          </cell>
          <cell r="H59" t="str">
            <v>I-15 NB</v>
          </cell>
          <cell r="I59">
            <v>84</v>
          </cell>
          <cell r="J59">
            <v>0</v>
          </cell>
          <cell r="K59" t="str">
            <v>DEER SPRINGS</v>
          </cell>
          <cell r="L59" t="str">
            <v>DEER SPRINGS</v>
          </cell>
          <cell r="O59">
            <v>14601</v>
          </cell>
          <cell r="P59" t="str">
            <v>PeMS2016</v>
          </cell>
        </row>
        <row r="60">
          <cell r="C60">
            <v>2</v>
          </cell>
          <cell r="E60">
            <v>27352</v>
          </cell>
          <cell r="H60" t="str">
            <v>I-15 NB</v>
          </cell>
          <cell r="I60">
            <v>85</v>
          </cell>
          <cell r="J60">
            <v>3</v>
          </cell>
          <cell r="K60" t="str">
            <v>DEER SPRINGS</v>
          </cell>
          <cell r="L60" t="str">
            <v>GOPHER CANYON</v>
          </cell>
          <cell r="O60">
            <v>20665</v>
          </cell>
          <cell r="P60" t="str">
            <v>Caltran</v>
          </cell>
        </row>
        <row r="61">
          <cell r="C61">
            <v>2</v>
          </cell>
          <cell r="E61">
            <v>26667</v>
          </cell>
          <cell r="H61" t="str">
            <v>I-15 NB</v>
          </cell>
          <cell r="I61">
            <v>91</v>
          </cell>
          <cell r="J61">
            <v>0</v>
          </cell>
          <cell r="K61" t="str">
            <v>PALA</v>
          </cell>
          <cell r="L61" t="str">
            <v>PALA</v>
          </cell>
          <cell r="O61">
            <v>19555</v>
          </cell>
          <cell r="P61" t="str">
            <v>Caltran</v>
          </cell>
        </row>
        <row r="62">
          <cell r="C62">
            <v>2</v>
          </cell>
          <cell r="E62">
            <v>27193</v>
          </cell>
          <cell r="H62" t="str">
            <v>I-15 NB</v>
          </cell>
          <cell r="I62">
            <v>93</v>
          </cell>
          <cell r="J62">
            <v>1</v>
          </cell>
          <cell r="K62" t="str">
            <v>PALA</v>
          </cell>
          <cell r="L62" t="str">
            <v>STEWART CANYON</v>
          </cell>
          <cell r="O62">
            <v>14064</v>
          </cell>
          <cell r="P62" t="str">
            <v>PeMS2016</v>
          </cell>
        </row>
        <row r="63">
          <cell r="C63">
            <v>2</v>
          </cell>
          <cell r="E63">
            <v>27195</v>
          </cell>
          <cell r="H63" t="str">
            <v>I-15 NB</v>
          </cell>
          <cell r="I63">
            <v>97</v>
          </cell>
          <cell r="J63">
            <v>2</v>
          </cell>
          <cell r="K63" t="str">
            <v>MISSION</v>
          </cell>
          <cell r="L63" t="str">
            <v>RAINBOW VALLEY WEST</v>
          </cell>
          <cell r="O63">
            <v>17544</v>
          </cell>
          <cell r="P63" t="str">
            <v>PeMS2016</v>
          </cell>
        </row>
      </sheetData>
      <sheetData sheetId="3">
        <row r="2">
          <cell r="C2">
            <v>3</v>
          </cell>
          <cell r="E2">
            <v>685</v>
          </cell>
          <cell r="H2" t="str">
            <v>I-805 NB</v>
          </cell>
          <cell r="I2">
            <v>2</v>
          </cell>
          <cell r="J2">
            <v>0</v>
          </cell>
          <cell r="K2" t="str">
            <v>EAST SAN YSIDRO</v>
          </cell>
          <cell r="L2" t="str">
            <v>EAST SAN YSIDRO</v>
          </cell>
          <cell r="O2">
            <v>3303</v>
          </cell>
          <cell r="P2" t="str">
            <v>PeMS2016</v>
          </cell>
        </row>
        <row r="3">
          <cell r="C3">
            <v>3</v>
          </cell>
          <cell r="E3">
            <v>686</v>
          </cell>
          <cell r="H3" t="str">
            <v>I-805 NB</v>
          </cell>
          <cell r="I3">
            <v>3</v>
          </cell>
          <cell r="J3">
            <v>0</v>
          </cell>
          <cell r="K3" t="str">
            <v>EAST SAN YSIDRO</v>
          </cell>
          <cell r="L3" t="str">
            <v>SR-905 EB</v>
          </cell>
          <cell r="O3">
            <v>6647</v>
          </cell>
          <cell r="P3" t="str">
            <v>PeMS2016</v>
          </cell>
        </row>
        <row r="4">
          <cell r="C4">
            <v>3</v>
          </cell>
          <cell r="E4">
            <v>687</v>
          </cell>
          <cell r="H4" t="str">
            <v>I-805 NB</v>
          </cell>
          <cell r="I4">
            <v>7</v>
          </cell>
          <cell r="J4">
            <v>0</v>
          </cell>
          <cell r="K4" t="str">
            <v>SR-905 EB</v>
          </cell>
          <cell r="L4" t="str">
            <v>SR-905 WB</v>
          </cell>
          <cell r="O4">
            <v>10163</v>
          </cell>
          <cell r="P4" t="str">
            <v>PeMS2016</v>
          </cell>
        </row>
        <row r="5">
          <cell r="C5">
            <v>3</v>
          </cell>
          <cell r="E5">
            <v>688</v>
          </cell>
          <cell r="H5" t="str">
            <v>I-805 NB</v>
          </cell>
          <cell r="I5">
            <v>8</v>
          </cell>
          <cell r="J5">
            <v>0</v>
          </cell>
          <cell r="L5" t="str">
            <v>SR-905 WB</v>
          </cell>
          <cell r="O5">
            <v>15546</v>
          </cell>
          <cell r="P5" t="str">
            <v>PeMS2016</v>
          </cell>
        </row>
        <row r="6">
          <cell r="C6">
            <v>3</v>
          </cell>
          <cell r="E6">
            <v>689</v>
          </cell>
          <cell r="H6" t="str">
            <v>I-805 NB</v>
          </cell>
          <cell r="I6">
            <v>9</v>
          </cell>
          <cell r="J6">
            <v>0</v>
          </cell>
          <cell r="K6" t="str">
            <v>PALM</v>
          </cell>
          <cell r="L6" t="str">
            <v>PALM</v>
          </cell>
          <cell r="O6">
            <v>12495</v>
          </cell>
          <cell r="P6" t="str">
            <v>PeMS2016</v>
          </cell>
        </row>
        <row r="7">
          <cell r="C7">
            <v>3</v>
          </cell>
          <cell r="E7">
            <v>16183</v>
          </cell>
          <cell r="H7" t="str">
            <v>I-805 NB</v>
          </cell>
          <cell r="I7">
            <v>12</v>
          </cell>
          <cell r="J7">
            <v>0</v>
          </cell>
          <cell r="K7" t="str">
            <v>OTAY VALLEY</v>
          </cell>
          <cell r="L7" t="str">
            <v>OTAY VALLEY</v>
          </cell>
          <cell r="O7">
            <v>16031</v>
          </cell>
          <cell r="P7" t="str">
            <v>PeMS2016</v>
          </cell>
        </row>
        <row r="8">
          <cell r="C8">
            <v>3</v>
          </cell>
          <cell r="E8">
            <v>699</v>
          </cell>
          <cell r="H8" t="str">
            <v>I-805 NB</v>
          </cell>
          <cell r="I8">
            <v>14</v>
          </cell>
          <cell r="J8">
            <v>0</v>
          </cell>
          <cell r="K8" t="str">
            <v>ORANGE</v>
          </cell>
          <cell r="L8" t="str">
            <v>ORANGE</v>
          </cell>
          <cell r="O8">
            <v>15375</v>
          </cell>
          <cell r="P8" t="str">
            <v>PeMS2016</v>
          </cell>
        </row>
        <row r="9">
          <cell r="C9">
            <v>3</v>
          </cell>
          <cell r="E9">
            <v>702</v>
          </cell>
          <cell r="H9" t="str">
            <v>I-805 NB</v>
          </cell>
          <cell r="I9">
            <v>17</v>
          </cell>
          <cell r="J9">
            <v>0</v>
          </cell>
          <cell r="K9" t="str">
            <v>PALOMAR</v>
          </cell>
          <cell r="L9" t="str">
            <v>TELEGRAPH CANYON</v>
          </cell>
          <cell r="O9">
            <v>17130</v>
          </cell>
          <cell r="P9" t="str">
            <v>PeMS2016</v>
          </cell>
        </row>
        <row r="10">
          <cell r="C10">
            <v>3</v>
          </cell>
          <cell r="E10">
            <v>22146</v>
          </cell>
          <cell r="H10" t="str">
            <v>I-805 NB</v>
          </cell>
          <cell r="I10">
            <v>22</v>
          </cell>
          <cell r="J10">
            <v>0</v>
          </cell>
          <cell r="K10" t="str">
            <v>H</v>
          </cell>
          <cell r="L10" t="str">
            <v>H</v>
          </cell>
          <cell r="O10">
            <v>13565</v>
          </cell>
          <cell r="P10" t="str">
            <v>PeMS2016</v>
          </cell>
        </row>
        <row r="11">
          <cell r="C11">
            <v>3</v>
          </cell>
          <cell r="E11">
            <v>705</v>
          </cell>
          <cell r="H11" t="str">
            <v>I-805 NB</v>
          </cell>
          <cell r="I11">
            <v>25</v>
          </cell>
          <cell r="J11">
            <v>0</v>
          </cell>
          <cell r="K11" t="str">
            <v>H</v>
          </cell>
          <cell r="L11" t="str">
            <v>BONITA</v>
          </cell>
          <cell r="O11">
            <v>21748</v>
          </cell>
          <cell r="P11" t="str">
            <v>PeMS2016</v>
          </cell>
        </row>
        <row r="12">
          <cell r="C12">
            <v>3</v>
          </cell>
          <cell r="E12">
            <v>706</v>
          </cell>
          <cell r="H12" t="str">
            <v>I-805 NB</v>
          </cell>
          <cell r="I12">
            <v>27</v>
          </cell>
          <cell r="J12">
            <v>0</v>
          </cell>
          <cell r="K12" t="str">
            <v>BONITA</v>
          </cell>
          <cell r="L12" t="str">
            <v>SR-54 EB</v>
          </cell>
          <cell r="O12">
            <v>24359</v>
          </cell>
          <cell r="P12" t="str">
            <v>Caltran</v>
          </cell>
        </row>
        <row r="13">
          <cell r="C13">
            <v>3</v>
          </cell>
          <cell r="E13">
            <v>708</v>
          </cell>
          <cell r="H13" t="str">
            <v>I-805 NB</v>
          </cell>
          <cell r="I13">
            <v>30</v>
          </cell>
          <cell r="J13">
            <v>0</v>
          </cell>
          <cell r="K13" t="str">
            <v>SWEETWATER</v>
          </cell>
          <cell r="L13" t="str">
            <v>SWEETWATER</v>
          </cell>
          <cell r="O13">
            <v>13364</v>
          </cell>
          <cell r="P13" t="str">
            <v>PeMS2016</v>
          </cell>
        </row>
        <row r="14">
          <cell r="C14">
            <v>3</v>
          </cell>
          <cell r="E14">
            <v>20741</v>
          </cell>
          <cell r="H14" t="str">
            <v>I-805 NB</v>
          </cell>
          <cell r="I14">
            <v>32</v>
          </cell>
          <cell r="J14">
            <v>0</v>
          </cell>
          <cell r="K14" t="str">
            <v>SR-54 WB</v>
          </cell>
          <cell r="L14" t="str">
            <v>PLAZA</v>
          </cell>
          <cell r="O14">
            <v>19548</v>
          </cell>
          <cell r="P14" t="str">
            <v>PeMS2016</v>
          </cell>
        </row>
        <row r="15">
          <cell r="C15">
            <v>3</v>
          </cell>
          <cell r="E15">
            <v>20743</v>
          </cell>
          <cell r="H15" t="str">
            <v>I-805 NB</v>
          </cell>
          <cell r="I15">
            <v>33</v>
          </cell>
          <cell r="J15">
            <v>0</v>
          </cell>
          <cell r="K15" t="str">
            <v>PLAZA</v>
          </cell>
          <cell r="L15" t="str">
            <v>PLAZA</v>
          </cell>
          <cell r="O15">
            <v>17603</v>
          </cell>
          <cell r="P15" t="str">
            <v>PeMS2016</v>
          </cell>
        </row>
        <row r="16">
          <cell r="C16">
            <v>3</v>
          </cell>
          <cell r="E16">
            <v>716</v>
          </cell>
          <cell r="H16" t="str">
            <v>I-805 NB</v>
          </cell>
          <cell r="I16">
            <v>34</v>
          </cell>
          <cell r="J16">
            <v>0</v>
          </cell>
          <cell r="K16" t="str">
            <v>PLAZA</v>
          </cell>
          <cell r="L16" t="str">
            <v>43RD</v>
          </cell>
          <cell r="O16">
            <v>23486</v>
          </cell>
          <cell r="P16" t="str">
            <v>Caltran</v>
          </cell>
        </row>
        <row r="17">
          <cell r="C17">
            <v>3</v>
          </cell>
          <cell r="E17">
            <v>717</v>
          </cell>
          <cell r="H17" t="str">
            <v>I-805 NB</v>
          </cell>
          <cell r="I17">
            <v>35</v>
          </cell>
          <cell r="J17">
            <v>0</v>
          </cell>
          <cell r="K17" t="str">
            <v>43RD</v>
          </cell>
          <cell r="L17" t="str">
            <v>47TH</v>
          </cell>
          <cell r="O17">
            <v>20143</v>
          </cell>
          <cell r="P17" t="str">
            <v>PeMS2016</v>
          </cell>
        </row>
        <row r="18">
          <cell r="C18">
            <v>3</v>
          </cell>
          <cell r="E18">
            <v>20747</v>
          </cell>
          <cell r="H18" t="str">
            <v>I-805 NB</v>
          </cell>
          <cell r="I18">
            <v>37</v>
          </cell>
          <cell r="J18">
            <v>0</v>
          </cell>
          <cell r="K18" t="str">
            <v>47TH</v>
          </cell>
          <cell r="L18" t="str">
            <v>47TH</v>
          </cell>
          <cell r="O18">
            <v>14457</v>
          </cell>
          <cell r="P18" t="str">
            <v>PeMS2016</v>
          </cell>
        </row>
        <row r="19">
          <cell r="C19">
            <v>3</v>
          </cell>
          <cell r="E19">
            <v>726</v>
          </cell>
          <cell r="H19" t="str">
            <v>I-805 NB</v>
          </cell>
          <cell r="I19">
            <v>40</v>
          </cell>
          <cell r="J19">
            <v>0</v>
          </cell>
          <cell r="K19" t="str">
            <v>IMPERIAL</v>
          </cell>
          <cell r="L19" t="str">
            <v>IMPERIAL</v>
          </cell>
          <cell r="O19">
            <v>18438</v>
          </cell>
          <cell r="P19" t="str">
            <v>PeMS2016</v>
          </cell>
        </row>
        <row r="20">
          <cell r="C20">
            <v>3</v>
          </cell>
          <cell r="E20">
            <v>728</v>
          </cell>
          <cell r="H20" t="str">
            <v>I-805 NB</v>
          </cell>
          <cell r="I20">
            <v>42</v>
          </cell>
          <cell r="J20">
            <v>0</v>
          </cell>
          <cell r="K20" t="str">
            <v>MARKET</v>
          </cell>
          <cell r="L20" t="str">
            <v>SR-94 WB</v>
          </cell>
          <cell r="O20">
            <v>22257</v>
          </cell>
          <cell r="P20" t="str">
            <v>Caltran</v>
          </cell>
        </row>
        <row r="21">
          <cell r="C21">
            <v>3</v>
          </cell>
          <cell r="E21">
            <v>3206</v>
          </cell>
          <cell r="H21" t="str">
            <v>I-805 NB</v>
          </cell>
          <cell r="I21">
            <v>43</v>
          </cell>
          <cell r="J21">
            <v>0</v>
          </cell>
          <cell r="K21" t="str">
            <v>SR-94 WB</v>
          </cell>
          <cell r="L21" t="str">
            <v>MARKET</v>
          </cell>
          <cell r="O21">
            <v>16682</v>
          </cell>
          <cell r="P21" t="str">
            <v>PeMS2016</v>
          </cell>
        </row>
        <row r="22">
          <cell r="C22">
            <v>3</v>
          </cell>
          <cell r="E22">
            <v>733</v>
          </cell>
          <cell r="H22" t="str">
            <v>I-805 NB</v>
          </cell>
          <cell r="I22">
            <v>46</v>
          </cell>
          <cell r="J22">
            <v>0</v>
          </cell>
          <cell r="K22" t="str">
            <v>SR-94 WB</v>
          </cell>
          <cell r="L22" t="str">
            <v>HOME</v>
          </cell>
          <cell r="O22">
            <v>16337</v>
          </cell>
          <cell r="P22" t="str">
            <v>PeMS2016</v>
          </cell>
        </row>
        <row r="23">
          <cell r="C23">
            <v>3</v>
          </cell>
          <cell r="E23">
            <v>20749</v>
          </cell>
          <cell r="H23" t="str">
            <v>I-805 NB</v>
          </cell>
          <cell r="I23">
            <v>47</v>
          </cell>
          <cell r="J23">
            <v>0</v>
          </cell>
          <cell r="K23" t="str">
            <v>HOME</v>
          </cell>
          <cell r="L23" t="str">
            <v>SR-15 NB</v>
          </cell>
          <cell r="O23">
            <v>22990</v>
          </cell>
          <cell r="P23" t="str">
            <v>PeMS2016</v>
          </cell>
        </row>
        <row r="24">
          <cell r="C24">
            <v>3</v>
          </cell>
          <cell r="E24">
            <v>15870</v>
          </cell>
          <cell r="H24" t="str">
            <v>I-805 NB</v>
          </cell>
          <cell r="I24">
            <v>48</v>
          </cell>
          <cell r="J24">
            <v>0</v>
          </cell>
          <cell r="K24" t="str">
            <v>SR-15 NB</v>
          </cell>
          <cell r="L24" t="str">
            <v>SR-15 NB</v>
          </cell>
          <cell r="O24">
            <v>13736</v>
          </cell>
          <cell r="P24" t="str">
            <v>PeMS2016</v>
          </cell>
        </row>
        <row r="25">
          <cell r="C25">
            <v>3</v>
          </cell>
          <cell r="E25">
            <v>738</v>
          </cell>
          <cell r="H25" t="str">
            <v>I-805 NB</v>
          </cell>
          <cell r="I25">
            <v>49</v>
          </cell>
          <cell r="J25">
            <v>0</v>
          </cell>
          <cell r="K25" t="str">
            <v>SR-15 NB</v>
          </cell>
          <cell r="L25" t="str">
            <v>SR-15 NB</v>
          </cell>
          <cell r="O25">
            <v>13944</v>
          </cell>
          <cell r="P25" t="str">
            <v>PeMS2016</v>
          </cell>
        </row>
        <row r="26">
          <cell r="C26">
            <v>3</v>
          </cell>
          <cell r="E26">
            <v>744</v>
          </cell>
          <cell r="H26" t="str">
            <v>I-805 NB</v>
          </cell>
          <cell r="I26">
            <v>51</v>
          </cell>
          <cell r="J26">
            <v>0</v>
          </cell>
          <cell r="K26" t="str">
            <v>UNIVERSITY</v>
          </cell>
          <cell r="L26" t="str">
            <v>UNIVERSITY</v>
          </cell>
          <cell r="O26">
            <v>15765</v>
          </cell>
          <cell r="P26" t="str">
            <v>PeMS2016</v>
          </cell>
        </row>
        <row r="27">
          <cell r="C27">
            <v>3</v>
          </cell>
          <cell r="E27">
            <v>746</v>
          </cell>
          <cell r="H27" t="str">
            <v>I-805 NB</v>
          </cell>
          <cell r="I27">
            <v>52</v>
          </cell>
          <cell r="J27">
            <v>0</v>
          </cell>
          <cell r="K27" t="str">
            <v>UNIVERSITY</v>
          </cell>
          <cell r="L27" t="str">
            <v>EL CAJON</v>
          </cell>
          <cell r="O27">
            <v>18283</v>
          </cell>
          <cell r="P27" t="str">
            <v>PeMS2016</v>
          </cell>
        </row>
        <row r="28">
          <cell r="C28">
            <v>3</v>
          </cell>
          <cell r="E28">
            <v>20755</v>
          </cell>
          <cell r="H28" t="str">
            <v>I-805 NB</v>
          </cell>
          <cell r="I28">
            <v>56</v>
          </cell>
          <cell r="J28">
            <v>0</v>
          </cell>
          <cell r="K28" t="str">
            <v>I-8 EB</v>
          </cell>
          <cell r="L28" t="str">
            <v>I-8 WB</v>
          </cell>
          <cell r="O28">
            <v>12241</v>
          </cell>
          <cell r="P28" t="str">
            <v>PeMS2016</v>
          </cell>
        </row>
        <row r="29">
          <cell r="C29">
            <v>3</v>
          </cell>
          <cell r="E29">
            <v>751</v>
          </cell>
          <cell r="H29" t="str">
            <v>I-805 NB</v>
          </cell>
          <cell r="I29">
            <v>57</v>
          </cell>
          <cell r="J29">
            <v>0</v>
          </cell>
          <cell r="K29" t="str">
            <v>I-8 WB</v>
          </cell>
          <cell r="L29" t="str">
            <v>MURRAY RIDGE</v>
          </cell>
          <cell r="O29">
            <v>18002</v>
          </cell>
          <cell r="P29" t="str">
            <v>PeMS2016</v>
          </cell>
        </row>
        <row r="30">
          <cell r="C30">
            <v>3</v>
          </cell>
          <cell r="E30">
            <v>752</v>
          </cell>
          <cell r="H30" t="str">
            <v>I-805 NB</v>
          </cell>
          <cell r="I30">
            <v>58</v>
          </cell>
          <cell r="J30">
            <v>0</v>
          </cell>
          <cell r="K30" t="str">
            <v>MURRAY RIDGE</v>
          </cell>
          <cell r="L30" t="str">
            <v>MURRAY RIDGE</v>
          </cell>
          <cell r="O30">
            <v>16381</v>
          </cell>
          <cell r="P30" t="str">
            <v>PeMS2016</v>
          </cell>
        </row>
        <row r="31">
          <cell r="C31">
            <v>3</v>
          </cell>
          <cell r="E31">
            <v>754</v>
          </cell>
          <cell r="H31" t="str">
            <v>I-805 NB</v>
          </cell>
          <cell r="I31">
            <v>60</v>
          </cell>
          <cell r="J31">
            <v>0</v>
          </cell>
          <cell r="K31" t="str">
            <v>KEARNY VILLA</v>
          </cell>
          <cell r="L31" t="str">
            <v>SR-163 NB</v>
          </cell>
          <cell r="O31">
            <v>15252</v>
          </cell>
          <cell r="P31" t="str">
            <v>PeMS2016</v>
          </cell>
        </row>
        <row r="32">
          <cell r="C32">
            <v>3</v>
          </cell>
          <cell r="E32">
            <v>22715</v>
          </cell>
          <cell r="H32" t="str">
            <v>I-805 NB</v>
          </cell>
          <cell r="I32">
            <v>61</v>
          </cell>
          <cell r="J32">
            <v>0</v>
          </cell>
          <cell r="K32" t="str">
            <v>SR-163 NB</v>
          </cell>
          <cell r="L32" t="str">
            <v>SR-163 NB</v>
          </cell>
          <cell r="O32">
            <v>12590</v>
          </cell>
          <cell r="P32" t="str">
            <v>PeMS2016</v>
          </cell>
        </row>
        <row r="33">
          <cell r="C33">
            <v>3</v>
          </cell>
          <cell r="E33">
            <v>757</v>
          </cell>
          <cell r="H33" t="str">
            <v>I-805 NB</v>
          </cell>
          <cell r="I33">
            <v>64</v>
          </cell>
          <cell r="J33">
            <v>0</v>
          </cell>
          <cell r="K33" t="str">
            <v>BALBOA</v>
          </cell>
          <cell r="L33" t="str">
            <v>BALBOA</v>
          </cell>
          <cell r="O33">
            <v>14910</v>
          </cell>
          <cell r="P33" t="str">
            <v>PeMS2016</v>
          </cell>
        </row>
        <row r="34">
          <cell r="C34">
            <v>3</v>
          </cell>
          <cell r="E34">
            <v>760</v>
          </cell>
          <cell r="H34" t="str">
            <v>I-805 NB</v>
          </cell>
          <cell r="I34">
            <v>67</v>
          </cell>
          <cell r="J34">
            <v>0</v>
          </cell>
          <cell r="K34" t="str">
            <v>CLAIREMONT MESA</v>
          </cell>
          <cell r="L34" t="str">
            <v>SR-52 EB</v>
          </cell>
          <cell r="O34">
            <v>16603</v>
          </cell>
          <cell r="P34" t="str">
            <v>Caltran</v>
          </cell>
        </row>
        <row r="35">
          <cell r="C35">
            <v>3</v>
          </cell>
          <cell r="E35">
            <v>762</v>
          </cell>
          <cell r="H35" t="str">
            <v>I-805 NB</v>
          </cell>
          <cell r="I35">
            <v>68</v>
          </cell>
          <cell r="J35">
            <v>0</v>
          </cell>
          <cell r="K35" t="str">
            <v>SR-52 EB</v>
          </cell>
          <cell r="L35" t="str">
            <v>SR-52 EB</v>
          </cell>
          <cell r="O35">
            <v>17573</v>
          </cell>
          <cell r="P35" t="str">
            <v>PeMS2016</v>
          </cell>
        </row>
        <row r="36">
          <cell r="C36">
            <v>3</v>
          </cell>
          <cell r="E36">
            <v>59</v>
          </cell>
          <cell r="H36" t="str">
            <v>I-805 NB</v>
          </cell>
          <cell r="I36">
            <v>69</v>
          </cell>
          <cell r="J36">
            <v>0</v>
          </cell>
          <cell r="K36" t="str">
            <v>SR-52 EB</v>
          </cell>
          <cell r="L36" t="str">
            <v>SR-52 WB</v>
          </cell>
          <cell r="O36">
            <v>14405</v>
          </cell>
          <cell r="P36" t="str">
            <v>PeMS2016</v>
          </cell>
        </row>
        <row r="37">
          <cell r="C37">
            <v>3</v>
          </cell>
          <cell r="E37">
            <v>15081</v>
          </cell>
          <cell r="H37" t="str">
            <v>I-805 NB</v>
          </cell>
          <cell r="I37">
            <v>72</v>
          </cell>
          <cell r="J37">
            <v>0</v>
          </cell>
          <cell r="K37" t="str">
            <v>GOVERNOR</v>
          </cell>
          <cell r="L37" t="str">
            <v>GOVERNOR</v>
          </cell>
          <cell r="O37">
            <v>15648</v>
          </cell>
          <cell r="P37" t="str">
            <v>PeMS2016</v>
          </cell>
        </row>
        <row r="38">
          <cell r="C38">
            <v>3</v>
          </cell>
          <cell r="E38">
            <v>15064</v>
          </cell>
          <cell r="H38" t="str">
            <v>I-805 NB</v>
          </cell>
          <cell r="I38">
            <v>74</v>
          </cell>
          <cell r="J38">
            <v>0</v>
          </cell>
          <cell r="K38" t="str">
            <v>NOBEL</v>
          </cell>
          <cell r="L38" t="str">
            <v>MIRAMAR</v>
          </cell>
          <cell r="O38">
            <v>13509</v>
          </cell>
          <cell r="P38" t="str">
            <v>PeMS2016</v>
          </cell>
        </row>
        <row r="39">
          <cell r="C39">
            <v>3</v>
          </cell>
          <cell r="E39">
            <v>23851</v>
          </cell>
          <cell r="H39" t="str">
            <v>I-805 NB</v>
          </cell>
          <cell r="I39">
            <v>75</v>
          </cell>
          <cell r="J39">
            <v>0</v>
          </cell>
          <cell r="K39" t="str">
            <v>MIRAMAR</v>
          </cell>
          <cell r="L39" t="str">
            <v>MIRAMAR</v>
          </cell>
          <cell r="O39">
            <v>12061</v>
          </cell>
          <cell r="P39" t="str">
            <v>PeMS2016</v>
          </cell>
        </row>
        <row r="40">
          <cell r="C40">
            <v>3</v>
          </cell>
          <cell r="E40">
            <v>26788</v>
          </cell>
          <cell r="H40" t="str">
            <v>I-805 NB</v>
          </cell>
          <cell r="I40">
            <v>77</v>
          </cell>
          <cell r="J40">
            <v>0</v>
          </cell>
          <cell r="K40" t="str">
            <v>MIRAMAR</v>
          </cell>
          <cell r="L40" t="str">
            <v>MIRA MESA</v>
          </cell>
          <cell r="O40">
            <v>16973</v>
          </cell>
          <cell r="P40" t="str">
            <v>PeMS2016</v>
          </cell>
        </row>
        <row r="41">
          <cell r="C41">
            <v>3</v>
          </cell>
          <cell r="E41">
            <v>589</v>
          </cell>
          <cell r="H41" t="str">
            <v>I-805 NB</v>
          </cell>
          <cell r="I41">
            <v>80</v>
          </cell>
          <cell r="J41">
            <v>0</v>
          </cell>
          <cell r="K41" t="str">
            <v>VISTA SORRENTO</v>
          </cell>
          <cell r="L41" t="str">
            <v>MIRA MESA</v>
          </cell>
          <cell r="O41">
            <v>11504</v>
          </cell>
          <cell r="P41" t="str">
            <v>PeMS2016</v>
          </cell>
        </row>
        <row r="42">
          <cell r="C42">
            <v>3</v>
          </cell>
          <cell r="E42">
            <v>31198</v>
          </cell>
          <cell r="H42" t="str">
            <v>I-805 NB</v>
          </cell>
          <cell r="I42">
            <v>82</v>
          </cell>
          <cell r="J42">
            <v>0</v>
          </cell>
          <cell r="K42" t="str">
            <v>MIRA MESA</v>
          </cell>
          <cell r="L42" t="str">
            <v>I-5 NB</v>
          </cell>
          <cell r="O42">
            <v>21359</v>
          </cell>
          <cell r="P42" t="str">
            <v>Caltran</v>
          </cell>
        </row>
        <row r="43">
          <cell r="C43">
            <v>3</v>
          </cell>
          <cell r="E43">
            <v>28796</v>
          </cell>
          <cell r="H43" t="str">
            <v>I-805 NB</v>
          </cell>
          <cell r="I43">
            <v>85</v>
          </cell>
          <cell r="J43">
            <v>0</v>
          </cell>
          <cell r="K43" t="str">
            <v>I-5 NB</v>
          </cell>
          <cell r="L43" t="str">
            <v>I-5 NB</v>
          </cell>
          <cell r="O43">
            <v>10271</v>
          </cell>
          <cell r="P43" t="str">
            <v>PeMS2016</v>
          </cell>
        </row>
      </sheetData>
      <sheetData sheetId="4">
        <row r="2">
          <cell r="C2">
            <v>4</v>
          </cell>
          <cell r="E2">
            <v>13438</v>
          </cell>
          <cell r="H2" t="str">
            <v>SR-163 NB</v>
          </cell>
          <cell r="I2">
            <v>5</v>
          </cell>
          <cell r="J2">
            <v>0</v>
          </cell>
          <cell r="K2" t="str">
            <v>ROBINSON</v>
          </cell>
          <cell r="L2" t="str">
            <v>10TH</v>
          </cell>
          <cell r="O2">
            <v>11594</v>
          </cell>
          <cell r="P2" t="str">
            <v>PeMS2016</v>
          </cell>
        </row>
        <row r="3">
          <cell r="C3">
            <v>4</v>
          </cell>
          <cell r="E3">
            <v>16046</v>
          </cell>
          <cell r="H3" t="str">
            <v>SR-163 NB</v>
          </cell>
          <cell r="I3">
            <v>7</v>
          </cell>
          <cell r="J3">
            <v>0</v>
          </cell>
          <cell r="K3" t="str">
            <v>WASHINGTON</v>
          </cell>
          <cell r="L3" t="str">
            <v>WASHINGTON</v>
          </cell>
          <cell r="O3">
            <v>13015</v>
          </cell>
          <cell r="P3" t="str">
            <v>PeMS2016</v>
          </cell>
        </row>
        <row r="4">
          <cell r="C4">
            <v>4</v>
          </cell>
          <cell r="E4">
            <v>16038</v>
          </cell>
          <cell r="H4" t="str">
            <v>SR-163 NB</v>
          </cell>
          <cell r="I4">
            <v>9</v>
          </cell>
          <cell r="J4">
            <v>0</v>
          </cell>
          <cell r="K4" t="str">
            <v>06TH EX</v>
          </cell>
          <cell r="L4" t="str">
            <v>I-8 EB</v>
          </cell>
          <cell r="O4">
            <v>22459</v>
          </cell>
          <cell r="P4" t="str">
            <v>PeMS2016</v>
          </cell>
        </row>
        <row r="5">
          <cell r="C5">
            <v>4</v>
          </cell>
          <cell r="E5">
            <v>15714</v>
          </cell>
          <cell r="H5" t="str">
            <v>SR-163 NB</v>
          </cell>
          <cell r="I5">
            <v>17</v>
          </cell>
          <cell r="J5">
            <v>0</v>
          </cell>
          <cell r="K5" t="str">
            <v>FRIARS</v>
          </cell>
          <cell r="L5" t="str">
            <v>GENESEE</v>
          </cell>
          <cell r="O5">
            <v>23080</v>
          </cell>
          <cell r="P5" t="str">
            <v>PeMS2016</v>
          </cell>
        </row>
        <row r="6">
          <cell r="C6">
            <v>4</v>
          </cell>
          <cell r="E6">
            <v>15690</v>
          </cell>
          <cell r="H6" t="str">
            <v>SR-163 NB</v>
          </cell>
          <cell r="I6">
            <v>24</v>
          </cell>
          <cell r="J6">
            <v>0</v>
          </cell>
          <cell r="K6" t="str">
            <v>I-805 NB</v>
          </cell>
          <cell r="L6" t="str">
            <v>I-805 NB</v>
          </cell>
          <cell r="O6">
            <v>15413</v>
          </cell>
          <cell r="P6" t="str">
            <v>PeMS2016</v>
          </cell>
        </row>
        <row r="7">
          <cell r="C7">
            <v>4</v>
          </cell>
          <cell r="E7">
            <v>8821</v>
          </cell>
          <cell r="H7" t="str">
            <v>SR-163 NB</v>
          </cell>
          <cell r="I7">
            <v>27</v>
          </cell>
          <cell r="J7">
            <v>0</v>
          </cell>
          <cell r="K7" t="str">
            <v>BALBOA</v>
          </cell>
          <cell r="L7" t="str">
            <v>CLAIREMONT MESA</v>
          </cell>
          <cell r="O7">
            <v>20409</v>
          </cell>
          <cell r="P7" t="str">
            <v>PeMS2016</v>
          </cell>
        </row>
        <row r="8">
          <cell r="C8">
            <v>4</v>
          </cell>
          <cell r="E8">
            <v>8825</v>
          </cell>
          <cell r="H8" t="str">
            <v>SR-163 NB</v>
          </cell>
          <cell r="I8">
            <v>28</v>
          </cell>
          <cell r="J8">
            <v>0</v>
          </cell>
          <cell r="K8" t="str">
            <v>CLAIREMONT MESA</v>
          </cell>
          <cell r="L8" t="str">
            <v>CLAIREMONT MESA</v>
          </cell>
          <cell r="O8">
            <v>19583</v>
          </cell>
          <cell r="P8" t="str">
            <v>PeMS2016</v>
          </cell>
        </row>
        <row r="9">
          <cell r="C9">
            <v>4</v>
          </cell>
          <cell r="E9">
            <v>15317</v>
          </cell>
          <cell r="H9" t="str">
            <v>SR-163 NB</v>
          </cell>
          <cell r="I9">
            <v>32</v>
          </cell>
          <cell r="J9">
            <v>0</v>
          </cell>
          <cell r="K9" t="str">
            <v>KEARNY VILLA</v>
          </cell>
          <cell r="L9" t="str">
            <v>KEARNY VILLA</v>
          </cell>
          <cell r="O9">
            <v>21001</v>
          </cell>
          <cell r="P9" t="str">
            <v>PeMS2016</v>
          </cell>
        </row>
        <row r="10">
          <cell r="C10">
            <v>4</v>
          </cell>
          <cell r="E10">
            <v>15206</v>
          </cell>
          <cell r="H10" t="str">
            <v>SR-163 NB</v>
          </cell>
          <cell r="I10">
            <v>33</v>
          </cell>
          <cell r="J10">
            <v>0</v>
          </cell>
          <cell r="K10" t="str">
            <v>KEARNY VILLA</v>
          </cell>
          <cell r="L10" t="str">
            <v>KEARNY VILLA</v>
          </cell>
          <cell r="O10">
            <v>19955</v>
          </cell>
          <cell r="P10" t="str">
            <v>PeMS2016</v>
          </cell>
        </row>
        <row r="11">
          <cell r="C11">
            <v>4</v>
          </cell>
          <cell r="E11">
            <v>11483</v>
          </cell>
          <cell r="H11" t="str">
            <v>SR-163 NB</v>
          </cell>
          <cell r="I11">
            <v>34</v>
          </cell>
          <cell r="J11">
            <v>0</v>
          </cell>
          <cell r="K11" t="str">
            <v>KEARNY VILLA</v>
          </cell>
          <cell r="L11" t="str">
            <v>I-15 HOV NB</v>
          </cell>
          <cell r="O11">
            <v>19486</v>
          </cell>
          <cell r="P11" t="str">
            <v>Caltran</v>
          </cell>
        </row>
      </sheetData>
      <sheetData sheetId="5">
        <row r="2">
          <cell r="C2">
            <v>5</v>
          </cell>
          <cell r="E2">
            <v>9483</v>
          </cell>
          <cell r="H2" t="str">
            <v>SR-125 NB</v>
          </cell>
          <cell r="I2">
            <v>12</v>
          </cell>
          <cell r="J2">
            <v>0</v>
          </cell>
          <cell r="K2" t="str">
            <v>WOLF CANYON</v>
          </cell>
          <cell r="L2" t="str">
            <v>EAST CENTER</v>
          </cell>
          <cell r="O2">
            <v>1769</v>
          </cell>
          <cell r="P2" t="str">
            <v>SANDAG</v>
          </cell>
        </row>
        <row r="3">
          <cell r="C3">
            <v>5</v>
          </cell>
          <cell r="E3">
            <v>9509</v>
          </cell>
          <cell r="H3" t="str">
            <v>SR-125 NB</v>
          </cell>
          <cell r="I3">
            <v>15</v>
          </cell>
          <cell r="J3">
            <v>0</v>
          </cell>
          <cell r="K3" t="str">
            <v>EAST CENTER</v>
          </cell>
          <cell r="L3" t="str">
            <v>ORANGE</v>
          </cell>
          <cell r="O3">
            <v>1877</v>
          </cell>
          <cell r="P3" t="str">
            <v>SANDAG</v>
          </cell>
        </row>
        <row r="4">
          <cell r="C4">
            <v>5</v>
          </cell>
          <cell r="E4">
            <v>9519</v>
          </cell>
          <cell r="H4" t="str">
            <v>SR-125 NB</v>
          </cell>
          <cell r="I4">
            <v>18</v>
          </cell>
          <cell r="J4">
            <v>0</v>
          </cell>
          <cell r="K4" t="str">
            <v>ORANGE</v>
          </cell>
          <cell r="L4" t="str">
            <v>TOLL PLAZA</v>
          </cell>
          <cell r="O4">
            <v>2321</v>
          </cell>
          <cell r="P4" t="str">
            <v>SANDAG</v>
          </cell>
        </row>
        <row r="5">
          <cell r="C5">
            <v>5</v>
          </cell>
          <cell r="E5">
            <v>9143</v>
          </cell>
          <cell r="H5" t="str">
            <v>SR-125 NB</v>
          </cell>
          <cell r="I5">
            <v>21</v>
          </cell>
          <cell r="J5">
            <v>0</v>
          </cell>
          <cell r="K5" t="str">
            <v>TELEGRAPH CANYON</v>
          </cell>
          <cell r="L5" t="str">
            <v>EASTLAKE</v>
          </cell>
          <cell r="O5">
            <v>3009</v>
          </cell>
          <cell r="P5" t="str">
            <v>SANDAG</v>
          </cell>
        </row>
        <row r="6">
          <cell r="C6">
            <v>5</v>
          </cell>
          <cell r="E6">
            <v>10255</v>
          </cell>
          <cell r="H6" t="str">
            <v>SR-125 NB</v>
          </cell>
          <cell r="I6">
            <v>25</v>
          </cell>
          <cell r="J6">
            <v>0</v>
          </cell>
          <cell r="K6" t="str">
            <v>H</v>
          </cell>
          <cell r="L6" t="str">
            <v>SAN MIGUEL</v>
          </cell>
          <cell r="O6">
            <v>3276</v>
          </cell>
          <cell r="P6" t="str">
            <v>SANDAG</v>
          </cell>
        </row>
        <row r="7">
          <cell r="C7">
            <v>5</v>
          </cell>
          <cell r="E7">
            <v>10257</v>
          </cell>
          <cell r="H7" t="str">
            <v>SR-125 NB</v>
          </cell>
          <cell r="I7">
            <v>27</v>
          </cell>
          <cell r="J7">
            <v>2</v>
          </cell>
          <cell r="K7" t="str">
            <v>SAN MIGUEL</v>
          </cell>
          <cell r="L7" t="str">
            <v>SR-54 EB</v>
          </cell>
          <cell r="O7">
            <v>3565</v>
          </cell>
          <cell r="P7" t="str">
            <v>SANDAG</v>
          </cell>
        </row>
        <row r="8">
          <cell r="C8">
            <v>5</v>
          </cell>
          <cell r="E8">
            <v>7190</v>
          </cell>
          <cell r="H8" t="str">
            <v>SR-125 NB</v>
          </cell>
          <cell r="I8">
            <v>1</v>
          </cell>
          <cell r="J8">
            <v>0</v>
          </cell>
          <cell r="K8" t="str">
            <v>SR-54 EB</v>
          </cell>
          <cell r="L8" t="str">
            <v>SWAP MEET</v>
          </cell>
          <cell r="O8">
            <v>12679</v>
          </cell>
          <cell r="P8" t="str">
            <v>Caltran</v>
          </cell>
        </row>
        <row r="9">
          <cell r="C9">
            <v>5</v>
          </cell>
          <cell r="E9">
            <v>7215</v>
          </cell>
          <cell r="H9" t="str">
            <v>SR-125 NB</v>
          </cell>
          <cell r="I9">
            <v>2</v>
          </cell>
          <cell r="J9">
            <v>0</v>
          </cell>
          <cell r="K9" t="str">
            <v>SWAP MEET</v>
          </cell>
          <cell r="L9" t="str">
            <v>PARADISE VALLEY</v>
          </cell>
          <cell r="O9">
            <v>10284</v>
          </cell>
          <cell r="P9" t="str">
            <v>PeMS2016</v>
          </cell>
        </row>
        <row r="10">
          <cell r="C10">
            <v>5</v>
          </cell>
          <cell r="E10">
            <v>7222</v>
          </cell>
          <cell r="H10" t="str">
            <v>SR-125 NB</v>
          </cell>
          <cell r="I10">
            <v>4</v>
          </cell>
          <cell r="J10">
            <v>0</v>
          </cell>
          <cell r="K10" t="str">
            <v>JAMACHA ROAD</v>
          </cell>
          <cell r="L10" t="str">
            <v>JAMACHA ROAD</v>
          </cell>
          <cell r="O10">
            <v>10208</v>
          </cell>
          <cell r="P10" t="str">
            <v>PeMS2016</v>
          </cell>
        </row>
        <row r="11">
          <cell r="C11">
            <v>5</v>
          </cell>
          <cell r="E11">
            <v>10793</v>
          </cell>
          <cell r="H11" t="str">
            <v>SR-125 NB</v>
          </cell>
          <cell r="I11">
            <v>5</v>
          </cell>
          <cell r="J11">
            <v>1</v>
          </cell>
          <cell r="K11" t="str">
            <v>JAMACHA ROAD</v>
          </cell>
          <cell r="L11" t="str">
            <v>TROY</v>
          </cell>
          <cell r="O11">
            <v>11072</v>
          </cell>
          <cell r="P11" t="str">
            <v>PeMS2016</v>
          </cell>
        </row>
        <row r="12">
          <cell r="C12">
            <v>5</v>
          </cell>
          <cell r="E12">
            <v>31171</v>
          </cell>
          <cell r="H12" t="str">
            <v>SR-125 NB</v>
          </cell>
          <cell r="I12">
            <v>6</v>
          </cell>
          <cell r="J12">
            <v>0</v>
          </cell>
          <cell r="K12" t="str">
            <v>TROY</v>
          </cell>
          <cell r="L12" t="str">
            <v>SR-94 WB</v>
          </cell>
          <cell r="O12">
            <v>13499</v>
          </cell>
          <cell r="P12" t="str">
            <v>PeMS2016</v>
          </cell>
        </row>
        <row r="13">
          <cell r="C13">
            <v>5</v>
          </cell>
          <cell r="E13">
            <v>10158</v>
          </cell>
          <cell r="H13" t="str">
            <v>SR-125 NB</v>
          </cell>
          <cell r="I13">
            <v>1</v>
          </cell>
          <cell r="J13">
            <v>0</v>
          </cell>
          <cell r="K13" t="str">
            <v>SR-94 EB</v>
          </cell>
          <cell r="L13" t="str">
            <v>CAMPO</v>
          </cell>
          <cell r="O13">
            <v>15151</v>
          </cell>
          <cell r="P13" t="str">
            <v>PeMS2016</v>
          </cell>
        </row>
        <row r="14">
          <cell r="C14">
            <v>5</v>
          </cell>
          <cell r="E14">
            <v>11296</v>
          </cell>
          <cell r="H14" t="str">
            <v>SR-125 NB</v>
          </cell>
          <cell r="I14">
            <v>4</v>
          </cell>
          <cell r="J14">
            <v>0</v>
          </cell>
          <cell r="K14" t="str">
            <v>SR-94 WB</v>
          </cell>
          <cell r="L14" t="str">
            <v>LEMON</v>
          </cell>
          <cell r="O14">
            <v>20112</v>
          </cell>
          <cell r="P14" t="str">
            <v>Caltran</v>
          </cell>
        </row>
        <row r="15">
          <cell r="C15">
            <v>5</v>
          </cell>
          <cell r="E15">
            <v>11291</v>
          </cell>
          <cell r="H15" t="str">
            <v>SR-125 NB</v>
          </cell>
          <cell r="I15">
            <v>7</v>
          </cell>
          <cell r="J15">
            <v>0</v>
          </cell>
          <cell r="K15" t="str">
            <v>I-8 EB</v>
          </cell>
          <cell r="L15" t="str">
            <v>GROSSMONT</v>
          </cell>
          <cell r="O15">
            <v>8272</v>
          </cell>
          <cell r="P15" t="str">
            <v>PeMS2016</v>
          </cell>
        </row>
        <row r="16">
          <cell r="C16">
            <v>5</v>
          </cell>
          <cell r="E16">
            <v>28939</v>
          </cell>
          <cell r="H16" t="str">
            <v>SR-125 NB</v>
          </cell>
          <cell r="I16">
            <v>12</v>
          </cell>
          <cell r="J16">
            <v>0</v>
          </cell>
          <cell r="K16" t="str">
            <v>AMAYA</v>
          </cell>
          <cell r="L16" t="str">
            <v>AMAYA</v>
          </cell>
          <cell r="O16">
            <v>9161</v>
          </cell>
          <cell r="P16" t="str">
            <v>PeMS2016</v>
          </cell>
        </row>
        <row r="17">
          <cell r="C17">
            <v>5</v>
          </cell>
          <cell r="E17">
            <v>28940</v>
          </cell>
          <cell r="H17" t="str">
            <v>SR-125 NB</v>
          </cell>
          <cell r="I17">
            <v>13</v>
          </cell>
          <cell r="J17">
            <v>0</v>
          </cell>
          <cell r="K17" t="str">
            <v>AMAYA</v>
          </cell>
          <cell r="L17" t="str">
            <v>NAVAJO</v>
          </cell>
          <cell r="O17">
            <v>11629</v>
          </cell>
          <cell r="P17" t="str">
            <v>PeMS2016</v>
          </cell>
        </row>
        <row r="18">
          <cell r="C18">
            <v>5</v>
          </cell>
          <cell r="E18">
            <v>28945</v>
          </cell>
          <cell r="H18" t="str">
            <v>SR-125 NB</v>
          </cell>
          <cell r="I18">
            <v>15</v>
          </cell>
          <cell r="J18">
            <v>0</v>
          </cell>
          <cell r="K18" t="str">
            <v>NAVAJO</v>
          </cell>
          <cell r="L18" t="str">
            <v>NAVAJO</v>
          </cell>
          <cell r="O18">
            <v>6963</v>
          </cell>
          <cell r="P18" t="str">
            <v>PeMS2016</v>
          </cell>
        </row>
        <row r="19">
          <cell r="C19">
            <v>5</v>
          </cell>
          <cell r="E19">
            <v>28948</v>
          </cell>
          <cell r="H19" t="str">
            <v>SR-125 NB</v>
          </cell>
          <cell r="I19">
            <v>16</v>
          </cell>
          <cell r="J19">
            <v>0</v>
          </cell>
          <cell r="K19" t="str">
            <v>NAVAJO</v>
          </cell>
          <cell r="L19" t="str">
            <v>GROSSMONT COLLEGE DR</v>
          </cell>
          <cell r="O19">
            <v>6914</v>
          </cell>
          <cell r="P19" t="str">
            <v>PeMS2016</v>
          </cell>
        </row>
        <row r="20">
          <cell r="C20">
            <v>5</v>
          </cell>
          <cell r="E20">
            <v>28924</v>
          </cell>
          <cell r="H20" t="str">
            <v>SR-125 NB</v>
          </cell>
          <cell r="I20">
            <v>20</v>
          </cell>
          <cell r="J20">
            <v>0</v>
          </cell>
          <cell r="K20" t="str">
            <v>GROSSMONT COLLEGE DR</v>
          </cell>
          <cell r="L20" t="str">
            <v>SR-52 EB</v>
          </cell>
          <cell r="O20">
            <v>8862</v>
          </cell>
          <cell r="P20" t="str">
            <v>Caltran</v>
          </cell>
        </row>
        <row r="21">
          <cell r="C21">
            <v>5</v>
          </cell>
          <cell r="E21">
            <v>28923</v>
          </cell>
          <cell r="H21" t="str">
            <v>SR-125 NB</v>
          </cell>
          <cell r="I21">
            <v>21</v>
          </cell>
          <cell r="J21">
            <v>0</v>
          </cell>
          <cell r="K21" t="str">
            <v>SR-52 EB</v>
          </cell>
          <cell r="L21" t="str">
            <v>FANITA</v>
          </cell>
          <cell r="O21">
            <v>3622</v>
          </cell>
          <cell r="P21" t="str">
            <v>PeMS2016</v>
          </cell>
        </row>
      </sheetData>
      <sheetData sheetId="6">
        <row r="2">
          <cell r="C2">
            <v>6</v>
          </cell>
          <cell r="E2">
            <v>13046</v>
          </cell>
          <cell r="H2" t="str">
            <v>SR-67 NB</v>
          </cell>
          <cell r="I2">
            <v>5</v>
          </cell>
          <cell r="J2">
            <v>0</v>
          </cell>
          <cell r="K2" t="str">
            <v>BRADLEY</v>
          </cell>
          <cell r="L2" t="str">
            <v>BRADLEY</v>
          </cell>
          <cell r="O2">
            <v>13046</v>
          </cell>
          <cell r="P2" t="str">
            <v>Caltran</v>
          </cell>
        </row>
        <row r="3">
          <cell r="C3">
            <v>6</v>
          </cell>
          <cell r="E3">
            <v>13037</v>
          </cell>
          <cell r="H3" t="str">
            <v>SR-67 NB</v>
          </cell>
          <cell r="I3">
            <v>6</v>
          </cell>
          <cell r="J3">
            <v>0</v>
          </cell>
          <cell r="K3" t="str">
            <v>BRADLEY</v>
          </cell>
          <cell r="L3" t="str">
            <v>SR-52 WB</v>
          </cell>
          <cell r="O3">
            <v>11690</v>
          </cell>
          <cell r="P3" t="str">
            <v>Caltran</v>
          </cell>
        </row>
        <row r="4">
          <cell r="C4">
            <v>6</v>
          </cell>
          <cell r="E4">
            <v>9036</v>
          </cell>
          <cell r="H4" t="str">
            <v>SR-67 NB</v>
          </cell>
          <cell r="I4">
            <v>8</v>
          </cell>
          <cell r="J4">
            <v>0</v>
          </cell>
          <cell r="K4" t="str">
            <v>SR-52 EB</v>
          </cell>
          <cell r="L4" t="str">
            <v>WOODSIDE</v>
          </cell>
          <cell r="O4">
            <v>10194</v>
          </cell>
          <cell r="P4" t="str">
            <v>Caltran</v>
          </cell>
        </row>
      </sheetData>
      <sheetData sheetId="7">
        <row r="2">
          <cell r="C2">
            <v>7</v>
          </cell>
          <cell r="E2">
            <v>14232</v>
          </cell>
          <cell r="H2" t="str">
            <v>SR-75 NB</v>
          </cell>
          <cell r="I2">
            <v>3</v>
          </cell>
          <cell r="J2">
            <v>0</v>
          </cell>
          <cell r="K2" t="str">
            <v>04TH</v>
          </cell>
          <cell r="L2" t="str">
            <v>GLORIETTA</v>
          </cell>
          <cell r="O2">
            <v>7304</v>
          </cell>
          <cell r="P2" t="str">
            <v>Caltran</v>
          </cell>
        </row>
      </sheetData>
      <sheetData sheetId="8">
        <row r="2">
          <cell r="C2">
            <v>8</v>
          </cell>
          <cell r="E2">
            <v>27520</v>
          </cell>
          <cell r="H2" t="str">
            <v>I-5 SB</v>
          </cell>
          <cell r="I2">
            <v>6</v>
          </cell>
          <cell r="J2">
            <v>8</v>
          </cell>
          <cell r="K2" t="str">
            <v>BASILONE</v>
          </cell>
          <cell r="L2" t="str">
            <v>LAS PULGAS</v>
          </cell>
          <cell r="O2">
            <v>12732</v>
          </cell>
          <cell r="P2" t="str">
            <v>PeMS2016</v>
          </cell>
        </row>
        <row r="3">
          <cell r="C3">
            <v>8</v>
          </cell>
          <cell r="E3">
            <v>27598</v>
          </cell>
          <cell r="H3" t="str">
            <v>I-5 SB</v>
          </cell>
          <cell r="I3">
            <v>8</v>
          </cell>
          <cell r="J3">
            <v>7</v>
          </cell>
          <cell r="K3" t="str">
            <v>LAS PULGAS</v>
          </cell>
          <cell r="L3" t="str">
            <v>VANDEGRIFT</v>
          </cell>
          <cell r="O3">
            <v>12591</v>
          </cell>
          <cell r="P3" t="str">
            <v>PeMS2016</v>
          </cell>
        </row>
        <row r="4">
          <cell r="C4">
            <v>8</v>
          </cell>
          <cell r="E4">
            <v>26623</v>
          </cell>
          <cell r="H4" t="str">
            <v>I-5 SB</v>
          </cell>
          <cell r="I4">
            <v>9</v>
          </cell>
          <cell r="J4">
            <v>0</v>
          </cell>
          <cell r="K4" t="str">
            <v>VANDEGRIFT</v>
          </cell>
          <cell r="L4" t="str">
            <v>VANDEGRIFT</v>
          </cell>
          <cell r="O4">
            <v>14449</v>
          </cell>
          <cell r="P4" t="str">
            <v>PeMS2016</v>
          </cell>
        </row>
        <row r="5">
          <cell r="C5">
            <v>8</v>
          </cell>
          <cell r="E5">
            <v>28515</v>
          </cell>
          <cell r="H5" t="str">
            <v>I-5 SB</v>
          </cell>
          <cell r="I5">
            <v>12</v>
          </cell>
          <cell r="J5">
            <v>0</v>
          </cell>
          <cell r="K5" t="str">
            <v>SR-76</v>
          </cell>
          <cell r="L5" t="str">
            <v>SR-76</v>
          </cell>
          <cell r="O5">
            <v>15983</v>
          </cell>
          <cell r="P5" t="str">
            <v>PeMS2016</v>
          </cell>
        </row>
        <row r="6">
          <cell r="C6">
            <v>8</v>
          </cell>
          <cell r="E6">
            <v>28490</v>
          </cell>
          <cell r="H6" t="str">
            <v>I-5 SB</v>
          </cell>
          <cell r="I6">
            <v>13</v>
          </cell>
          <cell r="J6">
            <v>0</v>
          </cell>
          <cell r="K6" t="str">
            <v>SR-76</v>
          </cell>
          <cell r="L6" t="str">
            <v>MISSION</v>
          </cell>
          <cell r="O6">
            <v>19293</v>
          </cell>
          <cell r="P6" t="str">
            <v>Caltran</v>
          </cell>
        </row>
        <row r="7">
          <cell r="C7">
            <v>8</v>
          </cell>
          <cell r="E7">
            <v>28493</v>
          </cell>
          <cell r="H7" t="str">
            <v>I-5 SB</v>
          </cell>
          <cell r="I7">
            <v>14</v>
          </cell>
          <cell r="J7">
            <v>0</v>
          </cell>
          <cell r="K7" t="str">
            <v>MISSION</v>
          </cell>
          <cell r="L7" t="str">
            <v>MISSION</v>
          </cell>
          <cell r="O7">
            <v>18019</v>
          </cell>
          <cell r="P7" t="str">
            <v>PeMS2016</v>
          </cell>
        </row>
        <row r="8">
          <cell r="C8">
            <v>8</v>
          </cell>
          <cell r="E8">
            <v>26562</v>
          </cell>
          <cell r="H8" t="str">
            <v>I-5 SB</v>
          </cell>
          <cell r="I8">
            <v>17</v>
          </cell>
          <cell r="J8">
            <v>0</v>
          </cell>
          <cell r="K8" t="str">
            <v>OCEANSIDE</v>
          </cell>
          <cell r="L8" t="str">
            <v>OCEANSIDE</v>
          </cell>
          <cell r="O8">
            <v>19014</v>
          </cell>
          <cell r="P8" t="str">
            <v>PeMS2016</v>
          </cell>
        </row>
        <row r="9">
          <cell r="C9">
            <v>8</v>
          </cell>
          <cell r="E9">
            <v>12247</v>
          </cell>
          <cell r="H9" t="str">
            <v>I-5 SB</v>
          </cell>
          <cell r="I9">
            <v>20</v>
          </cell>
          <cell r="J9">
            <v>0</v>
          </cell>
          <cell r="K9" t="str">
            <v>RAMP</v>
          </cell>
          <cell r="L9" t="str">
            <v>CASSIDY</v>
          </cell>
          <cell r="O9">
            <v>20955</v>
          </cell>
          <cell r="P9" t="str">
            <v>PeMS2016</v>
          </cell>
        </row>
        <row r="10">
          <cell r="C10">
            <v>8</v>
          </cell>
          <cell r="E10">
            <v>9025</v>
          </cell>
          <cell r="H10" t="str">
            <v>I-5 SB</v>
          </cell>
          <cell r="I10">
            <v>21</v>
          </cell>
          <cell r="J10">
            <v>0</v>
          </cell>
          <cell r="K10" t="str">
            <v>CASSIDY</v>
          </cell>
          <cell r="L10" t="str">
            <v>VISTA WY</v>
          </cell>
          <cell r="O10">
            <v>21835</v>
          </cell>
          <cell r="P10" t="str">
            <v>Caltran</v>
          </cell>
        </row>
        <row r="11">
          <cell r="C11">
            <v>8</v>
          </cell>
          <cell r="E11">
            <v>12589</v>
          </cell>
          <cell r="H11" t="str">
            <v>I-5 SB</v>
          </cell>
          <cell r="I11">
            <v>25</v>
          </cell>
          <cell r="J11">
            <v>0</v>
          </cell>
          <cell r="K11" t="str">
            <v>LAS FLORES</v>
          </cell>
          <cell r="L11" t="str">
            <v>LAS FLORES</v>
          </cell>
          <cell r="O11">
            <v>18413</v>
          </cell>
          <cell r="P11" t="str">
            <v>PeMS2016</v>
          </cell>
        </row>
        <row r="12">
          <cell r="C12">
            <v>8</v>
          </cell>
          <cell r="E12">
            <v>12583</v>
          </cell>
          <cell r="H12" t="str">
            <v>I-5 SB</v>
          </cell>
          <cell r="I12">
            <v>27</v>
          </cell>
          <cell r="J12">
            <v>0</v>
          </cell>
          <cell r="K12" t="str">
            <v>CARLSBAD VILLAGE</v>
          </cell>
          <cell r="L12" t="str">
            <v>CARLSBAD VILLAGE</v>
          </cell>
          <cell r="O12">
            <v>16727</v>
          </cell>
          <cell r="P12" t="str">
            <v>PeMS2016</v>
          </cell>
        </row>
        <row r="13">
          <cell r="C13">
            <v>8</v>
          </cell>
          <cell r="E13">
            <v>26563</v>
          </cell>
          <cell r="H13" t="str">
            <v>I-5 SB</v>
          </cell>
          <cell r="I13">
            <v>29</v>
          </cell>
          <cell r="J13">
            <v>0</v>
          </cell>
          <cell r="K13" t="str">
            <v>TAMARACK</v>
          </cell>
          <cell r="L13" t="str">
            <v>TAMARACK</v>
          </cell>
          <cell r="O13">
            <v>17492</v>
          </cell>
          <cell r="P13" t="str">
            <v>PeMS2016</v>
          </cell>
        </row>
        <row r="14">
          <cell r="C14">
            <v>8</v>
          </cell>
          <cell r="E14">
            <v>675</v>
          </cell>
          <cell r="H14" t="str">
            <v>I-5 SB</v>
          </cell>
          <cell r="I14">
            <v>30</v>
          </cell>
          <cell r="J14">
            <v>0</v>
          </cell>
          <cell r="K14" t="str">
            <v>TAMARACK</v>
          </cell>
          <cell r="L14" t="str">
            <v>TAMARACK</v>
          </cell>
          <cell r="O14">
            <v>18707</v>
          </cell>
          <cell r="P14" t="str">
            <v>Caltran</v>
          </cell>
        </row>
        <row r="15">
          <cell r="C15">
            <v>8</v>
          </cell>
          <cell r="E15">
            <v>674</v>
          </cell>
          <cell r="H15" t="str">
            <v>I-5 SB</v>
          </cell>
          <cell r="I15">
            <v>32</v>
          </cell>
          <cell r="J15">
            <v>0</v>
          </cell>
          <cell r="K15" t="str">
            <v>CANNON</v>
          </cell>
          <cell r="L15" t="str">
            <v>CANNON</v>
          </cell>
          <cell r="O15">
            <v>17352</v>
          </cell>
          <cell r="P15" t="str">
            <v>PeMS2016</v>
          </cell>
        </row>
        <row r="16">
          <cell r="C16">
            <v>8</v>
          </cell>
          <cell r="E16">
            <v>13273</v>
          </cell>
          <cell r="H16" t="str">
            <v>I-5 SB</v>
          </cell>
          <cell r="I16">
            <v>34</v>
          </cell>
          <cell r="J16">
            <v>0</v>
          </cell>
          <cell r="K16" t="str">
            <v>PALOMAR AIRPORT</v>
          </cell>
          <cell r="L16" t="str">
            <v>PALOMAR AIRPORT</v>
          </cell>
          <cell r="O16">
            <v>16127</v>
          </cell>
          <cell r="P16" t="str">
            <v>PeMS2016</v>
          </cell>
        </row>
        <row r="17">
          <cell r="C17">
            <v>8</v>
          </cell>
          <cell r="E17">
            <v>13282</v>
          </cell>
          <cell r="H17" t="str">
            <v>I-5 SB</v>
          </cell>
          <cell r="I17">
            <v>36</v>
          </cell>
          <cell r="J17">
            <v>0</v>
          </cell>
          <cell r="K17" t="str">
            <v>PALOMAR AIRPORT</v>
          </cell>
          <cell r="L17" t="str">
            <v>POINSETTIA</v>
          </cell>
          <cell r="O17">
            <v>19768</v>
          </cell>
          <cell r="P17" t="str">
            <v>PeMS2016</v>
          </cell>
        </row>
        <row r="18">
          <cell r="C18">
            <v>8</v>
          </cell>
          <cell r="E18">
            <v>8771</v>
          </cell>
          <cell r="H18" t="str">
            <v>I-5 SB</v>
          </cell>
          <cell r="I18">
            <v>39</v>
          </cell>
          <cell r="J18">
            <v>0</v>
          </cell>
          <cell r="K18" t="str">
            <v>POINSETTIA</v>
          </cell>
          <cell r="L18" t="str">
            <v>LA COSTA</v>
          </cell>
          <cell r="O18">
            <v>19695</v>
          </cell>
          <cell r="P18" t="str">
            <v>PeMS2016</v>
          </cell>
        </row>
        <row r="19">
          <cell r="C19">
            <v>8</v>
          </cell>
          <cell r="E19">
            <v>1250</v>
          </cell>
          <cell r="H19" t="str">
            <v>I-5 SB</v>
          </cell>
          <cell r="I19">
            <v>41</v>
          </cell>
          <cell r="J19">
            <v>0</v>
          </cell>
          <cell r="K19" t="str">
            <v>LA COSTA</v>
          </cell>
          <cell r="L19" t="str">
            <v>LEUCADIA</v>
          </cell>
          <cell r="O19">
            <v>18732</v>
          </cell>
          <cell r="P19" t="str">
            <v>PeMS2016</v>
          </cell>
        </row>
        <row r="20">
          <cell r="C20">
            <v>8</v>
          </cell>
          <cell r="E20">
            <v>8772</v>
          </cell>
          <cell r="H20" t="str">
            <v>I-5 SB</v>
          </cell>
          <cell r="I20">
            <v>42</v>
          </cell>
          <cell r="J20">
            <v>0</v>
          </cell>
          <cell r="K20" t="str">
            <v>LA COSTA</v>
          </cell>
          <cell r="L20" t="str">
            <v>LEUCADIA</v>
          </cell>
          <cell r="O20">
            <v>16669</v>
          </cell>
          <cell r="P20" t="str">
            <v>PeMS2016</v>
          </cell>
        </row>
        <row r="21">
          <cell r="C21">
            <v>8</v>
          </cell>
          <cell r="E21">
            <v>8773</v>
          </cell>
          <cell r="H21" t="str">
            <v>I-5 SB</v>
          </cell>
          <cell r="I21">
            <v>43</v>
          </cell>
          <cell r="J21">
            <v>0</v>
          </cell>
          <cell r="K21" t="str">
            <v>LEUCADIA</v>
          </cell>
          <cell r="L21" t="str">
            <v>LEUCADIA</v>
          </cell>
          <cell r="O21">
            <v>19924</v>
          </cell>
          <cell r="P21" t="str">
            <v>PeMS2016</v>
          </cell>
        </row>
        <row r="22">
          <cell r="C22">
            <v>8</v>
          </cell>
          <cell r="E22">
            <v>16272</v>
          </cell>
          <cell r="H22" t="str">
            <v>I-5 SB</v>
          </cell>
          <cell r="I22">
            <v>44</v>
          </cell>
          <cell r="J22">
            <v>0</v>
          </cell>
          <cell r="K22" t="str">
            <v>LEUCADIA</v>
          </cell>
          <cell r="L22" t="str">
            <v>ENCINITAS</v>
          </cell>
          <cell r="O22">
            <v>20948</v>
          </cell>
          <cell r="P22" t="str">
            <v>PeMS2016</v>
          </cell>
        </row>
        <row r="23">
          <cell r="C23">
            <v>8</v>
          </cell>
          <cell r="E23">
            <v>621</v>
          </cell>
          <cell r="H23" t="str">
            <v>I-5 SB</v>
          </cell>
          <cell r="I23">
            <v>45</v>
          </cell>
          <cell r="J23">
            <v>0</v>
          </cell>
          <cell r="K23" t="str">
            <v>ENCINITAS</v>
          </cell>
          <cell r="L23" t="str">
            <v>ENCINITAS</v>
          </cell>
          <cell r="O23">
            <v>19711</v>
          </cell>
          <cell r="P23" t="str">
            <v>PeMS2016</v>
          </cell>
        </row>
        <row r="24">
          <cell r="C24">
            <v>8</v>
          </cell>
          <cell r="E24">
            <v>13580</v>
          </cell>
          <cell r="H24" t="str">
            <v>I-5 SB</v>
          </cell>
          <cell r="I24">
            <v>47</v>
          </cell>
          <cell r="J24">
            <v>0</v>
          </cell>
          <cell r="K24" t="str">
            <v>ENCINITAS</v>
          </cell>
          <cell r="L24" t="str">
            <v>SANTA FE</v>
          </cell>
          <cell r="O24">
            <v>21292</v>
          </cell>
          <cell r="P24" t="str">
            <v>Caltran</v>
          </cell>
        </row>
        <row r="25">
          <cell r="C25">
            <v>8</v>
          </cell>
          <cell r="E25">
            <v>13582</v>
          </cell>
          <cell r="H25" t="str">
            <v>I-5 SB</v>
          </cell>
          <cell r="I25">
            <v>49</v>
          </cell>
          <cell r="J25">
            <v>0</v>
          </cell>
          <cell r="K25" t="str">
            <v>SANTA FE</v>
          </cell>
          <cell r="L25" t="str">
            <v>SANTA FE</v>
          </cell>
          <cell r="O25">
            <v>20582</v>
          </cell>
          <cell r="P25" t="str">
            <v>PeMS2016</v>
          </cell>
        </row>
        <row r="26">
          <cell r="C26">
            <v>8</v>
          </cell>
          <cell r="E26">
            <v>13589</v>
          </cell>
          <cell r="H26" t="str">
            <v>I-5 SB</v>
          </cell>
          <cell r="I26">
            <v>52</v>
          </cell>
          <cell r="J26">
            <v>0</v>
          </cell>
          <cell r="K26" t="str">
            <v>BIRMINGHAM</v>
          </cell>
          <cell r="L26" t="str">
            <v>BIRMINGHAM</v>
          </cell>
          <cell r="O26">
            <v>20568</v>
          </cell>
          <cell r="P26" t="str">
            <v>PeMS2016</v>
          </cell>
        </row>
        <row r="27">
          <cell r="C27">
            <v>8</v>
          </cell>
          <cell r="E27">
            <v>13590</v>
          </cell>
          <cell r="H27" t="str">
            <v>I-5 SB</v>
          </cell>
          <cell r="I27">
            <v>53</v>
          </cell>
          <cell r="J27">
            <v>0</v>
          </cell>
          <cell r="K27" t="str">
            <v>BIRMINGHAM</v>
          </cell>
          <cell r="L27" t="str">
            <v>MANCHESTER</v>
          </cell>
          <cell r="O27">
            <v>19999</v>
          </cell>
          <cell r="P27" t="str">
            <v>PeMS2016</v>
          </cell>
        </row>
        <row r="28">
          <cell r="C28">
            <v>8</v>
          </cell>
          <cell r="E28">
            <v>643</v>
          </cell>
          <cell r="H28" t="str">
            <v>I-5 SB</v>
          </cell>
          <cell r="I28">
            <v>54</v>
          </cell>
          <cell r="J28">
            <v>0</v>
          </cell>
          <cell r="K28" t="str">
            <v>MANCHESTER</v>
          </cell>
          <cell r="L28" t="str">
            <v>MANCHESTER</v>
          </cell>
          <cell r="O28">
            <v>21001</v>
          </cell>
          <cell r="P28" t="str">
            <v>PeMS2016</v>
          </cell>
        </row>
        <row r="29">
          <cell r="C29">
            <v>8</v>
          </cell>
          <cell r="E29">
            <v>13594</v>
          </cell>
          <cell r="H29" t="str">
            <v>I-5 SB</v>
          </cell>
          <cell r="I29">
            <v>56</v>
          </cell>
          <cell r="J29">
            <v>0</v>
          </cell>
          <cell r="K29" t="str">
            <v>MANCHESTER</v>
          </cell>
          <cell r="L29" t="str">
            <v>LOMAS SANTA FE</v>
          </cell>
          <cell r="O29">
            <v>22251</v>
          </cell>
          <cell r="P29" t="str">
            <v>PeMS2016</v>
          </cell>
        </row>
        <row r="30">
          <cell r="C30">
            <v>8</v>
          </cell>
          <cell r="E30">
            <v>13598</v>
          </cell>
          <cell r="H30" t="str">
            <v>I-5 SB</v>
          </cell>
          <cell r="I30">
            <v>58</v>
          </cell>
          <cell r="J30">
            <v>0</v>
          </cell>
          <cell r="K30" t="str">
            <v>LOMAS SANTA FE</v>
          </cell>
          <cell r="L30" t="str">
            <v>LOMAS SANTA FE</v>
          </cell>
          <cell r="O30">
            <v>21264</v>
          </cell>
          <cell r="P30" t="str">
            <v>PeMS2016</v>
          </cell>
        </row>
        <row r="31">
          <cell r="C31">
            <v>8</v>
          </cell>
          <cell r="E31">
            <v>13597</v>
          </cell>
          <cell r="H31" t="str">
            <v>I-5 SB</v>
          </cell>
          <cell r="I31">
            <v>59</v>
          </cell>
          <cell r="J31">
            <v>0</v>
          </cell>
          <cell r="K31" t="str">
            <v>LOMAS SANTA FE</v>
          </cell>
          <cell r="L31" t="str">
            <v>VIA DE LA VALLE</v>
          </cell>
          <cell r="O31">
            <v>24283</v>
          </cell>
          <cell r="P31" t="str">
            <v>Caltran</v>
          </cell>
        </row>
        <row r="32">
          <cell r="C32">
            <v>8</v>
          </cell>
          <cell r="E32">
            <v>14247</v>
          </cell>
          <cell r="H32" t="str">
            <v>I-5 SB</v>
          </cell>
          <cell r="I32">
            <v>61</v>
          </cell>
          <cell r="J32">
            <v>0</v>
          </cell>
          <cell r="K32" t="str">
            <v>VIA DE LA VALLE</v>
          </cell>
          <cell r="L32" t="str">
            <v>VIA DE LA VALLE</v>
          </cell>
          <cell r="O32">
            <v>19130</v>
          </cell>
          <cell r="P32" t="str">
            <v>PeMS2016</v>
          </cell>
        </row>
        <row r="33">
          <cell r="C33">
            <v>8</v>
          </cell>
          <cell r="E33">
            <v>14246</v>
          </cell>
          <cell r="H33" t="str">
            <v>I-5 SB</v>
          </cell>
          <cell r="I33">
            <v>63</v>
          </cell>
          <cell r="J33">
            <v>1</v>
          </cell>
          <cell r="K33" t="str">
            <v>VIA DE LA VALLE</v>
          </cell>
          <cell r="L33" t="str">
            <v>DEL MAR HEIGHTS</v>
          </cell>
          <cell r="O33">
            <v>22898</v>
          </cell>
          <cell r="P33" t="str">
            <v>PeMS2016</v>
          </cell>
        </row>
        <row r="34">
          <cell r="C34">
            <v>8</v>
          </cell>
          <cell r="E34">
            <v>9022</v>
          </cell>
          <cell r="H34" t="str">
            <v>I-5 SB</v>
          </cell>
          <cell r="I34">
            <v>64</v>
          </cell>
          <cell r="J34">
            <v>0</v>
          </cell>
          <cell r="K34" t="str">
            <v>DEL MAR HEIGHTS</v>
          </cell>
          <cell r="L34" t="str">
            <v>DEL MAR HEIGHTS</v>
          </cell>
          <cell r="O34">
            <v>20249</v>
          </cell>
          <cell r="P34" t="str">
            <v>PeMS2016</v>
          </cell>
        </row>
        <row r="35">
          <cell r="C35">
            <v>8</v>
          </cell>
          <cell r="E35">
            <v>8774</v>
          </cell>
          <cell r="H35" t="str">
            <v>I-5 SB</v>
          </cell>
          <cell r="I35">
            <v>65</v>
          </cell>
          <cell r="J35">
            <v>0</v>
          </cell>
          <cell r="K35" t="str">
            <v>DEL MAR HEIGHTS</v>
          </cell>
          <cell r="L35" t="str">
            <v>DEL MAR HEIGHTS</v>
          </cell>
          <cell r="O35">
            <v>20249</v>
          </cell>
          <cell r="P35" t="str">
            <v>PeMS2016</v>
          </cell>
        </row>
        <row r="36">
          <cell r="C36">
            <v>8</v>
          </cell>
          <cell r="E36">
            <v>8899</v>
          </cell>
          <cell r="H36" t="str">
            <v>I-5 SB</v>
          </cell>
          <cell r="I36">
            <v>67</v>
          </cell>
          <cell r="J36">
            <v>0</v>
          </cell>
          <cell r="K36" t="str">
            <v>DEL MAR HEIGHTS</v>
          </cell>
          <cell r="L36" t="str">
            <v>CARMEL VALLEY</v>
          </cell>
          <cell r="O36">
            <v>14572</v>
          </cell>
          <cell r="P36" t="str">
            <v>PeMS2016</v>
          </cell>
        </row>
        <row r="37">
          <cell r="C37">
            <v>8</v>
          </cell>
          <cell r="E37">
            <v>14255</v>
          </cell>
          <cell r="H37" t="str">
            <v>I-5 SB</v>
          </cell>
          <cell r="I37">
            <v>70</v>
          </cell>
          <cell r="J37">
            <v>0</v>
          </cell>
          <cell r="K37" t="str">
            <v>CARMEL VALLEY</v>
          </cell>
          <cell r="L37" t="str">
            <v>CARMEL VALLEY</v>
          </cell>
          <cell r="O37">
            <v>14023</v>
          </cell>
          <cell r="P37" t="str">
            <v>PeMS2016</v>
          </cell>
        </row>
        <row r="38">
          <cell r="C38">
            <v>8</v>
          </cell>
          <cell r="E38">
            <v>30776</v>
          </cell>
          <cell r="H38" t="str">
            <v>I-5 SB</v>
          </cell>
          <cell r="I38">
            <v>73</v>
          </cell>
          <cell r="J38">
            <v>0</v>
          </cell>
          <cell r="K38" t="str">
            <v>CARMEL VALLEY</v>
          </cell>
          <cell r="L38" t="str">
            <v>I-805 SB</v>
          </cell>
          <cell r="O38">
            <v>18486</v>
          </cell>
          <cell r="P38" t="str">
            <v>Caltran</v>
          </cell>
        </row>
        <row r="39">
          <cell r="C39">
            <v>8</v>
          </cell>
          <cell r="E39">
            <v>14263</v>
          </cell>
          <cell r="H39" t="str">
            <v>I-5 SB</v>
          </cell>
          <cell r="I39">
            <v>75</v>
          </cell>
          <cell r="J39">
            <v>0</v>
          </cell>
          <cell r="K39" t="str">
            <v>I-805 SB</v>
          </cell>
          <cell r="L39" t="str">
            <v>SORRENTO VALLEY</v>
          </cell>
          <cell r="O39">
            <v>14198</v>
          </cell>
          <cell r="P39" t="str">
            <v>Caltran</v>
          </cell>
        </row>
        <row r="40">
          <cell r="C40">
            <v>8</v>
          </cell>
          <cell r="E40">
            <v>14286</v>
          </cell>
          <cell r="H40" t="str">
            <v>I-5 SB</v>
          </cell>
          <cell r="I40">
            <v>78</v>
          </cell>
          <cell r="J40">
            <v>0</v>
          </cell>
          <cell r="K40" t="str">
            <v>GENESEE</v>
          </cell>
          <cell r="L40" t="str">
            <v>GENESEE</v>
          </cell>
          <cell r="O40">
            <v>14999</v>
          </cell>
          <cell r="P40" t="str">
            <v>PeMS2016</v>
          </cell>
        </row>
        <row r="41">
          <cell r="C41">
            <v>8</v>
          </cell>
          <cell r="E41">
            <v>9252</v>
          </cell>
          <cell r="H41" t="str">
            <v>I-5 SB</v>
          </cell>
          <cell r="I41">
            <v>81</v>
          </cell>
          <cell r="J41">
            <v>0</v>
          </cell>
          <cell r="K41" t="str">
            <v>LA JOLLA VILLAGE</v>
          </cell>
          <cell r="L41" t="str">
            <v>LA JOLLA VILLAGE</v>
          </cell>
          <cell r="O41">
            <v>14135</v>
          </cell>
          <cell r="P41" t="str">
            <v>PeMS2016</v>
          </cell>
        </row>
        <row r="42">
          <cell r="C42">
            <v>8</v>
          </cell>
          <cell r="E42">
            <v>15039</v>
          </cell>
          <cell r="H42" t="str">
            <v>I-5 SB</v>
          </cell>
          <cell r="I42">
            <v>83</v>
          </cell>
          <cell r="J42">
            <v>0</v>
          </cell>
          <cell r="K42" t="str">
            <v>LA JOLLA VILLAGE</v>
          </cell>
          <cell r="L42" t="str">
            <v>NOBEL</v>
          </cell>
          <cell r="O42">
            <v>18571</v>
          </cell>
          <cell r="P42" t="str">
            <v>PeMS2016</v>
          </cell>
        </row>
        <row r="43">
          <cell r="C43">
            <v>8</v>
          </cell>
          <cell r="E43">
            <v>15035</v>
          </cell>
          <cell r="H43" t="str">
            <v>I-5 SB</v>
          </cell>
          <cell r="I43">
            <v>84</v>
          </cell>
          <cell r="J43">
            <v>0</v>
          </cell>
          <cell r="K43" t="str">
            <v>NOBEL</v>
          </cell>
          <cell r="L43" t="str">
            <v>GILMAN</v>
          </cell>
          <cell r="O43">
            <v>18571</v>
          </cell>
          <cell r="P43" t="str">
            <v>PeMS2016</v>
          </cell>
        </row>
        <row r="44">
          <cell r="C44">
            <v>8</v>
          </cell>
          <cell r="E44">
            <v>8777</v>
          </cell>
          <cell r="H44" t="str">
            <v>I-5 SB</v>
          </cell>
          <cell r="I44">
            <v>85</v>
          </cell>
          <cell r="J44">
            <v>0</v>
          </cell>
          <cell r="K44" t="str">
            <v>GILMAN</v>
          </cell>
          <cell r="L44" t="str">
            <v>GILMAN</v>
          </cell>
          <cell r="O44">
            <v>21678</v>
          </cell>
          <cell r="P44" t="str">
            <v>PeMS2016</v>
          </cell>
        </row>
        <row r="45">
          <cell r="C45">
            <v>8</v>
          </cell>
          <cell r="E45">
            <v>12009</v>
          </cell>
          <cell r="H45" t="str">
            <v>I-5 SB</v>
          </cell>
          <cell r="I45">
            <v>87</v>
          </cell>
          <cell r="J45">
            <v>0</v>
          </cell>
          <cell r="K45" t="str">
            <v>SR-52 EB</v>
          </cell>
          <cell r="L45" t="str">
            <v>SR-52 WB</v>
          </cell>
          <cell r="O45">
            <v>21728</v>
          </cell>
          <cell r="P45" t="str">
            <v>PeMS2016</v>
          </cell>
        </row>
        <row r="46">
          <cell r="C46">
            <v>8</v>
          </cell>
          <cell r="E46">
            <v>26065</v>
          </cell>
          <cell r="H46" t="str">
            <v>I-5 SB</v>
          </cell>
          <cell r="I46">
            <v>88</v>
          </cell>
          <cell r="J46">
            <v>0</v>
          </cell>
          <cell r="K46" t="str">
            <v>SR-52 WB</v>
          </cell>
          <cell r="L46" t="str">
            <v>MISSION BAY</v>
          </cell>
          <cell r="O46">
            <v>27538</v>
          </cell>
          <cell r="P46" t="str">
            <v>Caltran</v>
          </cell>
        </row>
        <row r="47">
          <cell r="C47">
            <v>8</v>
          </cell>
          <cell r="E47">
            <v>26017</v>
          </cell>
          <cell r="H47" t="str">
            <v>I-5 SB</v>
          </cell>
          <cell r="I47">
            <v>89</v>
          </cell>
          <cell r="J47">
            <v>0</v>
          </cell>
          <cell r="K47" t="str">
            <v>SR-52 WB</v>
          </cell>
          <cell r="L47" t="str">
            <v>MISSION BAY</v>
          </cell>
          <cell r="O47">
            <v>26378</v>
          </cell>
          <cell r="P47" t="str">
            <v>PeMS2016</v>
          </cell>
        </row>
        <row r="48">
          <cell r="C48">
            <v>8</v>
          </cell>
          <cell r="E48">
            <v>8780</v>
          </cell>
          <cell r="H48" t="str">
            <v>I-5 SB</v>
          </cell>
          <cell r="I48">
            <v>90</v>
          </cell>
          <cell r="J48">
            <v>0</v>
          </cell>
          <cell r="K48" t="str">
            <v>MISSION BAY</v>
          </cell>
          <cell r="L48" t="str">
            <v>GARNET</v>
          </cell>
          <cell r="O48">
            <v>21493</v>
          </cell>
          <cell r="P48" t="str">
            <v>PeMS2016</v>
          </cell>
        </row>
        <row r="49">
          <cell r="C49">
            <v>8</v>
          </cell>
          <cell r="E49">
            <v>20684</v>
          </cell>
          <cell r="H49" t="str">
            <v>I-5 SB</v>
          </cell>
          <cell r="I49">
            <v>91</v>
          </cell>
          <cell r="J49">
            <v>0</v>
          </cell>
          <cell r="K49" t="str">
            <v>GARNET</v>
          </cell>
          <cell r="L49" t="str">
            <v>MISSION BAY</v>
          </cell>
          <cell r="O49">
            <v>23832</v>
          </cell>
          <cell r="P49" t="str">
            <v>PeMS2016</v>
          </cell>
        </row>
        <row r="50">
          <cell r="C50">
            <v>8</v>
          </cell>
          <cell r="E50">
            <v>8787</v>
          </cell>
          <cell r="H50" t="str">
            <v>I-5 SB</v>
          </cell>
          <cell r="I50">
            <v>93</v>
          </cell>
          <cell r="J50">
            <v>0</v>
          </cell>
          <cell r="K50" t="str">
            <v>CLAIREMONT</v>
          </cell>
          <cell r="L50" t="str">
            <v>CLAIREMONT</v>
          </cell>
          <cell r="O50">
            <v>28959</v>
          </cell>
          <cell r="P50" t="str">
            <v>PeMS2016</v>
          </cell>
        </row>
        <row r="51">
          <cell r="C51">
            <v>8</v>
          </cell>
          <cell r="E51">
            <v>30816</v>
          </cell>
          <cell r="H51" t="str">
            <v>I-5 SB</v>
          </cell>
          <cell r="I51">
            <v>95</v>
          </cell>
          <cell r="J51">
            <v>0</v>
          </cell>
          <cell r="K51" t="str">
            <v>CLAIREMONT</v>
          </cell>
          <cell r="L51" t="str">
            <v>SEA WORLD</v>
          </cell>
          <cell r="O51">
            <v>27665</v>
          </cell>
          <cell r="P51" t="str">
            <v>PeMS2016</v>
          </cell>
        </row>
        <row r="52">
          <cell r="C52">
            <v>8</v>
          </cell>
          <cell r="E52">
            <v>8791</v>
          </cell>
          <cell r="H52" t="str">
            <v>I-5 SB</v>
          </cell>
          <cell r="I52">
            <v>97</v>
          </cell>
          <cell r="J52">
            <v>0</v>
          </cell>
          <cell r="K52" t="str">
            <v>SEA WORLD</v>
          </cell>
          <cell r="L52" t="str">
            <v>SEA WORLD</v>
          </cell>
          <cell r="O52">
            <v>25382</v>
          </cell>
          <cell r="P52" t="str">
            <v>PeMS2016</v>
          </cell>
        </row>
        <row r="53">
          <cell r="C53">
            <v>8</v>
          </cell>
          <cell r="E53">
            <v>20689</v>
          </cell>
          <cell r="H53" t="str">
            <v>I-5 SB</v>
          </cell>
          <cell r="I53">
            <v>101</v>
          </cell>
          <cell r="J53">
            <v>0</v>
          </cell>
          <cell r="K53" t="str">
            <v>I-8 EB</v>
          </cell>
          <cell r="L53" t="str">
            <v>OLD TOWN</v>
          </cell>
          <cell r="O53">
            <v>24040</v>
          </cell>
          <cell r="P53" t="str">
            <v>PeMS2016</v>
          </cell>
        </row>
        <row r="54">
          <cell r="C54">
            <v>8</v>
          </cell>
          <cell r="E54">
            <v>10965</v>
          </cell>
          <cell r="H54" t="str">
            <v>I-5 SB</v>
          </cell>
          <cell r="I54">
            <v>103</v>
          </cell>
          <cell r="J54">
            <v>0</v>
          </cell>
          <cell r="K54" t="str">
            <v>OLD TOWN</v>
          </cell>
          <cell r="L54" t="str">
            <v>OLD TOWN</v>
          </cell>
          <cell r="O54">
            <v>21606</v>
          </cell>
          <cell r="P54" t="str">
            <v>PeMS2016</v>
          </cell>
        </row>
        <row r="55">
          <cell r="C55">
            <v>8</v>
          </cell>
          <cell r="E55">
            <v>10968</v>
          </cell>
          <cell r="H55" t="str">
            <v>I-5 SB</v>
          </cell>
          <cell r="I55">
            <v>106</v>
          </cell>
          <cell r="J55">
            <v>0</v>
          </cell>
          <cell r="K55" t="str">
            <v>HANCOCK</v>
          </cell>
          <cell r="L55" t="str">
            <v>KETTNER</v>
          </cell>
          <cell r="O55">
            <v>21092</v>
          </cell>
          <cell r="P55" t="str">
            <v>PeMS2016</v>
          </cell>
        </row>
        <row r="56">
          <cell r="C56">
            <v>8</v>
          </cell>
          <cell r="E56">
            <v>20693</v>
          </cell>
          <cell r="H56" t="str">
            <v>I-5 SB</v>
          </cell>
          <cell r="I56">
            <v>107</v>
          </cell>
          <cell r="J56">
            <v>0</v>
          </cell>
          <cell r="K56" t="str">
            <v>KETTNER</v>
          </cell>
          <cell r="L56" t="str">
            <v>HANCOCK</v>
          </cell>
          <cell r="O56">
            <v>13655</v>
          </cell>
          <cell r="P56" t="str">
            <v>PeMS2016</v>
          </cell>
        </row>
        <row r="57">
          <cell r="C57">
            <v>8</v>
          </cell>
          <cell r="E57">
            <v>20694</v>
          </cell>
          <cell r="H57" t="str">
            <v>I-5 SB</v>
          </cell>
          <cell r="I57">
            <v>108</v>
          </cell>
          <cell r="J57">
            <v>0</v>
          </cell>
          <cell r="K57" t="str">
            <v>HANCOCK</v>
          </cell>
          <cell r="L57" t="str">
            <v>PACIFIC</v>
          </cell>
          <cell r="O57">
            <v>14247</v>
          </cell>
          <cell r="P57" t="str">
            <v>PeMS2016</v>
          </cell>
        </row>
        <row r="58">
          <cell r="C58">
            <v>8</v>
          </cell>
          <cell r="E58">
            <v>16578</v>
          </cell>
          <cell r="H58" t="str">
            <v>I-5 SB</v>
          </cell>
          <cell r="I58">
            <v>109</v>
          </cell>
          <cell r="J58">
            <v>0</v>
          </cell>
          <cell r="K58" t="str">
            <v>PACIFIC</v>
          </cell>
          <cell r="L58" t="str">
            <v>KETTNER</v>
          </cell>
          <cell r="O58">
            <v>21357</v>
          </cell>
          <cell r="P58" t="str">
            <v>PeMS2016</v>
          </cell>
        </row>
        <row r="59">
          <cell r="C59">
            <v>8</v>
          </cell>
          <cell r="E59">
            <v>20700</v>
          </cell>
          <cell r="H59" t="str">
            <v>I-5 SB</v>
          </cell>
          <cell r="I59">
            <v>111</v>
          </cell>
          <cell r="J59">
            <v>0</v>
          </cell>
          <cell r="K59" t="str">
            <v>FRONT</v>
          </cell>
          <cell r="L59" t="str">
            <v>STATE</v>
          </cell>
          <cell r="O59">
            <v>19374</v>
          </cell>
          <cell r="P59" t="str">
            <v>PeMS2016</v>
          </cell>
        </row>
        <row r="60">
          <cell r="C60">
            <v>8</v>
          </cell>
          <cell r="E60">
            <v>27834</v>
          </cell>
          <cell r="H60" t="str">
            <v>I-5 SB</v>
          </cell>
          <cell r="I60">
            <v>114</v>
          </cell>
          <cell r="J60">
            <v>0</v>
          </cell>
          <cell r="L60" t="str">
            <v>05TH</v>
          </cell>
          <cell r="O60">
            <v>25401</v>
          </cell>
          <cell r="P60" t="str">
            <v>PeMS2016</v>
          </cell>
        </row>
        <row r="61">
          <cell r="C61">
            <v>8</v>
          </cell>
          <cell r="E61">
            <v>27824</v>
          </cell>
          <cell r="H61" t="str">
            <v>I-5 SB</v>
          </cell>
          <cell r="I61">
            <v>117</v>
          </cell>
          <cell r="J61">
            <v>0</v>
          </cell>
          <cell r="K61" t="str">
            <v>PERSHING</v>
          </cell>
          <cell r="L61" t="str">
            <v>SR-94 EB</v>
          </cell>
          <cell r="O61">
            <v>26226</v>
          </cell>
          <cell r="P61" t="str">
            <v>PeMS2016</v>
          </cell>
        </row>
        <row r="62">
          <cell r="C62">
            <v>8</v>
          </cell>
          <cell r="E62">
            <v>20709</v>
          </cell>
          <cell r="H62" t="str">
            <v>I-5 SB</v>
          </cell>
          <cell r="I62">
            <v>120</v>
          </cell>
          <cell r="J62">
            <v>0</v>
          </cell>
          <cell r="K62" t="str">
            <v>PERSHING</v>
          </cell>
          <cell r="L62" t="str">
            <v>E</v>
          </cell>
          <cell r="O62">
            <v>20981</v>
          </cell>
          <cell r="P62" t="str">
            <v>PeMS2016</v>
          </cell>
        </row>
        <row r="63">
          <cell r="C63">
            <v>8</v>
          </cell>
          <cell r="E63">
            <v>27806</v>
          </cell>
          <cell r="H63" t="str">
            <v>I-5 SB</v>
          </cell>
          <cell r="I63">
            <v>121</v>
          </cell>
          <cell r="J63">
            <v>0</v>
          </cell>
          <cell r="K63" t="str">
            <v>E</v>
          </cell>
          <cell r="L63" t="str">
            <v>IMPERIAL</v>
          </cell>
          <cell r="O63">
            <v>18771</v>
          </cell>
          <cell r="P63" t="str">
            <v>PeMS2016</v>
          </cell>
        </row>
        <row r="64">
          <cell r="C64">
            <v>8</v>
          </cell>
          <cell r="E64">
            <v>20711</v>
          </cell>
          <cell r="H64" t="str">
            <v>I-5 SB</v>
          </cell>
          <cell r="I64">
            <v>129</v>
          </cell>
          <cell r="J64">
            <v>0</v>
          </cell>
          <cell r="K64" t="str">
            <v>NATIONAL</v>
          </cell>
          <cell r="L64" t="str">
            <v>29TH</v>
          </cell>
          <cell r="O64">
            <v>19188</v>
          </cell>
          <cell r="P64" t="str">
            <v>PeMS2016</v>
          </cell>
        </row>
        <row r="65">
          <cell r="C65">
            <v>8</v>
          </cell>
          <cell r="E65">
            <v>28736</v>
          </cell>
          <cell r="H65" t="str">
            <v>I-5 SB</v>
          </cell>
          <cell r="I65">
            <v>130</v>
          </cell>
          <cell r="J65">
            <v>0</v>
          </cell>
          <cell r="K65" t="str">
            <v>29TH</v>
          </cell>
          <cell r="L65" t="str">
            <v>MAIN</v>
          </cell>
          <cell r="O65">
            <v>20217</v>
          </cell>
          <cell r="P65" t="str">
            <v>PeMS2016</v>
          </cell>
        </row>
        <row r="66">
          <cell r="C66">
            <v>8</v>
          </cell>
          <cell r="E66">
            <v>27781</v>
          </cell>
          <cell r="H66" t="str">
            <v>I-5 SB</v>
          </cell>
          <cell r="I66">
            <v>132</v>
          </cell>
          <cell r="J66">
            <v>0</v>
          </cell>
          <cell r="K66" t="str">
            <v>MAIN</v>
          </cell>
          <cell r="L66" t="str">
            <v>SR-15 SB</v>
          </cell>
          <cell r="O66">
            <v>17560</v>
          </cell>
          <cell r="P66" t="str">
            <v>PeMS2016</v>
          </cell>
        </row>
        <row r="67">
          <cell r="C67">
            <v>8</v>
          </cell>
          <cell r="E67">
            <v>28726</v>
          </cell>
          <cell r="H67" t="str">
            <v>I-5 SB</v>
          </cell>
          <cell r="I67">
            <v>134</v>
          </cell>
          <cell r="J67">
            <v>0</v>
          </cell>
          <cell r="K67" t="str">
            <v>MAIN</v>
          </cell>
          <cell r="L67" t="str">
            <v>08TH</v>
          </cell>
          <cell r="O67">
            <v>23110</v>
          </cell>
          <cell r="P67" t="str">
            <v>PeMS2016</v>
          </cell>
        </row>
        <row r="68">
          <cell r="C68">
            <v>8</v>
          </cell>
          <cell r="E68">
            <v>28717</v>
          </cell>
          <cell r="H68" t="str">
            <v>I-5 SB</v>
          </cell>
          <cell r="I68">
            <v>136</v>
          </cell>
          <cell r="J68">
            <v>0</v>
          </cell>
          <cell r="K68" t="str">
            <v>CIVIC CENTER</v>
          </cell>
          <cell r="L68" t="str">
            <v>CIVIC CENTER</v>
          </cell>
          <cell r="O68">
            <v>25627</v>
          </cell>
          <cell r="P68" t="str">
            <v>PeMS2016</v>
          </cell>
        </row>
        <row r="69">
          <cell r="C69">
            <v>8</v>
          </cell>
          <cell r="E69">
            <v>28706</v>
          </cell>
          <cell r="H69" t="str">
            <v>I-5 SB</v>
          </cell>
          <cell r="I69">
            <v>139</v>
          </cell>
          <cell r="J69">
            <v>0</v>
          </cell>
          <cell r="K69" t="str">
            <v>24TH</v>
          </cell>
          <cell r="L69" t="str">
            <v>24TH</v>
          </cell>
          <cell r="O69">
            <v>22365</v>
          </cell>
          <cell r="P69" t="str">
            <v>PeMS2016</v>
          </cell>
        </row>
        <row r="70">
          <cell r="C70">
            <v>8</v>
          </cell>
          <cell r="E70">
            <v>27934</v>
          </cell>
          <cell r="H70" t="str">
            <v>I-5 SB</v>
          </cell>
          <cell r="I70">
            <v>149</v>
          </cell>
          <cell r="J70">
            <v>0</v>
          </cell>
          <cell r="K70" t="str">
            <v>J</v>
          </cell>
          <cell r="L70" t="str">
            <v>J</v>
          </cell>
          <cell r="O70">
            <v>20376</v>
          </cell>
          <cell r="P70" t="str">
            <v>PeMS2016</v>
          </cell>
        </row>
        <row r="71">
          <cell r="C71">
            <v>8</v>
          </cell>
          <cell r="E71">
            <v>27915</v>
          </cell>
          <cell r="H71" t="str">
            <v>I-5 SB</v>
          </cell>
          <cell r="I71">
            <v>155</v>
          </cell>
          <cell r="J71">
            <v>0</v>
          </cell>
          <cell r="K71" t="str">
            <v>MAIN</v>
          </cell>
          <cell r="L71" t="str">
            <v>MAIN</v>
          </cell>
          <cell r="O71">
            <v>24174</v>
          </cell>
          <cell r="P71" t="str">
            <v>Caltran</v>
          </cell>
        </row>
        <row r="72">
          <cell r="C72">
            <v>8</v>
          </cell>
          <cell r="E72">
            <v>27902</v>
          </cell>
          <cell r="H72" t="str">
            <v>I-5 SB</v>
          </cell>
          <cell r="I72">
            <v>160</v>
          </cell>
          <cell r="J72">
            <v>0</v>
          </cell>
          <cell r="K72" t="str">
            <v>CORONADO</v>
          </cell>
          <cell r="L72" t="str">
            <v>CORONADO</v>
          </cell>
          <cell r="O72">
            <v>16668</v>
          </cell>
          <cell r="P72" t="str">
            <v>PeMS2016</v>
          </cell>
        </row>
        <row r="73">
          <cell r="C73">
            <v>8</v>
          </cell>
          <cell r="E73">
            <v>27878</v>
          </cell>
          <cell r="H73" t="str">
            <v>I-5 SB</v>
          </cell>
          <cell r="I73">
            <v>162</v>
          </cell>
          <cell r="J73">
            <v>0</v>
          </cell>
          <cell r="K73" t="str">
            <v>SR-905</v>
          </cell>
          <cell r="L73" t="str">
            <v>SR-905 WB</v>
          </cell>
          <cell r="O73">
            <v>11019</v>
          </cell>
          <cell r="P73" t="str">
            <v>PeMS2016</v>
          </cell>
        </row>
        <row r="74">
          <cell r="C74">
            <v>8</v>
          </cell>
          <cell r="E74">
            <v>27860</v>
          </cell>
          <cell r="H74" t="str">
            <v>I-5 SB</v>
          </cell>
          <cell r="I74">
            <v>164</v>
          </cell>
          <cell r="J74">
            <v>0</v>
          </cell>
          <cell r="K74" t="str">
            <v>SR-905 EB</v>
          </cell>
          <cell r="L74" t="str">
            <v>DAIRY MART</v>
          </cell>
          <cell r="O74">
            <v>11501</v>
          </cell>
          <cell r="P74" t="str">
            <v>PeMS2016</v>
          </cell>
        </row>
        <row r="75">
          <cell r="C75">
            <v>8</v>
          </cell>
          <cell r="E75">
            <v>27887</v>
          </cell>
          <cell r="H75" t="str">
            <v>I-5 SB</v>
          </cell>
          <cell r="I75">
            <v>165</v>
          </cell>
          <cell r="J75">
            <v>0</v>
          </cell>
          <cell r="K75" t="str">
            <v>DAIRY MART</v>
          </cell>
          <cell r="L75" t="str">
            <v>DAIRY MART</v>
          </cell>
          <cell r="O75">
            <v>9158</v>
          </cell>
          <cell r="P75" t="str">
            <v>PeMS2016</v>
          </cell>
        </row>
      </sheetData>
      <sheetData sheetId="9">
        <row r="2">
          <cell r="C2">
            <v>9</v>
          </cell>
          <cell r="E2">
            <v>27196</v>
          </cell>
          <cell r="H2" t="str">
            <v>I-15 SB</v>
          </cell>
          <cell r="I2">
            <v>3</v>
          </cell>
          <cell r="J2">
            <v>2</v>
          </cell>
          <cell r="K2" t="str">
            <v>RAINBOW VALLEY WEST</v>
          </cell>
          <cell r="L2" t="str">
            <v>MISSION</v>
          </cell>
          <cell r="O2">
            <v>7958</v>
          </cell>
          <cell r="P2" t="str">
            <v>PeMS2016</v>
          </cell>
        </row>
        <row r="3">
          <cell r="C3">
            <v>9</v>
          </cell>
          <cell r="E3">
            <v>27194</v>
          </cell>
          <cell r="H3" t="str">
            <v>I-15 SB</v>
          </cell>
          <cell r="I3">
            <v>7</v>
          </cell>
          <cell r="J3">
            <v>1</v>
          </cell>
          <cell r="K3" t="str">
            <v>STEWART CANYON</v>
          </cell>
          <cell r="L3" t="str">
            <v>PALA</v>
          </cell>
          <cell r="O3">
            <v>7434</v>
          </cell>
          <cell r="P3" t="str">
            <v>PeMS2016</v>
          </cell>
        </row>
        <row r="4">
          <cell r="C4">
            <v>9</v>
          </cell>
          <cell r="E4">
            <v>26675</v>
          </cell>
          <cell r="H4" t="str">
            <v>I-15 SB</v>
          </cell>
          <cell r="I4">
            <v>8</v>
          </cell>
          <cell r="J4">
            <v>0</v>
          </cell>
          <cell r="K4" t="str">
            <v>PALA</v>
          </cell>
          <cell r="L4" t="str">
            <v>PALA</v>
          </cell>
          <cell r="O4">
            <v>10880</v>
          </cell>
          <cell r="P4" t="str">
            <v>Caltran</v>
          </cell>
        </row>
        <row r="5">
          <cell r="C5">
            <v>9</v>
          </cell>
          <cell r="E5">
            <v>27172</v>
          </cell>
          <cell r="H5" t="str">
            <v>I-15 SB</v>
          </cell>
          <cell r="I5">
            <v>10</v>
          </cell>
          <cell r="J5">
            <v>2</v>
          </cell>
          <cell r="K5" t="str">
            <v>PALA</v>
          </cell>
          <cell r="L5" t="str">
            <v>OLD 395</v>
          </cell>
          <cell r="O5">
            <v>10056</v>
          </cell>
          <cell r="P5" t="str">
            <v>Caltran</v>
          </cell>
        </row>
        <row r="6">
          <cell r="C6">
            <v>9</v>
          </cell>
          <cell r="E6">
            <v>27351</v>
          </cell>
          <cell r="H6" t="str">
            <v>I-15 SB</v>
          </cell>
          <cell r="I6">
            <v>14</v>
          </cell>
          <cell r="J6">
            <v>3</v>
          </cell>
          <cell r="K6" t="str">
            <v>GOPHER CANYON</v>
          </cell>
          <cell r="L6" t="str">
            <v>DEER SPRINGS</v>
          </cell>
          <cell r="O6">
            <v>11506</v>
          </cell>
          <cell r="P6" t="str">
            <v>PeMS2016</v>
          </cell>
        </row>
        <row r="7">
          <cell r="C7">
            <v>9</v>
          </cell>
          <cell r="E7">
            <v>14782</v>
          </cell>
          <cell r="H7" t="str">
            <v>I-15 SB</v>
          </cell>
          <cell r="I7">
            <v>16</v>
          </cell>
          <cell r="J7">
            <v>1</v>
          </cell>
          <cell r="K7" t="str">
            <v>DEER SPRINGS</v>
          </cell>
          <cell r="L7" t="str">
            <v>CENTRE CITY</v>
          </cell>
          <cell r="O7">
            <v>11431</v>
          </cell>
          <cell r="P7" t="str">
            <v>PeMS2016</v>
          </cell>
        </row>
        <row r="8">
          <cell r="C8">
            <v>9</v>
          </cell>
          <cell r="E8">
            <v>27182</v>
          </cell>
          <cell r="H8" t="str">
            <v>I-15 SB</v>
          </cell>
          <cell r="I8">
            <v>19</v>
          </cell>
          <cell r="J8">
            <v>1</v>
          </cell>
          <cell r="K8" t="str">
            <v>CENTRE CITY</v>
          </cell>
          <cell r="L8" t="str">
            <v>EL NORTE</v>
          </cell>
          <cell r="O8">
            <v>8921</v>
          </cell>
          <cell r="P8" t="str">
            <v>PeMS2016</v>
          </cell>
        </row>
        <row r="9">
          <cell r="C9">
            <v>9</v>
          </cell>
          <cell r="E9">
            <v>27184</v>
          </cell>
          <cell r="H9" t="str">
            <v>I-15 SB</v>
          </cell>
          <cell r="I9">
            <v>20</v>
          </cell>
          <cell r="J9">
            <v>0</v>
          </cell>
          <cell r="K9" t="str">
            <v>EL NORTE</v>
          </cell>
          <cell r="L9" t="str">
            <v>EL NORTE</v>
          </cell>
          <cell r="O9">
            <v>9672</v>
          </cell>
          <cell r="P9" t="str">
            <v>PeMS2016</v>
          </cell>
        </row>
        <row r="10">
          <cell r="C10">
            <v>9</v>
          </cell>
          <cell r="E10">
            <v>28569</v>
          </cell>
          <cell r="H10" t="str">
            <v>I-15 SB</v>
          </cell>
          <cell r="I10">
            <v>22</v>
          </cell>
          <cell r="J10">
            <v>0</v>
          </cell>
          <cell r="K10" t="str">
            <v>SR-78 WB</v>
          </cell>
          <cell r="L10" t="str">
            <v>SR-78 WB</v>
          </cell>
          <cell r="O10">
            <v>12337</v>
          </cell>
          <cell r="P10" t="str">
            <v>PeMS2016</v>
          </cell>
        </row>
        <row r="11">
          <cell r="C11">
            <v>9</v>
          </cell>
          <cell r="E11">
            <v>31193</v>
          </cell>
          <cell r="H11" t="str">
            <v>I-15 SB</v>
          </cell>
          <cell r="I11">
            <v>23</v>
          </cell>
          <cell r="J11">
            <v>0</v>
          </cell>
          <cell r="K11" t="str">
            <v>SR-78 WB</v>
          </cell>
          <cell r="L11" t="str">
            <v>SR-78 EB</v>
          </cell>
          <cell r="O11">
            <v>12404</v>
          </cell>
          <cell r="P11" t="str">
            <v>SANDAG</v>
          </cell>
        </row>
        <row r="12">
          <cell r="C12">
            <v>9</v>
          </cell>
          <cell r="E12">
            <v>28587</v>
          </cell>
          <cell r="H12" t="str">
            <v>I-15 SB</v>
          </cell>
          <cell r="I12">
            <v>26</v>
          </cell>
          <cell r="J12">
            <v>0</v>
          </cell>
          <cell r="K12" t="str">
            <v>VALLEY</v>
          </cell>
          <cell r="L12" t="str">
            <v>VALLEY</v>
          </cell>
          <cell r="O12">
            <v>18744</v>
          </cell>
          <cell r="P12" t="str">
            <v>PeMS2016</v>
          </cell>
        </row>
        <row r="13">
          <cell r="C13">
            <v>9</v>
          </cell>
          <cell r="E13">
            <v>12943</v>
          </cell>
          <cell r="H13" t="str">
            <v>I-15 SB</v>
          </cell>
          <cell r="I13">
            <v>27</v>
          </cell>
          <cell r="J13">
            <v>0</v>
          </cell>
          <cell r="K13" t="str">
            <v>VALLEY</v>
          </cell>
          <cell r="L13" t="str">
            <v>09TH</v>
          </cell>
          <cell r="O13">
            <v>18909</v>
          </cell>
          <cell r="P13" t="str">
            <v>Caltran</v>
          </cell>
        </row>
        <row r="14">
          <cell r="C14">
            <v>9</v>
          </cell>
          <cell r="E14">
            <v>12944</v>
          </cell>
          <cell r="H14" t="str">
            <v>I-15 SB</v>
          </cell>
          <cell r="I14">
            <v>28</v>
          </cell>
          <cell r="J14">
            <v>0</v>
          </cell>
          <cell r="K14" t="str">
            <v>09TH</v>
          </cell>
          <cell r="L14" t="str">
            <v>09TH</v>
          </cell>
          <cell r="O14">
            <v>16666</v>
          </cell>
          <cell r="P14" t="str">
            <v>PeMS2016</v>
          </cell>
        </row>
        <row r="15">
          <cell r="C15">
            <v>9</v>
          </cell>
          <cell r="E15">
            <v>12946</v>
          </cell>
          <cell r="H15" t="str">
            <v>I-15 SB</v>
          </cell>
          <cell r="I15">
            <v>31</v>
          </cell>
          <cell r="J15">
            <v>0</v>
          </cell>
          <cell r="K15" t="str">
            <v>CITRACADO</v>
          </cell>
          <cell r="L15" t="str">
            <v>CITRACADO</v>
          </cell>
          <cell r="O15">
            <v>19255</v>
          </cell>
          <cell r="P15" t="str">
            <v>PeMS2016</v>
          </cell>
        </row>
        <row r="16">
          <cell r="C16">
            <v>9</v>
          </cell>
          <cell r="E16">
            <v>12952</v>
          </cell>
          <cell r="H16" t="str">
            <v>I-15 SB</v>
          </cell>
          <cell r="I16">
            <v>32</v>
          </cell>
          <cell r="J16">
            <v>1</v>
          </cell>
          <cell r="K16" t="str">
            <v>CITRACADO</v>
          </cell>
          <cell r="L16" t="str">
            <v>CENTRE CITY</v>
          </cell>
          <cell r="O16">
            <v>19724</v>
          </cell>
          <cell r="P16" t="str">
            <v>PeMS2016</v>
          </cell>
        </row>
        <row r="17">
          <cell r="C17">
            <v>9</v>
          </cell>
          <cell r="E17">
            <v>12950</v>
          </cell>
          <cell r="H17" t="str">
            <v>I-15 SB</v>
          </cell>
          <cell r="I17">
            <v>34</v>
          </cell>
          <cell r="J17">
            <v>0</v>
          </cell>
          <cell r="K17" t="str">
            <v>CENTRE CITY</v>
          </cell>
          <cell r="L17" t="str">
            <v>VIA RANCHO</v>
          </cell>
          <cell r="O17">
            <v>22193</v>
          </cell>
          <cell r="P17" t="str">
            <v>PeMS2016</v>
          </cell>
        </row>
        <row r="18">
          <cell r="C18">
            <v>9</v>
          </cell>
          <cell r="E18">
            <v>26879</v>
          </cell>
          <cell r="H18" t="str">
            <v>I-15 SB</v>
          </cell>
          <cell r="I18">
            <v>35</v>
          </cell>
          <cell r="J18">
            <v>0</v>
          </cell>
          <cell r="K18" t="str">
            <v>VIA RANCHO</v>
          </cell>
          <cell r="L18" t="str">
            <v>VIA RANCHO</v>
          </cell>
          <cell r="O18">
            <v>19445</v>
          </cell>
          <cell r="P18" t="str">
            <v>PeMS2016</v>
          </cell>
        </row>
        <row r="19">
          <cell r="C19">
            <v>9</v>
          </cell>
          <cell r="E19">
            <v>8808</v>
          </cell>
          <cell r="H19" t="str">
            <v>I-15 SB</v>
          </cell>
          <cell r="I19">
            <v>37</v>
          </cell>
          <cell r="J19">
            <v>0</v>
          </cell>
          <cell r="K19" t="str">
            <v>VIA RANCHO</v>
          </cell>
          <cell r="L19" t="str">
            <v>WEST BERNARDO</v>
          </cell>
          <cell r="O19">
            <v>22985</v>
          </cell>
          <cell r="P19" t="str">
            <v>PeMS2016</v>
          </cell>
        </row>
        <row r="20">
          <cell r="C20">
            <v>9</v>
          </cell>
          <cell r="E20">
            <v>8810</v>
          </cell>
          <cell r="H20" t="str">
            <v>I-15 SB</v>
          </cell>
          <cell r="I20">
            <v>38</v>
          </cell>
          <cell r="J20">
            <v>0</v>
          </cell>
          <cell r="K20" t="str">
            <v>WEST BERNARDO</v>
          </cell>
          <cell r="L20" t="str">
            <v>WEST BERNARDO</v>
          </cell>
          <cell r="O20">
            <v>20830</v>
          </cell>
          <cell r="P20" t="str">
            <v>PeMS2016</v>
          </cell>
        </row>
        <row r="21">
          <cell r="C21">
            <v>9</v>
          </cell>
          <cell r="E21">
            <v>31207</v>
          </cell>
          <cell r="H21" t="str">
            <v>I-15 SB</v>
          </cell>
          <cell r="I21">
            <v>39</v>
          </cell>
          <cell r="J21">
            <v>1</v>
          </cell>
          <cell r="K21" t="str">
            <v>WEST BERNARDO</v>
          </cell>
          <cell r="L21" t="str">
            <v>RANCHO BERNARDO</v>
          </cell>
          <cell r="O21">
            <v>21409</v>
          </cell>
          <cell r="P21" t="str">
            <v>PeMS2016</v>
          </cell>
        </row>
        <row r="22">
          <cell r="C22">
            <v>9</v>
          </cell>
          <cell r="E22">
            <v>568</v>
          </cell>
          <cell r="H22" t="str">
            <v>I-15 SB</v>
          </cell>
          <cell r="I22">
            <v>41</v>
          </cell>
          <cell r="J22">
            <v>0</v>
          </cell>
          <cell r="K22" t="str">
            <v>RANCHO BERNARDO</v>
          </cell>
          <cell r="L22" t="str">
            <v>RANCHO BERNARDO</v>
          </cell>
          <cell r="O22">
            <v>18692</v>
          </cell>
          <cell r="P22" t="str">
            <v>PeMS2016</v>
          </cell>
        </row>
        <row r="23">
          <cell r="C23">
            <v>9</v>
          </cell>
          <cell r="E23">
            <v>13646</v>
          </cell>
          <cell r="H23" t="str">
            <v>I-15 SB</v>
          </cell>
          <cell r="I23">
            <v>42</v>
          </cell>
          <cell r="J23">
            <v>0</v>
          </cell>
          <cell r="K23" t="str">
            <v>RANCHO BERNARDO</v>
          </cell>
          <cell r="L23" t="str">
            <v>BERNARDO CENTER</v>
          </cell>
          <cell r="O23">
            <v>22442</v>
          </cell>
          <cell r="P23" t="str">
            <v>SANDAG</v>
          </cell>
        </row>
        <row r="24">
          <cell r="C24">
            <v>9</v>
          </cell>
          <cell r="E24">
            <v>13649</v>
          </cell>
          <cell r="H24" t="str">
            <v>I-15 SB</v>
          </cell>
          <cell r="I24">
            <v>43</v>
          </cell>
          <cell r="J24">
            <v>0</v>
          </cell>
          <cell r="K24" t="str">
            <v>BERNARDO CENTER</v>
          </cell>
          <cell r="L24" t="str">
            <v>BERNARDO CENTER</v>
          </cell>
          <cell r="O24">
            <v>21029</v>
          </cell>
          <cell r="P24" t="str">
            <v>PeMS2016</v>
          </cell>
        </row>
        <row r="25">
          <cell r="C25">
            <v>9</v>
          </cell>
          <cell r="E25">
            <v>13653</v>
          </cell>
          <cell r="H25" t="str">
            <v>I-15 SB</v>
          </cell>
          <cell r="I25">
            <v>44</v>
          </cell>
          <cell r="J25">
            <v>0</v>
          </cell>
          <cell r="K25" t="str">
            <v>BERNARDO CENTER</v>
          </cell>
          <cell r="L25" t="str">
            <v>CAM DEL NORTE</v>
          </cell>
          <cell r="O25">
            <v>24646</v>
          </cell>
          <cell r="P25" t="str">
            <v>PeMS2016</v>
          </cell>
        </row>
        <row r="26">
          <cell r="C26">
            <v>9</v>
          </cell>
          <cell r="E26">
            <v>31208</v>
          </cell>
          <cell r="H26" t="str">
            <v>I-15 SB</v>
          </cell>
          <cell r="I26">
            <v>45</v>
          </cell>
          <cell r="J26">
            <v>0</v>
          </cell>
          <cell r="K26" t="str">
            <v>CAM DEL NORTE</v>
          </cell>
          <cell r="L26" t="str">
            <v>CAM DEL NORTE</v>
          </cell>
          <cell r="O26">
            <v>21420</v>
          </cell>
          <cell r="P26" t="str">
            <v>PeMS2016</v>
          </cell>
        </row>
        <row r="27">
          <cell r="C27">
            <v>9</v>
          </cell>
          <cell r="E27">
            <v>13661</v>
          </cell>
          <cell r="H27" t="str">
            <v>I-15 SB</v>
          </cell>
          <cell r="I27">
            <v>46</v>
          </cell>
          <cell r="J27">
            <v>0</v>
          </cell>
          <cell r="K27" t="str">
            <v>CAM DEL NORTE</v>
          </cell>
          <cell r="L27" t="str">
            <v>CAM DEL NORTE</v>
          </cell>
          <cell r="O27">
            <v>21294</v>
          </cell>
          <cell r="P27" t="str">
            <v>SANDAG</v>
          </cell>
        </row>
        <row r="28">
          <cell r="C28">
            <v>9</v>
          </cell>
          <cell r="E28">
            <v>13664</v>
          </cell>
          <cell r="H28" t="str">
            <v>I-15 SB</v>
          </cell>
          <cell r="I28">
            <v>47</v>
          </cell>
          <cell r="J28">
            <v>0</v>
          </cell>
          <cell r="K28" t="str">
            <v>CAM DEL NORTE</v>
          </cell>
          <cell r="L28" t="str">
            <v>CARMEL MTN</v>
          </cell>
          <cell r="O28">
            <v>27852</v>
          </cell>
          <cell r="P28" t="str">
            <v>PeMS2016</v>
          </cell>
        </row>
        <row r="29">
          <cell r="C29">
            <v>9</v>
          </cell>
          <cell r="E29">
            <v>13673</v>
          </cell>
          <cell r="H29" t="str">
            <v>I-15 SB</v>
          </cell>
          <cell r="I29">
            <v>48</v>
          </cell>
          <cell r="J29">
            <v>0</v>
          </cell>
          <cell r="K29" t="str">
            <v>CARMEL MTN</v>
          </cell>
          <cell r="L29" t="str">
            <v>CARMEL MTN</v>
          </cell>
          <cell r="O29">
            <v>24049</v>
          </cell>
          <cell r="P29" t="str">
            <v>PeMS2016</v>
          </cell>
        </row>
        <row r="30">
          <cell r="C30">
            <v>9</v>
          </cell>
          <cell r="E30">
            <v>14644</v>
          </cell>
          <cell r="H30" t="str">
            <v>I-15 SB</v>
          </cell>
          <cell r="I30">
            <v>49</v>
          </cell>
          <cell r="J30">
            <v>0</v>
          </cell>
          <cell r="K30" t="str">
            <v>CARMEL MTN</v>
          </cell>
          <cell r="L30" t="str">
            <v>SR-56 WB</v>
          </cell>
          <cell r="O30">
            <v>35147</v>
          </cell>
          <cell r="P30" t="str">
            <v>SANDAG</v>
          </cell>
        </row>
        <row r="31">
          <cell r="C31">
            <v>9</v>
          </cell>
          <cell r="E31">
            <v>570</v>
          </cell>
          <cell r="H31" t="str">
            <v>I-15 SB</v>
          </cell>
          <cell r="I31">
            <v>53</v>
          </cell>
          <cell r="J31">
            <v>0</v>
          </cell>
          <cell r="K31" t="str">
            <v>I-15 HOV SB</v>
          </cell>
          <cell r="L31" t="str">
            <v>SR-56 EB</v>
          </cell>
          <cell r="O31">
            <v>23334</v>
          </cell>
          <cell r="P31" t="str">
            <v>PeMS2016</v>
          </cell>
        </row>
        <row r="32">
          <cell r="C32">
            <v>9</v>
          </cell>
          <cell r="E32">
            <v>14637</v>
          </cell>
          <cell r="H32" t="str">
            <v>I-15 SB</v>
          </cell>
          <cell r="I32">
            <v>54</v>
          </cell>
          <cell r="J32">
            <v>0</v>
          </cell>
          <cell r="K32" t="str">
            <v>SR-56 EB</v>
          </cell>
          <cell r="L32" t="str">
            <v>RANCHO PENASQUITOS</v>
          </cell>
          <cell r="O32">
            <v>22950</v>
          </cell>
          <cell r="P32" t="str">
            <v>PeMS2016</v>
          </cell>
        </row>
        <row r="33">
          <cell r="C33">
            <v>9</v>
          </cell>
          <cell r="E33">
            <v>14660</v>
          </cell>
          <cell r="H33" t="str">
            <v>I-15 SB</v>
          </cell>
          <cell r="I33">
            <v>55</v>
          </cell>
          <cell r="J33">
            <v>0</v>
          </cell>
          <cell r="K33" t="str">
            <v>RANCHO PENASQUITOS</v>
          </cell>
          <cell r="L33" t="str">
            <v>RANCHO PENASQUITOS</v>
          </cell>
          <cell r="O33">
            <v>24886</v>
          </cell>
          <cell r="P33" t="str">
            <v>PeMS2016</v>
          </cell>
        </row>
        <row r="34">
          <cell r="C34">
            <v>9</v>
          </cell>
          <cell r="E34">
            <v>789</v>
          </cell>
          <cell r="H34" t="str">
            <v>I-15 SB</v>
          </cell>
          <cell r="I34">
            <v>59</v>
          </cell>
          <cell r="J34">
            <v>0</v>
          </cell>
          <cell r="K34" t="str">
            <v>MERCY</v>
          </cell>
          <cell r="L34" t="str">
            <v>MERCY</v>
          </cell>
          <cell r="O34">
            <v>27068</v>
          </cell>
          <cell r="P34" t="str">
            <v>PeMS2016</v>
          </cell>
        </row>
        <row r="35">
          <cell r="C35">
            <v>9</v>
          </cell>
          <cell r="E35">
            <v>14383</v>
          </cell>
          <cell r="H35" t="str">
            <v>I-15 SB</v>
          </cell>
          <cell r="I35">
            <v>60</v>
          </cell>
          <cell r="J35">
            <v>0</v>
          </cell>
          <cell r="K35" t="str">
            <v>MERCY</v>
          </cell>
          <cell r="L35" t="str">
            <v>MIRA MESA</v>
          </cell>
          <cell r="O35">
            <v>31601</v>
          </cell>
          <cell r="P35" t="str">
            <v>PeMS2016</v>
          </cell>
        </row>
        <row r="36">
          <cell r="C36">
            <v>9</v>
          </cell>
          <cell r="E36">
            <v>28809</v>
          </cell>
          <cell r="H36" t="str">
            <v>I-15 SB</v>
          </cell>
          <cell r="I36">
            <v>62</v>
          </cell>
          <cell r="J36">
            <v>0</v>
          </cell>
          <cell r="K36" t="str">
            <v>MIRA MESA</v>
          </cell>
          <cell r="L36" t="str">
            <v>MIRA MESA</v>
          </cell>
          <cell r="O36">
            <v>24549</v>
          </cell>
          <cell r="P36" t="str">
            <v>PeMS2016</v>
          </cell>
        </row>
        <row r="37">
          <cell r="C37">
            <v>9</v>
          </cell>
          <cell r="E37">
            <v>8814</v>
          </cell>
          <cell r="H37" t="str">
            <v>I-15 SB</v>
          </cell>
          <cell r="I37">
            <v>64</v>
          </cell>
          <cell r="J37">
            <v>0</v>
          </cell>
          <cell r="K37" t="str">
            <v>MIRA MESA</v>
          </cell>
          <cell r="L37" t="str">
            <v>CARROLL CANYON</v>
          </cell>
          <cell r="O37">
            <v>30102</v>
          </cell>
          <cell r="P37" t="str">
            <v>PeMS2016</v>
          </cell>
        </row>
        <row r="38">
          <cell r="C38">
            <v>9</v>
          </cell>
          <cell r="E38">
            <v>14400</v>
          </cell>
          <cell r="H38" t="str">
            <v>I-15 SB</v>
          </cell>
          <cell r="I38">
            <v>65</v>
          </cell>
          <cell r="J38">
            <v>0</v>
          </cell>
          <cell r="K38" t="str">
            <v>CARROLL CANYON</v>
          </cell>
          <cell r="L38" t="str">
            <v>CARROLL CANYON</v>
          </cell>
          <cell r="O38">
            <v>28355</v>
          </cell>
          <cell r="P38" t="str">
            <v>PeMS2016</v>
          </cell>
        </row>
        <row r="39">
          <cell r="C39">
            <v>9</v>
          </cell>
          <cell r="E39">
            <v>14407</v>
          </cell>
          <cell r="H39" t="str">
            <v>I-15 SB</v>
          </cell>
          <cell r="I39">
            <v>67</v>
          </cell>
          <cell r="J39">
            <v>0</v>
          </cell>
          <cell r="K39" t="str">
            <v>MIRAMAR</v>
          </cell>
          <cell r="L39" t="str">
            <v>MIRAMAR</v>
          </cell>
          <cell r="O39">
            <v>29905</v>
          </cell>
          <cell r="P39" t="str">
            <v>PeMS2016</v>
          </cell>
        </row>
        <row r="40">
          <cell r="C40">
            <v>9</v>
          </cell>
          <cell r="E40">
            <v>14411</v>
          </cell>
          <cell r="H40" t="str">
            <v>I-15 SB</v>
          </cell>
          <cell r="I40">
            <v>68</v>
          </cell>
          <cell r="J40">
            <v>0</v>
          </cell>
          <cell r="K40" t="str">
            <v>MIRAMAR</v>
          </cell>
          <cell r="L40" t="str">
            <v>MIRAMAR</v>
          </cell>
          <cell r="O40">
            <v>29788</v>
          </cell>
          <cell r="P40" t="str">
            <v>PeMS2016</v>
          </cell>
        </row>
        <row r="41">
          <cell r="C41">
            <v>9</v>
          </cell>
          <cell r="E41">
            <v>14412</v>
          </cell>
          <cell r="H41" t="str">
            <v>I-15 SB</v>
          </cell>
          <cell r="I41">
            <v>69</v>
          </cell>
          <cell r="J41">
            <v>0</v>
          </cell>
          <cell r="K41" t="str">
            <v>MIRAMAR</v>
          </cell>
          <cell r="L41" t="str">
            <v>MIRAMAR WAY</v>
          </cell>
          <cell r="O41">
            <v>28889</v>
          </cell>
          <cell r="P41" t="str">
            <v>PeMS2016</v>
          </cell>
        </row>
        <row r="42">
          <cell r="C42">
            <v>9</v>
          </cell>
          <cell r="E42">
            <v>14418</v>
          </cell>
          <cell r="H42" t="str">
            <v>I-15 SB</v>
          </cell>
          <cell r="I42">
            <v>71</v>
          </cell>
          <cell r="J42">
            <v>0</v>
          </cell>
          <cell r="K42" t="str">
            <v>MIRAMAR WAY</v>
          </cell>
          <cell r="L42" t="str">
            <v>MIRAMAR WAY</v>
          </cell>
          <cell r="O42">
            <v>30700</v>
          </cell>
          <cell r="P42" t="str">
            <v>PeMS2016</v>
          </cell>
        </row>
        <row r="43">
          <cell r="C43">
            <v>9</v>
          </cell>
          <cell r="E43">
            <v>14419</v>
          </cell>
          <cell r="H43" t="str">
            <v>I-15 SB</v>
          </cell>
          <cell r="I43">
            <v>72</v>
          </cell>
          <cell r="J43">
            <v>0</v>
          </cell>
          <cell r="K43" t="str">
            <v>MIRAMAR WAY</v>
          </cell>
          <cell r="L43" t="str">
            <v>SR-163 SB</v>
          </cell>
          <cell r="O43">
            <v>28943</v>
          </cell>
          <cell r="P43" t="str">
            <v>PeMS2016</v>
          </cell>
        </row>
        <row r="44">
          <cell r="C44">
            <v>9</v>
          </cell>
          <cell r="E44">
            <v>8816</v>
          </cell>
          <cell r="H44" t="str">
            <v>I-15 SB</v>
          </cell>
          <cell r="I44">
            <v>74</v>
          </cell>
          <cell r="J44">
            <v>0</v>
          </cell>
          <cell r="K44" t="str">
            <v>I-15 HOV SB</v>
          </cell>
          <cell r="L44" t="str">
            <v>SR-52 WB</v>
          </cell>
          <cell r="O44">
            <v>11716</v>
          </cell>
          <cell r="P44" t="str">
            <v>PeMS2016</v>
          </cell>
        </row>
        <row r="45">
          <cell r="C45">
            <v>9</v>
          </cell>
          <cell r="E45">
            <v>28899</v>
          </cell>
          <cell r="H45" t="str">
            <v>I-15 SB</v>
          </cell>
          <cell r="I45">
            <v>75</v>
          </cell>
          <cell r="J45">
            <v>0</v>
          </cell>
          <cell r="K45" t="str">
            <v>SR-52 WB</v>
          </cell>
          <cell r="L45" t="str">
            <v>SR-52 EB</v>
          </cell>
          <cell r="O45">
            <v>10958</v>
          </cell>
          <cell r="P45" t="str">
            <v>PeMS2016</v>
          </cell>
        </row>
        <row r="46">
          <cell r="C46">
            <v>9</v>
          </cell>
          <cell r="E46">
            <v>15196</v>
          </cell>
          <cell r="H46" t="str">
            <v>I-15 SB</v>
          </cell>
          <cell r="I46">
            <v>76</v>
          </cell>
          <cell r="J46">
            <v>0</v>
          </cell>
          <cell r="K46" t="str">
            <v>CLAIREMONT MESA</v>
          </cell>
          <cell r="L46" t="str">
            <v>CLAIREMONT MESA</v>
          </cell>
          <cell r="O46">
            <v>19875</v>
          </cell>
          <cell r="P46" t="str">
            <v>PeMS2016</v>
          </cell>
        </row>
        <row r="47">
          <cell r="C47">
            <v>9</v>
          </cell>
          <cell r="E47">
            <v>15191</v>
          </cell>
          <cell r="H47" t="str">
            <v>I-15 SB</v>
          </cell>
          <cell r="I47">
            <v>77</v>
          </cell>
          <cell r="J47">
            <v>0</v>
          </cell>
          <cell r="K47" t="str">
            <v>CLAIREMONT MESA</v>
          </cell>
          <cell r="L47" t="str">
            <v>BALBOA</v>
          </cell>
          <cell r="O47">
            <v>21049</v>
          </cell>
          <cell r="P47" t="str">
            <v>PeMS2016</v>
          </cell>
        </row>
        <row r="48">
          <cell r="C48">
            <v>9</v>
          </cell>
          <cell r="E48">
            <v>9338</v>
          </cell>
          <cell r="H48" t="str">
            <v>I-15 SB</v>
          </cell>
          <cell r="I48">
            <v>81</v>
          </cell>
          <cell r="J48">
            <v>0</v>
          </cell>
          <cell r="K48" t="str">
            <v>BALBOA</v>
          </cell>
          <cell r="L48" t="str">
            <v>AERO</v>
          </cell>
          <cell r="O48">
            <v>26635</v>
          </cell>
          <cell r="P48" t="str">
            <v>PeMS2016</v>
          </cell>
        </row>
        <row r="49">
          <cell r="C49">
            <v>9</v>
          </cell>
          <cell r="E49">
            <v>9335</v>
          </cell>
          <cell r="H49" t="str">
            <v>I-15 SB</v>
          </cell>
          <cell r="I49">
            <v>82</v>
          </cell>
          <cell r="J49">
            <v>0</v>
          </cell>
          <cell r="K49" t="str">
            <v>AERO</v>
          </cell>
          <cell r="L49" t="str">
            <v>AERO</v>
          </cell>
          <cell r="O49">
            <v>26697</v>
          </cell>
          <cell r="P49" t="str">
            <v>PeMS2016</v>
          </cell>
        </row>
        <row r="50">
          <cell r="C50">
            <v>9</v>
          </cell>
          <cell r="E50">
            <v>9330</v>
          </cell>
          <cell r="H50" t="str">
            <v>I-15 SB</v>
          </cell>
          <cell r="I50">
            <v>83</v>
          </cell>
          <cell r="J50">
            <v>0</v>
          </cell>
          <cell r="K50" t="str">
            <v>STONECREST</v>
          </cell>
          <cell r="L50" t="str">
            <v>STONECREST</v>
          </cell>
          <cell r="O50">
            <v>29803</v>
          </cell>
          <cell r="P50" t="str">
            <v>PeMS2016</v>
          </cell>
        </row>
        <row r="51">
          <cell r="C51">
            <v>9</v>
          </cell>
          <cell r="E51">
            <v>15768</v>
          </cell>
          <cell r="H51" t="str">
            <v>I-15 SB</v>
          </cell>
          <cell r="I51">
            <v>85</v>
          </cell>
          <cell r="J51">
            <v>0</v>
          </cell>
          <cell r="K51" t="str">
            <v>FRIARS</v>
          </cell>
          <cell r="L51" t="str">
            <v>FRIARS</v>
          </cell>
          <cell r="O51">
            <v>28304</v>
          </cell>
          <cell r="P51" t="str">
            <v>PeMS2016</v>
          </cell>
        </row>
        <row r="52">
          <cell r="C52">
            <v>9</v>
          </cell>
          <cell r="E52">
            <v>16570</v>
          </cell>
          <cell r="H52" t="str">
            <v>I-15 SB</v>
          </cell>
          <cell r="I52">
            <v>86</v>
          </cell>
          <cell r="J52">
            <v>0</v>
          </cell>
          <cell r="K52" t="str">
            <v>FRIARS</v>
          </cell>
          <cell r="L52" t="str">
            <v>I-8 WB</v>
          </cell>
          <cell r="O52">
            <v>30787</v>
          </cell>
          <cell r="P52" t="str">
            <v>Caltran</v>
          </cell>
        </row>
        <row r="53">
          <cell r="C53">
            <v>9</v>
          </cell>
          <cell r="E53">
            <v>16761</v>
          </cell>
          <cell r="H53" t="str">
            <v>I-15 SB</v>
          </cell>
          <cell r="I53">
            <v>90</v>
          </cell>
          <cell r="J53">
            <v>0</v>
          </cell>
          <cell r="K53" t="str">
            <v>I-8 WB</v>
          </cell>
          <cell r="L53" t="str">
            <v>I-8 WB</v>
          </cell>
          <cell r="O53">
            <v>17524</v>
          </cell>
          <cell r="P53" t="str">
            <v>PeMS2016</v>
          </cell>
        </row>
        <row r="54">
          <cell r="C54">
            <v>9</v>
          </cell>
          <cell r="E54">
            <v>8933</v>
          </cell>
          <cell r="H54" t="str">
            <v>I-15 SB</v>
          </cell>
          <cell r="I54">
            <v>93</v>
          </cell>
          <cell r="J54">
            <v>0</v>
          </cell>
          <cell r="K54" t="str">
            <v>I-8 EB</v>
          </cell>
          <cell r="L54" t="str">
            <v>ADAMS</v>
          </cell>
          <cell r="O54">
            <v>25927</v>
          </cell>
          <cell r="P54" t="str">
            <v>Caltran</v>
          </cell>
        </row>
        <row r="55">
          <cell r="C55">
            <v>9</v>
          </cell>
          <cell r="E55">
            <v>8968</v>
          </cell>
          <cell r="H55" t="str">
            <v>I-15 SB</v>
          </cell>
          <cell r="I55">
            <v>95</v>
          </cell>
          <cell r="J55">
            <v>0</v>
          </cell>
          <cell r="K55" t="str">
            <v>ADAMS</v>
          </cell>
          <cell r="L55" t="str">
            <v>ADAMS</v>
          </cell>
          <cell r="O55">
            <v>21780</v>
          </cell>
          <cell r="P55" t="str">
            <v>PeMS2016</v>
          </cell>
        </row>
        <row r="56">
          <cell r="C56">
            <v>9</v>
          </cell>
          <cell r="E56">
            <v>20463</v>
          </cell>
          <cell r="H56" t="str">
            <v>I-15 SB</v>
          </cell>
          <cell r="I56">
            <v>3</v>
          </cell>
          <cell r="J56">
            <v>0</v>
          </cell>
          <cell r="K56" t="str">
            <v>EL CAJON</v>
          </cell>
          <cell r="L56" t="str">
            <v>UNIVERSITY</v>
          </cell>
          <cell r="O56">
            <v>20069</v>
          </cell>
          <cell r="P56" t="str">
            <v>PeMS2016</v>
          </cell>
        </row>
        <row r="57">
          <cell r="C57">
            <v>9</v>
          </cell>
          <cell r="E57">
            <v>8955</v>
          </cell>
          <cell r="H57" t="str">
            <v>I-15 SB</v>
          </cell>
          <cell r="I57">
            <v>4</v>
          </cell>
          <cell r="J57">
            <v>0</v>
          </cell>
          <cell r="L57" t="str">
            <v>UNIVERSITY</v>
          </cell>
          <cell r="O57">
            <v>16611</v>
          </cell>
          <cell r="P57" t="str">
            <v>PeMS2016</v>
          </cell>
        </row>
        <row r="58">
          <cell r="C58">
            <v>9</v>
          </cell>
          <cell r="E58">
            <v>8938</v>
          </cell>
          <cell r="H58" t="str">
            <v>I-15 SB</v>
          </cell>
          <cell r="I58">
            <v>6</v>
          </cell>
          <cell r="J58">
            <v>0</v>
          </cell>
          <cell r="K58" t="str">
            <v>40TH</v>
          </cell>
          <cell r="L58" t="str">
            <v>I-805 SB</v>
          </cell>
          <cell r="O58">
            <v>21035</v>
          </cell>
          <cell r="P58" t="str">
            <v>PeMS2016</v>
          </cell>
        </row>
        <row r="59">
          <cell r="C59">
            <v>9</v>
          </cell>
          <cell r="E59">
            <v>22757</v>
          </cell>
          <cell r="H59" t="str">
            <v>I-15 SB</v>
          </cell>
          <cell r="I59">
            <v>7</v>
          </cell>
          <cell r="J59">
            <v>0</v>
          </cell>
          <cell r="K59" t="str">
            <v>I-805 SB</v>
          </cell>
          <cell r="L59" t="str">
            <v>I-805 SB</v>
          </cell>
          <cell r="O59">
            <v>13241</v>
          </cell>
          <cell r="P59" t="str">
            <v>PeMS2016</v>
          </cell>
        </row>
        <row r="60">
          <cell r="C60">
            <v>9</v>
          </cell>
          <cell r="E60">
            <v>15917</v>
          </cell>
          <cell r="H60" t="str">
            <v>I-15 SB</v>
          </cell>
          <cell r="I60">
            <v>8</v>
          </cell>
          <cell r="J60">
            <v>0</v>
          </cell>
          <cell r="K60" t="str">
            <v>I-805 SB</v>
          </cell>
          <cell r="L60" t="str">
            <v>I-805 SB</v>
          </cell>
          <cell r="O60">
            <v>13241</v>
          </cell>
          <cell r="P60" t="str">
            <v>PeMS2016</v>
          </cell>
        </row>
        <row r="61">
          <cell r="C61">
            <v>9</v>
          </cell>
          <cell r="E61">
            <v>15914</v>
          </cell>
          <cell r="H61" t="str">
            <v>I-15 SB</v>
          </cell>
          <cell r="I61">
            <v>9</v>
          </cell>
          <cell r="J61">
            <v>0</v>
          </cell>
          <cell r="K61" t="str">
            <v>I-805 SB</v>
          </cell>
          <cell r="L61" t="str">
            <v>SR-94 WB</v>
          </cell>
          <cell r="O61">
            <v>17883</v>
          </cell>
          <cell r="P61" t="str">
            <v>PeMS2016</v>
          </cell>
        </row>
        <row r="62">
          <cell r="C62">
            <v>9</v>
          </cell>
          <cell r="E62">
            <v>1173</v>
          </cell>
          <cell r="H62" t="str">
            <v>I-15 SB</v>
          </cell>
          <cell r="I62">
            <v>12</v>
          </cell>
          <cell r="J62">
            <v>0</v>
          </cell>
          <cell r="K62" t="str">
            <v>SR-94 EB</v>
          </cell>
          <cell r="L62" t="str">
            <v>MARKET</v>
          </cell>
          <cell r="O62">
            <v>17864</v>
          </cell>
          <cell r="P62" t="str">
            <v>Caltran</v>
          </cell>
        </row>
        <row r="63">
          <cell r="C63">
            <v>9</v>
          </cell>
          <cell r="E63">
            <v>28417</v>
          </cell>
          <cell r="H63" t="str">
            <v>I-15 SB</v>
          </cell>
          <cell r="I63">
            <v>16</v>
          </cell>
          <cell r="J63">
            <v>0</v>
          </cell>
          <cell r="K63" t="str">
            <v>IMPERIAL</v>
          </cell>
          <cell r="L63" t="str">
            <v>IMPERIAL</v>
          </cell>
          <cell r="O63">
            <v>16528</v>
          </cell>
          <cell r="P63" t="str">
            <v>PeMS2016</v>
          </cell>
        </row>
        <row r="64">
          <cell r="C64">
            <v>9</v>
          </cell>
          <cell r="E64">
            <v>579</v>
          </cell>
          <cell r="H64" t="str">
            <v>I-15 SB</v>
          </cell>
          <cell r="I64">
            <v>18</v>
          </cell>
          <cell r="J64">
            <v>0</v>
          </cell>
          <cell r="K64" t="str">
            <v>OCEAN VIEW</v>
          </cell>
          <cell r="L64" t="str">
            <v>I-5 SB</v>
          </cell>
          <cell r="O64">
            <v>14033</v>
          </cell>
          <cell r="P64" t="str">
            <v>Caltran</v>
          </cell>
        </row>
      </sheetData>
      <sheetData sheetId="10">
        <row r="2">
          <cell r="C2">
            <v>10</v>
          </cell>
          <cell r="E2">
            <v>28793</v>
          </cell>
          <cell r="H2" t="str">
            <v>I-805 SB</v>
          </cell>
          <cell r="I2">
            <v>1</v>
          </cell>
          <cell r="J2">
            <v>0</v>
          </cell>
          <cell r="K2" t="str">
            <v>I-5 SB</v>
          </cell>
          <cell r="L2" t="str">
            <v>I-5 SB</v>
          </cell>
          <cell r="O2">
            <v>9432</v>
          </cell>
          <cell r="P2" t="str">
            <v>PeMS2016</v>
          </cell>
        </row>
        <row r="3">
          <cell r="C3">
            <v>10</v>
          </cell>
          <cell r="E3">
            <v>20781</v>
          </cell>
          <cell r="H3" t="str">
            <v>I-805 SB</v>
          </cell>
          <cell r="I3">
            <v>2</v>
          </cell>
          <cell r="J3">
            <v>0</v>
          </cell>
          <cell r="K3" t="str">
            <v>I-5 SB</v>
          </cell>
          <cell r="L3" t="str">
            <v>SORRENTO VALLEY</v>
          </cell>
          <cell r="O3">
            <v>15531</v>
          </cell>
          <cell r="P3" t="str">
            <v>Caltran</v>
          </cell>
        </row>
        <row r="4">
          <cell r="C4">
            <v>10</v>
          </cell>
          <cell r="E4">
            <v>28798</v>
          </cell>
          <cell r="H4" t="str">
            <v>I-805 SB</v>
          </cell>
          <cell r="I4">
            <v>4</v>
          </cell>
          <cell r="J4">
            <v>0</v>
          </cell>
          <cell r="K4" t="str">
            <v>SORRENTO VALLEY</v>
          </cell>
          <cell r="L4" t="str">
            <v>SORRENTO VALLEY</v>
          </cell>
          <cell r="O4">
            <v>12370</v>
          </cell>
          <cell r="P4" t="str">
            <v>PeMS2016</v>
          </cell>
        </row>
        <row r="5">
          <cell r="C5">
            <v>10</v>
          </cell>
          <cell r="E5">
            <v>8802</v>
          </cell>
          <cell r="H5" t="str">
            <v>I-805 SB</v>
          </cell>
          <cell r="I5">
            <v>5</v>
          </cell>
          <cell r="J5">
            <v>0</v>
          </cell>
          <cell r="K5" t="str">
            <v>SORRENTO VALLEY</v>
          </cell>
          <cell r="L5" t="str">
            <v>SORRENTO VALLEY</v>
          </cell>
          <cell r="O5">
            <v>16116</v>
          </cell>
          <cell r="P5" t="str">
            <v>PeMS2016</v>
          </cell>
        </row>
        <row r="6">
          <cell r="C6">
            <v>10</v>
          </cell>
          <cell r="E6">
            <v>26791</v>
          </cell>
          <cell r="H6" t="str">
            <v>I-805 SB</v>
          </cell>
          <cell r="I6">
            <v>7</v>
          </cell>
          <cell r="J6">
            <v>0</v>
          </cell>
          <cell r="K6" t="str">
            <v>SORRENTO VALLEY</v>
          </cell>
          <cell r="L6" t="str">
            <v>LA JOLLA VILLAGE</v>
          </cell>
          <cell r="O6">
            <v>16818</v>
          </cell>
          <cell r="P6" t="str">
            <v>PeMS2016</v>
          </cell>
        </row>
        <row r="7">
          <cell r="C7">
            <v>10</v>
          </cell>
          <cell r="E7">
            <v>24703</v>
          </cell>
          <cell r="H7" t="str">
            <v>I-805 SB</v>
          </cell>
          <cell r="I7">
            <v>9</v>
          </cell>
          <cell r="J7">
            <v>0</v>
          </cell>
          <cell r="K7" t="str">
            <v>LA JOLLA VILLAGE</v>
          </cell>
          <cell r="L7" t="str">
            <v>LA JOLLA VILLAGE</v>
          </cell>
          <cell r="O7">
            <v>14690</v>
          </cell>
          <cell r="P7" t="str">
            <v>PeMS2016</v>
          </cell>
        </row>
        <row r="8">
          <cell r="C8">
            <v>10</v>
          </cell>
          <cell r="E8">
            <v>15065</v>
          </cell>
          <cell r="H8" t="str">
            <v>I-805 SB</v>
          </cell>
          <cell r="I8">
            <v>11</v>
          </cell>
          <cell r="J8">
            <v>0</v>
          </cell>
          <cell r="K8" t="str">
            <v>LA JOLLA VILLAGE</v>
          </cell>
          <cell r="L8" t="str">
            <v>NOBEL</v>
          </cell>
          <cell r="O8">
            <v>19570</v>
          </cell>
          <cell r="P8" t="str">
            <v>PeMS2016</v>
          </cell>
        </row>
        <row r="9">
          <cell r="C9">
            <v>10</v>
          </cell>
          <cell r="E9">
            <v>24704</v>
          </cell>
          <cell r="H9" t="str">
            <v>I-805 SB</v>
          </cell>
          <cell r="I9">
            <v>13</v>
          </cell>
          <cell r="J9">
            <v>0</v>
          </cell>
          <cell r="K9" t="str">
            <v>GOVERNOR</v>
          </cell>
          <cell r="L9" t="str">
            <v>GOVERNOR</v>
          </cell>
          <cell r="O9">
            <v>20288</v>
          </cell>
          <cell r="P9" t="str">
            <v>PeMS2016</v>
          </cell>
        </row>
        <row r="10">
          <cell r="C10">
            <v>10</v>
          </cell>
          <cell r="E10">
            <v>770</v>
          </cell>
          <cell r="H10" t="str">
            <v>I-805 SB</v>
          </cell>
          <cell r="I10">
            <v>18</v>
          </cell>
          <cell r="J10">
            <v>0</v>
          </cell>
          <cell r="K10" t="str">
            <v>SR-52 WB</v>
          </cell>
          <cell r="L10" t="str">
            <v>SR-52 EB</v>
          </cell>
          <cell r="O10">
            <v>19295</v>
          </cell>
          <cell r="P10" t="str">
            <v>PeMS2016</v>
          </cell>
        </row>
        <row r="11">
          <cell r="C11">
            <v>10</v>
          </cell>
          <cell r="E11">
            <v>771</v>
          </cell>
          <cell r="H11" t="str">
            <v>I-805 SB</v>
          </cell>
          <cell r="I11">
            <v>19</v>
          </cell>
          <cell r="J11">
            <v>0</v>
          </cell>
          <cell r="K11" t="str">
            <v>SR-52 EB</v>
          </cell>
          <cell r="L11" t="str">
            <v>CLAIREMONT MESA</v>
          </cell>
          <cell r="O11">
            <v>20237</v>
          </cell>
          <cell r="P11" t="str">
            <v>PeMS2016</v>
          </cell>
        </row>
        <row r="12">
          <cell r="C12">
            <v>10</v>
          </cell>
          <cell r="E12">
            <v>772</v>
          </cell>
          <cell r="H12" t="str">
            <v>I-805 SB</v>
          </cell>
          <cell r="I12">
            <v>20</v>
          </cell>
          <cell r="J12">
            <v>0</v>
          </cell>
          <cell r="K12" t="str">
            <v>CLAIREMONT MESA</v>
          </cell>
          <cell r="L12" t="str">
            <v>CLAIREMONT MESA</v>
          </cell>
          <cell r="O12">
            <v>20101</v>
          </cell>
          <cell r="P12" t="str">
            <v>PeMS2016</v>
          </cell>
        </row>
        <row r="13">
          <cell r="C13">
            <v>10</v>
          </cell>
          <cell r="E13">
            <v>777</v>
          </cell>
          <cell r="H13" t="str">
            <v>I-805 SB</v>
          </cell>
          <cell r="I13">
            <v>24</v>
          </cell>
          <cell r="J13">
            <v>0</v>
          </cell>
          <cell r="K13" t="str">
            <v>BALBOA</v>
          </cell>
          <cell r="L13" t="str">
            <v>SR-163 SB</v>
          </cell>
          <cell r="O13">
            <v>23020</v>
          </cell>
          <cell r="P13" t="str">
            <v>PeMS2016</v>
          </cell>
        </row>
        <row r="14">
          <cell r="C14">
            <v>10</v>
          </cell>
          <cell r="E14">
            <v>22716</v>
          </cell>
          <cell r="H14" t="str">
            <v>I-805 SB</v>
          </cell>
          <cell r="I14">
            <v>25</v>
          </cell>
          <cell r="J14">
            <v>0</v>
          </cell>
          <cell r="K14" t="str">
            <v>SR-163 SB</v>
          </cell>
          <cell r="L14" t="str">
            <v>SR-163 SB</v>
          </cell>
          <cell r="O14">
            <v>17403</v>
          </cell>
          <cell r="P14" t="str">
            <v>PeMS2016</v>
          </cell>
        </row>
        <row r="15">
          <cell r="C15">
            <v>10</v>
          </cell>
          <cell r="E15">
            <v>778</v>
          </cell>
          <cell r="H15" t="str">
            <v>I-805 SB</v>
          </cell>
          <cell r="I15">
            <v>26</v>
          </cell>
          <cell r="J15">
            <v>0</v>
          </cell>
          <cell r="K15" t="str">
            <v>SR-163 SB</v>
          </cell>
          <cell r="L15" t="str">
            <v>SR-163 SB</v>
          </cell>
          <cell r="O15">
            <v>18107</v>
          </cell>
          <cell r="P15" t="str">
            <v>PeMS2016</v>
          </cell>
        </row>
        <row r="16">
          <cell r="C16">
            <v>10</v>
          </cell>
          <cell r="E16">
            <v>779</v>
          </cell>
          <cell r="H16" t="str">
            <v>I-805 SB</v>
          </cell>
          <cell r="I16">
            <v>27</v>
          </cell>
          <cell r="J16">
            <v>0</v>
          </cell>
          <cell r="K16" t="str">
            <v>SR-163 SB</v>
          </cell>
          <cell r="L16" t="str">
            <v>MESA COLLEGE</v>
          </cell>
          <cell r="O16">
            <v>18499</v>
          </cell>
          <cell r="P16" t="str">
            <v>PeMS2016</v>
          </cell>
        </row>
        <row r="17">
          <cell r="C17">
            <v>10</v>
          </cell>
          <cell r="E17">
            <v>786</v>
          </cell>
          <cell r="H17" t="str">
            <v>I-805 SB</v>
          </cell>
          <cell r="I17">
            <v>28</v>
          </cell>
          <cell r="J17">
            <v>0</v>
          </cell>
          <cell r="K17" t="str">
            <v>MESA COLLEGE</v>
          </cell>
          <cell r="L17" t="str">
            <v>MURRAY RIDGE</v>
          </cell>
          <cell r="O17">
            <v>29959</v>
          </cell>
          <cell r="P17" t="str">
            <v>PeMS2016</v>
          </cell>
        </row>
        <row r="18">
          <cell r="C18">
            <v>10</v>
          </cell>
          <cell r="E18">
            <v>787</v>
          </cell>
          <cell r="H18" t="str">
            <v>I-805 SB</v>
          </cell>
          <cell r="I18">
            <v>29</v>
          </cell>
          <cell r="J18">
            <v>0</v>
          </cell>
          <cell r="K18" t="str">
            <v>MURRAY RIDGE</v>
          </cell>
          <cell r="L18" t="str">
            <v>MURRAY RIDGE</v>
          </cell>
          <cell r="O18">
            <v>29030</v>
          </cell>
          <cell r="P18" t="str">
            <v>PeMS2016</v>
          </cell>
        </row>
        <row r="19">
          <cell r="C19">
            <v>10</v>
          </cell>
          <cell r="E19">
            <v>788</v>
          </cell>
          <cell r="H19" t="str">
            <v>I-805 SB</v>
          </cell>
          <cell r="I19">
            <v>30</v>
          </cell>
          <cell r="J19">
            <v>0</v>
          </cell>
          <cell r="K19" t="str">
            <v>MURRAY RIDGE</v>
          </cell>
          <cell r="L19" t="str">
            <v>I-8 WB</v>
          </cell>
          <cell r="O19">
            <v>30741</v>
          </cell>
          <cell r="P19" t="str">
            <v>PeMS2016</v>
          </cell>
        </row>
        <row r="20">
          <cell r="C20">
            <v>10</v>
          </cell>
          <cell r="E20">
            <v>20782</v>
          </cell>
          <cell r="H20" t="str">
            <v>I-805 SB</v>
          </cell>
          <cell r="I20">
            <v>31</v>
          </cell>
          <cell r="J20">
            <v>0</v>
          </cell>
          <cell r="K20" t="str">
            <v>I-8 WB</v>
          </cell>
          <cell r="L20" t="str">
            <v>I-8 EB</v>
          </cell>
          <cell r="O20">
            <v>21829</v>
          </cell>
          <cell r="P20" t="str">
            <v>PeMS2016</v>
          </cell>
        </row>
        <row r="21">
          <cell r="C21">
            <v>10</v>
          </cell>
          <cell r="E21">
            <v>792</v>
          </cell>
          <cell r="H21" t="str">
            <v>I-805 SB</v>
          </cell>
          <cell r="I21">
            <v>33</v>
          </cell>
          <cell r="J21">
            <v>0</v>
          </cell>
          <cell r="K21" t="str">
            <v>MADISON</v>
          </cell>
          <cell r="L21" t="str">
            <v>EL CAJON</v>
          </cell>
          <cell r="O21">
            <v>29038</v>
          </cell>
          <cell r="P21" t="str">
            <v>PeMS2016</v>
          </cell>
        </row>
        <row r="22">
          <cell r="C22">
            <v>10</v>
          </cell>
          <cell r="E22">
            <v>797</v>
          </cell>
          <cell r="H22" t="str">
            <v>I-805 SB</v>
          </cell>
          <cell r="I22">
            <v>35</v>
          </cell>
          <cell r="J22">
            <v>0</v>
          </cell>
          <cell r="K22" t="str">
            <v>EL CAJON</v>
          </cell>
          <cell r="L22" t="str">
            <v>UNIVERSITY</v>
          </cell>
          <cell r="O22">
            <v>28272</v>
          </cell>
          <cell r="P22" t="str">
            <v>Caltran</v>
          </cell>
        </row>
        <row r="23">
          <cell r="C23">
            <v>10</v>
          </cell>
          <cell r="E23">
            <v>801</v>
          </cell>
          <cell r="H23" t="str">
            <v>I-805 SB</v>
          </cell>
          <cell r="I23">
            <v>39</v>
          </cell>
          <cell r="J23">
            <v>0</v>
          </cell>
          <cell r="K23" t="str">
            <v>SR-15 SB</v>
          </cell>
          <cell r="L23" t="str">
            <v>SR-15 SB</v>
          </cell>
          <cell r="O23">
            <v>23425</v>
          </cell>
          <cell r="P23" t="str">
            <v>PeMS2016</v>
          </cell>
        </row>
        <row r="24">
          <cell r="C24">
            <v>10</v>
          </cell>
          <cell r="E24">
            <v>802</v>
          </cell>
          <cell r="H24" t="str">
            <v>I-805 SB</v>
          </cell>
          <cell r="I24">
            <v>40</v>
          </cell>
          <cell r="J24">
            <v>0</v>
          </cell>
          <cell r="K24" t="str">
            <v>SR-15 SB</v>
          </cell>
          <cell r="L24" t="str">
            <v>HOME</v>
          </cell>
          <cell r="O24">
            <v>32716</v>
          </cell>
          <cell r="P24" t="str">
            <v>PeMS2016</v>
          </cell>
        </row>
        <row r="25">
          <cell r="C25">
            <v>10</v>
          </cell>
          <cell r="E25">
            <v>804</v>
          </cell>
          <cell r="H25" t="str">
            <v>I-805 SB</v>
          </cell>
          <cell r="I25">
            <v>42</v>
          </cell>
          <cell r="J25">
            <v>0</v>
          </cell>
          <cell r="L25" t="str">
            <v>SR-94 EB</v>
          </cell>
          <cell r="O25">
            <v>21789</v>
          </cell>
          <cell r="P25" t="str">
            <v>PeMS2016</v>
          </cell>
        </row>
        <row r="26">
          <cell r="C26">
            <v>10</v>
          </cell>
          <cell r="E26">
            <v>806</v>
          </cell>
          <cell r="H26" t="str">
            <v>I-805 SB</v>
          </cell>
          <cell r="I26">
            <v>45</v>
          </cell>
          <cell r="J26">
            <v>0</v>
          </cell>
          <cell r="K26" t="str">
            <v>MARKET</v>
          </cell>
          <cell r="L26" t="str">
            <v>SR-94 EB</v>
          </cell>
          <cell r="O26">
            <v>19717</v>
          </cell>
          <cell r="P26" t="str">
            <v>PeMS2016</v>
          </cell>
        </row>
        <row r="27">
          <cell r="C27">
            <v>10</v>
          </cell>
          <cell r="E27">
            <v>807</v>
          </cell>
          <cell r="H27" t="str">
            <v>I-805 SB</v>
          </cell>
          <cell r="I27">
            <v>46</v>
          </cell>
          <cell r="J27">
            <v>0</v>
          </cell>
          <cell r="K27" t="str">
            <v>SR-94 EB</v>
          </cell>
          <cell r="L27" t="str">
            <v>MARKET</v>
          </cell>
          <cell r="O27">
            <v>32011</v>
          </cell>
          <cell r="P27" t="str">
            <v>Caltran</v>
          </cell>
        </row>
        <row r="28">
          <cell r="C28">
            <v>10</v>
          </cell>
          <cell r="E28">
            <v>3222</v>
          </cell>
          <cell r="H28" t="str">
            <v>I-805 SB</v>
          </cell>
          <cell r="I28">
            <v>51</v>
          </cell>
          <cell r="J28">
            <v>0</v>
          </cell>
          <cell r="K28" t="str">
            <v>47TH</v>
          </cell>
          <cell r="L28" t="str">
            <v>47TH</v>
          </cell>
          <cell r="O28">
            <v>21475</v>
          </cell>
          <cell r="P28" t="str">
            <v>PeMS2016</v>
          </cell>
        </row>
        <row r="29">
          <cell r="C29">
            <v>10</v>
          </cell>
          <cell r="E29">
            <v>813</v>
          </cell>
          <cell r="H29" t="str">
            <v>I-805 SB</v>
          </cell>
          <cell r="I29">
            <v>53</v>
          </cell>
          <cell r="J29">
            <v>0</v>
          </cell>
          <cell r="K29" t="str">
            <v>47TH</v>
          </cell>
          <cell r="L29" t="str">
            <v>43RD</v>
          </cell>
          <cell r="O29">
            <v>27118</v>
          </cell>
          <cell r="P29" t="str">
            <v>PeMS2016</v>
          </cell>
        </row>
        <row r="30">
          <cell r="C30">
            <v>10</v>
          </cell>
          <cell r="E30">
            <v>815</v>
          </cell>
          <cell r="H30" t="str">
            <v>I-805 SB</v>
          </cell>
          <cell r="I30">
            <v>54</v>
          </cell>
          <cell r="J30">
            <v>0</v>
          </cell>
          <cell r="K30" t="str">
            <v>43RD</v>
          </cell>
          <cell r="L30" t="str">
            <v>PLAZA</v>
          </cell>
          <cell r="O30">
            <v>31203</v>
          </cell>
          <cell r="P30" t="str">
            <v>Caltran</v>
          </cell>
        </row>
        <row r="31">
          <cell r="C31">
            <v>10</v>
          </cell>
          <cell r="E31">
            <v>20789</v>
          </cell>
          <cell r="H31" t="str">
            <v>I-805 SB</v>
          </cell>
          <cell r="I31">
            <v>55</v>
          </cell>
          <cell r="J31">
            <v>0</v>
          </cell>
          <cell r="K31" t="str">
            <v>PLAZA</v>
          </cell>
          <cell r="L31" t="str">
            <v>PLAZA</v>
          </cell>
          <cell r="O31">
            <v>27045</v>
          </cell>
          <cell r="P31" t="str">
            <v>PeMS2016</v>
          </cell>
        </row>
        <row r="32">
          <cell r="C32">
            <v>10</v>
          </cell>
          <cell r="E32">
            <v>20790</v>
          </cell>
          <cell r="H32" t="str">
            <v>I-805 SB</v>
          </cell>
          <cell r="I32">
            <v>56</v>
          </cell>
          <cell r="J32">
            <v>0</v>
          </cell>
          <cell r="K32" t="str">
            <v>PLAZA</v>
          </cell>
          <cell r="L32" t="str">
            <v>SR-54 WB</v>
          </cell>
          <cell r="O32">
            <v>27413</v>
          </cell>
          <cell r="P32" t="str">
            <v>PeMS2016</v>
          </cell>
        </row>
        <row r="33">
          <cell r="C33">
            <v>10</v>
          </cell>
          <cell r="E33">
            <v>835</v>
          </cell>
          <cell r="H33" t="str">
            <v>I-805 SB</v>
          </cell>
          <cell r="I33">
            <v>62</v>
          </cell>
          <cell r="J33">
            <v>0</v>
          </cell>
          <cell r="K33" t="str">
            <v>SR-54 EB</v>
          </cell>
          <cell r="L33" t="str">
            <v>BONITA</v>
          </cell>
          <cell r="O33">
            <v>35806</v>
          </cell>
          <cell r="P33" t="str">
            <v>Caltran</v>
          </cell>
        </row>
        <row r="34">
          <cell r="C34">
            <v>10</v>
          </cell>
          <cell r="E34">
            <v>836</v>
          </cell>
          <cell r="H34" t="str">
            <v>I-805 SB</v>
          </cell>
          <cell r="I34">
            <v>63</v>
          </cell>
          <cell r="J34">
            <v>0</v>
          </cell>
          <cell r="K34" t="str">
            <v>BONITA</v>
          </cell>
          <cell r="L34" t="str">
            <v>BONITA</v>
          </cell>
          <cell r="O34">
            <v>30376</v>
          </cell>
          <cell r="P34" t="str">
            <v>PeMS2016</v>
          </cell>
        </row>
        <row r="35">
          <cell r="C35">
            <v>10</v>
          </cell>
          <cell r="E35">
            <v>22157</v>
          </cell>
          <cell r="H35" t="str">
            <v>I-805 SB</v>
          </cell>
          <cell r="I35">
            <v>66</v>
          </cell>
          <cell r="J35">
            <v>0</v>
          </cell>
          <cell r="K35" t="str">
            <v>H</v>
          </cell>
          <cell r="L35" t="str">
            <v>H</v>
          </cell>
          <cell r="O35">
            <v>26889</v>
          </cell>
          <cell r="P35" t="str">
            <v>PeMS2016</v>
          </cell>
        </row>
        <row r="36">
          <cell r="C36">
            <v>10</v>
          </cell>
          <cell r="E36">
            <v>841</v>
          </cell>
          <cell r="H36" t="str">
            <v>I-805 SB</v>
          </cell>
          <cell r="I36">
            <v>69</v>
          </cell>
          <cell r="J36">
            <v>0</v>
          </cell>
          <cell r="K36" t="str">
            <v>H</v>
          </cell>
          <cell r="L36" t="str">
            <v>TELEGRAPH CANYON</v>
          </cell>
          <cell r="O36">
            <v>26224</v>
          </cell>
          <cell r="P36" t="str">
            <v>PeMS2016</v>
          </cell>
        </row>
        <row r="37">
          <cell r="C37">
            <v>10</v>
          </cell>
          <cell r="E37">
            <v>10633</v>
          </cell>
          <cell r="H37" t="str">
            <v>I-805 SB</v>
          </cell>
          <cell r="I37">
            <v>70</v>
          </cell>
          <cell r="J37">
            <v>0</v>
          </cell>
          <cell r="K37" t="str">
            <v>TELEGRAPH CANYON</v>
          </cell>
          <cell r="L37" t="str">
            <v>TELEGRAPH CANYON</v>
          </cell>
          <cell r="O37">
            <v>16943</v>
          </cell>
          <cell r="P37" t="str">
            <v>PeMS2016</v>
          </cell>
        </row>
        <row r="38">
          <cell r="C38">
            <v>10</v>
          </cell>
          <cell r="E38">
            <v>843</v>
          </cell>
          <cell r="H38" t="str">
            <v>I-805 SB</v>
          </cell>
          <cell r="I38">
            <v>72</v>
          </cell>
          <cell r="J38">
            <v>0</v>
          </cell>
          <cell r="K38" t="str">
            <v>TELEGRAPH CANYON</v>
          </cell>
          <cell r="L38" t="str">
            <v>PALOMAR</v>
          </cell>
          <cell r="O38">
            <v>16630</v>
          </cell>
          <cell r="P38" t="str">
            <v>PeMS2016</v>
          </cell>
        </row>
        <row r="39">
          <cell r="C39">
            <v>10</v>
          </cell>
          <cell r="E39">
            <v>851</v>
          </cell>
          <cell r="H39" t="str">
            <v>I-805 SB</v>
          </cell>
          <cell r="I39">
            <v>77</v>
          </cell>
          <cell r="J39">
            <v>0</v>
          </cell>
          <cell r="K39" t="str">
            <v>OTAY VALLEY</v>
          </cell>
          <cell r="L39" t="str">
            <v>OTAY VALLEY</v>
          </cell>
          <cell r="O39">
            <v>17965</v>
          </cell>
          <cell r="P39" t="str">
            <v>PeMS2016</v>
          </cell>
        </row>
        <row r="40">
          <cell r="C40">
            <v>10</v>
          </cell>
          <cell r="E40">
            <v>853</v>
          </cell>
          <cell r="H40" t="str">
            <v>I-805 SB</v>
          </cell>
          <cell r="I40">
            <v>79</v>
          </cell>
          <cell r="J40">
            <v>0</v>
          </cell>
          <cell r="K40" t="str">
            <v>PALM</v>
          </cell>
          <cell r="L40" t="str">
            <v>PALM</v>
          </cell>
          <cell r="O40">
            <v>13679</v>
          </cell>
          <cell r="P40" t="str">
            <v>PeMS2016</v>
          </cell>
        </row>
        <row r="41">
          <cell r="C41">
            <v>10</v>
          </cell>
          <cell r="E41">
            <v>854</v>
          </cell>
          <cell r="H41" t="str">
            <v>I-805 SB</v>
          </cell>
          <cell r="I41">
            <v>80</v>
          </cell>
          <cell r="J41">
            <v>0</v>
          </cell>
          <cell r="K41" t="str">
            <v>PALM</v>
          </cell>
          <cell r="L41" t="str">
            <v>SR-905 WB</v>
          </cell>
          <cell r="O41">
            <v>14280</v>
          </cell>
          <cell r="P41" t="str">
            <v>PeMS2016</v>
          </cell>
        </row>
        <row r="42">
          <cell r="C42">
            <v>10</v>
          </cell>
          <cell r="E42">
            <v>25533</v>
          </cell>
          <cell r="H42" t="str">
            <v>I-805 SB</v>
          </cell>
          <cell r="I42">
            <v>81</v>
          </cell>
          <cell r="J42">
            <v>0</v>
          </cell>
          <cell r="K42" t="str">
            <v>SR-905 WB</v>
          </cell>
          <cell r="L42" t="str">
            <v>SR-905 WB</v>
          </cell>
          <cell r="O42">
            <v>8561</v>
          </cell>
          <cell r="P42" t="str">
            <v>PeMS2016</v>
          </cell>
        </row>
        <row r="43">
          <cell r="C43">
            <v>10</v>
          </cell>
          <cell r="E43">
            <v>857</v>
          </cell>
          <cell r="H43" t="str">
            <v>I-805 SB</v>
          </cell>
          <cell r="I43">
            <v>85</v>
          </cell>
          <cell r="J43">
            <v>0</v>
          </cell>
          <cell r="K43" t="str">
            <v>SR-905 EB</v>
          </cell>
          <cell r="L43" t="str">
            <v>EAST SAN YSIDRO</v>
          </cell>
          <cell r="O43">
            <v>12542</v>
          </cell>
          <cell r="P43" t="str">
            <v>PeMS2016</v>
          </cell>
        </row>
        <row r="44">
          <cell r="C44">
            <v>10</v>
          </cell>
          <cell r="E44">
            <v>858</v>
          </cell>
          <cell r="H44" t="str">
            <v>I-805 SB</v>
          </cell>
          <cell r="I44">
            <v>86</v>
          </cell>
          <cell r="J44">
            <v>0</v>
          </cell>
          <cell r="K44" t="str">
            <v>EAST SAN YSIDRO</v>
          </cell>
          <cell r="L44" t="str">
            <v>EAST SAN YSIDRO</v>
          </cell>
          <cell r="O44">
            <v>6694</v>
          </cell>
          <cell r="P44" t="str">
            <v>PeMS2016</v>
          </cell>
        </row>
      </sheetData>
      <sheetData sheetId="11">
        <row r="2">
          <cell r="C2">
            <v>11</v>
          </cell>
          <cell r="E2">
            <v>7374</v>
          </cell>
          <cell r="H2" t="str">
            <v>SR-163 SB</v>
          </cell>
          <cell r="I2">
            <v>1</v>
          </cell>
          <cell r="J2">
            <v>0</v>
          </cell>
          <cell r="K2" t="str">
            <v>I-15 SB</v>
          </cell>
          <cell r="L2" t="str">
            <v>I-15 HOV SB</v>
          </cell>
          <cell r="O2">
            <v>17739</v>
          </cell>
          <cell r="P2" t="str">
            <v>PeMS2016</v>
          </cell>
        </row>
        <row r="3">
          <cell r="C3">
            <v>11</v>
          </cell>
          <cell r="E3">
            <v>16162</v>
          </cell>
          <cell r="H3" t="str">
            <v>SR-163 SB</v>
          </cell>
          <cell r="I3">
            <v>2</v>
          </cell>
          <cell r="J3">
            <v>0</v>
          </cell>
          <cell r="K3" t="str">
            <v>I-15 HOV SB</v>
          </cell>
          <cell r="L3" t="str">
            <v>KEARNY VILLA</v>
          </cell>
          <cell r="O3">
            <v>20825</v>
          </cell>
          <cell r="P3" t="str">
            <v>PeMS2016</v>
          </cell>
        </row>
        <row r="4">
          <cell r="C4">
            <v>11</v>
          </cell>
          <cell r="E4">
            <v>16163</v>
          </cell>
          <cell r="H4" t="str">
            <v>SR-163 SB</v>
          </cell>
          <cell r="I4">
            <v>4</v>
          </cell>
          <cell r="J4">
            <v>0</v>
          </cell>
          <cell r="K4" t="str">
            <v>KEARNY VILLA</v>
          </cell>
          <cell r="L4" t="str">
            <v>SR-52 WB</v>
          </cell>
          <cell r="O4">
            <v>25016</v>
          </cell>
          <cell r="P4" t="str">
            <v>PeMS2016</v>
          </cell>
        </row>
        <row r="5">
          <cell r="C5">
            <v>11</v>
          </cell>
          <cell r="E5">
            <v>8820</v>
          </cell>
          <cell r="H5" t="str">
            <v>SR-163 SB</v>
          </cell>
          <cell r="I5">
            <v>9</v>
          </cell>
          <cell r="J5">
            <v>0</v>
          </cell>
          <cell r="K5" t="str">
            <v>CLAIREMONT MESA</v>
          </cell>
          <cell r="L5" t="str">
            <v>BALBOA</v>
          </cell>
          <cell r="O5">
            <v>23317</v>
          </cell>
          <cell r="P5" t="str">
            <v>PeMS2016</v>
          </cell>
        </row>
        <row r="6">
          <cell r="C6">
            <v>11</v>
          </cell>
          <cell r="E6">
            <v>8823</v>
          </cell>
          <cell r="H6" t="str">
            <v>SR-163 SB</v>
          </cell>
          <cell r="I6">
            <v>10</v>
          </cell>
          <cell r="J6">
            <v>0</v>
          </cell>
          <cell r="K6" t="str">
            <v>BALBOA</v>
          </cell>
          <cell r="L6" t="str">
            <v>BALBOA</v>
          </cell>
          <cell r="O6">
            <v>18036</v>
          </cell>
          <cell r="P6" t="str">
            <v>PeMS2016</v>
          </cell>
        </row>
        <row r="7">
          <cell r="C7">
            <v>11</v>
          </cell>
          <cell r="E7">
            <v>15688</v>
          </cell>
          <cell r="H7" t="str">
            <v>SR-163 SB</v>
          </cell>
          <cell r="I7">
            <v>11</v>
          </cell>
          <cell r="J7">
            <v>0</v>
          </cell>
          <cell r="K7" t="str">
            <v>BALBOA</v>
          </cell>
          <cell r="L7" t="str">
            <v>I-805 SB</v>
          </cell>
          <cell r="O7">
            <v>23134</v>
          </cell>
          <cell r="P7" t="str">
            <v>PeMS2016</v>
          </cell>
        </row>
        <row r="8">
          <cell r="C8">
            <v>11</v>
          </cell>
          <cell r="E8">
            <v>31184</v>
          </cell>
          <cell r="H8" t="str">
            <v>SR-163 SB</v>
          </cell>
          <cell r="I8">
            <v>13</v>
          </cell>
          <cell r="J8">
            <v>0</v>
          </cell>
          <cell r="K8" t="str">
            <v>I-805 SB</v>
          </cell>
          <cell r="L8" t="str">
            <v>MESA COLLEGE</v>
          </cell>
          <cell r="O8">
            <v>21898</v>
          </cell>
          <cell r="P8" t="str">
            <v>PeMS2016</v>
          </cell>
        </row>
        <row r="9">
          <cell r="C9">
            <v>11</v>
          </cell>
          <cell r="E9">
            <v>15705</v>
          </cell>
          <cell r="H9" t="str">
            <v>SR-163 SB</v>
          </cell>
          <cell r="I9">
            <v>17</v>
          </cell>
          <cell r="J9">
            <v>0</v>
          </cell>
          <cell r="K9" t="str">
            <v>GENESEE</v>
          </cell>
          <cell r="L9" t="str">
            <v>GENESEE</v>
          </cell>
          <cell r="O9">
            <v>17086</v>
          </cell>
          <cell r="P9" t="str">
            <v>PeMS2016</v>
          </cell>
        </row>
        <row r="10">
          <cell r="C10">
            <v>11</v>
          </cell>
          <cell r="E10">
            <v>25142</v>
          </cell>
          <cell r="H10" t="str">
            <v>SR-163 SB</v>
          </cell>
          <cell r="I10">
            <v>19</v>
          </cell>
          <cell r="J10">
            <v>0</v>
          </cell>
          <cell r="K10" t="str">
            <v>GENESEE</v>
          </cell>
          <cell r="L10" t="str">
            <v>FRIARS</v>
          </cell>
          <cell r="O10">
            <v>21723</v>
          </cell>
          <cell r="P10" t="str">
            <v>PeMS2016</v>
          </cell>
        </row>
        <row r="11">
          <cell r="C11">
            <v>11</v>
          </cell>
          <cell r="E11">
            <v>15722</v>
          </cell>
          <cell r="H11" t="str">
            <v>SR-163 SB</v>
          </cell>
          <cell r="I11">
            <v>22</v>
          </cell>
          <cell r="J11">
            <v>0</v>
          </cell>
          <cell r="K11" t="str">
            <v>FRIARS</v>
          </cell>
          <cell r="L11" t="str">
            <v>FRIARS</v>
          </cell>
          <cell r="O11">
            <v>19872</v>
          </cell>
          <cell r="P11" t="str">
            <v>PeMS2016</v>
          </cell>
        </row>
        <row r="12">
          <cell r="C12">
            <v>11</v>
          </cell>
          <cell r="E12">
            <v>8887</v>
          </cell>
          <cell r="H12" t="str">
            <v>SR-163 SB</v>
          </cell>
          <cell r="I12">
            <v>28</v>
          </cell>
          <cell r="J12">
            <v>0</v>
          </cell>
          <cell r="K12" t="str">
            <v>I-8 EB</v>
          </cell>
          <cell r="L12" t="str">
            <v>06TH EX</v>
          </cell>
          <cell r="O12">
            <v>22727</v>
          </cell>
          <cell r="P12" t="str">
            <v>PeMS2016</v>
          </cell>
        </row>
        <row r="13">
          <cell r="C13">
            <v>11</v>
          </cell>
          <cell r="E13">
            <v>16045</v>
          </cell>
          <cell r="H13" t="str">
            <v>SR-163 SB</v>
          </cell>
          <cell r="I13">
            <v>30</v>
          </cell>
          <cell r="J13">
            <v>0</v>
          </cell>
          <cell r="K13" t="str">
            <v>WASHINGTON</v>
          </cell>
          <cell r="L13" t="str">
            <v>WASHINGTON</v>
          </cell>
          <cell r="O13">
            <v>10840</v>
          </cell>
          <cell r="P13" t="str">
            <v>PeMS2016</v>
          </cell>
        </row>
        <row r="14">
          <cell r="C14">
            <v>11</v>
          </cell>
          <cell r="E14">
            <v>21848</v>
          </cell>
          <cell r="H14" t="str">
            <v>SR-163 SB</v>
          </cell>
          <cell r="I14">
            <v>32</v>
          </cell>
          <cell r="J14">
            <v>0</v>
          </cell>
          <cell r="K14" t="str">
            <v>UNIVERSITY</v>
          </cell>
          <cell r="L14" t="str">
            <v>ROBINSON</v>
          </cell>
          <cell r="O14">
            <v>11803</v>
          </cell>
          <cell r="P14" t="str">
            <v>Caltran</v>
          </cell>
        </row>
      </sheetData>
      <sheetData sheetId="12">
        <row r="2">
          <cell r="C2">
            <v>12</v>
          </cell>
          <cell r="E2">
            <v>28925</v>
          </cell>
          <cell r="H2" t="str">
            <v>SR-125 SB</v>
          </cell>
          <cell r="I2">
            <v>2</v>
          </cell>
          <cell r="J2">
            <v>0</v>
          </cell>
          <cell r="K2" t="str">
            <v>SR-52 WB</v>
          </cell>
          <cell r="L2" t="str">
            <v>SR-52 EB</v>
          </cell>
          <cell r="O2">
            <v>5438</v>
          </cell>
          <cell r="P2" t="str">
            <v>PeMS2016</v>
          </cell>
        </row>
        <row r="3">
          <cell r="C3">
            <v>12</v>
          </cell>
          <cell r="E3">
            <v>28950</v>
          </cell>
          <cell r="H3" t="str">
            <v>SR-125 SB</v>
          </cell>
          <cell r="I3">
            <v>3</v>
          </cell>
          <cell r="J3">
            <v>1</v>
          </cell>
          <cell r="K3" t="str">
            <v>SR-52 EB</v>
          </cell>
          <cell r="L3" t="str">
            <v>GROSSMONT COLLEGE DR</v>
          </cell>
          <cell r="O3">
            <v>10546</v>
          </cell>
          <cell r="P3" t="str">
            <v>Caltran</v>
          </cell>
        </row>
        <row r="4">
          <cell r="C4">
            <v>12</v>
          </cell>
          <cell r="E4">
            <v>28949</v>
          </cell>
          <cell r="H4" t="str">
            <v>SR-125 SB</v>
          </cell>
          <cell r="I4">
            <v>5</v>
          </cell>
          <cell r="J4">
            <v>0</v>
          </cell>
          <cell r="K4" t="str">
            <v>GROSSMONT COLLEGE DR</v>
          </cell>
          <cell r="L4" t="str">
            <v>NAVAJO</v>
          </cell>
          <cell r="O4">
            <v>7791</v>
          </cell>
          <cell r="P4" t="str">
            <v>PeMS2016</v>
          </cell>
        </row>
        <row r="5">
          <cell r="C5">
            <v>12</v>
          </cell>
          <cell r="E5">
            <v>12065</v>
          </cell>
          <cell r="H5" t="str">
            <v>SR-125 SB</v>
          </cell>
          <cell r="I5">
            <v>7</v>
          </cell>
          <cell r="J5">
            <v>0</v>
          </cell>
          <cell r="K5" t="str">
            <v>NAVAJO</v>
          </cell>
          <cell r="L5" t="str">
            <v>NAVAJO</v>
          </cell>
          <cell r="O5">
            <v>9705</v>
          </cell>
          <cell r="P5" t="str">
            <v>PeMS2016</v>
          </cell>
        </row>
        <row r="6">
          <cell r="C6">
            <v>12</v>
          </cell>
          <cell r="E6">
            <v>28941</v>
          </cell>
          <cell r="H6" t="str">
            <v>SR-125 SB</v>
          </cell>
          <cell r="I6">
            <v>8</v>
          </cell>
          <cell r="J6">
            <v>0</v>
          </cell>
          <cell r="K6" t="str">
            <v>NAVAJO</v>
          </cell>
          <cell r="L6" t="str">
            <v>AMAYA</v>
          </cell>
          <cell r="O6">
            <v>12576</v>
          </cell>
          <cell r="P6" t="str">
            <v>PeMS2016</v>
          </cell>
        </row>
        <row r="7">
          <cell r="C7">
            <v>12</v>
          </cell>
          <cell r="E7">
            <v>28938</v>
          </cell>
          <cell r="H7" t="str">
            <v>SR-125 SB</v>
          </cell>
          <cell r="I7">
            <v>9</v>
          </cell>
          <cell r="J7">
            <v>0</v>
          </cell>
          <cell r="K7" t="str">
            <v>AMAYA</v>
          </cell>
          <cell r="L7" t="str">
            <v>AMAYA</v>
          </cell>
          <cell r="O7">
            <v>11022</v>
          </cell>
          <cell r="P7" t="str">
            <v>PeMS2016</v>
          </cell>
        </row>
        <row r="8">
          <cell r="C8">
            <v>12</v>
          </cell>
          <cell r="E8">
            <v>9043</v>
          </cell>
          <cell r="H8" t="str">
            <v>SR-125 SB</v>
          </cell>
          <cell r="I8">
            <v>20</v>
          </cell>
          <cell r="J8">
            <v>0</v>
          </cell>
          <cell r="K8" t="str">
            <v>SPRING</v>
          </cell>
          <cell r="L8" t="str">
            <v>SPRING</v>
          </cell>
          <cell r="O8">
            <v>18998</v>
          </cell>
          <cell r="P8" t="str">
            <v>PeMS2016</v>
          </cell>
        </row>
        <row r="9">
          <cell r="C9">
            <v>12</v>
          </cell>
          <cell r="E9">
            <v>10177</v>
          </cell>
          <cell r="H9" t="str">
            <v>SR-125 SB</v>
          </cell>
          <cell r="I9">
            <v>21</v>
          </cell>
          <cell r="J9">
            <v>0</v>
          </cell>
          <cell r="K9" t="str">
            <v>SPRING</v>
          </cell>
          <cell r="L9" t="str">
            <v>SR-94 WB</v>
          </cell>
          <cell r="O9">
            <v>20215</v>
          </cell>
          <cell r="P9" t="str">
            <v>PeMS2016</v>
          </cell>
        </row>
        <row r="10">
          <cell r="C10">
            <v>12</v>
          </cell>
          <cell r="E10">
            <v>10791</v>
          </cell>
          <cell r="H10" t="str">
            <v>SR-125 SB</v>
          </cell>
          <cell r="I10">
            <v>3</v>
          </cell>
          <cell r="J10">
            <v>1</v>
          </cell>
          <cell r="K10" t="str">
            <v>TROY</v>
          </cell>
          <cell r="L10" t="str">
            <v>JAMACHA ROAD</v>
          </cell>
          <cell r="O10">
            <v>20233</v>
          </cell>
          <cell r="P10" t="str">
            <v>PeMS2016</v>
          </cell>
        </row>
        <row r="11">
          <cell r="C11">
            <v>12</v>
          </cell>
          <cell r="E11">
            <v>7258</v>
          </cell>
          <cell r="H11" t="str">
            <v>SR-125 SB</v>
          </cell>
          <cell r="I11">
            <v>5</v>
          </cell>
          <cell r="J11">
            <v>0</v>
          </cell>
          <cell r="K11" t="str">
            <v>JAMACHA ROAD</v>
          </cell>
          <cell r="L11" t="str">
            <v>SR  54</v>
          </cell>
          <cell r="O11">
            <v>14935</v>
          </cell>
          <cell r="P11" t="str">
            <v>PeMS2016</v>
          </cell>
        </row>
        <row r="12">
          <cell r="C12">
            <v>12</v>
          </cell>
          <cell r="E12">
            <v>7259</v>
          </cell>
          <cell r="H12" t="str">
            <v>SR-125 SB</v>
          </cell>
          <cell r="I12">
            <v>6</v>
          </cell>
          <cell r="J12">
            <v>0</v>
          </cell>
          <cell r="K12" t="str">
            <v>SR  54</v>
          </cell>
          <cell r="L12" t="str">
            <v>PARADISE VALLEY</v>
          </cell>
          <cell r="O12">
            <v>14060</v>
          </cell>
          <cell r="P12" t="str">
            <v>PeMS2016</v>
          </cell>
        </row>
        <row r="13">
          <cell r="C13">
            <v>12</v>
          </cell>
          <cell r="E13">
            <v>9012</v>
          </cell>
          <cell r="H13" t="str">
            <v>SR-125 SB</v>
          </cell>
          <cell r="I13">
            <v>1</v>
          </cell>
          <cell r="J13">
            <v>2</v>
          </cell>
          <cell r="K13" t="str">
            <v>SR-54 EB</v>
          </cell>
          <cell r="L13" t="str">
            <v>SAN MIGUEL</v>
          </cell>
          <cell r="O13">
            <v>5914</v>
          </cell>
          <cell r="P13" t="str">
            <v>SANDAG</v>
          </cell>
        </row>
        <row r="14">
          <cell r="C14">
            <v>12</v>
          </cell>
          <cell r="E14">
            <v>30782</v>
          </cell>
          <cell r="H14" t="str">
            <v>SR-125 SB</v>
          </cell>
          <cell r="I14">
            <v>3</v>
          </cell>
          <cell r="J14">
            <v>0</v>
          </cell>
          <cell r="K14" t="str">
            <v>SAN MIGUEL</v>
          </cell>
          <cell r="L14" t="str">
            <v>H</v>
          </cell>
          <cell r="O14">
            <v>5332</v>
          </cell>
          <cell r="P14" t="str">
            <v>SANDAG</v>
          </cell>
        </row>
        <row r="15">
          <cell r="C15">
            <v>12</v>
          </cell>
          <cell r="E15">
            <v>9142</v>
          </cell>
          <cell r="H15" t="str">
            <v>SR-125 SB</v>
          </cell>
          <cell r="I15">
            <v>6</v>
          </cell>
          <cell r="J15">
            <v>0</v>
          </cell>
          <cell r="K15" t="str">
            <v>H</v>
          </cell>
          <cell r="L15" t="str">
            <v>TELEGRAPH CANYON</v>
          </cell>
          <cell r="O15">
            <v>4233</v>
          </cell>
          <cell r="P15" t="str">
            <v>SANDAG</v>
          </cell>
        </row>
        <row r="16">
          <cell r="C16">
            <v>12</v>
          </cell>
          <cell r="E16">
            <v>9516</v>
          </cell>
          <cell r="H16" t="str">
            <v>SR-125 SB</v>
          </cell>
          <cell r="I16">
            <v>9</v>
          </cell>
          <cell r="J16">
            <v>0</v>
          </cell>
          <cell r="K16" t="str">
            <v>TELEGRAPH CANYON</v>
          </cell>
          <cell r="L16" t="str">
            <v>TOLL PLAZA</v>
          </cell>
          <cell r="O16">
            <v>2769</v>
          </cell>
          <cell r="P16" t="str">
            <v>SANDAG</v>
          </cell>
        </row>
        <row r="17">
          <cell r="C17">
            <v>12</v>
          </cell>
          <cell r="E17">
            <v>9510</v>
          </cell>
          <cell r="H17" t="str">
            <v>SR-125 SB</v>
          </cell>
          <cell r="I17">
            <v>12</v>
          </cell>
          <cell r="J17">
            <v>0</v>
          </cell>
          <cell r="K17" t="str">
            <v>RAMP</v>
          </cell>
          <cell r="L17" t="str">
            <v>EAST CENTER</v>
          </cell>
          <cell r="O17">
            <v>1552</v>
          </cell>
          <cell r="P17" t="str">
            <v>SANDAG</v>
          </cell>
        </row>
        <row r="18">
          <cell r="C18">
            <v>12</v>
          </cell>
          <cell r="E18">
            <v>9488</v>
          </cell>
          <cell r="H18" t="str">
            <v>SR-125 SB</v>
          </cell>
          <cell r="I18">
            <v>15</v>
          </cell>
          <cell r="J18">
            <v>0</v>
          </cell>
          <cell r="K18" t="str">
            <v>EAST CENTER</v>
          </cell>
          <cell r="L18" t="str">
            <v>WOLF CANYON</v>
          </cell>
          <cell r="O18">
            <v>757</v>
          </cell>
          <cell r="P18" t="str">
            <v>SANDAG</v>
          </cell>
        </row>
      </sheetData>
      <sheetData sheetId="13">
        <row r="2">
          <cell r="C2">
            <v>13</v>
          </cell>
          <cell r="E2">
            <v>9033</v>
          </cell>
          <cell r="H2" t="str">
            <v>SR-67 SB</v>
          </cell>
          <cell r="I2">
            <v>9</v>
          </cell>
          <cell r="J2">
            <v>0</v>
          </cell>
          <cell r="K2" t="str">
            <v>WOODSIDE(N)</v>
          </cell>
          <cell r="L2" t="str">
            <v>SR-52 WB</v>
          </cell>
          <cell r="O2">
            <v>8372</v>
          </cell>
          <cell r="P2" t="str">
            <v>Caltran</v>
          </cell>
        </row>
        <row r="3">
          <cell r="C3">
            <v>13</v>
          </cell>
          <cell r="E3">
            <v>13035</v>
          </cell>
          <cell r="H3" t="str">
            <v>SR-67 SB</v>
          </cell>
          <cell r="I3">
            <v>12</v>
          </cell>
          <cell r="J3">
            <v>0</v>
          </cell>
          <cell r="K3" t="str">
            <v>SR-52 EB</v>
          </cell>
          <cell r="L3" t="str">
            <v>BRADLEY</v>
          </cell>
          <cell r="O3">
            <v>13580</v>
          </cell>
          <cell r="P3" t="str">
            <v>Caltran</v>
          </cell>
        </row>
      </sheetData>
      <sheetData sheetId="14">
        <row r="2">
          <cell r="C2">
            <v>14</v>
          </cell>
          <cell r="E2">
            <v>7724</v>
          </cell>
          <cell r="H2" t="str">
            <v>SR-75 SB</v>
          </cell>
          <cell r="I2">
            <v>6</v>
          </cell>
          <cell r="J2">
            <v>0</v>
          </cell>
          <cell r="K2" t="str">
            <v>I-5 SB</v>
          </cell>
          <cell r="L2" t="str">
            <v>GLORIETTA</v>
          </cell>
          <cell r="O2">
            <v>11465</v>
          </cell>
          <cell r="P2" t="str">
            <v>Caltran</v>
          </cell>
        </row>
      </sheetData>
      <sheetData sheetId="15">
        <row r="2">
          <cell r="C2">
            <v>15</v>
          </cell>
          <cell r="E2">
            <v>27540</v>
          </cell>
          <cell r="H2" t="str">
            <v>I-8 WB</v>
          </cell>
          <cell r="I2">
            <v>5</v>
          </cell>
          <cell r="J2">
            <v>7</v>
          </cell>
          <cell r="K2" t="str">
            <v>CORRIZO GORGE</v>
          </cell>
          <cell r="L2" t="str">
            <v>SR-94</v>
          </cell>
          <cell r="O2">
            <v>1614</v>
          </cell>
          <cell r="P2" t="str">
            <v>Caltran</v>
          </cell>
        </row>
        <row r="3">
          <cell r="C3">
            <v>15</v>
          </cell>
          <cell r="E3">
            <v>28270</v>
          </cell>
          <cell r="H3" t="str">
            <v>I-8 WB</v>
          </cell>
          <cell r="I3">
            <v>11</v>
          </cell>
          <cell r="J3">
            <v>2</v>
          </cell>
          <cell r="K3" t="str">
            <v>CAMERON TRUCK</v>
          </cell>
          <cell r="L3" t="str">
            <v>BUCKMAN SPRINGS</v>
          </cell>
          <cell r="O3">
            <v>1811</v>
          </cell>
          <cell r="P3" t="str">
            <v>Caltran</v>
          </cell>
        </row>
        <row r="4">
          <cell r="C4">
            <v>15</v>
          </cell>
          <cell r="E4">
            <v>28254</v>
          </cell>
          <cell r="H4" t="str">
            <v>I-8 WB</v>
          </cell>
          <cell r="I4">
            <v>17</v>
          </cell>
          <cell r="J4">
            <v>5</v>
          </cell>
          <cell r="K4" t="str">
            <v>PINE VALLEY</v>
          </cell>
          <cell r="L4" t="str">
            <v>JAPATUL VALLEY</v>
          </cell>
          <cell r="O4">
            <v>2191</v>
          </cell>
          <cell r="P4" t="str">
            <v>Caltran</v>
          </cell>
        </row>
        <row r="5">
          <cell r="C5">
            <v>15</v>
          </cell>
          <cell r="E5">
            <v>28215</v>
          </cell>
          <cell r="H5" t="str">
            <v>I-8 WB</v>
          </cell>
          <cell r="I5">
            <v>27</v>
          </cell>
          <cell r="J5">
            <v>3</v>
          </cell>
          <cell r="K5" t="str">
            <v>DUNBAR</v>
          </cell>
          <cell r="L5" t="str">
            <v>LAKE JENNINGS PARK</v>
          </cell>
          <cell r="O5">
            <v>5692</v>
          </cell>
          <cell r="P5" t="str">
            <v>Caltran</v>
          </cell>
        </row>
        <row r="6">
          <cell r="C6">
            <v>15</v>
          </cell>
          <cell r="E6">
            <v>28211</v>
          </cell>
          <cell r="H6" t="str">
            <v>I-8 WB</v>
          </cell>
          <cell r="I6">
            <v>28</v>
          </cell>
          <cell r="J6">
            <v>0</v>
          </cell>
          <cell r="K6" t="str">
            <v>LAKE JENNINGS PARK</v>
          </cell>
          <cell r="L6" t="str">
            <v>LAKE JENNINGS PARK</v>
          </cell>
          <cell r="O6">
            <v>4867</v>
          </cell>
          <cell r="P6" t="str">
            <v>PeMS2016</v>
          </cell>
        </row>
        <row r="7">
          <cell r="C7">
            <v>15</v>
          </cell>
          <cell r="E7">
            <v>28206</v>
          </cell>
          <cell r="H7" t="str">
            <v>I-8 WB</v>
          </cell>
          <cell r="I7">
            <v>30</v>
          </cell>
          <cell r="J7">
            <v>1</v>
          </cell>
          <cell r="K7" t="str">
            <v>LAKE JENNINGS PARK</v>
          </cell>
          <cell r="L7" t="str">
            <v>CAM CANADA</v>
          </cell>
          <cell r="O7">
            <v>7200</v>
          </cell>
          <cell r="P7" t="str">
            <v>PeMS2016</v>
          </cell>
        </row>
        <row r="8">
          <cell r="C8">
            <v>15</v>
          </cell>
          <cell r="E8">
            <v>28638</v>
          </cell>
          <cell r="H8" t="str">
            <v>I-8 WB</v>
          </cell>
          <cell r="I8">
            <v>31</v>
          </cell>
          <cell r="J8">
            <v>0</v>
          </cell>
          <cell r="K8" t="str">
            <v>CAM CANADA</v>
          </cell>
          <cell r="L8" t="str">
            <v>CAM CANADA</v>
          </cell>
          <cell r="O8">
            <v>6569</v>
          </cell>
          <cell r="P8" t="str">
            <v>PeMS2016</v>
          </cell>
        </row>
        <row r="9">
          <cell r="C9">
            <v>15</v>
          </cell>
          <cell r="E9">
            <v>28637</v>
          </cell>
          <cell r="H9" t="str">
            <v>I-8 WB</v>
          </cell>
          <cell r="I9">
            <v>32</v>
          </cell>
          <cell r="J9">
            <v>0</v>
          </cell>
          <cell r="K9" t="str">
            <v>CAM CANADA</v>
          </cell>
          <cell r="L9" t="str">
            <v>GREENFIELD</v>
          </cell>
          <cell r="O9">
            <v>8766</v>
          </cell>
          <cell r="P9" t="str">
            <v>PeMS2016</v>
          </cell>
        </row>
        <row r="10">
          <cell r="C10">
            <v>15</v>
          </cell>
          <cell r="E10">
            <v>28200</v>
          </cell>
          <cell r="H10" t="str">
            <v>I-8 WB</v>
          </cell>
          <cell r="I10">
            <v>34</v>
          </cell>
          <cell r="J10">
            <v>0</v>
          </cell>
          <cell r="K10" t="str">
            <v>GREENFIELD</v>
          </cell>
          <cell r="L10" t="str">
            <v>GREENFIELD</v>
          </cell>
          <cell r="O10">
            <v>7575</v>
          </cell>
          <cell r="P10" t="str">
            <v>PeMS2016</v>
          </cell>
        </row>
        <row r="11">
          <cell r="C11">
            <v>15</v>
          </cell>
          <cell r="E11">
            <v>28197</v>
          </cell>
          <cell r="H11" t="str">
            <v>I-8 WB</v>
          </cell>
          <cell r="I11">
            <v>35</v>
          </cell>
          <cell r="J11">
            <v>0</v>
          </cell>
          <cell r="K11" t="str">
            <v>GREENFIELD</v>
          </cell>
          <cell r="L11" t="str">
            <v>SR  54</v>
          </cell>
          <cell r="O11">
            <v>9769</v>
          </cell>
          <cell r="P11" t="str">
            <v>PeMS2016</v>
          </cell>
        </row>
        <row r="12">
          <cell r="C12">
            <v>15</v>
          </cell>
          <cell r="E12">
            <v>28195</v>
          </cell>
          <cell r="H12" t="str">
            <v>I-8 WB</v>
          </cell>
          <cell r="I12">
            <v>36</v>
          </cell>
          <cell r="J12">
            <v>0</v>
          </cell>
          <cell r="K12" t="str">
            <v>SR  54</v>
          </cell>
          <cell r="L12" t="str">
            <v>MAIN</v>
          </cell>
          <cell r="O12">
            <v>9769</v>
          </cell>
          <cell r="P12" t="str">
            <v>PeMS2016</v>
          </cell>
        </row>
        <row r="13">
          <cell r="C13">
            <v>15</v>
          </cell>
          <cell r="E13">
            <v>28634</v>
          </cell>
          <cell r="H13" t="str">
            <v>I-8 WB</v>
          </cell>
          <cell r="I13">
            <v>37</v>
          </cell>
          <cell r="J13">
            <v>0</v>
          </cell>
          <cell r="K13" t="str">
            <v>MAIN</v>
          </cell>
          <cell r="L13" t="str">
            <v>SR  54</v>
          </cell>
          <cell r="O13">
            <v>8745</v>
          </cell>
          <cell r="P13" t="str">
            <v>PeMS2016</v>
          </cell>
        </row>
        <row r="14">
          <cell r="C14">
            <v>15</v>
          </cell>
          <cell r="E14">
            <v>28379</v>
          </cell>
          <cell r="H14" t="str">
            <v>I-8 WB</v>
          </cell>
          <cell r="I14">
            <v>38</v>
          </cell>
          <cell r="J14">
            <v>0</v>
          </cell>
          <cell r="K14" t="str">
            <v>MAIN</v>
          </cell>
          <cell r="L14" t="str">
            <v>SR  54</v>
          </cell>
          <cell r="O14">
            <v>8745</v>
          </cell>
          <cell r="P14" t="str">
            <v>PeMS2016</v>
          </cell>
        </row>
        <row r="15">
          <cell r="C15">
            <v>15</v>
          </cell>
          <cell r="E15">
            <v>28193</v>
          </cell>
          <cell r="H15" t="str">
            <v>I-8 WB</v>
          </cell>
          <cell r="I15">
            <v>39</v>
          </cell>
          <cell r="J15">
            <v>0</v>
          </cell>
          <cell r="K15" t="str">
            <v>02ND</v>
          </cell>
          <cell r="L15" t="str">
            <v>02ND</v>
          </cell>
          <cell r="O15">
            <v>8290</v>
          </cell>
          <cell r="P15" t="str">
            <v>PeMS2016</v>
          </cell>
        </row>
        <row r="16">
          <cell r="C16">
            <v>15</v>
          </cell>
          <cell r="E16">
            <v>28188</v>
          </cell>
          <cell r="H16" t="str">
            <v>I-8 WB</v>
          </cell>
          <cell r="I16">
            <v>40</v>
          </cell>
          <cell r="J16">
            <v>0</v>
          </cell>
          <cell r="K16" t="str">
            <v>02ND</v>
          </cell>
          <cell r="L16" t="str">
            <v>MOLLISON</v>
          </cell>
          <cell r="O16">
            <v>12716</v>
          </cell>
          <cell r="P16" t="str">
            <v>PeMS2016</v>
          </cell>
        </row>
        <row r="17">
          <cell r="C17">
            <v>15</v>
          </cell>
          <cell r="E17">
            <v>28182</v>
          </cell>
          <cell r="H17" t="str">
            <v>I-8 WB</v>
          </cell>
          <cell r="I17">
            <v>41</v>
          </cell>
          <cell r="J17">
            <v>0</v>
          </cell>
          <cell r="K17" t="str">
            <v>MOLLISON</v>
          </cell>
          <cell r="L17" t="str">
            <v>MOLLISON</v>
          </cell>
          <cell r="O17">
            <v>12056</v>
          </cell>
          <cell r="P17" t="str">
            <v>PeMS2016</v>
          </cell>
        </row>
        <row r="18">
          <cell r="C18">
            <v>15</v>
          </cell>
          <cell r="E18">
            <v>28178</v>
          </cell>
          <cell r="H18" t="str">
            <v>I-8 WB</v>
          </cell>
          <cell r="I18">
            <v>42</v>
          </cell>
          <cell r="J18">
            <v>0</v>
          </cell>
          <cell r="K18" t="str">
            <v>MOLLISON</v>
          </cell>
          <cell r="L18" t="str">
            <v>SR-67 NB</v>
          </cell>
          <cell r="O18">
            <v>9963</v>
          </cell>
          <cell r="P18" t="str">
            <v>PeMS2016</v>
          </cell>
        </row>
        <row r="19">
          <cell r="C19">
            <v>15</v>
          </cell>
          <cell r="E19">
            <v>20727</v>
          </cell>
          <cell r="H19" t="str">
            <v>I-8 WB</v>
          </cell>
          <cell r="I19">
            <v>43</v>
          </cell>
          <cell r="J19">
            <v>0</v>
          </cell>
          <cell r="K19" t="str">
            <v>SR-67 NB</v>
          </cell>
          <cell r="L19" t="str">
            <v>SR-67 SB</v>
          </cell>
          <cell r="O19">
            <v>10019</v>
          </cell>
          <cell r="P19" t="str">
            <v>PeMS2016</v>
          </cell>
        </row>
        <row r="20">
          <cell r="C20">
            <v>15</v>
          </cell>
          <cell r="E20">
            <v>20730</v>
          </cell>
          <cell r="H20" t="str">
            <v>I-8 WB</v>
          </cell>
          <cell r="I20">
            <v>44</v>
          </cell>
          <cell r="J20">
            <v>0</v>
          </cell>
          <cell r="K20" t="str">
            <v>SR-67 SB</v>
          </cell>
          <cell r="L20" t="str">
            <v>JOHNSON</v>
          </cell>
          <cell r="O20">
            <v>18455</v>
          </cell>
          <cell r="P20" t="str">
            <v>PeMS2016</v>
          </cell>
        </row>
        <row r="21">
          <cell r="C21">
            <v>15</v>
          </cell>
          <cell r="E21">
            <v>11056</v>
          </cell>
          <cell r="H21" t="str">
            <v>I-8 WB</v>
          </cell>
          <cell r="I21">
            <v>46</v>
          </cell>
          <cell r="J21">
            <v>0</v>
          </cell>
          <cell r="K21" t="str">
            <v>MAIN</v>
          </cell>
          <cell r="L21" t="str">
            <v>MAIN</v>
          </cell>
          <cell r="O21">
            <v>19260</v>
          </cell>
          <cell r="P21" t="str">
            <v>PeMS2016</v>
          </cell>
        </row>
        <row r="22">
          <cell r="C22">
            <v>15</v>
          </cell>
          <cell r="E22">
            <v>11263</v>
          </cell>
          <cell r="H22" t="str">
            <v>I-8 WB</v>
          </cell>
          <cell r="I22">
            <v>47</v>
          </cell>
          <cell r="J22">
            <v>1</v>
          </cell>
          <cell r="K22" t="str">
            <v>MAIN</v>
          </cell>
          <cell r="L22" t="str">
            <v>EL CAJON</v>
          </cell>
          <cell r="O22">
            <v>21553</v>
          </cell>
          <cell r="P22" t="str">
            <v>PeMS2016</v>
          </cell>
        </row>
        <row r="23">
          <cell r="C23">
            <v>15</v>
          </cell>
          <cell r="E23">
            <v>11266</v>
          </cell>
          <cell r="H23" t="str">
            <v>I-8 WB</v>
          </cell>
          <cell r="I23">
            <v>48</v>
          </cell>
          <cell r="J23">
            <v>0</v>
          </cell>
          <cell r="K23" t="str">
            <v>EL CAJON</v>
          </cell>
          <cell r="L23" t="str">
            <v>MURRAY</v>
          </cell>
          <cell r="O23">
            <v>27071</v>
          </cell>
          <cell r="P23" t="str">
            <v>PeMS2016</v>
          </cell>
        </row>
        <row r="24">
          <cell r="C24">
            <v>15</v>
          </cell>
          <cell r="E24">
            <v>11290</v>
          </cell>
          <cell r="H24" t="str">
            <v>I-8 WB</v>
          </cell>
          <cell r="I24">
            <v>50</v>
          </cell>
          <cell r="J24">
            <v>0</v>
          </cell>
          <cell r="K24" t="str">
            <v>SR-125 SB</v>
          </cell>
          <cell r="L24" t="str">
            <v>LA MESA</v>
          </cell>
          <cell r="O24">
            <v>11961</v>
          </cell>
          <cell r="P24" t="str">
            <v>PeMS2016</v>
          </cell>
        </row>
        <row r="25">
          <cell r="C25">
            <v>15</v>
          </cell>
          <cell r="E25">
            <v>28396</v>
          </cell>
          <cell r="H25" t="str">
            <v>I-8 WB</v>
          </cell>
          <cell r="I25">
            <v>51</v>
          </cell>
          <cell r="J25">
            <v>0</v>
          </cell>
          <cell r="K25" t="str">
            <v>LA MESA</v>
          </cell>
          <cell r="L25" t="str">
            <v>SR-125 NB</v>
          </cell>
          <cell r="O25">
            <v>11849</v>
          </cell>
          <cell r="P25" t="str">
            <v>PeMS2016</v>
          </cell>
        </row>
        <row r="26">
          <cell r="C26">
            <v>15</v>
          </cell>
          <cell r="E26">
            <v>28397</v>
          </cell>
          <cell r="H26" t="str">
            <v>I-8 WB</v>
          </cell>
          <cell r="I26">
            <v>54</v>
          </cell>
          <cell r="J26">
            <v>0</v>
          </cell>
          <cell r="K26" t="str">
            <v>JACKSON</v>
          </cell>
          <cell r="L26" t="str">
            <v>JACKSON</v>
          </cell>
          <cell r="O26">
            <v>19074</v>
          </cell>
          <cell r="P26" t="str">
            <v>PeMS2016</v>
          </cell>
        </row>
        <row r="27">
          <cell r="C27">
            <v>15</v>
          </cell>
          <cell r="E27">
            <v>28144</v>
          </cell>
          <cell r="H27" t="str">
            <v>I-8 WB</v>
          </cell>
          <cell r="I27">
            <v>55</v>
          </cell>
          <cell r="J27">
            <v>0</v>
          </cell>
          <cell r="K27" t="str">
            <v>JACKSON</v>
          </cell>
          <cell r="L27" t="str">
            <v>EL CAJON</v>
          </cell>
          <cell r="O27">
            <v>20572</v>
          </cell>
          <cell r="P27" t="str">
            <v>Caltran</v>
          </cell>
        </row>
        <row r="28">
          <cell r="C28">
            <v>15</v>
          </cell>
          <cell r="E28">
            <v>20731</v>
          </cell>
          <cell r="H28" t="str">
            <v>I-8 WB</v>
          </cell>
          <cell r="I28">
            <v>56</v>
          </cell>
          <cell r="J28">
            <v>0</v>
          </cell>
          <cell r="K28" t="str">
            <v>EL CAJON</v>
          </cell>
          <cell r="L28" t="str">
            <v>SPRING</v>
          </cell>
          <cell r="O28">
            <v>16431</v>
          </cell>
          <cell r="P28" t="str">
            <v>PeMS2016</v>
          </cell>
        </row>
        <row r="29">
          <cell r="C29">
            <v>15</v>
          </cell>
          <cell r="E29">
            <v>28124</v>
          </cell>
          <cell r="H29" t="str">
            <v>I-8 WB</v>
          </cell>
          <cell r="I29">
            <v>58</v>
          </cell>
          <cell r="J29">
            <v>0</v>
          </cell>
          <cell r="K29" t="str">
            <v>FLETCHER</v>
          </cell>
          <cell r="L29" t="str">
            <v>FLETCHER</v>
          </cell>
          <cell r="O29">
            <v>16883</v>
          </cell>
          <cell r="P29" t="str">
            <v>PeMS2016</v>
          </cell>
        </row>
        <row r="30">
          <cell r="C30">
            <v>15</v>
          </cell>
          <cell r="E30">
            <v>28120</v>
          </cell>
          <cell r="H30" t="str">
            <v>I-8 WB</v>
          </cell>
          <cell r="I30">
            <v>59</v>
          </cell>
          <cell r="J30">
            <v>0</v>
          </cell>
          <cell r="K30" t="str">
            <v>FLETCHER</v>
          </cell>
          <cell r="L30" t="str">
            <v>LAKE MURRAY</v>
          </cell>
          <cell r="O30">
            <v>19080</v>
          </cell>
          <cell r="P30" t="str">
            <v>PeMS2016</v>
          </cell>
        </row>
        <row r="31">
          <cell r="C31">
            <v>15</v>
          </cell>
          <cell r="E31">
            <v>28118</v>
          </cell>
          <cell r="H31" t="str">
            <v>I-8 WB</v>
          </cell>
          <cell r="I31">
            <v>60</v>
          </cell>
          <cell r="J31">
            <v>0</v>
          </cell>
          <cell r="K31" t="str">
            <v>LAKE MURRAY</v>
          </cell>
          <cell r="L31" t="str">
            <v>LAKE MURRAY</v>
          </cell>
          <cell r="O31">
            <v>17488</v>
          </cell>
          <cell r="P31" t="str">
            <v>PeMS2016</v>
          </cell>
        </row>
        <row r="32">
          <cell r="C32">
            <v>15</v>
          </cell>
          <cell r="E32">
            <v>15458</v>
          </cell>
          <cell r="H32" t="str">
            <v>I-8 WB</v>
          </cell>
          <cell r="I32">
            <v>62</v>
          </cell>
          <cell r="J32">
            <v>0</v>
          </cell>
          <cell r="K32" t="str">
            <v>LAKE MURRAY</v>
          </cell>
          <cell r="L32" t="str">
            <v>COLLEGE</v>
          </cell>
          <cell r="O32">
            <v>18996</v>
          </cell>
          <cell r="P32" t="str">
            <v>Caltran</v>
          </cell>
        </row>
        <row r="33">
          <cell r="C33">
            <v>15</v>
          </cell>
          <cell r="E33">
            <v>15456</v>
          </cell>
          <cell r="H33" t="str">
            <v>I-8 WB</v>
          </cell>
          <cell r="I33">
            <v>63</v>
          </cell>
          <cell r="J33">
            <v>0</v>
          </cell>
          <cell r="K33" t="str">
            <v>COLLEGE</v>
          </cell>
          <cell r="L33" t="str">
            <v>COLLEGE</v>
          </cell>
          <cell r="O33">
            <v>18472</v>
          </cell>
          <cell r="P33" t="str">
            <v>PeMS2016</v>
          </cell>
        </row>
        <row r="34">
          <cell r="C34">
            <v>15</v>
          </cell>
          <cell r="E34">
            <v>15442</v>
          </cell>
          <cell r="H34" t="str">
            <v>I-8 WB</v>
          </cell>
          <cell r="I34">
            <v>64</v>
          </cell>
          <cell r="J34">
            <v>0</v>
          </cell>
          <cell r="K34" t="str">
            <v>COLLEGE</v>
          </cell>
          <cell r="L34" t="str">
            <v>WARING</v>
          </cell>
          <cell r="O34">
            <v>22776</v>
          </cell>
          <cell r="P34" t="str">
            <v>Caltran</v>
          </cell>
        </row>
        <row r="35">
          <cell r="C35">
            <v>15</v>
          </cell>
          <cell r="E35">
            <v>15439</v>
          </cell>
          <cell r="H35" t="str">
            <v>I-8 WB</v>
          </cell>
          <cell r="I35">
            <v>65</v>
          </cell>
          <cell r="J35">
            <v>0</v>
          </cell>
          <cell r="K35" t="str">
            <v>WARING</v>
          </cell>
          <cell r="L35" t="str">
            <v>WARING</v>
          </cell>
          <cell r="O35">
            <v>22466</v>
          </cell>
          <cell r="P35" t="str">
            <v>PeMS2016</v>
          </cell>
        </row>
        <row r="36">
          <cell r="C36">
            <v>15</v>
          </cell>
          <cell r="E36">
            <v>15430</v>
          </cell>
          <cell r="H36" t="str">
            <v>I-8 WB</v>
          </cell>
          <cell r="I36">
            <v>66</v>
          </cell>
          <cell r="J36">
            <v>0</v>
          </cell>
          <cell r="K36" t="str">
            <v>WARING</v>
          </cell>
          <cell r="L36" t="str">
            <v>FAIRMOUNT</v>
          </cell>
          <cell r="O36">
            <v>24478</v>
          </cell>
          <cell r="P36" t="str">
            <v>PeMS2016</v>
          </cell>
        </row>
        <row r="37">
          <cell r="C37">
            <v>15</v>
          </cell>
          <cell r="E37">
            <v>15425</v>
          </cell>
          <cell r="H37" t="str">
            <v>I-8 WB</v>
          </cell>
          <cell r="I37">
            <v>67</v>
          </cell>
          <cell r="J37">
            <v>0</v>
          </cell>
          <cell r="K37" t="str">
            <v>FAIRMOUNT</v>
          </cell>
          <cell r="L37" t="str">
            <v>I-15 NB</v>
          </cell>
          <cell r="O37">
            <v>22829</v>
          </cell>
          <cell r="P37" t="str">
            <v>PeMS2016</v>
          </cell>
        </row>
        <row r="38">
          <cell r="C38">
            <v>15</v>
          </cell>
          <cell r="E38">
            <v>16533</v>
          </cell>
          <cell r="H38" t="str">
            <v>I-8 WB</v>
          </cell>
          <cell r="I38">
            <v>69</v>
          </cell>
          <cell r="J38">
            <v>0</v>
          </cell>
          <cell r="K38" t="str">
            <v>I-15 NB</v>
          </cell>
          <cell r="L38" t="str">
            <v>I-15 NB</v>
          </cell>
          <cell r="O38">
            <v>15169</v>
          </cell>
          <cell r="P38" t="str">
            <v>PeMS2016</v>
          </cell>
        </row>
        <row r="39">
          <cell r="C39">
            <v>15</v>
          </cell>
          <cell r="E39">
            <v>10998</v>
          </cell>
          <cell r="H39" t="str">
            <v>I-8 WB</v>
          </cell>
          <cell r="I39">
            <v>70</v>
          </cell>
          <cell r="J39">
            <v>0</v>
          </cell>
          <cell r="K39" t="str">
            <v>I-15 NB</v>
          </cell>
          <cell r="L39" t="str">
            <v>I-805 NB</v>
          </cell>
          <cell r="O39">
            <v>21986</v>
          </cell>
          <cell r="P39" t="str">
            <v>PeMS2016</v>
          </cell>
        </row>
        <row r="40">
          <cell r="C40">
            <v>15</v>
          </cell>
          <cell r="E40">
            <v>10994</v>
          </cell>
          <cell r="H40" t="str">
            <v>I-8 WB</v>
          </cell>
          <cell r="I40">
            <v>71</v>
          </cell>
          <cell r="J40">
            <v>0</v>
          </cell>
          <cell r="K40" t="str">
            <v>I-805 NB</v>
          </cell>
          <cell r="L40" t="str">
            <v>TEXAS</v>
          </cell>
          <cell r="O40">
            <v>17634</v>
          </cell>
          <cell r="P40" t="str">
            <v>PeMS2016</v>
          </cell>
        </row>
        <row r="41">
          <cell r="C41">
            <v>15</v>
          </cell>
          <cell r="E41">
            <v>10991</v>
          </cell>
          <cell r="H41" t="str">
            <v>I-8 WB</v>
          </cell>
          <cell r="I41">
            <v>73</v>
          </cell>
          <cell r="J41">
            <v>0</v>
          </cell>
          <cell r="K41" t="str">
            <v>TEXAS</v>
          </cell>
          <cell r="L41" t="str">
            <v>I-805 NB</v>
          </cell>
          <cell r="O41">
            <v>15627</v>
          </cell>
          <cell r="P41" t="str">
            <v>PeMS2016</v>
          </cell>
        </row>
        <row r="42">
          <cell r="C42">
            <v>15</v>
          </cell>
          <cell r="E42">
            <v>16085</v>
          </cell>
          <cell r="H42" t="str">
            <v>I-8 WB</v>
          </cell>
          <cell r="I42">
            <v>75</v>
          </cell>
          <cell r="J42">
            <v>0</v>
          </cell>
          <cell r="K42" t="str">
            <v>TEXAS</v>
          </cell>
          <cell r="L42" t="str">
            <v>MISSION CENTER</v>
          </cell>
          <cell r="O42">
            <v>25919</v>
          </cell>
          <cell r="P42" t="str">
            <v>PeMS2016</v>
          </cell>
        </row>
        <row r="43">
          <cell r="C43">
            <v>15</v>
          </cell>
          <cell r="E43">
            <v>10982</v>
          </cell>
          <cell r="H43" t="str">
            <v>I-8 WB</v>
          </cell>
          <cell r="I43">
            <v>76</v>
          </cell>
          <cell r="J43">
            <v>0</v>
          </cell>
          <cell r="K43" t="str">
            <v>MISSION CENTER</v>
          </cell>
          <cell r="L43" t="str">
            <v>MISSION CENTER</v>
          </cell>
          <cell r="O43">
            <v>24409</v>
          </cell>
          <cell r="P43" t="str">
            <v>PeMS2016</v>
          </cell>
        </row>
        <row r="44">
          <cell r="C44">
            <v>15</v>
          </cell>
          <cell r="E44">
            <v>10981</v>
          </cell>
          <cell r="H44" t="str">
            <v>I-8 WB</v>
          </cell>
          <cell r="I44">
            <v>77</v>
          </cell>
          <cell r="J44">
            <v>0</v>
          </cell>
          <cell r="K44" t="str">
            <v>MISSION CENTER</v>
          </cell>
          <cell r="L44" t="str">
            <v>SR-163 NB</v>
          </cell>
          <cell r="O44">
            <v>24409</v>
          </cell>
          <cell r="P44" t="str">
            <v>PeMS2016</v>
          </cell>
        </row>
        <row r="45">
          <cell r="C45">
            <v>15</v>
          </cell>
          <cell r="E45">
            <v>10979</v>
          </cell>
          <cell r="H45" t="str">
            <v>I-8 WB</v>
          </cell>
          <cell r="I45">
            <v>78</v>
          </cell>
          <cell r="J45">
            <v>0</v>
          </cell>
          <cell r="K45" t="str">
            <v>SR-163 NB</v>
          </cell>
          <cell r="L45" t="str">
            <v>SR-163 SB</v>
          </cell>
          <cell r="O45">
            <v>20299</v>
          </cell>
          <cell r="P45" t="str">
            <v>PeMS2016</v>
          </cell>
        </row>
        <row r="46">
          <cell r="C46">
            <v>15</v>
          </cell>
          <cell r="E46">
            <v>29097</v>
          </cell>
          <cell r="H46" t="str">
            <v>I-8 WB</v>
          </cell>
          <cell r="I46">
            <v>79</v>
          </cell>
          <cell r="J46">
            <v>0</v>
          </cell>
          <cell r="K46" t="str">
            <v>SR-163 SB</v>
          </cell>
          <cell r="L46" t="str">
            <v>SR-163 SB</v>
          </cell>
          <cell r="O46">
            <v>18221</v>
          </cell>
          <cell r="P46" t="str">
            <v>PeMS2016</v>
          </cell>
        </row>
        <row r="47">
          <cell r="C47">
            <v>15</v>
          </cell>
          <cell r="E47">
            <v>29095</v>
          </cell>
          <cell r="H47" t="str">
            <v>I-8 WB</v>
          </cell>
          <cell r="I47">
            <v>81</v>
          </cell>
          <cell r="J47">
            <v>0</v>
          </cell>
          <cell r="K47" t="str">
            <v>SR-163 SB</v>
          </cell>
          <cell r="O47">
            <v>21943</v>
          </cell>
          <cell r="P47" t="str">
            <v>PeMS2016</v>
          </cell>
        </row>
        <row r="48">
          <cell r="C48">
            <v>15</v>
          </cell>
          <cell r="E48">
            <v>29090</v>
          </cell>
          <cell r="H48" t="str">
            <v>I-8 WB</v>
          </cell>
          <cell r="I48">
            <v>82</v>
          </cell>
          <cell r="J48">
            <v>0</v>
          </cell>
          <cell r="K48" t="str">
            <v>FASHION VALLEY</v>
          </cell>
          <cell r="L48" t="str">
            <v>HOTEL CIRCLE NORTH</v>
          </cell>
          <cell r="O48">
            <v>22801</v>
          </cell>
          <cell r="P48" t="str">
            <v>PeMS2016</v>
          </cell>
        </row>
        <row r="49">
          <cell r="C49">
            <v>15</v>
          </cell>
          <cell r="E49">
            <v>29086</v>
          </cell>
          <cell r="H49" t="str">
            <v>I-8 WB</v>
          </cell>
          <cell r="I49">
            <v>85</v>
          </cell>
          <cell r="J49">
            <v>0</v>
          </cell>
          <cell r="K49" t="str">
            <v>HOTEL CIRCLE NORTH</v>
          </cell>
          <cell r="L49" t="str">
            <v>HOTEL CIRCLE NORTH</v>
          </cell>
          <cell r="O49">
            <v>22199</v>
          </cell>
          <cell r="P49" t="str">
            <v>PeMS2016</v>
          </cell>
        </row>
        <row r="50">
          <cell r="C50">
            <v>15</v>
          </cell>
          <cell r="E50">
            <v>29082</v>
          </cell>
          <cell r="H50" t="str">
            <v>I-8 WB</v>
          </cell>
          <cell r="I50">
            <v>86</v>
          </cell>
          <cell r="J50">
            <v>0</v>
          </cell>
          <cell r="K50" t="str">
            <v>TAYLOR</v>
          </cell>
          <cell r="L50" t="str">
            <v>MORENA</v>
          </cell>
          <cell r="O50">
            <v>22199</v>
          </cell>
          <cell r="P50" t="str">
            <v>PeMS2016</v>
          </cell>
        </row>
        <row r="51">
          <cell r="C51">
            <v>15</v>
          </cell>
          <cell r="E51">
            <v>27600</v>
          </cell>
          <cell r="H51" t="str">
            <v>I-8 WB</v>
          </cell>
          <cell r="I51">
            <v>87</v>
          </cell>
          <cell r="J51">
            <v>0</v>
          </cell>
          <cell r="K51" t="str">
            <v>MORENA</v>
          </cell>
          <cell r="L51" t="str">
            <v>I-5 SB</v>
          </cell>
          <cell r="O51">
            <v>20372</v>
          </cell>
          <cell r="P51" t="str">
            <v>PeMS2016</v>
          </cell>
        </row>
        <row r="52">
          <cell r="C52">
            <v>15</v>
          </cell>
          <cell r="E52">
            <v>28085</v>
          </cell>
          <cell r="H52" t="str">
            <v>I-8 WB</v>
          </cell>
          <cell r="I52">
            <v>92</v>
          </cell>
          <cell r="J52">
            <v>0</v>
          </cell>
          <cell r="K52" t="str">
            <v>I-5 NB</v>
          </cell>
          <cell r="L52" t="str">
            <v>MIDWAY</v>
          </cell>
          <cell r="O52">
            <v>13497</v>
          </cell>
          <cell r="P52" t="str">
            <v>PeMS2016</v>
          </cell>
        </row>
      </sheetData>
      <sheetData sheetId="16">
        <row r="2">
          <cell r="C2">
            <v>16</v>
          </cell>
          <cell r="E2">
            <v>12823</v>
          </cell>
          <cell r="H2" t="str">
            <v>SR-78 WB</v>
          </cell>
          <cell r="I2">
            <v>2</v>
          </cell>
          <cell r="J2">
            <v>0</v>
          </cell>
          <cell r="K2" t="str">
            <v>CENTRE CITY</v>
          </cell>
          <cell r="L2" t="str">
            <v>CENTRE CITY</v>
          </cell>
          <cell r="O2">
            <v>8363</v>
          </cell>
          <cell r="P2" t="str">
            <v>PeMS2016</v>
          </cell>
        </row>
        <row r="3">
          <cell r="C3">
            <v>16</v>
          </cell>
          <cell r="E3">
            <v>21942</v>
          </cell>
          <cell r="H3" t="str">
            <v>SR-78 WB</v>
          </cell>
          <cell r="I3">
            <v>4</v>
          </cell>
          <cell r="J3">
            <v>0</v>
          </cell>
          <cell r="K3" t="str">
            <v>I-15 NB</v>
          </cell>
          <cell r="L3" t="str">
            <v>I-15 SB</v>
          </cell>
          <cell r="O3">
            <v>5453</v>
          </cell>
          <cell r="P3" t="str">
            <v>PeMS2016</v>
          </cell>
        </row>
        <row r="4">
          <cell r="C4">
            <v>16</v>
          </cell>
          <cell r="E4">
            <v>12837</v>
          </cell>
          <cell r="H4" t="str">
            <v>SR-78 WB</v>
          </cell>
          <cell r="I4">
            <v>5</v>
          </cell>
          <cell r="J4">
            <v>0</v>
          </cell>
          <cell r="K4" t="str">
            <v>I-15 SB</v>
          </cell>
          <cell r="L4" t="str">
            <v>NORDAHL</v>
          </cell>
          <cell r="O4">
            <v>18328</v>
          </cell>
          <cell r="P4" t="str">
            <v>PeMS2016</v>
          </cell>
        </row>
        <row r="5">
          <cell r="C5">
            <v>16</v>
          </cell>
          <cell r="E5">
            <v>8054</v>
          </cell>
          <cell r="H5" t="str">
            <v>SR-78 WB</v>
          </cell>
          <cell r="I5">
            <v>6</v>
          </cell>
          <cell r="J5">
            <v>0</v>
          </cell>
          <cell r="K5" t="str">
            <v>NORDAHL</v>
          </cell>
          <cell r="L5" t="str">
            <v>NORDAHL</v>
          </cell>
          <cell r="O5">
            <v>15330</v>
          </cell>
          <cell r="P5" t="str">
            <v>PeMS2016</v>
          </cell>
        </row>
        <row r="6">
          <cell r="C6">
            <v>16</v>
          </cell>
          <cell r="E6">
            <v>23557</v>
          </cell>
          <cell r="H6" t="str">
            <v>SR-78 WB</v>
          </cell>
          <cell r="I6">
            <v>7</v>
          </cell>
          <cell r="J6">
            <v>0</v>
          </cell>
          <cell r="K6" t="str">
            <v>NORDAHL</v>
          </cell>
          <cell r="L6" t="str">
            <v>WOODLAND</v>
          </cell>
          <cell r="O6">
            <v>14890</v>
          </cell>
          <cell r="P6" t="str">
            <v>PeMS2016</v>
          </cell>
        </row>
        <row r="7">
          <cell r="C7">
            <v>16</v>
          </cell>
          <cell r="E7">
            <v>8056</v>
          </cell>
          <cell r="H7" t="str">
            <v>SR-78 WB</v>
          </cell>
          <cell r="I7">
            <v>9</v>
          </cell>
          <cell r="J7">
            <v>0</v>
          </cell>
          <cell r="K7" t="str">
            <v>WOODLAND</v>
          </cell>
          <cell r="L7" t="str">
            <v>WOODLAND</v>
          </cell>
          <cell r="O7">
            <v>17628</v>
          </cell>
          <cell r="P7" t="str">
            <v>PeMS2016</v>
          </cell>
        </row>
        <row r="8">
          <cell r="C8">
            <v>16</v>
          </cell>
          <cell r="E8">
            <v>30080</v>
          </cell>
          <cell r="H8" t="str">
            <v>SR-78 WB</v>
          </cell>
          <cell r="I8">
            <v>12</v>
          </cell>
          <cell r="J8">
            <v>0</v>
          </cell>
          <cell r="K8" t="str">
            <v>TWIN OAKS VALLEY</v>
          </cell>
          <cell r="L8" t="str">
            <v>TWIN OAKS VALLEY</v>
          </cell>
          <cell r="O8">
            <v>16167</v>
          </cell>
          <cell r="P8" t="str">
            <v>PeMS2016</v>
          </cell>
        </row>
        <row r="9">
          <cell r="C9">
            <v>16</v>
          </cell>
          <cell r="E9">
            <v>474</v>
          </cell>
          <cell r="H9" t="str">
            <v>SR-78 WB</v>
          </cell>
          <cell r="I9">
            <v>15</v>
          </cell>
          <cell r="J9">
            <v>0</v>
          </cell>
          <cell r="K9" t="str">
            <v>SAN MARCOS</v>
          </cell>
          <cell r="L9" t="str">
            <v>SAN MARCOS</v>
          </cell>
          <cell r="O9">
            <v>15802</v>
          </cell>
          <cell r="P9" t="str">
            <v>PeMS2016</v>
          </cell>
        </row>
        <row r="10">
          <cell r="C10">
            <v>16</v>
          </cell>
          <cell r="E10">
            <v>8057</v>
          </cell>
          <cell r="H10" t="str">
            <v>SR-78 WB</v>
          </cell>
          <cell r="I10">
            <v>16</v>
          </cell>
          <cell r="J10">
            <v>0</v>
          </cell>
          <cell r="K10" t="str">
            <v>SAN MARCOS</v>
          </cell>
          <cell r="L10" t="str">
            <v>SAN MARCOS</v>
          </cell>
          <cell r="O10">
            <v>16187</v>
          </cell>
          <cell r="P10" t="str">
            <v>PeMS2016</v>
          </cell>
        </row>
        <row r="11">
          <cell r="C11">
            <v>16</v>
          </cell>
          <cell r="E11">
            <v>16430</v>
          </cell>
          <cell r="H11" t="str">
            <v>SR-78 WB</v>
          </cell>
          <cell r="I11">
            <v>21</v>
          </cell>
          <cell r="J11">
            <v>0</v>
          </cell>
          <cell r="K11" t="str">
            <v>LAS POSAS</v>
          </cell>
          <cell r="L11" t="str">
            <v>LAS POSAS</v>
          </cell>
          <cell r="O11">
            <v>13498</v>
          </cell>
          <cell r="P11" t="str">
            <v>PeMS2016</v>
          </cell>
        </row>
        <row r="12">
          <cell r="C12">
            <v>16</v>
          </cell>
          <cell r="E12">
            <v>16427</v>
          </cell>
          <cell r="H12" t="str">
            <v>SR-78 WB</v>
          </cell>
          <cell r="I12">
            <v>22</v>
          </cell>
          <cell r="J12">
            <v>0</v>
          </cell>
          <cell r="K12" t="str">
            <v>LAS POSAS</v>
          </cell>
          <cell r="L12" t="str">
            <v>RANCHO SANTA FE</v>
          </cell>
          <cell r="O12">
            <v>18053</v>
          </cell>
          <cell r="P12" t="str">
            <v>Caltran</v>
          </cell>
        </row>
        <row r="13">
          <cell r="C13">
            <v>16</v>
          </cell>
          <cell r="E13">
            <v>29183</v>
          </cell>
          <cell r="H13" t="str">
            <v>SR-78 WB</v>
          </cell>
          <cell r="I13">
            <v>24</v>
          </cell>
          <cell r="J13">
            <v>0</v>
          </cell>
          <cell r="K13" t="str">
            <v>RANCHO SANTA FE</v>
          </cell>
          <cell r="L13" t="str">
            <v>RANCHO SANTA FE</v>
          </cell>
          <cell r="O13">
            <v>16131</v>
          </cell>
          <cell r="P13" t="str">
            <v>PeMS2016</v>
          </cell>
        </row>
        <row r="14">
          <cell r="C14">
            <v>16</v>
          </cell>
          <cell r="E14">
            <v>3207</v>
          </cell>
          <cell r="H14" t="str">
            <v>SR-78 WB</v>
          </cell>
          <cell r="I14">
            <v>25</v>
          </cell>
          <cell r="J14">
            <v>0</v>
          </cell>
          <cell r="K14" t="str">
            <v>RANCHO SANTA FE</v>
          </cell>
          <cell r="L14" t="str">
            <v>SYCAMORE</v>
          </cell>
          <cell r="O14">
            <v>17701</v>
          </cell>
          <cell r="P14" t="str">
            <v>Caltran</v>
          </cell>
        </row>
        <row r="15">
          <cell r="C15">
            <v>16</v>
          </cell>
          <cell r="E15">
            <v>8839</v>
          </cell>
          <cell r="H15" t="str">
            <v>SR-78 WB</v>
          </cell>
          <cell r="I15">
            <v>29</v>
          </cell>
          <cell r="J15">
            <v>0</v>
          </cell>
          <cell r="K15" t="str">
            <v>SYCAMORE</v>
          </cell>
          <cell r="L15" t="str">
            <v>SYCAMORE</v>
          </cell>
          <cell r="O15">
            <v>14936</v>
          </cell>
          <cell r="P15" t="str">
            <v>PeMS2016</v>
          </cell>
        </row>
        <row r="16">
          <cell r="C16">
            <v>16</v>
          </cell>
          <cell r="E16">
            <v>8058</v>
          </cell>
          <cell r="H16" t="str">
            <v>SR-78 WB</v>
          </cell>
          <cell r="I16">
            <v>31</v>
          </cell>
          <cell r="J16">
            <v>0</v>
          </cell>
          <cell r="K16" t="str">
            <v>MAR VISTA</v>
          </cell>
          <cell r="L16" t="str">
            <v>MAR VISTA</v>
          </cell>
          <cell r="O16">
            <v>17762</v>
          </cell>
          <cell r="P16" t="str">
            <v>PeMS2016</v>
          </cell>
        </row>
        <row r="17">
          <cell r="C17">
            <v>16</v>
          </cell>
          <cell r="E17">
            <v>8059</v>
          </cell>
          <cell r="H17" t="str">
            <v>SR-78 WB</v>
          </cell>
          <cell r="I17">
            <v>33</v>
          </cell>
          <cell r="J17">
            <v>0</v>
          </cell>
          <cell r="K17" t="str">
            <v>SUNSET</v>
          </cell>
          <cell r="L17" t="str">
            <v>SUNSET</v>
          </cell>
          <cell r="O17">
            <v>15856</v>
          </cell>
          <cell r="P17" t="str">
            <v>PeMS2016</v>
          </cell>
        </row>
        <row r="18">
          <cell r="C18">
            <v>16</v>
          </cell>
          <cell r="E18">
            <v>8834</v>
          </cell>
          <cell r="H18" t="str">
            <v>SR-78 WB</v>
          </cell>
          <cell r="I18">
            <v>35</v>
          </cell>
          <cell r="J18">
            <v>0</v>
          </cell>
          <cell r="K18" t="str">
            <v>MELROSE</v>
          </cell>
          <cell r="L18" t="str">
            <v>MELROSE</v>
          </cell>
          <cell r="O18">
            <v>12472</v>
          </cell>
          <cell r="P18" t="str">
            <v>PeMS2016</v>
          </cell>
        </row>
        <row r="19">
          <cell r="C19">
            <v>16</v>
          </cell>
          <cell r="E19">
            <v>27248</v>
          </cell>
          <cell r="H19" t="str">
            <v>SR-78 WB</v>
          </cell>
          <cell r="I19">
            <v>36</v>
          </cell>
          <cell r="J19">
            <v>0</v>
          </cell>
          <cell r="K19" t="str">
            <v>MELROSE</v>
          </cell>
          <cell r="L19" t="str">
            <v>MELROSE</v>
          </cell>
          <cell r="O19">
            <v>12472</v>
          </cell>
          <cell r="P19" t="str">
            <v>PeMS2016</v>
          </cell>
        </row>
        <row r="20">
          <cell r="C20">
            <v>16</v>
          </cell>
          <cell r="E20">
            <v>28849</v>
          </cell>
          <cell r="H20" t="str">
            <v>SR-78 WB</v>
          </cell>
          <cell r="I20">
            <v>37</v>
          </cell>
          <cell r="J20">
            <v>0</v>
          </cell>
          <cell r="K20" t="str">
            <v>MELROSE</v>
          </cell>
          <cell r="L20" t="str">
            <v>MELROSE</v>
          </cell>
          <cell r="O20">
            <v>14491</v>
          </cell>
          <cell r="P20" t="str">
            <v>PeMS2016</v>
          </cell>
        </row>
        <row r="21">
          <cell r="C21">
            <v>16</v>
          </cell>
          <cell r="E21">
            <v>16564</v>
          </cell>
          <cell r="H21" t="str">
            <v>SR-78 WB</v>
          </cell>
          <cell r="I21">
            <v>39</v>
          </cell>
          <cell r="J21">
            <v>0</v>
          </cell>
          <cell r="K21" t="str">
            <v>EMERALD</v>
          </cell>
          <cell r="L21" t="str">
            <v>EMERALD</v>
          </cell>
          <cell r="O21">
            <v>12863</v>
          </cell>
          <cell r="P21" t="str">
            <v>PeMS2016</v>
          </cell>
        </row>
        <row r="22">
          <cell r="C22">
            <v>16</v>
          </cell>
          <cell r="E22">
            <v>12578</v>
          </cell>
          <cell r="H22" t="str">
            <v>SR-78 WB</v>
          </cell>
          <cell r="I22">
            <v>41</v>
          </cell>
          <cell r="J22">
            <v>0</v>
          </cell>
          <cell r="K22" t="str">
            <v>VISTA WY</v>
          </cell>
          <cell r="L22" t="str">
            <v>VISTA WY</v>
          </cell>
          <cell r="O22">
            <v>11913</v>
          </cell>
          <cell r="P22" t="str">
            <v>PeMS2016</v>
          </cell>
        </row>
        <row r="23">
          <cell r="C23">
            <v>16</v>
          </cell>
          <cell r="E23">
            <v>12579</v>
          </cell>
          <cell r="H23" t="str">
            <v>SR-78 WB</v>
          </cell>
          <cell r="I23">
            <v>42</v>
          </cell>
          <cell r="J23">
            <v>0</v>
          </cell>
          <cell r="K23" t="str">
            <v>VISTA WY</v>
          </cell>
          <cell r="L23" t="str">
            <v>COLLEGE</v>
          </cell>
          <cell r="O23">
            <v>13748</v>
          </cell>
          <cell r="P23" t="str">
            <v>PeMS2016</v>
          </cell>
        </row>
        <row r="24">
          <cell r="C24">
            <v>16</v>
          </cell>
          <cell r="E24">
            <v>12571</v>
          </cell>
          <cell r="H24" t="str">
            <v>SR-78 WB</v>
          </cell>
          <cell r="I24">
            <v>45</v>
          </cell>
          <cell r="J24">
            <v>0</v>
          </cell>
          <cell r="K24" t="str">
            <v>RANCHO DEL ORO</v>
          </cell>
          <cell r="L24" t="str">
            <v>EL CAMINO REAL</v>
          </cell>
          <cell r="O24">
            <v>15506</v>
          </cell>
          <cell r="P24" t="str">
            <v>Caltran</v>
          </cell>
        </row>
        <row r="25">
          <cell r="C25">
            <v>16</v>
          </cell>
          <cell r="E25">
            <v>28540</v>
          </cell>
          <cell r="H25" t="str">
            <v>SR-78 WB</v>
          </cell>
          <cell r="I25">
            <v>46</v>
          </cell>
          <cell r="J25">
            <v>0</v>
          </cell>
          <cell r="K25" t="str">
            <v>EL CAMINO REAL</v>
          </cell>
          <cell r="L25" t="str">
            <v>EL CAMINO REAL</v>
          </cell>
          <cell r="O25">
            <v>11514</v>
          </cell>
          <cell r="P25" t="str">
            <v>PeMS2016</v>
          </cell>
        </row>
        <row r="26">
          <cell r="C26">
            <v>16</v>
          </cell>
          <cell r="E26">
            <v>27543</v>
          </cell>
          <cell r="H26" t="str">
            <v>SR-78 WB</v>
          </cell>
          <cell r="I26">
            <v>47</v>
          </cell>
          <cell r="J26">
            <v>0</v>
          </cell>
          <cell r="K26" t="str">
            <v>EL CAMINO REAL</v>
          </cell>
          <cell r="L26" t="str">
            <v>JEFFERSON</v>
          </cell>
          <cell r="O26">
            <v>13713</v>
          </cell>
          <cell r="P26" t="str">
            <v>Caltran</v>
          </cell>
        </row>
        <row r="27">
          <cell r="C27">
            <v>16</v>
          </cell>
          <cell r="E27">
            <v>28534</v>
          </cell>
          <cell r="H27" t="str">
            <v>SR-78 WB</v>
          </cell>
          <cell r="I27">
            <v>48</v>
          </cell>
          <cell r="J27">
            <v>0</v>
          </cell>
          <cell r="K27" t="str">
            <v>JEFFERSON</v>
          </cell>
          <cell r="L27" t="str">
            <v>JEFFERSON</v>
          </cell>
          <cell r="O27">
            <v>11696</v>
          </cell>
          <cell r="P27" t="str">
            <v>PeMS2016</v>
          </cell>
        </row>
        <row r="28">
          <cell r="C28">
            <v>16</v>
          </cell>
          <cell r="E28">
            <v>12547</v>
          </cell>
          <cell r="H28" t="str">
            <v>SR-78 WB</v>
          </cell>
          <cell r="I28">
            <v>49</v>
          </cell>
          <cell r="J28">
            <v>0</v>
          </cell>
          <cell r="K28" t="str">
            <v>JEFFERSON</v>
          </cell>
          <cell r="L28" t="str">
            <v>I-5 NB</v>
          </cell>
          <cell r="O28">
            <v>11402</v>
          </cell>
          <cell r="P28" t="str">
            <v>PeMS2016</v>
          </cell>
        </row>
      </sheetData>
      <sheetData sheetId="17">
        <row r="2">
          <cell r="C2">
            <v>17</v>
          </cell>
          <cell r="E2">
            <v>27223</v>
          </cell>
          <cell r="H2" t="str">
            <v>SR-52 WB</v>
          </cell>
          <cell r="I2">
            <v>2</v>
          </cell>
          <cell r="J2">
            <v>0</v>
          </cell>
          <cell r="K2" t="str">
            <v>MAGNOLIA</v>
          </cell>
          <cell r="L2" t="str">
            <v>CUYAMACA</v>
          </cell>
          <cell r="O2">
            <v>8170</v>
          </cell>
          <cell r="P2" t="str">
            <v>Caltran</v>
          </cell>
        </row>
        <row r="3">
          <cell r="C3">
            <v>17</v>
          </cell>
          <cell r="E3">
            <v>27241</v>
          </cell>
          <cell r="H3" t="str">
            <v>SR-52 WB</v>
          </cell>
          <cell r="I3">
            <v>5</v>
          </cell>
          <cell r="J3">
            <v>0</v>
          </cell>
          <cell r="K3" t="str">
            <v>CUYAMACA</v>
          </cell>
          <cell r="L3" t="str">
            <v>FANITA</v>
          </cell>
          <cell r="O3">
            <v>8710</v>
          </cell>
          <cell r="P3" t="str">
            <v>Caltran</v>
          </cell>
        </row>
        <row r="4">
          <cell r="C4">
            <v>17</v>
          </cell>
          <cell r="E4">
            <v>15277</v>
          </cell>
          <cell r="H4" t="str">
            <v>SR-52 WB</v>
          </cell>
          <cell r="I4">
            <v>10</v>
          </cell>
          <cell r="J4">
            <v>0</v>
          </cell>
          <cell r="K4" t="str">
            <v>NEW MISSION GORGE</v>
          </cell>
          <cell r="L4" t="str">
            <v>MISSION GORGE</v>
          </cell>
          <cell r="O4">
            <v>7448</v>
          </cell>
          <cell r="P4" t="str">
            <v>Caltran</v>
          </cell>
        </row>
        <row r="5">
          <cell r="C5">
            <v>17</v>
          </cell>
          <cell r="E5">
            <v>11123</v>
          </cell>
          <cell r="H5" t="str">
            <v>SR-52 WB</v>
          </cell>
          <cell r="I5">
            <v>11</v>
          </cell>
          <cell r="J5">
            <v>0</v>
          </cell>
          <cell r="K5" t="str">
            <v>MISSION GORGE</v>
          </cell>
          <cell r="L5" t="str">
            <v>MAST</v>
          </cell>
          <cell r="O5">
            <v>7477</v>
          </cell>
          <cell r="P5" t="str">
            <v>Caltran</v>
          </cell>
        </row>
        <row r="6">
          <cell r="C6">
            <v>17</v>
          </cell>
          <cell r="E6">
            <v>7501</v>
          </cell>
          <cell r="H6" t="str">
            <v>SR-52 WB</v>
          </cell>
          <cell r="I6">
            <v>12</v>
          </cell>
          <cell r="J6">
            <v>0</v>
          </cell>
          <cell r="K6" t="str">
            <v>MAST</v>
          </cell>
          <cell r="L6" t="str">
            <v>MAST</v>
          </cell>
          <cell r="O6">
            <v>6513</v>
          </cell>
          <cell r="P6" t="str">
            <v>PeMS2016</v>
          </cell>
        </row>
        <row r="7">
          <cell r="C7">
            <v>17</v>
          </cell>
          <cell r="E7">
            <v>15238</v>
          </cell>
          <cell r="H7" t="str">
            <v>SR-52 WB</v>
          </cell>
          <cell r="I7">
            <v>13</v>
          </cell>
          <cell r="J7">
            <v>0</v>
          </cell>
          <cell r="K7" t="str">
            <v>MAST</v>
          </cell>
          <cell r="L7" t="str">
            <v>SANTO</v>
          </cell>
          <cell r="O7">
            <v>7702</v>
          </cell>
          <cell r="P7" t="str">
            <v>Caltran</v>
          </cell>
        </row>
        <row r="8">
          <cell r="C8">
            <v>17</v>
          </cell>
          <cell r="E8">
            <v>8103</v>
          </cell>
          <cell r="H8" t="str">
            <v>SR-52 WB</v>
          </cell>
          <cell r="I8">
            <v>17</v>
          </cell>
          <cell r="J8">
            <v>1</v>
          </cell>
          <cell r="K8" t="str">
            <v>MAST</v>
          </cell>
          <cell r="L8" t="str">
            <v>SANTO</v>
          </cell>
          <cell r="O8">
            <v>7547</v>
          </cell>
          <cell r="P8" t="str">
            <v>Caltran</v>
          </cell>
        </row>
        <row r="9">
          <cell r="C9">
            <v>17</v>
          </cell>
          <cell r="E9">
            <v>25938</v>
          </cell>
          <cell r="H9" t="str">
            <v>SR-52 WB</v>
          </cell>
          <cell r="I9">
            <v>20</v>
          </cell>
          <cell r="J9">
            <v>0</v>
          </cell>
          <cell r="K9" t="str">
            <v>SANTO</v>
          </cell>
          <cell r="L9" t="str">
            <v>I-15 NB</v>
          </cell>
          <cell r="O9">
            <v>7928</v>
          </cell>
          <cell r="P9" t="str">
            <v>Caltran</v>
          </cell>
        </row>
        <row r="10">
          <cell r="C10">
            <v>17</v>
          </cell>
          <cell r="E10">
            <v>9029</v>
          </cell>
          <cell r="H10" t="str">
            <v>SR-52 WB</v>
          </cell>
          <cell r="I10">
            <v>21</v>
          </cell>
          <cell r="J10">
            <v>0</v>
          </cell>
          <cell r="K10" t="str">
            <v>SANTO</v>
          </cell>
          <cell r="L10" t="str">
            <v>I-15 NB</v>
          </cell>
          <cell r="O10">
            <v>8018</v>
          </cell>
          <cell r="P10" t="str">
            <v>PeMS2016</v>
          </cell>
        </row>
        <row r="11">
          <cell r="C11">
            <v>17</v>
          </cell>
          <cell r="E11">
            <v>23867</v>
          </cell>
          <cell r="H11" t="str">
            <v>SR-52 WB</v>
          </cell>
          <cell r="I11">
            <v>23</v>
          </cell>
          <cell r="J11">
            <v>0</v>
          </cell>
          <cell r="K11" t="str">
            <v>I-15 NB</v>
          </cell>
          <cell r="L11" t="str">
            <v>SR-163 SB</v>
          </cell>
          <cell r="O11">
            <v>6082</v>
          </cell>
          <cell r="P11" t="str">
            <v>PeMS2016</v>
          </cell>
        </row>
        <row r="12">
          <cell r="C12">
            <v>17</v>
          </cell>
          <cell r="E12">
            <v>24091</v>
          </cell>
          <cell r="H12" t="str">
            <v>SR-52 WB</v>
          </cell>
          <cell r="I12">
            <v>28</v>
          </cell>
          <cell r="J12">
            <v>0</v>
          </cell>
          <cell r="K12" t="str">
            <v>CONVOY</v>
          </cell>
          <cell r="L12" t="str">
            <v>CONVOY</v>
          </cell>
          <cell r="O12">
            <v>11348</v>
          </cell>
          <cell r="P12" t="str">
            <v>Caltran</v>
          </cell>
        </row>
        <row r="13">
          <cell r="C13">
            <v>17</v>
          </cell>
          <cell r="E13">
            <v>11106</v>
          </cell>
          <cell r="H13" t="str">
            <v>SR-52 WB</v>
          </cell>
          <cell r="I13">
            <v>29</v>
          </cell>
          <cell r="J13">
            <v>0</v>
          </cell>
          <cell r="K13" t="str">
            <v>CONVOY</v>
          </cell>
          <cell r="L13" t="str">
            <v>CONVOY</v>
          </cell>
          <cell r="O13">
            <v>11783</v>
          </cell>
          <cell r="P13" t="str">
            <v>Caltran</v>
          </cell>
        </row>
        <row r="14">
          <cell r="C14">
            <v>17</v>
          </cell>
          <cell r="E14">
            <v>11102</v>
          </cell>
          <cell r="H14" t="str">
            <v>SR-52 WB</v>
          </cell>
          <cell r="I14">
            <v>30</v>
          </cell>
          <cell r="J14">
            <v>0</v>
          </cell>
          <cell r="K14" t="str">
            <v>CONVOY</v>
          </cell>
          <cell r="L14" t="str">
            <v>I-805 NB</v>
          </cell>
          <cell r="O14">
            <v>14191</v>
          </cell>
          <cell r="P14" t="str">
            <v>PeMS2016</v>
          </cell>
        </row>
        <row r="15">
          <cell r="C15">
            <v>17</v>
          </cell>
          <cell r="E15">
            <v>11100</v>
          </cell>
          <cell r="H15" t="str">
            <v>SR-52 WB</v>
          </cell>
          <cell r="I15">
            <v>31</v>
          </cell>
          <cell r="J15">
            <v>0</v>
          </cell>
          <cell r="K15" t="str">
            <v>I-805 NB</v>
          </cell>
          <cell r="L15" t="str">
            <v>I-805 NB</v>
          </cell>
          <cell r="O15">
            <v>6954</v>
          </cell>
          <cell r="P15" t="str">
            <v>PeMS2016</v>
          </cell>
        </row>
        <row r="16">
          <cell r="C16">
            <v>17</v>
          </cell>
          <cell r="E16">
            <v>15157</v>
          </cell>
          <cell r="H16" t="str">
            <v>SR-52 WB</v>
          </cell>
          <cell r="I16">
            <v>33</v>
          </cell>
          <cell r="J16">
            <v>0</v>
          </cell>
          <cell r="K16" t="str">
            <v>I-805 SB</v>
          </cell>
          <cell r="L16" t="str">
            <v>GENESEE</v>
          </cell>
          <cell r="O16">
            <v>10718</v>
          </cell>
          <cell r="P16" t="str">
            <v>PeMS2016</v>
          </cell>
        </row>
        <row r="17">
          <cell r="C17">
            <v>17</v>
          </cell>
          <cell r="E17">
            <v>28868</v>
          </cell>
          <cell r="H17" t="str">
            <v>SR-52 WB</v>
          </cell>
          <cell r="I17">
            <v>34</v>
          </cell>
          <cell r="J17">
            <v>0</v>
          </cell>
          <cell r="K17" t="str">
            <v>GENESEE</v>
          </cell>
          <cell r="L17" t="str">
            <v>GENESEE</v>
          </cell>
          <cell r="O17">
            <v>9018</v>
          </cell>
          <cell r="P17" t="str">
            <v>PeMS2016</v>
          </cell>
        </row>
        <row r="18">
          <cell r="C18">
            <v>17</v>
          </cell>
          <cell r="E18">
            <v>28280</v>
          </cell>
          <cell r="H18" t="str">
            <v>SR-52 WB</v>
          </cell>
          <cell r="I18">
            <v>35</v>
          </cell>
          <cell r="J18">
            <v>0</v>
          </cell>
          <cell r="K18" t="str">
            <v>GENESEE</v>
          </cell>
          <cell r="L18" t="str">
            <v>REGENTS</v>
          </cell>
          <cell r="O18">
            <v>10361</v>
          </cell>
          <cell r="P18" t="str">
            <v>PeMS2016</v>
          </cell>
        </row>
        <row r="19">
          <cell r="C19">
            <v>17</v>
          </cell>
          <cell r="E19">
            <v>28279</v>
          </cell>
          <cell r="H19" t="str">
            <v>SR-52 WB</v>
          </cell>
          <cell r="I19">
            <v>36</v>
          </cell>
          <cell r="J19">
            <v>0</v>
          </cell>
          <cell r="K19" t="str">
            <v>REGENTS</v>
          </cell>
          <cell r="L19" t="str">
            <v>REGENTS</v>
          </cell>
          <cell r="O19">
            <v>7981</v>
          </cell>
          <cell r="P19" t="str">
            <v>PeMS2016</v>
          </cell>
        </row>
      </sheetData>
      <sheetData sheetId="18">
        <row r="2">
          <cell r="C2">
            <v>18</v>
          </cell>
          <cell r="E2">
            <v>14176</v>
          </cell>
          <cell r="H2" t="str">
            <v>SR-54 WB</v>
          </cell>
          <cell r="I2">
            <v>4</v>
          </cell>
          <cell r="J2">
            <v>0</v>
          </cell>
          <cell r="K2" t="str">
            <v>SR-125 NB</v>
          </cell>
          <cell r="L2" t="str">
            <v>BRIARWOOD</v>
          </cell>
          <cell r="O2">
            <v>13806</v>
          </cell>
          <cell r="P2" t="str">
            <v>Caltran</v>
          </cell>
        </row>
        <row r="3">
          <cell r="C3">
            <v>18</v>
          </cell>
          <cell r="E3">
            <v>14155</v>
          </cell>
          <cell r="H3" t="str">
            <v>SR-54 WB</v>
          </cell>
          <cell r="I3">
            <v>5</v>
          </cell>
          <cell r="J3">
            <v>0</v>
          </cell>
          <cell r="K3" t="str">
            <v>BRIARWOOD</v>
          </cell>
          <cell r="L3" t="str">
            <v>BRIARWOOD</v>
          </cell>
          <cell r="O3">
            <v>12547</v>
          </cell>
          <cell r="P3" t="str">
            <v>PeMS2016</v>
          </cell>
        </row>
        <row r="4">
          <cell r="C4">
            <v>18</v>
          </cell>
          <cell r="E4">
            <v>14144</v>
          </cell>
          <cell r="H4" t="str">
            <v>SR-54 WB</v>
          </cell>
          <cell r="I4">
            <v>7</v>
          </cell>
          <cell r="J4">
            <v>0</v>
          </cell>
          <cell r="K4" t="str">
            <v>WOODMAN</v>
          </cell>
          <cell r="L4" t="str">
            <v>WOODMAN</v>
          </cell>
          <cell r="O4">
            <v>13595</v>
          </cell>
          <cell r="P4" t="str">
            <v>PeMS2016</v>
          </cell>
        </row>
        <row r="5">
          <cell r="C5">
            <v>18</v>
          </cell>
          <cell r="E5">
            <v>14142</v>
          </cell>
          <cell r="H5" t="str">
            <v>SR-54 WB</v>
          </cell>
          <cell r="I5">
            <v>8</v>
          </cell>
          <cell r="J5">
            <v>0</v>
          </cell>
          <cell r="K5" t="str">
            <v>WOODMAN</v>
          </cell>
          <cell r="L5" t="str">
            <v>VALLEY</v>
          </cell>
          <cell r="O5">
            <v>15144</v>
          </cell>
          <cell r="P5" t="str">
            <v>Caltran</v>
          </cell>
        </row>
        <row r="6">
          <cell r="C6">
            <v>18</v>
          </cell>
          <cell r="E6">
            <v>28675</v>
          </cell>
          <cell r="H6" t="str">
            <v>SR-54 WB</v>
          </cell>
          <cell r="I6">
            <v>9</v>
          </cell>
          <cell r="J6">
            <v>0</v>
          </cell>
          <cell r="K6" t="str">
            <v>VALLEY</v>
          </cell>
          <cell r="L6" t="str">
            <v>VALLEY</v>
          </cell>
          <cell r="O6">
            <v>13756</v>
          </cell>
          <cell r="P6" t="str">
            <v>PeMS2016</v>
          </cell>
        </row>
        <row r="7">
          <cell r="C7">
            <v>18</v>
          </cell>
          <cell r="E7">
            <v>28677</v>
          </cell>
          <cell r="H7" t="str">
            <v>SR-54 WB</v>
          </cell>
          <cell r="I7">
            <v>11</v>
          </cell>
          <cell r="J7">
            <v>0</v>
          </cell>
          <cell r="K7" t="str">
            <v>VALLEY</v>
          </cell>
          <cell r="L7" t="str">
            <v>I-805 NB</v>
          </cell>
          <cell r="O7">
            <v>15465</v>
          </cell>
          <cell r="P7" t="str">
            <v>Caltran</v>
          </cell>
        </row>
        <row r="8">
          <cell r="C8">
            <v>18</v>
          </cell>
          <cell r="E8">
            <v>27956</v>
          </cell>
          <cell r="H8" t="str">
            <v>SR-54 WB</v>
          </cell>
          <cell r="I8">
            <v>17</v>
          </cell>
          <cell r="J8">
            <v>0</v>
          </cell>
          <cell r="K8" t="str">
            <v>NATIONAL CITY</v>
          </cell>
          <cell r="L8" t="str">
            <v>I-5 NB</v>
          </cell>
          <cell r="O8">
            <v>10619</v>
          </cell>
          <cell r="P8" t="str">
            <v>Caltran</v>
          </cell>
        </row>
      </sheetData>
      <sheetData sheetId="19">
        <row r="2">
          <cell r="C2">
            <v>19</v>
          </cell>
          <cell r="E2">
            <v>7664</v>
          </cell>
          <cell r="H2" t="str">
            <v>SR-56 WB</v>
          </cell>
          <cell r="I2">
            <v>3</v>
          </cell>
          <cell r="J2">
            <v>0</v>
          </cell>
          <cell r="K2" t="str">
            <v>I-15 SB</v>
          </cell>
          <cell r="L2" t="str">
            <v>RANCHO PENASQUITOS</v>
          </cell>
          <cell r="O2">
            <v>8295</v>
          </cell>
          <cell r="P2" t="str">
            <v>PeMS2016</v>
          </cell>
        </row>
        <row r="3">
          <cell r="C3">
            <v>19</v>
          </cell>
          <cell r="E3">
            <v>7665</v>
          </cell>
          <cell r="H3" t="str">
            <v>SR-56 WB</v>
          </cell>
          <cell r="I3">
            <v>4</v>
          </cell>
          <cell r="J3">
            <v>0</v>
          </cell>
          <cell r="K3" t="str">
            <v>RANCHO PENASQUITOS</v>
          </cell>
          <cell r="L3" t="str">
            <v>RANCHO PENASQUITOS</v>
          </cell>
          <cell r="O3">
            <v>6773</v>
          </cell>
          <cell r="P3" t="str">
            <v>PeMS2016</v>
          </cell>
        </row>
        <row r="4">
          <cell r="C4">
            <v>19</v>
          </cell>
          <cell r="E4">
            <v>11382</v>
          </cell>
          <cell r="H4" t="str">
            <v>SR-56 WB</v>
          </cell>
          <cell r="I4">
            <v>5</v>
          </cell>
          <cell r="J4">
            <v>0</v>
          </cell>
          <cell r="K4" t="str">
            <v>RANCHO PENASQUITOS</v>
          </cell>
          <cell r="L4" t="str">
            <v>BLACK MOUNTAIN</v>
          </cell>
          <cell r="O4">
            <v>8306</v>
          </cell>
          <cell r="P4" t="str">
            <v>Caltran</v>
          </cell>
        </row>
        <row r="5">
          <cell r="C5">
            <v>19</v>
          </cell>
          <cell r="E5">
            <v>16354</v>
          </cell>
          <cell r="H5" t="str">
            <v>SR-56 WB</v>
          </cell>
          <cell r="I5">
            <v>6</v>
          </cell>
          <cell r="J5">
            <v>0</v>
          </cell>
          <cell r="K5" t="str">
            <v>BLACK MOUNTAIN</v>
          </cell>
          <cell r="L5" t="str">
            <v>BLACK MOUNTAIN</v>
          </cell>
          <cell r="O5">
            <v>5505</v>
          </cell>
          <cell r="P5" t="str">
            <v>PeMS2016</v>
          </cell>
        </row>
        <row r="6">
          <cell r="C6">
            <v>19</v>
          </cell>
          <cell r="E6">
            <v>16352</v>
          </cell>
          <cell r="H6" t="str">
            <v>SR-56 WB</v>
          </cell>
          <cell r="I6">
            <v>7</v>
          </cell>
          <cell r="J6">
            <v>0</v>
          </cell>
          <cell r="K6" t="str">
            <v>BLACK MOUNTAIN</v>
          </cell>
          <cell r="L6" t="str">
            <v>CAMINO RUIZ</v>
          </cell>
          <cell r="O6">
            <v>7385</v>
          </cell>
          <cell r="P6" t="str">
            <v>Caltran</v>
          </cell>
        </row>
        <row r="7">
          <cell r="C7">
            <v>19</v>
          </cell>
          <cell r="E7">
            <v>29171</v>
          </cell>
          <cell r="H7" t="str">
            <v>SR-56 WB</v>
          </cell>
          <cell r="I7">
            <v>8</v>
          </cell>
          <cell r="J7">
            <v>0</v>
          </cell>
          <cell r="K7" t="str">
            <v>CAMINO RUIZ</v>
          </cell>
          <cell r="L7" t="str">
            <v>CAMINO RUIZ</v>
          </cell>
          <cell r="O7">
            <v>4831</v>
          </cell>
          <cell r="P7" t="str">
            <v>PeMS2016</v>
          </cell>
        </row>
        <row r="8">
          <cell r="C8">
            <v>19</v>
          </cell>
          <cell r="E8">
            <v>29172</v>
          </cell>
          <cell r="H8" t="str">
            <v>SR-56 WB</v>
          </cell>
          <cell r="I8">
            <v>9</v>
          </cell>
          <cell r="J8">
            <v>0</v>
          </cell>
          <cell r="K8" t="str">
            <v>CAMINO RUIZ</v>
          </cell>
          <cell r="L8" t="str">
            <v>CAMINO RUIZ</v>
          </cell>
          <cell r="O8">
            <v>4856</v>
          </cell>
          <cell r="P8" t="str">
            <v>PeMS2016</v>
          </cell>
        </row>
        <row r="9">
          <cell r="C9">
            <v>19</v>
          </cell>
          <cell r="E9">
            <v>16351</v>
          </cell>
          <cell r="H9" t="str">
            <v>SR-56 WB</v>
          </cell>
          <cell r="I9">
            <v>11</v>
          </cell>
          <cell r="J9">
            <v>0</v>
          </cell>
          <cell r="K9" t="str">
            <v>CAMINO RUIZ</v>
          </cell>
          <cell r="L9" t="str">
            <v>CAMINO SANTA FE</v>
          </cell>
          <cell r="O9">
            <v>5806</v>
          </cell>
          <cell r="P9" t="str">
            <v>PeMS2016</v>
          </cell>
        </row>
        <row r="10">
          <cell r="C10">
            <v>19</v>
          </cell>
          <cell r="E10">
            <v>16358</v>
          </cell>
          <cell r="H10" t="str">
            <v>SR-56 WB</v>
          </cell>
          <cell r="I10">
            <v>12</v>
          </cell>
          <cell r="J10">
            <v>0</v>
          </cell>
          <cell r="K10" t="str">
            <v>CAMINO RUIZ</v>
          </cell>
          <cell r="L10" t="str">
            <v>CAMINO SANTA FE</v>
          </cell>
          <cell r="O10">
            <v>5188</v>
          </cell>
          <cell r="P10" t="str">
            <v>Caltran</v>
          </cell>
        </row>
        <row r="11">
          <cell r="C11">
            <v>19</v>
          </cell>
          <cell r="E11">
            <v>16359</v>
          </cell>
          <cell r="H11" t="str">
            <v>SR-56 WB</v>
          </cell>
          <cell r="I11">
            <v>13</v>
          </cell>
          <cell r="J11">
            <v>0</v>
          </cell>
          <cell r="K11" t="str">
            <v>CAMINO SANTA FE</v>
          </cell>
          <cell r="L11" t="str">
            <v>CAMINO SANTA FE</v>
          </cell>
          <cell r="O11">
            <v>5917</v>
          </cell>
          <cell r="P11" t="str">
            <v>PeMS2016</v>
          </cell>
        </row>
        <row r="12">
          <cell r="C12">
            <v>19</v>
          </cell>
          <cell r="E12">
            <v>16357</v>
          </cell>
          <cell r="H12" t="str">
            <v>SR-56 WB</v>
          </cell>
          <cell r="I12">
            <v>14</v>
          </cell>
          <cell r="J12">
            <v>0</v>
          </cell>
          <cell r="K12" t="str">
            <v>CAMINO SANTA FE</v>
          </cell>
          <cell r="L12" t="str">
            <v>CARMEL COUNTRY</v>
          </cell>
          <cell r="O12">
            <v>5886</v>
          </cell>
          <cell r="P12" t="str">
            <v>Caltran</v>
          </cell>
        </row>
        <row r="13">
          <cell r="C13">
            <v>19</v>
          </cell>
          <cell r="E13">
            <v>29167</v>
          </cell>
          <cell r="H13" t="str">
            <v>SR-56 WB</v>
          </cell>
          <cell r="I13">
            <v>15</v>
          </cell>
          <cell r="J13">
            <v>0</v>
          </cell>
          <cell r="K13" t="str">
            <v>CARMEL COUNTRY</v>
          </cell>
          <cell r="L13" t="str">
            <v>CARMEL COUNTRY</v>
          </cell>
          <cell r="O13">
            <v>5024</v>
          </cell>
          <cell r="P13" t="str">
            <v>PeMS2016</v>
          </cell>
        </row>
        <row r="14">
          <cell r="C14">
            <v>19</v>
          </cell>
          <cell r="E14">
            <v>8647</v>
          </cell>
          <cell r="H14" t="str">
            <v>SR-56 WB</v>
          </cell>
          <cell r="I14">
            <v>16</v>
          </cell>
          <cell r="J14">
            <v>0</v>
          </cell>
          <cell r="K14" t="str">
            <v>CARMEL COUNTRY</v>
          </cell>
          <cell r="L14" t="str">
            <v>CARMEL CREEK</v>
          </cell>
          <cell r="O14">
            <v>6492</v>
          </cell>
          <cell r="P14" t="str">
            <v>Caltran</v>
          </cell>
        </row>
        <row r="15">
          <cell r="C15">
            <v>19</v>
          </cell>
          <cell r="E15">
            <v>457</v>
          </cell>
          <cell r="H15" t="str">
            <v>SR-56 WB</v>
          </cell>
          <cell r="I15">
            <v>17</v>
          </cell>
          <cell r="J15">
            <v>0</v>
          </cell>
          <cell r="K15" t="str">
            <v>CARMEL CREEK</v>
          </cell>
          <cell r="L15" t="str">
            <v>CARMEL CREEK</v>
          </cell>
          <cell r="O15">
            <v>5669</v>
          </cell>
          <cell r="P15" t="str">
            <v>PeMS2016</v>
          </cell>
        </row>
        <row r="16">
          <cell r="C16">
            <v>19</v>
          </cell>
          <cell r="E16">
            <v>7666</v>
          </cell>
          <cell r="H16" t="str">
            <v>SR-56 WB</v>
          </cell>
          <cell r="I16">
            <v>19</v>
          </cell>
          <cell r="J16">
            <v>0</v>
          </cell>
          <cell r="K16" t="str">
            <v>CARMEL CREEK</v>
          </cell>
          <cell r="L16" t="str">
            <v>EL CAMINO REAL</v>
          </cell>
          <cell r="O16">
            <v>7326</v>
          </cell>
          <cell r="P16" t="str">
            <v>Caltran</v>
          </cell>
        </row>
      </sheetData>
      <sheetData sheetId="20">
        <row r="2">
          <cell r="C2">
            <v>20</v>
          </cell>
          <cell r="E2">
            <v>10015</v>
          </cell>
          <cell r="H2" t="str">
            <v>SR-905 WB</v>
          </cell>
          <cell r="I2">
            <v>1</v>
          </cell>
          <cell r="J2">
            <v>0</v>
          </cell>
          <cell r="K2" t="str">
            <v>MEXICAN BORDER</v>
          </cell>
          <cell r="L2" t="str">
            <v>LRT-905</v>
          </cell>
          <cell r="O2">
            <v>3469</v>
          </cell>
          <cell r="P2" t="str">
            <v>Caltran</v>
          </cell>
        </row>
        <row r="3">
          <cell r="C3">
            <v>20</v>
          </cell>
          <cell r="E3">
            <v>8185</v>
          </cell>
          <cell r="H3" t="str">
            <v>SR-905 WB</v>
          </cell>
          <cell r="I3">
            <v>2</v>
          </cell>
          <cell r="J3">
            <v>0</v>
          </cell>
          <cell r="K3" t="str">
            <v>LRT-905</v>
          </cell>
          <cell r="L3" t="str">
            <v>LRT-905</v>
          </cell>
          <cell r="O3">
            <v>3809</v>
          </cell>
          <cell r="P3" t="str">
            <v>PeMS2016</v>
          </cell>
        </row>
        <row r="4">
          <cell r="C4">
            <v>20</v>
          </cell>
          <cell r="E4">
            <v>10002</v>
          </cell>
          <cell r="H4" t="str">
            <v>SR-905 WB</v>
          </cell>
          <cell r="I4">
            <v>3</v>
          </cell>
          <cell r="J4">
            <v>0</v>
          </cell>
          <cell r="K4" t="str">
            <v>LRT-905</v>
          </cell>
          <cell r="L4" t="str">
            <v>SR-125 NB</v>
          </cell>
          <cell r="O4">
            <v>6715</v>
          </cell>
          <cell r="P4" t="str">
            <v>PeMS2016</v>
          </cell>
        </row>
        <row r="5">
          <cell r="C5">
            <v>20</v>
          </cell>
          <cell r="E5">
            <v>29158</v>
          </cell>
          <cell r="H5" t="str">
            <v>SR-905 WB</v>
          </cell>
          <cell r="I5">
            <v>5</v>
          </cell>
          <cell r="J5">
            <v>0</v>
          </cell>
          <cell r="L5" t="str">
            <v>SR-125 SB</v>
          </cell>
          <cell r="O5">
            <v>5378</v>
          </cell>
          <cell r="P5" t="str">
            <v>PeMS2016</v>
          </cell>
        </row>
        <row r="6">
          <cell r="C6">
            <v>20</v>
          </cell>
          <cell r="E6">
            <v>27724</v>
          </cell>
          <cell r="H6" t="str">
            <v>SR-905 WB</v>
          </cell>
          <cell r="I6">
            <v>8</v>
          </cell>
          <cell r="J6">
            <v>0</v>
          </cell>
          <cell r="K6" t="str">
            <v>SR-125 SB</v>
          </cell>
          <cell r="L6" t="str">
            <v>LA MEDIA</v>
          </cell>
          <cell r="O6">
            <v>6293</v>
          </cell>
          <cell r="P6" t="str">
            <v>PeMS2016</v>
          </cell>
        </row>
        <row r="7">
          <cell r="C7">
            <v>20</v>
          </cell>
          <cell r="E7">
            <v>27721</v>
          </cell>
          <cell r="H7" t="str">
            <v>SR-905 WB</v>
          </cell>
          <cell r="I7">
            <v>10</v>
          </cell>
          <cell r="J7">
            <v>0</v>
          </cell>
          <cell r="K7" t="str">
            <v>LA MEDIA</v>
          </cell>
          <cell r="L7" t="str">
            <v>BRITANNIA</v>
          </cell>
          <cell r="O7">
            <v>8477</v>
          </cell>
          <cell r="P7" t="str">
            <v>PeMS2016</v>
          </cell>
        </row>
        <row r="8">
          <cell r="C8">
            <v>20</v>
          </cell>
          <cell r="E8">
            <v>27716</v>
          </cell>
          <cell r="H8" t="str">
            <v>SR-905 WB</v>
          </cell>
          <cell r="I8">
            <v>11</v>
          </cell>
          <cell r="J8">
            <v>0</v>
          </cell>
          <cell r="K8" t="str">
            <v>BRITANNIA</v>
          </cell>
          <cell r="L8" t="str">
            <v>BRITANNIA</v>
          </cell>
          <cell r="O8">
            <v>7444</v>
          </cell>
          <cell r="P8" t="str">
            <v>PeMS2016</v>
          </cell>
        </row>
        <row r="9">
          <cell r="C9">
            <v>20</v>
          </cell>
          <cell r="E9">
            <v>27719</v>
          </cell>
          <cell r="H9" t="str">
            <v>SR-905 WB</v>
          </cell>
          <cell r="I9">
            <v>12</v>
          </cell>
          <cell r="J9">
            <v>0</v>
          </cell>
          <cell r="K9" t="str">
            <v>BRITANNIA</v>
          </cell>
          <cell r="L9" t="str">
            <v>HERITAGE</v>
          </cell>
          <cell r="O9">
            <v>12493</v>
          </cell>
          <cell r="P9" t="str">
            <v>PeMS2016</v>
          </cell>
        </row>
        <row r="10">
          <cell r="C10">
            <v>20</v>
          </cell>
          <cell r="E10">
            <v>27741</v>
          </cell>
          <cell r="H10" t="str">
            <v>SR-905 WB</v>
          </cell>
          <cell r="I10">
            <v>14</v>
          </cell>
          <cell r="J10">
            <v>0</v>
          </cell>
          <cell r="K10" t="str">
            <v>HERITAGE</v>
          </cell>
          <cell r="L10" t="str">
            <v>CALIENTE</v>
          </cell>
          <cell r="O10">
            <v>9861</v>
          </cell>
          <cell r="P10" t="str">
            <v>PeMS2016</v>
          </cell>
        </row>
        <row r="11">
          <cell r="C11">
            <v>20</v>
          </cell>
          <cell r="E11">
            <v>27742</v>
          </cell>
          <cell r="H11" t="str">
            <v>SR-905 WB</v>
          </cell>
          <cell r="I11">
            <v>15</v>
          </cell>
          <cell r="J11">
            <v>0</v>
          </cell>
          <cell r="K11" t="str">
            <v>CALIENTE</v>
          </cell>
          <cell r="L11" t="str">
            <v>CALIENTE</v>
          </cell>
          <cell r="O11">
            <v>9980</v>
          </cell>
          <cell r="P11" t="str">
            <v>PeMS2016</v>
          </cell>
        </row>
        <row r="12">
          <cell r="C12">
            <v>20</v>
          </cell>
          <cell r="E12">
            <v>9904</v>
          </cell>
          <cell r="H12" t="str">
            <v>SR-905 WB</v>
          </cell>
          <cell r="I12">
            <v>2</v>
          </cell>
          <cell r="J12">
            <v>0</v>
          </cell>
          <cell r="K12" t="str">
            <v>CALIENTE</v>
          </cell>
          <cell r="L12" t="str">
            <v>I-805 NB</v>
          </cell>
          <cell r="O12">
            <v>9515</v>
          </cell>
          <cell r="P12" t="str">
            <v>PeMS2016</v>
          </cell>
        </row>
        <row r="13">
          <cell r="C13">
            <v>20</v>
          </cell>
          <cell r="E13">
            <v>23435</v>
          </cell>
          <cell r="H13" t="str">
            <v>SR-905 WB</v>
          </cell>
          <cell r="I13">
            <v>3</v>
          </cell>
          <cell r="J13">
            <v>0</v>
          </cell>
          <cell r="K13" t="str">
            <v>I-805 NB</v>
          </cell>
          <cell r="L13" t="str">
            <v>I-805 SB</v>
          </cell>
          <cell r="O13">
            <v>4828</v>
          </cell>
          <cell r="P13" t="str">
            <v>PeMS2016</v>
          </cell>
        </row>
        <row r="14">
          <cell r="C14">
            <v>20</v>
          </cell>
          <cell r="E14">
            <v>27856</v>
          </cell>
          <cell r="H14" t="str">
            <v>SR-905 WB</v>
          </cell>
          <cell r="I14">
            <v>10</v>
          </cell>
          <cell r="J14">
            <v>0</v>
          </cell>
          <cell r="K14" t="str">
            <v>BEYER</v>
          </cell>
          <cell r="L14" t="str">
            <v>I-5 NB</v>
          </cell>
          <cell r="O14">
            <v>7458</v>
          </cell>
          <cell r="P14" t="str">
            <v>Caltran</v>
          </cell>
        </row>
      </sheetData>
      <sheetData sheetId="21">
        <row r="2">
          <cell r="C2">
            <v>21</v>
          </cell>
          <cell r="E2">
            <v>9041</v>
          </cell>
          <cell r="H2" t="str">
            <v>SR-94 WB</v>
          </cell>
          <cell r="I2">
            <v>1</v>
          </cell>
          <cell r="J2">
            <v>0</v>
          </cell>
          <cell r="K2" t="str">
            <v>SR-125 SB</v>
          </cell>
          <cell r="L2" t="str">
            <v>SR-125 SB</v>
          </cell>
          <cell r="O2">
            <v>6056</v>
          </cell>
          <cell r="P2" t="str">
            <v>PeMS2016</v>
          </cell>
        </row>
        <row r="3">
          <cell r="C3">
            <v>21</v>
          </cell>
          <cell r="E3">
            <v>28016</v>
          </cell>
          <cell r="H3" t="str">
            <v>SR-94 WB</v>
          </cell>
          <cell r="I3">
            <v>2</v>
          </cell>
          <cell r="J3">
            <v>0</v>
          </cell>
          <cell r="K3" t="str">
            <v>SR-125 SB</v>
          </cell>
          <cell r="L3" t="str">
            <v>SR-125 NB</v>
          </cell>
          <cell r="O3">
            <v>10717</v>
          </cell>
          <cell r="P3" t="str">
            <v>PeMS2016</v>
          </cell>
        </row>
        <row r="4">
          <cell r="C4">
            <v>21</v>
          </cell>
          <cell r="E4">
            <v>28011</v>
          </cell>
          <cell r="H4" t="str">
            <v>SR-94 WB</v>
          </cell>
          <cell r="I4">
            <v>3</v>
          </cell>
          <cell r="J4">
            <v>0</v>
          </cell>
          <cell r="K4" t="str">
            <v>GROVE</v>
          </cell>
          <cell r="L4" t="str">
            <v>GROVE</v>
          </cell>
          <cell r="O4">
            <v>10717</v>
          </cell>
          <cell r="P4" t="str">
            <v>PeMS2016</v>
          </cell>
        </row>
        <row r="5">
          <cell r="C5">
            <v>21</v>
          </cell>
          <cell r="E5">
            <v>28007</v>
          </cell>
          <cell r="H5" t="str">
            <v>SR-94 WB</v>
          </cell>
          <cell r="I5">
            <v>4</v>
          </cell>
          <cell r="J5">
            <v>0</v>
          </cell>
          <cell r="K5" t="str">
            <v>LEMON GROVE</v>
          </cell>
          <cell r="L5" t="str">
            <v>LEMON GROVE</v>
          </cell>
          <cell r="O5">
            <v>12928</v>
          </cell>
          <cell r="P5" t="str">
            <v>PeMS2016</v>
          </cell>
        </row>
        <row r="6">
          <cell r="C6">
            <v>21</v>
          </cell>
          <cell r="E6">
            <v>28000</v>
          </cell>
          <cell r="H6" t="str">
            <v>SR-94 WB</v>
          </cell>
          <cell r="I6">
            <v>5</v>
          </cell>
          <cell r="J6">
            <v>0</v>
          </cell>
          <cell r="K6" t="str">
            <v>LEMON GROVE</v>
          </cell>
          <cell r="L6" t="str">
            <v>WAITE</v>
          </cell>
          <cell r="O6">
            <v>15038</v>
          </cell>
          <cell r="P6" t="str">
            <v>Caltran</v>
          </cell>
        </row>
        <row r="7">
          <cell r="C7">
            <v>21</v>
          </cell>
          <cell r="E7">
            <v>27988</v>
          </cell>
          <cell r="H7" t="str">
            <v>SR-94 WB</v>
          </cell>
          <cell r="I7">
            <v>7</v>
          </cell>
          <cell r="J7">
            <v>0</v>
          </cell>
          <cell r="K7" t="str">
            <v>MASSACHUSETTS</v>
          </cell>
          <cell r="L7" t="str">
            <v>MASSACHUSETTS</v>
          </cell>
          <cell r="O7">
            <v>14242</v>
          </cell>
          <cell r="P7" t="str">
            <v>PeMS2016</v>
          </cell>
        </row>
        <row r="8">
          <cell r="C8">
            <v>21</v>
          </cell>
          <cell r="E8">
            <v>27987</v>
          </cell>
          <cell r="H8" t="str">
            <v>SR-94 WB</v>
          </cell>
          <cell r="I8">
            <v>8</v>
          </cell>
          <cell r="J8">
            <v>0</v>
          </cell>
          <cell r="K8" t="str">
            <v>MASSACHUSETTS</v>
          </cell>
          <cell r="L8" t="str">
            <v>COLLEGE</v>
          </cell>
          <cell r="O8">
            <v>13093</v>
          </cell>
          <cell r="P8" t="str">
            <v>PeMS2016</v>
          </cell>
        </row>
        <row r="9">
          <cell r="C9">
            <v>21</v>
          </cell>
          <cell r="E9">
            <v>29016</v>
          </cell>
          <cell r="H9" t="str">
            <v>SR-94 WB</v>
          </cell>
          <cell r="I9">
            <v>13</v>
          </cell>
          <cell r="J9">
            <v>1</v>
          </cell>
          <cell r="K9" t="str">
            <v>COLLEGE GROVE</v>
          </cell>
          <cell r="L9" t="str">
            <v>FEDERAL</v>
          </cell>
          <cell r="O9">
            <v>14371</v>
          </cell>
          <cell r="P9" t="str">
            <v>PeMS2016</v>
          </cell>
        </row>
        <row r="10">
          <cell r="C10">
            <v>21</v>
          </cell>
          <cell r="E10">
            <v>29028</v>
          </cell>
          <cell r="H10" t="str">
            <v>SR-94 WB</v>
          </cell>
          <cell r="I10">
            <v>16</v>
          </cell>
          <cell r="J10">
            <v>0</v>
          </cell>
          <cell r="K10" t="str">
            <v>KELTON</v>
          </cell>
          <cell r="L10" t="str">
            <v>EUCLID</v>
          </cell>
          <cell r="O10">
            <v>15747</v>
          </cell>
          <cell r="P10" t="str">
            <v>PeMS2016</v>
          </cell>
        </row>
        <row r="11">
          <cell r="C11">
            <v>21</v>
          </cell>
          <cell r="E11">
            <v>29037</v>
          </cell>
          <cell r="H11" t="str">
            <v>SR-94 WB</v>
          </cell>
          <cell r="I11">
            <v>18</v>
          </cell>
          <cell r="J11">
            <v>0</v>
          </cell>
          <cell r="K11" t="str">
            <v>EUCLID</v>
          </cell>
          <cell r="L11" t="str">
            <v>EUCLID</v>
          </cell>
          <cell r="O11">
            <v>15038</v>
          </cell>
          <cell r="P11" t="str">
            <v>PeMS2016</v>
          </cell>
        </row>
        <row r="12">
          <cell r="C12">
            <v>21</v>
          </cell>
          <cell r="E12">
            <v>29041</v>
          </cell>
          <cell r="H12" t="str">
            <v>SR-94 WB</v>
          </cell>
          <cell r="I12">
            <v>19</v>
          </cell>
          <cell r="J12">
            <v>0</v>
          </cell>
          <cell r="K12" t="str">
            <v>EUCLID</v>
          </cell>
          <cell r="L12" t="str">
            <v>47TH</v>
          </cell>
          <cell r="O12">
            <v>18588</v>
          </cell>
          <cell r="P12" t="str">
            <v>PeMS2016</v>
          </cell>
        </row>
        <row r="13">
          <cell r="C13">
            <v>21</v>
          </cell>
          <cell r="E13">
            <v>29046</v>
          </cell>
          <cell r="H13" t="str">
            <v>SR-94 WB</v>
          </cell>
          <cell r="I13">
            <v>23</v>
          </cell>
          <cell r="J13">
            <v>0</v>
          </cell>
          <cell r="K13" t="str">
            <v>I-805 NB</v>
          </cell>
          <cell r="L13" t="str">
            <v>I-805 NB</v>
          </cell>
          <cell r="O13">
            <v>9141</v>
          </cell>
          <cell r="P13" t="str">
            <v>PeMS2016</v>
          </cell>
        </row>
        <row r="14">
          <cell r="C14">
            <v>21</v>
          </cell>
          <cell r="E14">
            <v>29049</v>
          </cell>
          <cell r="H14" t="str">
            <v>SR-94 WB</v>
          </cell>
          <cell r="I14">
            <v>24</v>
          </cell>
          <cell r="J14">
            <v>0</v>
          </cell>
          <cell r="K14" t="str">
            <v>I-805 NB</v>
          </cell>
          <cell r="L14" t="str">
            <v>HOME</v>
          </cell>
          <cell r="O14">
            <v>12622</v>
          </cell>
          <cell r="P14" t="str">
            <v>PeMS2016</v>
          </cell>
        </row>
        <row r="15">
          <cell r="C15">
            <v>21</v>
          </cell>
          <cell r="E15">
            <v>27614</v>
          </cell>
          <cell r="H15" t="str">
            <v>SR-94 WB</v>
          </cell>
          <cell r="I15">
            <v>26</v>
          </cell>
          <cell r="J15">
            <v>0</v>
          </cell>
          <cell r="K15" t="str">
            <v>HOME</v>
          </cell>
          <cell r="L15" t="str">
            <v>SR-15 NB</v>
          </cell>
          <cell r="O15">
            <v>14485</v>
          </cell>
          <cell r="P15" t="str">
            <v>PeMS2016</v>
          </cell>
        </row>
        <row r="16">
          <cell r="C16">
            <v>21</v>
          </cell>
          <cell r="E16">
            <v>29051</v>
          </cell>
          <cell r="H16" t="str">
            <v>SR-94 WB</v>
          </cell>
          <cell r="I16">
            <v>27</v>
          </cell>
          <cell r="J16">
            <v>0</v>
          </cell>
          <cell r="K16" t="str">
            <v>SR-15 SB</v>
          </cell>
          <cell r="L16" t="str">
            <v>SR-15 SB</v>
          </cell>
          <cell r="O16">
            <v>11868</v>
          </cell>
          <cell r="P16" t="str">
            <v>PeMS2016</v>
          </cell>
        </row>
        <row r="17">
          <cell r="C17">
            <v>21</v>
          </cell>
          <cell r="E17">
            <v>15854</v>
          </cell>
          <cell r="H17" t="str">
            <v>SR-94 WB</v>
          </cell>
          <cell r="I17">
            <v>31</v>
          </cell>
          <cell r="J17">
            <v>0</v>
          </cell>
          <cell r="K17" t="str">
            <v>32ND</v>
          </cell>
          <cell r="L17" t="str">
            <v>28TH</v>
          </cell>
          <cell r="O17">
            <v>13758</v>
          </cell>
          <cell r="P17" t="str">
            <v>PeMS2016</v>
          </cell>
        </row>
        <row r="18">
          <cell r="C18">
            <v>21</v>
          </cell>
          <cell r="E18">
            <v>15856</v>
          </cell>
          <cell r="H18" t="str">
            <v>SR-94 WB</v>
          </cell>
          <cell r="I18">
            <v>32</v>
          </cell>
          <cell r="J18">
            <v>0</v>
          </cell>
          <cell r="K18" t="str">
            <v>28TH</v>
          </cell>
          <cell r="L18" t="str">
            <v>28TH</v>
          </cell>
          <cell r="O18">
            <v>12035</v>
          </cell>
          <cell r="P18" t="str">
            <v>PeMS2016</v>
          </cell>
        </row>
        <row r="19">
          <cell r="C19">
            <v>21</v>
          </cell>
          <cell r="E19">
            <v>15857</v>
          </cell>
          <cell r="H19" t="str">
            <v>SR-94 WB</v>
          </cell>
          <cell r="I19">
            <v>33</v>
          </cell>
          <cell r="J19">
            <v>0</v>
          </cell>
          <cell r="K19" t="str">
            <v>28TH</v>
          </cell>
          <cell r="L19" t="str">
            <v>25TH</v>
          </cell>
          <cell r="O19">
            <v>12035</v>
          </cell>
          <cell r="P19" t="str">
            <v>PeMS2016</v>
          </cell>
        </row>
        <row r="20">
          <cell r="C20">
            <v>21</v>
          </cell>
          <cell r="E20">
            <v>15862</v>
          </cell>
          <cell r="H20" t="str">
            <v>SR-94 WB</v>
          </cell>
          <cell r="I20">
            <v>34</v>
          </cell>
          <cell r="J20">
            <v>0</v>
          </cell>
          <cell r="K20" t="str">
            <v>25TH</v>
          </cell>
          <cell r="L20" t="str">
            <v>I-5 NB</v>
          </cell>
          <cell r="O20">
            <v>11230</v>
          </cell>
          <cell r="P20" t="str">
            <v>PeMS2016</v>
          </cell>
        </row>
        <row r="21">
          <cell r="C21">
            <v>21</v>
          </cell>
          <cell r="E21">
            <v>15863</v>
          </cell>
          <cell r="H21" t="str">
            <v>SR-94 WB</v>
          </cell>
          <cell r="I21">
            <v>36</v>
          </cell>
          <cell r="J21">
            <v>0</v>
          </cell>
          <cell r="K21" t="str">
            <v>F</v>
          </cell>
          <cell r="L21" t="str">
            <v>F</v>
          </cell>
          <cell r="O21">
            <v>4738</v>
          </cell>
          <cell r="P21" t="str">
            <v>PeMS2016</v>
          </cell>
        </row>
      </sheetData>
      <sheetData sheetId="22">
        <row r="2">
          <cell r="C2">
            <v>22</v>
          </cell>
          <cell r="E2">
            <v>28455</v>
          </cell>
          <cell r="H2" t="str">
            <v>I-8 EB</v>
          </cell>
          <cell r="I2">
            <v>1</v>
          </cell>
          <cell r="J2">
            <v>0</v>
          </cell>
          <cell r="K2" t="str">
            <v>I-8 EB</v>
          </cell>
          <cell r="L2" t="str">
            <v>I-8 EB</v>
          </cell>
          <cell r="O2">
            <v>4715</v>
          </cell>
          <cell r="P2" t="str">
            <v>PeMS2016</v>
          </cell>
        </row>
        <row r="3">
          <cell r="C3">
            <v>22</v>
          </cell>
          <cell r="E3">
            <v>28086</v>
          </cell>
          <cell r="H3" t="str">
            <v>I-8 EB</v>
          </cell>
          <cell r="I3">
            <v>3</v>
          </cell>
          <cell r="J3">
            <v>0</v>
          </cell>
          <cell r="K3" t="str">
            <v>MIDWAY</v>
          </cell>
          <cell r="L3" t="str">
            <v>I-5 SB</v>
          </cell>
          <cell r="O3">
            <v>12709</v>
          </cell>
          <cell r="P3" t="str">
            <v>PeMS2016</v>
          </cell>
        </row>
        <row r="4">
          <cell r="C4">
            <v>22</v>
          </cell>
          <cell r="E4">
            <v>27603</v>
          </cell>
          <cell r="H4" t="str">
            <v>I-8 EB</v>
          </cell>
          <cell r="I4">
            <v>9</v>
          </cell>
          <cell r="J4">
            <v>0</v>
          </cell>
          <cell r="K4" t="str">
            <v>MORENA</v>
          </cell>
          <cell r="L4" t="str">
            <v>TAYLOR</v>
          </cell>
          <cell r="O4">
            <v>22897</v>
          </cell>
          <cell r="P4" t="str">
            <v>PeMS2016</v>
          </cell>
        </row>
        <row r="5">
          <cell r="C5">
            <v>22</v>
          </cell>
          <cell r="E5">
            <v>27551</v>
          </cell>
          <cell r="H5" t="str">
            <v>I-8 EB</v>
          </cell>
          <cell r="I5">
            <v>10</v>
          </cell>
          <cell r="J5">
            <v>0</v>
          </cell>
          <cell r="K5" t="str">
            <v>TAYLOR</v>
          </cell>
          <cell r="L5" t="str">
            <v>TAYLOR</v>
          </cell>
          <cell r="O5">
            <v>25270</v>
          </cell>
          <cell r="P5" t="str">
            <v>PeMS2016</v>
          </cell>
        </row>
        <row r="6">
          <cell r="C6">
            <v>22</v>
          </cell>
          <cell r="E6">
            <v>27605</v>
          </cell>
          <cell r="H6" t="str">
            <v>I-8 EB</v>
          </cell>
          <cell r="I6">
            <v>11</v>
          </cell>
          <cell r="J6">
            <v>0</v>
          </cell>
          <cell r="K6" t="str">
            <v>HOTEL CIRCLE NORTH</v>
          </cell>
          <cell r="L6" t="str">
            <v>HOTEL CIRCLE SOUTH</v>
          </cell>
          <cell r="O6">
            <v>25270</v>
          </cell>
          <cell r="P6" t="str">
            <v>PeMS2016</v>
          </cell>
        </row>
        <row r="7">
          <cell r="C7">
            <v>22</v>
          </cell>
          <cell r="E7">
            <v>27555</v>
          </cell>
          <cell r="H7" t="str">
            <v>I-8 EB</v>
          </cell>
          <cell r="I7">
            <v>12</v>
          </cell>
          <cell r="J7">
            <v>0</v>
          </cell>
          <cell r="K7" t="str">
            <v>HOTEL CIRCLE SOUTH</v>
          </cell>
          <cell r="L7" t="str">
            <v>HOTEL CIRCLE SOUTH</v>
          </cell>
          <cell r="O7">
            <v>25476</v>
          </cell>
          <cell r="P7" t="str">
            <v>PeMS2016</v>
          </cell>
        </row>
        <row r="8">
          <cell r="C8">
            <v>22</v>
          </cell>
          <cell r="E8">
            <v>29089</v>
          </cell>
          <cell r="H8" t="str">
            <v>I-8 EB</v>
          </cell>
          <cell r="I8">
            <v>14</v>
          </cell>
          <cell r="J8">
            <v>0</v>
          </cell>
          <cell r="K8" t="str">
            <v>HOTEL CIRCLE SOUTH</v>
          </cell>
          <cell r="L8" t="str">
            <v>HOTEL CIRCLE SOUTH</v>
          </cell>
          <cell r="O8">
            <v>25023</v>
          </cell>
          <cell r="P8" t="str">
            <v>PeMS2016</v>
          </cell>
        </row>
        <row r="9">
          <cell r="C9">
            <v>22</v>
          </cell>
          <cell r="E9">
            <v>29108</v>
          </cell>
          <cell r="H9" t="str">
            <v>I-8 EB</v>
          </cell>
          <cell r="I9">
            <v>19</v>
          </cell>
          <cell r="J9">
            <v>0</v>
          </cell>
          <cell r="K9" t="str">
            <v>MISSION CENTER</v>
          </cell>
          <cell r="L9" t="str">
            <v>TEXAS</v>
          </cell>
          <cell r="O9">
            <v>30291</v>
          </cell>
          <cell r="P9" t="str">
            <v>PeMS2016</v>
          </cell>
        </row>
        <row r="10">
          <cell r="C10">
            <v>22</v>
          </cell>
          <cell r="E10">
            <v>27607</v>
          </cell>
          <cell r="H10" t="str">
            <v>I-8 EB</v>
          </cell>
          <cell r="I10">
            <v>21</v>
          </cell>
          <cell r="J10">
            <v>0</v>
          </cell>
          <cell r="K10" t="str">
            <v>I-805 SB</v>
          </cell>
          <cell r="L10" t="str">
            <v>TEXAS</v>
          </cell>
          <cell r="O10">
            <v>19235</v>
          </cell>
          <cell r="P10" t="str">
            <v>PeMS2016</v>
          </cell>
        </row>
        <row r="11">
          <cell r="C11">
            <v>22</v>
          </cell>
          <cell r="E11">
            <v>28106</v>
          </cell>
          <cell r="H11" t="str">
            <v>I-8 EB</v>
          </cell>
          <cell r="I11">
            <v>23</v>
          </cell>
          <cell r="J11">
            <v>0</v>
          </cell>
          <cell r="K11" t="str">
            <v>TEXAS</v>
          </cell>
          <cell r="L11" t="str">
            <v>I-805 NB</v>
          </cell>
          <cell r="O11">
            <v>23330</v>
          </cell>
          <cell r="P11" t="str">
            <v>PeMS2016</v>
          </cell>
        </row>
        <row r="12">
          <cell r="C12">
            <v>22</v>
          </cell>
          <cell r="E12">
            <v>10996</v>
          </cell>
          <cell r="H12" t="str">
            <v>I-8 EB</v>
          </cell>
          <cell r="I12">
            <v>24</v>
          </cell>
          <cell r="J12">
            <v>0</v>
          </cell>
          <cell r="K12" t="str">
            <v>I-805 NB</v>
          </cell>
          <cell r="L12" t="str">
            <v>SR-15 SB</v>
          </cell>
          <cell r="O12">
            <v>32396</v>
          </cell>
          <cell r="P12" t="str">
            <v>Caltran</v>
          </cell>
        </row>
        <row r="13">
          <cell r="C13">
            <v>22</v>
          </cell>
          <cell r="E13">
            <v>16096</v>
          </cell>
          <cell r="H13" t="str">
            <v>I-8 EB</v>
          </cell>
          <cell r="I13">
            <v>25</v>
          </cell>
          <cell r="J13">
            <v>0</v>
          </cell>
          <cell r="K13" t="str">
            <v>SR-15 SB</v>
          </cell>
          <cell r="L13" t="str">
            <v>SR-15 SB</v>
          </cell>
          <cell r="O13">
            <v>22510</v>
          </cell>
          <cell r="P13" t="str">
            <v>PeMS2016</v>
          </cell>
        </row>
        <row r="14">
          <cell r="C14">
            <v>22</v>
          </cell>
          <cell r="E14">
            <v>15432</v>
          </cell>
          <cell r="H14" t="str">
            <v>I-8 EB</v>
          </cell>
          <cell r="I14">
            <v>28</v>
          </cell>
          <cell r="J14">
            <v>0</v>
          </cell>
          <cell r="K14" t="str">
            <v>FAIRMOUNT</v>
          </cell>
          <cell r="L14" t="str">
            <v>WARING</v>
          </cell>
          <cell r="O14">
            <v>32759</v>
          </cell>
          <cell r="P14" t="str">
            <v>PeMS2016</v>
          </cell>
        </row>
        <row r="15">
          <cell r="C15">
            <v>22</v>
          </cell>
          <cell r="E15">
            <v>14953</v>
          </cell>
          <cell r="H15" t="str">
            <v>I-8 EB</v>
          </cell>
          <cell r="I15">
            <v>30</v>
          </cell>
          <cell r="J15">
            <v>0</v>
          </cell>
          <cell r="K15" t="str">
            <v>WARING</v>
          </cell>
          <cell r="L15" t="str">
            <v>COLLEGE</v>
          </cell>
          <cell r="O15">
            <v>32175</v>
          </cell>
          <cell r="P15" t="str">
            <v>PeMS2016</v>
          </cell>
        </row>
        <row r="16">
          <cell r="C16">
            <v>22</v>
          </cell>
          <cell r="E16">
            <v>15443</v>
          </cell>
          <cell r="H16" t="str">
            <v>I-8 EB</v>
          </cell>
          <cell r="I16">
            <v>31</v>
          </cell>
          <cell r="J16">
            <v>0</v>
          </cell>
          <cell r="K16" t="str">
            <v>WARING</v>
          </cell>
          <cell r="L16" t="str">
            <v>COLLEGE</v>
          </cell>
          <cell r="O16">
            <v>31197</v>
          </cell>
          <cell r="P16" t="str">
            <v>PeMS2016</v>
          </cell>
        </row>
        <row r="17">
          <cell r="C17">
            <v>22</v>
          </cell>
          <cell r="E17">
            <v>15457</v>
          </cell>
          <cell r="H17" t="str">
            <v>I-8 EB</v>
          </cell>
          <cell r="I17">
            <v>32</v>
          </cell>
          <cell r="J17">
            <v>0</v>
          </cell>
          <cell r="K17" t="str">
            <v>COLLEGE</v>
          </cell>
          <cell r="L17" t="str">
            <v>COLLEGE</v>
          </cell>
          <cell r="O17">
            <v>29007</v>
          </cell>
          <cell r="P17" t="str">
            <v>PeMS2016</v>
          </cell>
        </row>
        <row r="18">
          <cell r="C18">
            <v>22</v>
          </cell>
          <cell r="E18">
            <v>15459</v>
          </cell>
          <cell r="H18" t="str">
            <v>I-8 EB</v>
          </cell>
          <cell r="I18">
            <v>33</v>
          </cell>
          <cell r="J18">
            <v>0</v>
          </cell>
          <cell r="K18" t="str">
            <v>COLLEGE</v>
          </cell>
          <cell r="L18" t="str">
            <v>LAKE MURRAY</v>
          </cell>
          <cell r="O18">
            <v>28021</v>
          </cell>
          <cell r="P18" t="str">
            <v>Caltran</v>
          </cell>
        </row>
        <row r="19">
          <cell r="C19">
            <v>22</v>
          </cell>
          <cell r="E19">
            <v>11035</v>
          </cell>
          <cell r="H19" t="str">
            <v>I-8 EB</v>
          </cell>
          <cell r="I19">
            <v>35</v>
          </cell>
          <cell r="J19">
            <v>0</v>
          </cell>
          <cell r="K19" t="str">
            <v>LAKE MURRAY</v>
          </cell>
          <cell r="L19" t="str">
            <v>FLETCHER</v>
          </cell>
          <cell r="O19">
            <v>28522</v>
          </cell>
          <cell r="P19" t="str">
            <v>PeMS2016</v>
          </cell>
        </row>
        <row r="20">
          <cell r="C20">
            <v>22</v>
          </cell>
          <cell r="E20">
            <v>28123</v>
          </cell>
          <cell r="H20" t="str">
            <v>I-8 EB</v>
          </cell>
          <cell r="I20">
            <v>36</v>
          </cell>
          <cell r="J20">
            <v>0</v>
          </cell>
          <cell r="K20" t="str">
            <v>FLETCHER</v>
          </cell>
          <cell r="L20" t="str">
            <v>ALVARADO</v>
          </cell>
          <cell r="O20">
            <v>24159</v>
          </cell>
          <cell r="P20" t="str">
            <v>PeMS2016</v>
          </cell>
        </row>
        <row r="21">
          <cell r="C21">
            <v>22</v>
          </cell>
          <cell r="E21">
            <v>20719</v>
          </cell>
          <cell r="H21" t="str">
            <v>I-8 EB</v>
          </cell>
          <cell r="I21">
            <v>38</v>
          </cell>
          <cell r="J21">
            <v>0</v>
          </cell>
          <cell r="K21" t="str">
            <v>SPRING</v>
          </cell>
          <cell r="L21" t="str">
            <v>EL CAJON</v>
          </cell>
          <cell r="O21">
            <v>23483</v>
          </cell>
          <cell r="P21" t="str">
            <v>PeMS2016</v>
          </cell>
        </row>
        <row r="22">
          <cell r="C22">
            <v>22</v>
          </cell>
          <cell r="E22">
            <v>28143</v>
          </cell>
          <cell r="H22" t="str">
            <v>I-8 EB</v>
          </cell>
          <cell r="I22">
            <v>39</v>
          </cell>
          <cell r="J22">
            <v>0</v>
          </cell>
          <cell r="K22" t="str">
            <v>EL CAJON</v>
          </cell>
          <cell r="L22" t="str">
            <v>GROSSMONT</v>
          </cell>
          <cell r="O22">
            <v>26961</v>
          </cell>
          <cell r="P22" t="str">
            <v>Caltran</v>
          </cell>
        </row>
        <row r="23">
          <cell r="C23">
            <v>22</v>
          </cell>
          <cell r="E23">
            <v>28390</v>
          </cell>
          <cell r="H23" t="str">
            <v>I-8 EB</v>
          </cell>
          <cell r="I23">
            <v>40</v>
          </cell>
          <cell r="J23">
            <v>0</v>
          </cell>
          <cell r="K23" t="str">
            <v>GROSSMONT</v>
          </cell>
          <cell r="L23" t="str">
            <v>GROSSMONT</v>
          </cell>
          <cell r="O23">
            <v>21198</v>
          </cell>
          <cell r="P23" t="str">
            <v>PeMS2016</v>
          </cell>
        </row>
        <row r="24">
          <cell r="C24">
            <v>22</v>
          </cell>
          <cell r="E24">
            <v>11268</v>
          </cell>
          <cell r="H24" t="str">
            <v>I-8 EB</v>
          </cell>
          <cell r="I24">
            <v>47</v>
          </cell>
          <cell r="J24">
            <v>0</v>
          </cell>
          <cell r="K24" t="str">
            <v>GROSSMONT</v>
          </cell>
          <cell r="L24" t="str">
            <v>EL CAJON</v>
          </cell>
          <cell r="O24">
            <v>31372</v>
          </cell>
          <cell r="P24" t="str">
            <v>PeMS2016</v>
          </cell>
        </row>
        <row r="25">
          <cell r="C25">
            <v>22</v>
          </cell>
          <cell r="E25">
            <v>11054</v>
          </cell>
          <cell r="H25" t="str">
            <v>I-8 EB</v>
          </cell>
          <cell r="I25">
            <v>48</v>
          </cell>
          <cell r="J25">
            <v>0</v>
          </cell>
          <cell r="K25" t="str">
            <v>EL CAJON</v>
          </cell>
          <cell r="L25" t="str">
            <v>MAIN</v>
          </cell>
          <cell r="O25">
            <v>24705</v>
          </cell>
          <cell r="P25" t="str">
            <v>PeMS2016</v>
          </cell>
        </row>
        <row r="26">
          <cell r="C26">
            <v>22</v>
          </cell>
          <cell r="E26">
            <v>11055</v>
          </cell>
          <cell r="H26" t="str">
            <v>I-8 EB</v>
          </cell>
          <cell r="I26">
            <v>49</v>
          </cell>
          <cell r="J26">
            <v>0</v>
          </cell>
          <cell r="K26" t="str">
            <v>MAIN</v>
          </cell>
          <cell r="L26" t="str">
            <v>MAIN</v>
          </cell>
          <cell r="O26">
            <v>21546</v>
          </cell>
          <cell r="P26" t="str">
            <v>PeMS2016</v>
          </cell>
        </row>
        <row r="27">
          <cell r="C27">
            <v>22</v>
          </cell>
          <cell r="E27">
            <v>14949</v>
          </cell>
          <cell r="H27" t="str">
            <v>I-8 EB</v>
          </cell>
          <cell r="I27">
            <v>51</v>
          </cell>
          <cell r="J27">
            <v>0</v>
          </cell>
          <cell r="K27" t="str">
            <v>JOHNSON</v>
          </cell>
          <cell r="L27" t="str">
            <v>SR-67 NB</v>
          </cell>
          <cell r="O27">
            <v>20885</v>
          </cell>
          <cell r="P27" t="str">
            <v>PeMS2016</v>
          </cell>
        </row>
        <row r="28">
          <cell r="C28">
            <v>22</v>
          </cell>
          <cell r="E28">
            <v>28179</v>
          </cell>
          <cell r="H28" t="str">
            <v>I-8 EB</v>
          </cell>
          <cell r="I28">
            <v>54</v>
          </cell>
          <cell r="J28">
            <v>0</v>
          </cell>
          <cell r="K28" t="str">
            <v>MAGNOLIA</v>
          </cell>
          <cell r="L28" t="str">
            <v>MOLLISON</v>
          </cell>
          <cell r="O28">
            <v>16047</v>
          </cell>
          <cell r="P28" t="str">
            <v>PeMS2016</v>
          </cell>
        </row>
        <row r="29">
          <cell r="C29">
            <v>22</v>
          </cell>
          <cell r="E29">
            <v>28184</v>
          </cell>
          <cell r="H29" t="str">
            <v>I-8 EB</v>
          </cell>
          <cell r="I29">
            <v>55</v>
          </cell>
          <cell r="J29">
            <v>0</v>
          </cell>
          <cell r="K29" t="str">
            <v>MOLLISON</v>
          </cell>
          <cell r="L29" t="str">
            <v>MOLLISON</v>
          </cell>
          <cell r="O29">
            <v>15932</v>
          </cell>
          <cell r="P29" t="str">
            <v>PeMS2016</v>
          </cell>
        </row>
        <row r="30">
          <cell r="C30">
            <v>22</v>
          </cell>
          <cell r="E30">
            <v>28186</v>
          </cell>
          <cell r="H30" t="str">
            <v>I-8 EB</v>
          </cell>
          <cell r="I30">
            <v>56</v>
          </cell>
          <cell r="J30">
            <v>0</v>
          </cell>
          <cell r="K30" t="str">
            <v>MOLLISON</v>
          </cell>
          <cell r="L30" t="str">
            <v>02ND</v>
          </cell>
          <cell r="O30">
            <v>16600</v>
          </cell>
          <cell r="P30" t="str">
            <v>PeMS2016</v>
          </cell>
        </row>
        <row r="31">
          <cell r="C31">
            <v>22</v>
          </cell>
          <cell r="E31">
            <v>28380</v>
          </cell>
          <cell r="H31" t="str">
            <v>I-8 EB</v>
          </cell>
          <cell r="I31">
            <v>58</v>
          </cell>
          <cell r="J31">
            <v>0</v>
          </cell>
          <cell r="K31" t="str">
            <v>SR  54</v>
          </cell>
          <cell r="L31" t="str">
            <v>MAIN</v>
          </cell>
          <cell r="O31">
            <v>11477</v>
          </cell>
          <cell r="P31" t="str">
            <v>PeMS2016</v>
          </cell>
        </row>
        <row r="32">
          <cell r="C32">
            <v>22</v>
          </cell>
          <cell r="E32">
            <v>28199</v>
          </cell>
          <cell r="H32" t="str">
            <v>I-8 EB</v>
          </cell>
          <cell r="I32">
            <v>60</v>
          </cell>
          <cell r="J32">
            <v>0</v>
          </cell>
          <cell r="K32" t="str">
            <v>SR  54</v>
          </cell>
          <cell r="L32" t="str">
            <v>GREENFIELD</v>
          </cell>
          <cell r="O32">
            <v>13517</v>
          </cell>
          <cell r="P32" t="str">
            <v>PeMS2016</v>
          </cell>
        </row>
        <row r="33">
          <cell r="C33">
            <v>22</v>
          </cell>
          <cell r="E33">
            <v>28635</v>
          </cell>
          <cell r="H33" t="str">
            <v>I-8 EB</v>
          </cell>
          <cell r="I33">
            <v>62</v>
          </cell>
          <cell r="J33">
            <v>0</v>
          </cell>
          <cell r="K33" t="str">
            <v>GREENFIELD</v>
          </cell>
          <cell r="L33" t="str">
            <v>GREENFIELD</v>
          </cell>
          <cell r="O33">
            <v>10967</v>
          </cell>
          <cell r="P33" t="str">
            <v>PeMS2016</v>
          </cell>
        </row>
        <row r="34">
          <cell r="C34">
            <v>22</v>
          </cell>
          <cell r="E34">
            <v>28636</v>
          </cell>
          <cell r="H34" t="str">
            <v>I-8 EB</v>
          </cell>
          <cell r="I34">
            <v>63</v>
          </cell>
          <cell r="J34">
            <v>0</v>
          </cell>
          <cell r="K34" t="str">
            <v>GREENFIELD</v>
          </cell>
          <cell r="L34" t="str">
            <v>CAM CANADA</v>
          </cell>
          <cell r="O34">
            <v>8529</v>
          </cell>
          <cell r="P34" t="str">
            <v>PeMS2016</v>
          </cell>
        </row>
        <row r="35">
          <cell r="C35">
            <v>22</v>
          </cell>
          <cell r="E35">
            <v>28203</v>
          </cell>
          <cell r="H35" t="str">
            <v>I-8 EB</v>
          </cell>
          <cell r="I35">
            <v>64</v>
          </cell>
          <cell r="J35">
            <v>0</v>
          </cell>
          <cell r="K35" t="str">
            <v>CAM CANADA</v>
          </cell>
          <cell r="L35" t="str">
            <v>CAM CANADA</v>
          </cell>
          <cell r="O35">
            <v>8493</v>
          </cell>
          <cell r="P35" t="str">
            <v>PeMS2016</v>
          </cell>
        </row>
        <row r="36">
          <cell r="C36">
            <v>22</v>
          </cell>
          <cell r="E36">
            <v>28208</v>
          </cell>
          <cell r="H36" t="str">
            <v>I-8 EB</v>
          </cell>
          <cell r="I36">
            <v>65</v>
          </cell>
          <cell r="J36">
            <v>1</v>
          </cell>
          <cell r="K36" t="str">
            <v>CAM CANADA</v>
          </cell>
          <cell r="L36" t="str">
            <v>LAKE JENNINGS PARK</v>
          </cell>
          <cell r="O36">
            <v>10341</v>
          </cell>
          <cell r="P36" t="str">
            <v>PeMS2016</v>
          </cell>
        </row>
        <row r="37">
          <cell r="C37">
            <v>22</v>
          </cell>
          <cell r="E37">
            <v>28214</v>
          </cell>
          <cell r="H37" t="str">
            <v>I-8 EB</v>
          </cell>
          <cell r="I37">
            <v>67</v>
          </cell>
          <cell r="J37">
            <v>0</v>
          </cell>
          <cell r="K37" t="str">
            <v>LAKE JENNINGS PARK</v>
          </cell>
          <cell r="L37" t="str">
            <v>LAKE JENNINGS PARK</v>
          </cell>
          <cell r="O37">
            <v>7863</v>
          </cell>
          <cell r="P37" t="str">
            <v>PeMS2016</v>
          </cell>
        </row>
        <row r="38">
          <cell r="C38">
            <v>22</v>
          </cell>
          <cell r="E38">
            <v>28216</v>
          </cell>
          <cell r="H38" t="str">
            <v>I-8 EB</v>
          </cell>
          <cell r="I38">
            <v>68</v>
          </cell>
          <cell r="J38">
            <v>3</v>
          </cell>
          <cell r="K38" t="str">
            <v>LAKE JENNINGS PARK</v>
          </cell>
          <cell r="L38" t="str">
            <v>DUNBAR</v>
          </cell>
          <cell r="O38">
            <v>8246</v>
          </cell>
          <cell r="P38" t="str">
            <v>Caltran</v>
          </cell>
        </row>
        <row r="39">
          <cell r="C39">
            <v>22</v>
          </cell>
          <cell r="E39">
            <v>29215</v>
          </cell>
          <cell r="H39" t="str">
            <v>I-8 EB</v>
          </cell>
          <cell r="I39">
            <v>80</v>
          </cell>
          <cell r="J39">
            <v>2</v>
          </cell>
          <cell r="K39" t="str">
            <v>JAPATUL VALLEY</v>
          </cell>
          <cell r="L39" t="str">
            <v>PINE VALLEY</v>
          </cell>
          <cell r="O39">
            <v>2708</v>
          </cell>
          <cell r="P39" t="str">
            <v>Caltran</v>
          </cell>
        </row>
        <row r="40">
          <cell r="C40">
            <v>22</v>
          </cell>
          <cell r="E40">
            <v>28269</v>
          </cell>
          <cell r="H40" t="str">
            <v>I-8 EB</v>
          </cell>
          <cell r="I40">
            <v>86</v>
          </cell>
          <cell r="J40">
            <v>2</v>
          </cell>
          <cell r="K40" t="str">
            <v>BUCKMAN SPRINGS</v>
          </cell>
          <cell r="L40" t="str">
            <v>CAMERON TRUCK</v>
          </cell>
          <cell r="O40">
            <v>1915</v>
          </cell>
          <cell r="P40" t="str">
            <v>Caltran</v>
          </cell>
        </row>
        <row r="41">
          <cell r="C41">
            <v>22</v>
          </cell>
          <cell r="E41">
            <v>27539</v>
          </cell>
          <cell r="H41" t="str">
            <v>I-8 EB</v>
          </cell>
          <cell r="I41">
            <v>92</v>
          </cell>
          <cell r="J41">
            <v>7</v>
          </cell>
          <cell r="K41" t="str">
            <v>SR-94</v>
          </cell>
          <cell r="L41" t="str">
            <v>CORRIZO GORGE</v>
          </cell>
          <cell r="O41">
            <v>1608</v>
          </cell>
          <cell r="P41" t="str">
            <v>Caltran</v>
          </cell>
        </row>
      </sheetData>
      <sheetData sheetId="23">
        <row r="2">
          <cell r="C2">
            <v>23</v>
          </cell>
          <cell r="E2">
            <v>16489</v>
          </cell>
          <cell r="H2" t="str">
            <v>SR-78 EB</v>
          </cell>
          <cell r="I2">
            <v>4</v>
          </cell>
          <cell r="J2">
            <v>0</v>
          </cell>
          <cell r="K2" t="str">
            <v>I-5 NB</v>
          </cell>
          <cell r="L2" t="str">
            <v>JEFFERSON</v>
          </cell>
          <cell r="O2">
            <v>18307</v>
          </cell>
          <cell r="P2" t="str">
            <v>PeMS2016</v>
          </cell>
        </row>
        <row r="3">
          <cell r="C3">
            <v>23</v>
          </cell>
          <cell r="E3">
            <v>28535</v>
          </cell>
          <cell r="H3" t="str">
            <v>SR-78 EB</v>
          </cell>
          <cell r="I3">
            <v>5</v>
          </cell>
          <cell r="J3">
            <v>0</v>
          </cell>
          <cell r="K3" t="str">
            <v>JEFFERSON</v>
          </cell>
          <cell r="L3" t="str">
            <v>JEFFERSON</v>
          </cell>
          <cell r="O3">
            <v>15065</v>
          </cell>
          <cell r="P3" t="str">
            <v>PeMS2016</v>
          </cell>
        </row>
        <row r="4">
          <cell r="C4">
            <v>23</v>
          </cell>
          <cell r="E4">
            <v>27544</v>
          </cell>
          <cell r="H4" t="str">
            <v>SR-78 EB</v>
          </cell>
          <cell r="I4">
            <v>6</v>
          </cell>
          <cell r="J4">
            <v>0</v>
          </cell>
          <cell r="K4" t="str">
            <v>JEFFERSON</v>
          </cell>
          <cell r="L4" t="str">
            <v>EL CAMINO REAL</v>
          </cell>
          <cell r="O4">
            <v>16132</v>
          </cell>
          <cell r="P4" t="str">
            <v>Caltran</v>
          </cell>
        </row>
        <row r="5">
          <cell r="C5">
            <v>23</v>
          </cell>
          <cell r="E5">
            <v>27245</v>
          </cell>
          <cell r="H5" t="str">
            <v>SR-78 EB</v>
          </cell>
          <cell r="I5">
            <v>7</v>
          </cell>
          <cell r="J5">
            <v>0</v>
          </cell>
          <cell r="K5" t="str">
            <v>EL CAMINO REAL</v>
          </cell>
          <cell r="L5" t="str">
            <v>EL CAMINO REAL</v>
          </cell>
          <cell r="O5">
            <v>13752</v>
          </cell>
          <cell r="P5" t="str">
            <v>PeMS2016</v>
          </cell>
        </row>
        <row r="6">
          <cell r="C6">
            <v>23</v>
          </cell>
          <cell r="E6">
            <v>8829</v>
          </cell>
          <cell r="H6" t="str">
            <v>SR-78 EB</v>
          </cell>
          <cell r="I6">
            <v>8</v>
          </cell>
          <cell r="J6">
            <v>0</v>
          </cell>
          <cell r="K6" t="str">
            <v>EL CAMINO REAL</v>
          </cell>
          <cell r="L6" t="str">
            <v>RANCHO DEL ORO</v>
          </cell>
          <cell r="O6">
            <v>18241</v>
          </cell>
          <cell r="P6" t="str">
            <v>Caltran</v>
          </cell>
        </row>
        <row r="7">
          <cell r="C7">
            <v>23</v>
          </cell>
          <cell r="E7">
            <v>8831</v>
          </cell>
          <cell r="H7" t="str">
            <v>SR-78 EB</v>
          </cell>
          <cell r="I7">
            <v>11</v>
          </cell>
          <cell r="J7">
            <v>0</v>
          </cell>
          <cell r="K7" t="str">
            <v>COLLEGE</v>
          </cell>
          <cell r="L7" t="str">
            <v>PLAZA</v>
          </cell>
          <cell r="O7">
            <v>13844</v>
          </cell>
          <cell r="P7" t="str">
            <v>PeMS2016</v>
          </cell>
        </row>
        <row r="8">
          <cell r="C8">
            <v>23</v>
          </cell>
          <cell r="E8">
            <v>8830</v>
          </cell>
          <cell r="H8" t="str">
            <v>SR-78 EB</v>
          </cell>
          <cell r="I8">
            <v>12</v>
          </cell>
          <cell r="J8">
            <v>0</v>
          </cell>
          <cell r="K8" t="str">
            <v>PLAZA</v>
          </cell>
          <cell r="L8" t="str">
            <v>PLAZA</v>
          </cell>
          <cell r="O8">
            <v>13469</v>
          </cell>
          <cell r="P8" t="str">
            <v>PeMS2016</v>
          </cell>
        </row>
        <row r="9">
          <cell r="C9">
            <v>23</v>
          </cell>
          <cell r="E9">
            <v>16566</v>
          </cell>
          <cell r="H9" t="str">
            <v>SR-78 EB</v>
          </cell>
          <cell r="I9">
            <v>14</v>
          </cell>
          <cell r="J9">
            <v>0</v>
          </cell>
          <cell r="K9" t="str">
            <v>EMERALD</v>
          </cell>
          <cell r="L9" t="str">
            <v>EMERALD</v>
          </cell>
          <cell r="O9">
            <v>13311</v>
          </cell>
          <cell r="P9" t="str">
            <v>PeMS2016</v>
          </cell>
        </row>
        <row r="10">
          <cell r="C10">
            <v>23</v>
          </cell>
          <cell r="E10">
            <v>16565</v>
          </cell>
          <cell r="H10" t="str">
            <v>SR-78 EB</v>
          </cell>
          <cell r="I10">
            <v>15</v>
          </cell>
          <cell r="J10">
            <v>1</v>
          </cell>
          <cell r="K10" t="str">
            <v>EMERALD</v>
          </cell>
          <cell r="L10" t="str">
            <v>MELROSE</v>
          </cell>
          <cell r="O10">
            <v>16661</v>
          </cell>
          <cell r="P10" t="str">
            <v>Caltran</v>
          </cell>
        </row>
        <row r="11">
          <cell r="C11">
            <v>23</v>
          </cell>
          <cell r="E11">
            <v>7872</v>
          </cell>
          <cell r="H11" t="str">
            <v>SR-78 EB</v>
          </cell>
          <cell r="I11">
            <v>18</v>
          </cell>
          <cell r="J11">
            <v>0</v>
          </cell>
          <cell r="K11" t="str">
            <v>MELROSE</v>
          </cell>
          <cell r="L11" t="str">
            <v>MELROSE</v>
          </cell>
          <cell r="O11">
            <v>11425</v>
          </cell>
          <cell r="P11" t="str">
            <v>PeMS2016</v>
          </cell>
        </row>
        <row r="12">
          <cell r="C12">
            <v>23</v>
          </cell>
          <cell r="E12">
            <v>27247</v>
          </cell>
          <cell r="H12" t="str">
            <v>SR-78 EB</v>
          </cell>
          <cell r="I12">
            <v>20</v>
          </cell>
          <cell r="J12">
            <v>0</v>
          </cell>
          <cell r="K12" t="str">
            <v>SUNSET</v>
          </cell>
          <cell r="L12" t="str">
            <v>SUNSET</v>
          </cell>
          <cell r="O12">
            <v>11810</v>
          </cell>
          <cell r="P12" t="str">
            <v>PeMS2016</v>
          </cell>
        </row>
        <row r="13">
          <cell r="C13">
            <v>23</v>
          </cell>
          <cell r="E13">
            <v>7873</v>
          </cell>
          <cell r="H13" t="str">
            <v>SR-78 EB</v>
          </cell>
          <cell r="I13">
            <v>22</v>
          </cell>
          <cell r="J13">
            <v>0</v>
          </cell>
          <cell r="K13" t="str">
            <v>MAR VISTA</v>
          </cell>
          <cell r="L13" t="str">
            <v>MAR VISTA</v>
          </cell>
          <cell r="O13">
            <v>13522</v>
          </cell>
          <cell r="P13" t="str">
            <v>PeMS2016</v>
          </cell>
        </row>
        <row r="14">
          <cell r="C14">
            <v>23</v>
          </cell>
          <cell r="E14">
            <v>8840</v>
          </cell>
          <cell r="H14" t="str">
            <v>SR-78 EB</v>
          </cell>
          <cell r="I14">
            <v>24</v>
          </cell>
          <cell r="J14">
            <v>0</v>
          </cell>
          <cell r="K14" t="str">
            <v>SYCAMORE</v>
          </cell>
          <cell r="L14" t="str">
            <v>SYCAMORE</v>
          </cell>
          <cell r="O14">
            <v>11323</v>
          </cell>
          <cell r="P14" t="str">
            <v>PeMS2016</v>
          </cell>
        </row>
        <row r="15">
          <cell r="C15">
            <v>23</v>
          </cell>
          <cell r="E15">
            <v>8841</v>
          </cell>
          <cell r="H15" t="str">
            <v>SR-78 EB</v>
          </cell>
          <cell r="I15">
            <v>27</v>
          </cell>
          <cell r="J15">
            <v>0</v>
          </cell>
          <cell r="K15" t="str">
            <v>SYCAMORE</v>
          </cell>
          <cell r="L15" t="str">
            <v>RANCHO SANTA FE</v>
          </cell>
          <cell r="O15">
            <v>13576</v>
          </cell>
          <cell r="P15" t="str">
            <v>Caltran</v>
          </cell>
        </row>
        <row r="16">
          <cell r="C16">
            <v>23</v>
          </cell>
          <cell r="E16">
            <v>29182</v>
          </cell>
          <cell r="H16" t="str">
            <v>SR-78 EB</v>
          </cell>
          <cell r="I16">
            <v>28</v>
          </cell>
          <cell r="J16">
            <v>0</v>
          </cell>
          <cell r="K16" t="str">
            <v>RANCHO SANTA FE</v>
          </cell>
          <cell r="L16" t="str">
            <v>RANCHO SANTA FE</v>
          </cell>
          <cell r="O16">
            <v>12174</v>
          </cell>
          <cell r="P16" t="str">
            <v>PeMS2016</v>
          </cell>
        </row>
        <row r="17">
          <cell r="C17">
            <v>23</v>
          </cell>
          <cell r="E17">
            <v>16428</v>
          </cell>
          <cell r="H17" t="str">
            <v>SR-78 EB</v>
          </cell>
          <cell r="I17">
            <v>29</v>
          </cell>
          <cell r="J17">
            <v>0</v>
          </cell>
          <cell r="K17" t="str">
            <v>RANCHO SANTA FE</v>
          </cell>
          <cell r="L17" t="str">
            <v>LAS POSAS</v>
          </cell>
          <cell r="O17">
            <v>14152</v>
          </cell>
          <cell r="P17" t="str">
            <v>Caltran</v>
          </cell>
        </row>
        <row r="18">
          <cell r="C18">
            <v>23</v>
          </cell>
          <cell r="E18">
            <v>19571</v>
          </cell>
          <cell r="H18" t="str">
            <v>SR-78 EB</v>
          </cell>
          <cell r="I18">
            <v>33</v>
          </cell>
          <cell r="J18">
            <v>0</v>
          </cell>
          <cell r="K18" t="str">
            <v>LAS POSAS</v>
          </cell>
          <cell r="L18" t="str">
            <v>SAN MARCOS</v>
          </cell>
          <cell r="O18">
            <v>11206</v>
          </cell>
          <cell r="P18" t="str">
            <v>PeMS2016</v>
          </cell>
        </row>
        <row r="19">
          <cell r="C19">
            <v>23</v>
          </cell>
          <cell r="E19">
            <v>30792</v>
          </cell>
          <cell r="H19" t="str">
            <v>SR-78 EB</v>
          </cell>
          <cell r="I19">
            <v>35</v>
          </cell>
          <cell r="J19">
            <v>0</v>
          </cell>
          <cell r="K19" t="str">
            <v>SAN MARCOS</v>
          </cell>
          <cell r="L19" t="str">
            <v>SAN MARCOS</v>
          </cell>
          <cell r="O19">
            <v>12855</v>
          </cell>
          <cell r="P19" t="str">
            <v>PeMS2016</v>
          </cell>
        </row>
        <row r="20">
          <cell r="C20">
            <v>23</v>
          </cell>
          <cell r="E20">
            <v>16446</v>
          </cell>
          <cell r="H20" t="str">
            <v>SR-78 EB</v>
          </cell>
          <cell r="I20">
            <v>37</v>
          </cell>
          <cell r="J20">
            <v>0</v>
          </cell>
          <cell r="K20" t="str">
            <v>TWIN OAKS VALLEY</v>
          </cell>
          <cell r="L20" t="str">
            <v>TWIN OAKS VALLEY</v>
          </cell>
          <cell r="O20">
            <v>15361</v>
          </cell>
          <cell r="P20" t="str">
            <v>PeMS2016</v>
          </cell>
        </row>
        <row r="21">
          <cell r="C21">
            <v>23</v>
          </cell>
          <cell r="E21">
            <v>8846</v>
          </cell>
          <cell r="H21" t="str">
            <v>SR-78 EB</v>
          </cell>
          <cell r="I21">
            <v>42</v>
          </cell>
          <cell r="J21">
            <v>0</v>
          </cell>
          <cell r="K21" t="str">
            <v>WOODLAND</v>
          </cell>
          <cell r="L21" t="str">
            <v>BARHAM</v>
          </cell>
          <cell r="O21">
            <v>15772</v>
          </cell>
          <cell r="P21" t="str">
            <v>PeMS2016</v>
          </cell>
        </row>
        <row r="22">
          <cell r="C22">
            <v>23</v>
          </cell>
          <cell r="E22">
            <v>8042</v>
          </cell>
          <cell r="H22" t="str">
            <v>SR-78 EB</v>
          </cell>
          <cell r="I22">
            <v>44</v>
          </cell>
          <cell r="J22">
            <v>0</v>
          </cell>
          <cell r="K22" t="str">
            <v>NORDAHL</v>
          </cell>
          <cell r="L22" t="str">
            <v>NORDAHL</v>
          </cell>
          <cell r="O22">
            <v>18047</v>
          </cell>
          <cell r="P22" t="str">
            <v>PeMS2016</v>
          </cell>
        </row>
        <row r="23">
          <cell r="C23">
            <v>23</v>
          </cell>
          <cell r="E23">
            <v>12838</v>
          </cell>
          <cell r="H23" t="str">
            <v>SR-78 EB</v>
          </cell>
          <cell r="I23">
            <v>45</v>
          </cell>
          <cell r="J23">
            <v>0</v>
          </cell>
          <cell r="K23" t="str">
            <v>NORDAHL</v>
          </cell>
          <cell r="L23" t="str">
            <v>I-15 SB</v>
          </cell>
          <cell r="O23">
            <v>21956</v>
          </cell>
          <cell r="P23" t="str">
            <v>PeMS2016</v>
          </cell>
        </row>
        <row r="24">
          <cell r="C24">
            <v>23</v>
          </cell>
          <cell r="E24">
            <v>12841</v>
          </cell>
          <cell r="H24" t="str">
            <v>SR-78 EB</v>
          </cell>
          <cell r="I24">
            <v>46</v>
          </cell>
          <cell r="J24">
            <v>0</v>
          </cell>
          <cell r="K24" t="str">
            <v>I-15 SB</v>
          </cell>
          <cell r="L24" t="str">
            <v>I-15 NB</v>
          </cell>
          <cell r="O24">
            <v>10358</v>
          </cell>
          <cell r="P24" t="str">
            <v>PeMS2016</v>
          </cell>
        </row>
      </sheetData>
      <sheetData sheetId="24">
        <row r="2">
          <cell r="C2">
            <v>24</v>
          </cell>
          <cell r="E2">
            <v>28466</v>
          </cell>
          <cell r="H2" t="str">
            <v>SR-52 EB</v>
          </cell>
          <cell r="I2">
            <v>1</v>
          </cell>
          <cell r="J2">
            <v>0</v>
          </cell>
          <cell r="K2" t="str">
            <v>RAMP SR-52 EB</v>
          </cell>
          <cell r="L2" t="str">
            <v>I-5 SB</v>
          </cell>
          <cell r="O2">
            <v>12559</v>
          </cell>
          <cell r="P2" t="str">
            <v>PeMS2016</v>
          </cell>
        </row>
        <row r="3">
          <cell r="C3">
            <v>24</v>
          </cell>
          <cell r="E3">
            <v>28276</v>
          </cell>
          <cell r="H3" t="str">
            <v>SR-52 EB</v>
          </cell>
          <cell r="I3">
            <v>3</v>
          </cell>
          <cell r="J3">
            <v>0</v>
          </cell>
          <cell r="K3" t="str">
            <v>REGENTS</v>
          </cell>
          <cell r="L3" t="str">
            <v>REGENTS</v>
          </cell>
          <cell r="O3">
            <v>9591</v>
          </cell>
          <cell r="P3" t="str">
            <v>PeMS2016</v>
          </cell>
        </row>
        <row r="4">
          <cell r="C4">
            <v>24</v>
          </cell>
          <cell r="E4">
            <v>28281</v>
          </cell>
          <cell r="H4" t="str">
            <v>SR-52 EB</v>
          </cell>
          <cell r="I4">
            <v>4</v>
          </cell>
          <cell r="J4">
            <v>0</v>
          </cell>
          <cell r="K4" t="str">
            <v>REGENTS</v>
          </cell>
          <cell r="L4" t="str">
            <v>GENESEE</v>
          </cell>
          <cell r="O4">
            <v>10970</v>
          </cell>
          <cell r="P4" t="str">
            <v>PeMS2016</v>
          </cell>
        </row>
        <row r="5">
          <cell r="C5">
            <v>24</v>
          </cell>
          <cell r="E5">
            <v>11095</v>
          </cell>
          <cell r="H5" t="str">
            <v>SR-52 EB</v>
          </cell>
          <cell r="I5">
            <v>6</v>
          </cell>
          <cell r="J5">
            <v>0</v>
          </cell>
          <cell r="K5" t="str">
            <v>GENESEE</v>
          </cell>
          <cell r="L5" t="str">
            <v>I-805 SB</v>
          </cell>
          <cell r="O5">
            <v>11876</v>
          </cell>
          <cell r="P5" t="str">
            <v>Caltran</v>
          </cell>
        </row>
        <row r="6">
          <cell r="C6">
            <v>24</v>
          </cell>
          <cell r="E6">
            <v>11103</v>
          </cell>
          <cell r="H6" t="str">
            <v>SR-52 EB</v>
          </cell>
          <cell r="I6">
            <v>10</v>
          </cell>
          <cell r="J6">
            <v>0</v>
          </cell>
          <cell r="K6" t="str">
            <v>I-805 NB</v>
          </cell>
          <cell r="L6" t="str">
            <v>CONVOY</v>
          </cell>
          <cell r="O6">
            <v>15241</v>
          </cell>
          <cell r="P6" t="str">
            <v>PeMS2016</v>
          </cell>
        </row>
        <row r="7">
          <cell r="C7">
            <v>24</v>
          </cell>
          <cell r="E7">
            <v>7430</v>
          </cell>
          <cell r="H7" t="str">
            <v>SR-52 EB</v>
          </cell>
          <cell r="I7">
            <v>11</v>
          </cell>
          <cell r="J7">
            <v>0</v>
          </cell>
          <cell r="K7" t="str">
            <v>CONVOY</v>
          </cell>
          <cell r="L7" t="str">
            <v>CONVOY</v>
          </cell>
          <cell r="O7">
            <v>15528</v>
          </cell>
          <cell r="P7" t="str">
            <v>Caltran</v>
          </cell>
        </row>
        <row r="8">
          <cell r="C8">
            <v>24</v>
          </cell>
          <cell r="E8">
            <v>7497</v>
          </cell>
          <cell r="H8" t="str">
            <v>SR-52 EB</v>
          </cell>
          <cell r="I8">
            <v>12</v>
          </cell>
          <cell r="J8">
            <v>0</v>
          </cell>
          <cell r="K8" t="str">
            <v>CONVOY</v>
          </cell>
          <cell r="L8" t="str">
            <v>CONVOY</v>
          </cell>
          <cell r="O8">
            <v>16404</v>
          </cell>
          <cell r="P8" t="str">
            <v>Caltran</v>
          </cell>
        </row>
        <row r="9">
          <cell r="C9">
            <v>24</v>
          </cell>
          <cell r="E9">
            <v>28904</v>
          </cell>
          <cell r="H9" t="str">
            <v>SR-52 EB</v>
          </cell>
          <cell r="I9">
            <v>17</v>
          </cell>
          <cell r="J9">
            <v>0</v>
          </cell>
          <cell r="K9" t="str">
            <v>SR-163 NB</v>
          </cell>
          <cell r="L9" t="str">
            <v>KEARNY VILLA</v>
          </cell>
          <cell r="O9">
            <v>6136</v>
          </cell>
          <cell r="P9" t="str">
            <v>PeMS2016</v>
          </cell>
        </row>
        <row r="10">
          <cell r="C10">
            <v>24</v>
          </cell>
          <cell r="E10">
            <v>9028</v>
          </cell>
          <cell r="H10" t="str">
            <v>SR-52 EB</v>
          </cell>
          <cell r="I10">
            <v>21</v>
          </cell>
          <cell r="J10">
            <v>0</v>
          </cell>
          <cell r="K10" t="str">
            <v>I-15 NB</v>
          </cell>
          <cell r="L10" t="str">
            <v>SANTO</v>
          </cell>
          <cell r="O10">
            <v>16332</v>
          </cell>
          <cell r="P10" t="str">
            <v>Caltran</v>
          </cell>
        </row>
        <row r="11">
          <cell r="C11">
            <v>24</v>
          </cell>
          <cell r="E11">
            <v>7772</v>
          </cell>
          <cell r="H11" t="str">
            <v>SR-52 EB</v>
          </cell>
          <cell r="I11">
            <v>25</v>
          </cell>
          <cell r="J11">
            <v>2</v>
          </cell>
          <cell r="K11" t="str">
            <v>SANTO</v>
          </cell>
          <cell r="L11" t="str">
            <v>MAST</v>
          </cell>
          <cell r="O11">
            <v>17040</v>
          </cell>
          <cell r="P11" t="str">
            <v>Caltran</v>
          </cell>
        </row>
        <row r="12">
          <cell r="C12">
            <v>24</v>
          </cell>
          <cell r="E12">
            <v>7375</v>
          </cell>
          <cell r="H12" t="str">
            <v>SR-52 EB</v>
          </cell>
          <cell r="I12">
            <v>28</v>
          </cell>
          <cell r="J12">
            <v>0</v>
          </cell>
          <cell r="K12" t="str">
            <v>SANTO</v>
          </cell>
          <cell r="L12" t="str">
            <v>MAST</v>
          </cell>
          <cell r="O12">
            <v>17410</v>
          </cell>
          <cell r="P12" t="str">
            <v>Caltran</v>
          </cell>
        </row>
        <row r="13">
          <cell r="C13">
            <v>24</v>
          </cell>
          <cell r="E13">
            <v>15239</v>
          </cell>
          <cell r="H13" t="str">
            <v>SR-52 EB</v>
          </cell>
          <cell r="I13">
            <v>29</v>
          </cell>
          <cell r="J13">
            <v>0</v>
          </cell>
          <cell r="K13" t="str">
            <v>MAST</v>
          </cell>
          <cell r="L13" t="str">
            <v>MAST</v>
          </cell>
          <cell r="O13">
            <v>14034</v>
          </cell>
          <cell r="P13" t="str">
            <v>PeMS2016</v>
          </cell>
        </row>
        <row r="14">
          <cell r="C14">
            <v>24</v>
          </cell>
          <cell r="E14">
            <v>11124</v>
          </cell>
          <cell r="H14" t="str">
            <v>SR-52 EB</v>
          </cell>
          <cell r="I14">
            <v>30</v>
          </cell>
          <cell r="J14">
            <v>0</v>
          </cell>
          <cell r="K14" t="str">
            <v>MAST</v>
          </cell>
          <cell r="L14" t="str">
            <v>MISSION GORGE</v>
          </cell>
          <cell r="O14">
            <v>14494</v>
          </cell>
          <cell r="P14" t="str">
            <v>Caltran</v>
          </cell>
        </row>
        <row r="15">
          <cell r="C15">
            <v>24</v>
          </cell>
          <cell r="E15">
            <v>19481</v>
          </cell>
          <cell r="H15" t="str">
            <v>SR-52 EB</v>
          </cell>
          <cell r="I15">
            <v>31</v>
          </cell>
          <cell r="J15">
            <v>0</v>
          </cell>
          <cell r="K15" t="str">
            <v>MISSION GORGE</v>
          </cell>
          <cell r="L15" t="str">
            <v>NEW MISSION GORGE</v>
          </cell>
          <cell r="O15">
            <v>14757</v>
          </cell>
          <cell r="P15" t="str">
            <v>PeMS2016</v>
          </cell>
        </row>
        <row r="16">
          <cell r="C16">
            <v>24</v>
          </cell>
          <cell r="E16">
            <v>7377</v>
          </cell>
          <cell r="H16" t="str">
            <v>SR-52 EB</v>
          </cell>
          <cell r="I16">
            <v>36</v>
          </cell>
          <cell r="J16">
            <v>0</v>
          </cell>
          <cell r="K16" t="str">
            <v>FANITA</v>
          </cell>
          <cell r="L16" t="str">
            <v>CUYAMACA</v>
          </cell>
          <cell r="O16">
            <v>12887</v>
          </cell>
          <cell r="P16" t="str">
            <v>Caltran</v>
          </cell>
        </row>
        <row r="17">
          <cell r="C17">
            <v>24</v>
          </cell>
          <cell r="E17">
            <v>27229</v>
          </cell>
          <cell r="H17" t="str">
            <v>SR-52 EB</v>
          </cell>
          <cell r="I17">
            <v>38</v>
          </cell>
          <cell r="J17">
            <v>0</v>
          </cell>
          <cell r="K17" t="str">
            <v>CUYAMACA</v>
          </cell>
          <cell r="L17" t="str">
            <v>MAGNOLIA</v>
          </cell>
          <cell r="O17">
            <v>12478</v>
          </cell>
          <cell r="P17" t="str">
            <v>Caltran</v>
          </cell>
        </row>
      </sheetData>
      <sheetData sheetId="25">
        <row r="2">
          <cell r="C2">
            <v>25</v>
          </cell>
          <cell r="E2">
            <v>27959</v>
          </cell>
          <cell r="H2" t="str">
            <v>SR-54 EB</v>
          </cell>
          <cell r="I2">
            <v>1</v>
          </cell>
          <cell r="K2" t="str">
            <v>NATIONAL CITY</v>
          </cell>
          <cell r="L2" t="str">
            <v>HIGHLAND</v>
          </cell>
          <cell r="O2">
            <v>15496</v>
          </cell>
          <cell r="P2" t="str">
            <v>Caltran</v>
          </cell>
        </row>
        <row r="3">
          <cell r="C3">
            <v>25</v>
          </cell>
          <cell r="E3">
            <v>28676</v>
          </cell>
          <cell r="H3" t="str">
            <v>SR-54 EB</v>
          </cell>
          <cell r="I3">
            <v>6</v>
          </cell>
          <cell r="K3" t="str">
            <v>I-805 NB</v>
          </cell>
          <cell r="L3" t="str">
            <v>VALLEY</v>
          </cell>
          <cell r="O3">
            <v>18999</v>
          </cell>
          <cell r="P3" t="str">
            <v>Caltran</v>
          </cell>
        </row>
        <row r="4">
          <cell r="C4">
            <v>25</v>
          </cell>
          <cell r="E4">
            <v>28678</v>
          </cell>
          <cell r="H4" t="str">
            <v>SR-54 EB</v>
          </cell>
          <cell r="I4">
            <v>7</v>
          </cell>
          <cell r="K4" t="str">
            <v>VALLEY</v>
          </cell>
          <cell r="L4" t="str">
            <v>VALLEY</v>
          </cell>
          <cell r="O4">
            <v>16037</v>
          </cell>
          <cell r="P4" t="str">
            <v>PeMS2016</v>
          </cell>
        </row>
        <row r="5">
          <cell r="C5">
            <v>25</v>
          </cell>
          <cell r="E5">
            <v>14143</v>
          </cell>
          <cell r="H5" t="str">
            <v>SR-54 EB</v>
          </cell>
          <cell r="I5">
            <v>8</v>
          </cell>
          <cell r="K5" t="str">
            <v>VALLEY</v>
          </cell>
          <cell r="L5" t="str">
            <v>WOODMAN</v>
          </cell>
          <cell r="O5">
            <v>17321</v>
          </cell>
          <cell r="P5" t="str">
            <v>Caltran</v>
          </cell>
        </row>
        <row r="6">
          <cell r="C6">
            <v>25</v>
          </cell>
          <cell r="E6">
            <v>14151</v>
          </cell>
          <cell r="H6" t="str">
            <v>SR-54 EB</v>
          </cell>
          <cell r="I6">
            <v>9</v>
          </cell>
          <cell r="K6" t="str">
            <v>WOODMAN</v>
          </cell>
          <cell r="L6" t="str">
            <v>WOODMAN</v>
          </cell>
          <cell r="O6">
            <v>15033</v>
          </cell>
          <cell r="P6" t="str">
            <v>PeMS2016</v>
          </cell>
        </row>
        <row r="7">
          <cell r="C7">
            <v>25</v>
          </cell>
          <cell r="E7">
            <v>14153</v>
          </cell>
          <cell r="H7" t="str">
            <v>SR-54 EB</v>
          </cell>
          <cell r="I7">
            <v>10</v>
          </cell>
          <cell r="K7" t="str">
            <v>WOODMAN</v>
          </cell>
          <cell r="L7" t="str">
            <v>BRIARWOOD</v>
          </cell>
          <cell r="O7">
            <v>15541</v>
          </cell>
          <cell r="P7" t="str">
            <v>Caltran</v>
          </cell>
        </row>
        <row r="8">
          <cell r="C8">
            <v>25</v>
          </cell>
          <cell r="E8">
            <v>7514</v>
          </cell>
          <cell r="H8" t="str">
            <v>SR-54 EB</v>
          </cell>
          <cell r="I8">
            <v>11</v>
          </cell>
          <cell r="K8" t="str">
            <v>BRIARWOOD</v>
          </cell>
          <cell r="L8" t="str">
            <v>BRIARWOOD</v>
          </cell>
          <cell r="O8">
            <v>12664</v>
          </cell>
          <cell r="P8" t="str">
            <v>PeMS2016</v>
          </cell>
        </row>
        <row r="9">
          <cell r="C9">
            <v>25</v>
          </cell>
          <cell r="E9">
            <v>7525</v>
          </cell>
          <cell r="H9" t="str">
            <v>SR-54 EB</v>
          </cell>
          <cell r="I9">
            <v>12</v>
          </cell>
          <cell r="K9" t="str">
            <v>BRIARWOOD</v>
          </cell>
          <cell r="L9" t="str">
            <v>SR-125 SB</v>
          </cell>
          <cell r="O9">
            <v>13722</v>
          </cell>
          <cell r="P9" t="str">
            <v>Caltran</v>
          </cell>
        </row>
      </sheetData>
      <sheetData sheetId="26">
        <row r="2">
          <cell r="C2">
            <v>26</v>
          </cell>
          <cell r="E2">
            <v>7636</v>
          </cell>
          <cell r="H2" t="str">
            <v>SR-56 EB</v>
          </cell>
          <cell r="I2">
            <v>1</v>
          </cell>
          <cell r="J2">
            <v>0</v>
          </cell>
          <cell r="K2" t="str">
            <v>EL CAMINO REAL</v>
          </cell>
          <cell r="L2" t="str">
            <v>CARMEL CREEK</v>
          </cell>
          <cell r="O2">
            <v>11173</v>
          </cell>
          <cell r="P2" t="str">
            <v>PeMS2016</v>
          </cell>
        </row>
        <row r="3">
          <cell r="C3">
            <v>26</v>
          </cell>
          <cell r="E3">
            <v>27505</v>
          </cell>
          <cell r="H3" t="str">
            <v>SR-56 EB</v>
          </cell>
          <cell r="I3">
            <v>3</v>
          </cell>
          <cell r="J3">
            <v>0</v>
          </cell>
          <cell r="K3" t="str">
            <v>CARMEL CREEK</v>
          </cell>
          <cell r="L3" t="str">
            <v>CARMEL CREEK</v>
          </cell>
          <cell r="O3">
            <v>11784</v>
          </cell>
          <cell r="P3" t="str">
            <v>PeMS2016</v>
          </cell>
        </row>
        <row r="4">
          <cell r="C4">
            <v>26</v>
          </cell>
          <cell r="E4">
            <v>27507</v>
          </cell>
          <cell r="H4" t="str">
            <v>SR-56 EB</v>
          </cell>
          <cell r="I4">
            <v>4</v>
          </cell>
          <cell r="J4">
            <v>0</v>
          </cell>
          <cell r="K4" t="str">
            <v>CARMEL CREEK</v>
          </cell>
          <cell r="L4" t="str">
            <v>CARMEL COUNTRY</v>
          </cell>
          <cell r="O4">
            <v>13771</v>
          </cell>
          <cell r="P4" t="str">
            <v>Caltran</v>
          </cell>
        </row>
        <row r="5">
          <cell r="C5">
            <v>26</v>
          </cell>
          <cell r="E5">
            <v>29168</v>
          </cell>
          <cell r="H5" t="str">
            <v>SR-56 EB</v>
          </cell>
          <cell r="I5">
            <v>5</v>
          </cell>
          <cell r="J5">
            <v>0</v>
          </cell>
          <cell r="K5" t="str">
            <v>CARMEL COUNTRY</v>
          </cell>
          <cell r="L5" t="str">
            <v>CARMEL COUNTRY</v>
          </cell>
          <cell r="O5">
            <v>10644</v>
          </cell>
          <cell r="P5" t="str">
            <v>PeMS2016</v>
          </cell>
        </row>
        <row r="6">
          <cell r="C6">
            <v>26</v>
          </cell>
          <cell r="E6">
            <v>16356</v>
          </cell>
          <cell r="H6" t="str">
            <v>SR-56 EB</v>
          </cell>
          <cell r="I6">
            <v>6</v>
          </cell>
          <cell r="J6">
            <v>0</v>
          </cell>
          <cell r="K6" t="str">
            <v>CARMEL COUNTRY</v>
          </cell>
          <cell r="L6" t="str">
            <v>CAMINO SANTA FE</v>
          </cell>
          <cell r="O6">
            <v>13298</v>
          </cell>
          <cell r="P6" t="str">
            <v>Caltran</v>
          </cell>
        </row>
        <row r="7">
          <cell r="C7">
            <v>26</v>
          </cell>
          <cell r="E7">
            <v>29169</v>
          </cell>
          <cell r="H7" t="str">
            <v>SR-56 EB</v>
          </cell>
          <cell r="I7">
            <v>7</v>
          </cell>
          <cell r="J7">
            <v>0</v>
          </cell>
          <cell r="K7" t="str">
            <v>CAMINO SANTA FE</v>
          </cell>
          <cell r="L7" t="str">
            <v>CAMINO SANTA FE</v>
          </cell>
          <cell r="O7">
            <v>11369</v>
          </cell>
          <cell r="P7" t="str">
            <v>PeMS2016</v>
          </cell>
        </row>
        <row r="8">
          <cell r="C8">
            <v>26</v>
          </cell>
          <cell r="E8">
            <v>16360</v>
          </cell>
          <cell r="H8" t="str">
            <v>SR-56 EB</v>
          </cell>
          <cell r="I8">
            <v>8</v>
          </cell>
          <cell r="J8">
            <v>1</v>
          </cell>
          <cell r="K8" t="str">
            <v>CAMINO SANTA FE</v>
          </cell>
          <cell r="L8" t="str">
            <v>CAMINO RUIZ</v>
          </cell>
          <cell r="O8">
            <v>12653</v>
          </cell>
          <cell r="P8" t="str">
            <v>Caltran</v>
          </cell>
        </row>
        <row r="9">
          <cell r="C9">
            <v>26</v>
          </cell>
          <cell r="E9">
            <v>16350</v>
          </cell>
          <cell r="H9" t="str">
            <v>SR-56 EB</v>
          </cell>
          <cell r="I9">
            <v>9</v>
          </cell>
          <cell r="J9">
            <v>0</v>
          </cell>
          <cell r="K9" t="str">
            <v>CAMINO SANTA FE</v>
          </cell>
          <cell r="L9" t="str">
            <v>CAMINO RUIZ</v>
          </cell>
          <cell r="O9">
            <v>12710</v>
          </cell>
          <cell r="P9" t="str">
            <v>PeMS2016</v>
          </cell>
        </row>
        <row r="10">
          <cell r="C10">
            <v>26</v>
          </cell>
          <cell r="E10">
            <v>29173</v>
          </cell>
          <cell r="H10" t="str">
            <v>SR-56 EB</v>
          </cell>
          <cell r="I10">
            <v>11</v>
          </cell>
          <cell r="J10">
            <v>0</v>
          </cell>
          <cell r="K10" t="str">
            <v>CAMINO RUIZ</v>
          </cell>
          <cell r="L10" t="str">
            <v>CAMINO RUIZ</v>
          </cell>
          <cell r="O10">
            <v>10972</v>
          </cell>
          <cell r="P10" t="str">
            <v>PeMS2016</v>
          </cell>
        </row>
        <row r="11">
          <cell r="C11">
            <v>26</v>
          </cell>
          <cell r="E11">
            <v>16353</v>
          </cell>
          <cell r="H11" t="str">
            <v>SR-56 EB</v>
          </cell>
          <cell r="I11">
            <v>13</v>
          </cell>
          <cell r="J11">
            <v>0</v>
          </cell>
          <cell r="K11" t="str">
            <v>CAMINO RUIZ</v>
          </cell>
          <cell r="L11" t="str">
            <v>BLACK MOUNTAIN</v>
          </cell>
          <cell r="O11">
            <v>12737</v>
          </cell>
          <cell r="P11" t="str">
            <v>Caltran</v>
          </cell>
        </row>
        <row r="12">
          <cell r="C12">
            <v>26</v>
          </cell>
          <cell r="E12">
            <v>16144</v>
          </cell>
          <cell r="H12" t="str">
            <v>SR-56 EB</v>
          </cell>
          <cell r="I12">
            <v>15</v>
          </cell>
          <cell r="J12">
            <v>0</v>
          </cell>
          <cell r="K12" t="str">
            <v>BLACK MOUNTAIN</v>
          </cell>
          <cell r="L12" t="str">
            <v>RANCHO PENASQUITOS</v>
          </cell>
          <cell r="O12">
            <v>10773</v>
          </cell>
          <cell r="P12" t="str">
            <v>PeMS2016</v>
          </cell>
        </row>
        <row r="13">
          <cell r="C13">
            <v>26</v>
          </cell>
          <cell r="E13">
            <v>11379</v>
          </cell>
          <cell r="H13" t="str">
            <v>SR-56 EB</v>
          </cell>
          <cell r="I13">
            <v>16</v>
          </cell>
          <cell r="J13">
            <v>0</v>
          </cell>
          <cell r="K13" t="str">
            <v>RANCHO PENASQUITOS</v>
          </cell>
          <cell r="L13" t="str">
            <v>RANCHO PENASQUITOS</v>
          </cell>
          <cell r="O13">
            <v>9505</v>
          </cell>
          <cell r="P13" t="str">
            <v>PeMS2016</v>
          </cell>
        </row>
        <row r="14">
          <cell r="C14">
            <v>26</v>
          </cell>
          <cell r="E14">
            <v>16523</v>
          </cell>
          <cell r="H14" t="str">
            <v>SR-56 EB</v>
          </cell>
          <cell r="I14">
            <v>17</v>
          </cell>
          <cell r="J14">
            <v>0</v>
          </cell>
          <cell r="K14" t="str">
            <v>RANCHO PENASQUITOS</v>
          </cell>
          <cell r="L14" t="str">
            <v>I-15 SB</v>
          </cell>
          <cell r="O14">
            <v>10219</v>
          </cell>
          <cell r="P14" t="str">
            <v>PeMS2016</v>
          </cell>
        </row>
      </sheetData>
      <sheetData sheetId="27">
        <row r="2">
          <cell r="C2">
            <v>27</v>
          </cell>
          <cell r="E2">
            <v>27855</v>
          </cell>
          <cell r="H2" t="str">
            <v>SR-905 EB</v>
          </cell>
          <cell r="I2">
            <v>5</v>
          </cell>
          <cell r="J2">
            <v>0</v>
          </cell>
          <cell r="K2" t="str">
            <v>I-5 SB</v>
          </cell>
          <cell r="L2" t="str">
            <v>BEYER</v>
          </cell>
          <cell r="O2">
            <v>8022</v>
          </cell>
          <cell r="P2" t="str">
            <v>Caltran</v>
          </cell>
        </row>
        <row r="3">
          <cell r="C3">
            <v>27</v>
          </cell>
          <cell r="E3">
            <v>9914</v>
          </cell>
          <cell r="H3" t="str">
            <v>SR-905 EB</v>
          </cell>
          <cell r="I3">
            <v>12</v>
          </cell>
          <cell r="J3">
            <v>0</v>
          </cell>
          <cell r="K3" t="str">
            <v>I-805 SB</v>
          </cell>
          <cell r="L3" t="str">
            <v>I-805 NB</v>
          </cell>
          <cell r="O3">
            <v>3466</v>
          </cell>
          <cell r="P3" t="str">
            <v>PeMS2016</v>
          </cell>
        </row>
        <row r="4">
          <cell r="C4">
            <v>27</v>
          </cell>
          <cell r="E4">
            <v>9903</v>
          </cell>
          <cell r="H4" t="str">
            <v>SR-905 EB</v>
          </cell>
          <cell r="I4">
            <v>13</v>
          </cell>
          <cell r="J4">
            <v>0</v>
          </cell>
          <cell r="K4" t="str">
            <v>I-805 NB</v>
          </cell>
          <cell r="L4" t="str">
            <v>CALIENTE</v>
          </cell>
          <cell r="O4">
            <v>7641</v>
          </cell>
          <cell r="P4" t="str">
            <v>Caltran</v>
          </cell>
        </row>
        <row r="5">
          <cell r="C5">
            <v>27</v>
          </cell>
          <cell r="E5">
            <v>27737</v>
          </cell>
          <cell r="H5" t="str">
            <v>SR-905 EB</v>
          </cell>
          <cell r="I5">
            <v>3</v>
          </cell>
          <cell r="J5">
            <v>0</v>
          </cell>
          <cell r="K5" t="str">
            <v>CALIENTE</v>
          </cell>
          <cell r="L5" t="str">
            <v>HERITAGE</v>
          </cell>
          <cell r="O5">
            <v>7486</v>
          </cell>
          <cell r="P5" t="str">
            <v>PeMS2016</v>
          </cell>
        </row>
        <row r="6">
          <cell r="C6">
            <v>27</v>
          </cell>
          <cell r="E6">
            <v>27720</v>
          </cell>
          <cell r="H6" t="str">
            <v>SR-905 EB</v>
          </cell>
          <cell r="I6">
            <v>8</v>
          </cell>
          <cell r="J6">
            <v>0</v>
          </cell>
          <cell r="K6" t="str">
            <v>BRITANNIA</v>
          </cell>
          <cell r="L6" t="str">
            <v>LA MEDIA</v>
          </cell>
          <cell r="O6">
            <v>7398</v>
          </cell>
          <cell r="P6" t="str">
            <v>PeMS2016</v>
          </cell>
        </row>
        <row r="7">
          <cell r="C7">
            <v>27</v>
          </cell>
          <cell r="E7">
            <v>9953</v>
          </cell>
          <cell r="H7" t="str">
            <v>SR-905 EB</v>
          </cell>
          <cell r="I7">
            <v>10</v>
          </cell>
          <cell r="J7">
            <v>0</v>
          </cell>
          <cell r="K7" t="str">
            <v>LA MEDIA</v>
          </cell>
          <cell r="L7" t="str">
            <v>SR-125 NB</v>
          </cell>
          <cell r="O7">
            <v>5920</v>
          </cell>
          <cell r="P7" t="str">
            <v>PeMS2016</v>
          </cell>
        </row>
      </sheetData>
      <sheetData sheetId="28">
        <row r="2">
          <cell r="C2">
            <v>28</v>
          </cell>
          <cell r="E2">
            <v>15859</v>
          </cell>
          <cell r="H2" t="str">
            <v>SR-94 EB</v>
          </cell>
          <cell r="I2">
            <v>4</v>
          </cell>
          <cell r="J2">
            <v>0</v>
          </cell>
          <cell r="K2" t="str">
            <v>I-5 SB</v>
          </cell>
          <cell r="L2" t="str">
            <v>25TH</v>
          </cell>
          <cell r="O2">
            <v>21430</v>
          </cell>
          <cell r="P2" t="str">
            <v>PeMS2016</v>
          </cell>
        </row>
        <row r="3">
          <cell r="C3">
            <v>28</v>
          </cell>
          <cell r="E3">
            <v>15855</v>
          </cell>
          <cell r="H3" t="str">
            <v>SR-94 EB</v>
          </cell>
          <cell r="I3">
            <v>6</v>
          </cell>
          <cell r="J3">
            <v>0</v>
          </cell>
          <cell r="K3" t="str">
            <v>28TH</v>
          </cell>
          <cell r="L3" t="str">
            <v>28TH</v>
          </cell>
          <cell r="O3">
            <v>23078</v>
          </cell>
          <cell r="P3" t="str">
            <v>PeMS2016</v>
          </cell>
        </row>
        <row r="4">
          <cell r="C4">
            <v>28</v>
          </cell>
          <cell r="E4">
            <v>31212</v>
          </cell>
          <cell r="H4" t="str">
            <v>SR-94 EB</v>
          </cell>
          <cell r="I4">
            <v>7</v>
          </cell>
          <cell r="J4">
            <v>0</v>
          </cell>
          <cell r="K4" t="str">
            <v>28TH</v>
          </cell>
          <cell r="L4" t="str">
            <v>32ND</v>
          </cell>
          <cell r="O4">
            <v>25356</v>
          </cell>
          <cell r="P4" t="str">
            <v>PeMS2016</v>
          </cell>
        </row>
        <row r="5">
          <cell r="C5">
            <v>28</v>
          </cell>
          <cell r="E5">
            <v>15853</v>
          </cell>
          <cell r="H5" t="str">
            <v>SR-94 EB</v>
          </cell>
          <cell r="I5">
            <v>8</v>
          </cell>
          <cell r="J5">
            <v>0</v>
          </cell>
          <cell r="K5" t="str">
            <v>28TH</v>
          </cell>
          <cell r="L5" t="str">
            <v>32ND</v>
          </cell>
          <cell r="O5">
            <v>25413</v>
          </cell>
          <cell r="P5" t="str">
            <v>PeMS2016</v>
          </cell>
        </row>
        <row r="6">
          <cell r="C6">
            <v>28</v>
          </cell>
          <cell r="E6">
            <v>29052</v>
          </cell>
          <cell r="H6" t="str">
            <v>SR-94 EB</v>
          </cell>
          <cell r="I6">
            <v>12</v>
          </cell>
          <cell r="J6">
            <v>0</v>
          </cell>
          <cell r="K6" t="str">
            <v>SR-15 NB</v>
          </cell>
          <cell r="L6" t="str">
            <v>SR-15 SB</v>
          </cell>
          <cell r="O6">
            <v>20068</v>
          </cell>
          <cell r="P6" t="str">
            <v>PeMS2016</v>
          </cell>
        </row>
        <row r="7">
          <cell r="C7">
            <v>28</v>
          </cell>
          <cell r="E7">
            <v>29047</v>
          </cell>
          <cell r="H7" t="str">
            <v>SR-94 EB</v>
          </cell>
          <cell r="I7">
            <v>14</v>
          </cell>
          <cell r="J7">
            <v>0</v>
          </cell>
          <cell r="K7" t="str">
            <v>I-805 SB</v>
          </cell>
          <cell r="L7" t="str">
            <v>I-805 NB</v>
          </cell>
          <cell r="O7">
            <v>17407</v>
          </cell>
          <cell r="P7" t="str">
            <v>PeMS2016</v>
          </cell>
        </row>
        <row r="8">
          <cell r="C8">
            <v>28</v>
          </cell>
          <cell r="E8">
            <v>29039</v>
          </cell>
          <cell r="H8" t="str">
            <v>SR-94 EB</v>
          </cell>
          <cell r="I8">
            <v>16</v>
          </cell>
          <cell r="J8">
            <v>0</v>
          </cell>
          <cell r="K8" t="str">
            <v>47TH</v>
          </cell>
          <cell r="L8" t="str">
            <v>EUCLID</v>
          </cell>
          <cell r="O8">
            <v>29831</v>
          </cell>
          <cell r="P8" t="str">
            <v>PeMS2016</v>
          </cell>
        </row>
        <row r="9">
          <cell r="C9">
            <v>28</v>
          </cell>
          <cell r="E9">
            <v>29035</v>
          </cell>
          <cell r="H9" t="str">
            <v>SR-94 EB</v>
          </cell>
          <cell r="I9">
            <v>17</v>
          </cell>
          <cell r="J9">
            <v>0</v>
          </cell>
          <cell r="K9" t="str">
            <v>EUCLID</v>
          </cell>
          <cell r="L9" t="str">
            <v>EUCLID</v>
          </cell>
          <cell r="O9">
            <v>26851</v>
          </cell>
          <cell r="P9" t="str">
            <v>PeMS2016</v>
          </cell>
        </row>
        <row r="10">
          <cell r="C10">
            <v>28</v>
          </cell>
          <cell r="E10">
            <v>29027</v>
          </cell>
          <cell r="H10" t="str">
            <v>SR-94 EB</v>
          </cell>
          <cell r="I10">
            <v>18</v>
          </cell>
          <cell r="J10">
            <v>0</v>
          </cell>
          <cell r="K10" t="str">
            <v>EUCLID</v>
          </cell>
          <cell r="L10" t="str">
            <v>KELTON</v>
          </cell>
          <cell r="O10">
            <v>27704</v>
          </cell>
          <cell r="P10" t="str">
            <v>Caltran</v>
          </cell>
        </row>
        <row r="11">
          <cell r="C11">
            <v>28</v>
          </cell>
          <cell r="E11">
            <v>29023</v>
          </cell>
          <cell r="H11" t="str">
            <v>SR-94 EB</v>
          </cell>
          <cell r="I11">
            <v>19</v>
          </cell>
          <cell r="J11">
            <v>0</v>
          </cell>
          <cell r="K11" t="str">
            <v>KELTON</v>
          </cell>
          <cell r="L11" t="str">
            <v>KELTON</v>
          </cell>
          <cell r="O11">
            <v>27341</v>
          </cell>
          <cell r="P11" t="str">
            <v>PeMS2016</v>
          </cell>
        </row>
        <row r="12">
          <cell r="C12">
            <v>28</v>
          </cell>
          <cell r="E12">
            <v>29025</v>
          </cell>
          <cell r="H12" t="str">
            <v>SR-94 EB</v>
          </cell>
          <cell r="I12">
            <v>21</v>
          </cell>
          <cell r="J12">
            <v>1</v>
          </cell>
          <cell r="K12" t="str">
            <v>FEDERAL</v>
          </cell>
          <cell r="L12" t="str">
            <v>COLLEGE GROVE</v>
          </cell>
          <cell r="O12">
            <v>21170</v>
          </cell>
          <cell r="P12" t="str">
            <v>PeMS2016</v>
          </cell>
        </row>
        <row r="13">
          <cell r="C13">
            <v>28</v>
          </cell>
          <cell r="E13">
            <v>27993</v>
          </cell>
          <cell r="H13" t="str">
            <v>SR-94 EB</v>
          </cell>
          <cell r="I13">
            <v>23</v>
          </cell>
          <cell r="J13">
            <v>0</v>
          </cell>
          <cell r="K13" t="str">
            <v>MASSACHUSETTS</v>
          </cell>
          <cell r="L13" t="str">
            <v>MASSACHUSETTS</v>
          </cell>
          <cell r="O13">
            <v>18924</v>
          </cell>
          <cell r="P13" t="str">
            <v>PeMS2016</v>
          </cell>
        </row>
        <row r="14">
          <cell r="C14">
            <v>28</v>
          </cell>
          <cell r="E14">
            <v>28002</v>
          </cell>
          <cell r="H14" t="str">
            <v>SR-94 EB</v>
          </cell>
          <cell r="I14">
            <v>24</v>
          </cell>
          <cell r="J14">
            <v>0</v>
          </cell>
          <cell r="K14" t="str">
            <v>WAITE</v>
          </cell>
          <cell r="L14" t="str">
            <v>LEMON GROVE</v>
          </cell>
          <cell r="O14">
            <v>21485</v>
          </cell>
          <cell r="P14" t="str">
            <v>Caltran</v>
          </cell>
        </row>
        <row r="15">
          <cell r="C15">
            <v>28</v>
          </cell>
          <cell r="E15">
            <v>10252</v>
          </cell>
          <cell r="H15" t="str">
            <v>SR-94 EB</v>
          </cell>
          <cell r="I15">
            <v>25</v>
          </cell>
          <cell r="J15">
            <v>0</v>
          </cell>
          <cell r="K15" t="str">
            <v>LEMON GROVE</v>
          </cell>
          <cell r="L15" t="str">
            <v>LEMON GROVE</v>
          </cell>
          <cell r="O15">
            <v>20208</v>
          </cell>
          <cell r="P15" t="str">
            <v>PeMS2016</v>
          </cell>
        </row>
        <row r="16">
          <cell r="C16">
            <v>28</v>
          </cell>
          <cell r="E16">
            <v>28012</v>
          </cell>
          <cell r="H16" t="str">
            <v>SR-94 EB</v>
          </cell>
          <cell r="I16">
            <v>26</v>
          </cell>
          <cell r="J16">
            <v>0</v>
          </cell>
          <cell r="K16" t="str">
            <v>LEMON GROVE</v>
          </cell>
          <cell r="L16" t="str">
            <v>GROVE</v>
          </cell>
          <cell r="O16">
            <v>21715</v>
          </cell>
          <cell r="P16" t="str">
            <v>Caltran</v>
          </cell>
        </row>
        <row r="17">
          <cell r="C17">
            <v>28</v>
          </cell>
          <cell r="E17">
            <v>10159</v>
          </cell>
          <cell r="H17" t="str">
            <v>SR-94 EB</v>
          </cell>
          <cell r="I17">
            <v>29</v>
          </cell>
          <cell r="J17">
            <v>0</v>
          </cell>
          <cell r="K17" t="str">
            <v>SR-125 NB</v>
          </cell>
          <cell r="L17" t="str">
            <v>SPRING</v>
          </cell>
          <cell r="O17">
            <v>8226</v>
          </cell>
          <cell r="P17" t="str">
            <v>PeMS2016</v>
          </cell>
        </row>
        <row r="18">
          <cell r="C18">
            <v>28</v>
          </cell>
          <cell r="E18">
            <v>28623</v>
          </cell>
          <cell r="H18" t="str">
            <v>SR-94 EB</v>
          </cell>
          <cell r="I18">
            <v>9</v>
          </cell>
          <cell r="J18">
            <v>0</v>
          </cell>
          <cell r="K18" t="str">
            <v>AVOCADO</v>
          </cell>
          <cell r="L18" t="str">
            <v>CAMPO</v>
          </cell>
          <cell r="O18">
            <v>8655</v>
          </cell>
          <cell r="P18" t="str">
            <v>Caltran</v>
          </cell>
        </row>
      </sheetData>
      <sheetData sheetId="29">
        <row r="2">
          <cell r="C2">
            <v>29</v>
          </cell>
          <cell r="E2">
            <v>460</v>
          </cell>
          <cell r="H2" t="str">
            <v>I-15 HOV NB</v>
          </cell>
          <cell r="I2">
            <v>2</v>
          </cell>
          <cell r="J2">
            <v>0</v>
          </cell>
          <cell r="K2" t="str">
            <v>SR-163 NB</v>
          </cell>
          <cell r="L2" t="str">
            <v>SR-163</v>
          </cell>
          <cell r="O2">
            <v>6812</v>
          </cell>
          <cell r="P2" t="str">
            <v>PeMS2016</v>
          </cell>
        </row>
        <row r="3">
          <cell r="C3">
            <v>29</v>
          </cell>
          <cell r="E3">
            <v>526</v>
          </cell>
          <cell r="H3" t="str">
            <v>I-15 HOV NB</v>
          </cell>
          <cell r="I3">
            <v>3</v>
          </cell>
          <cell r="J3">
            <v>1</v>
          </cell>
          <cell r="K3" t="str">
            <v>SR-163 NB</v>
          </cell>
          <cell r="L3" t="str">
            <v>SR-163</v>
          </cell>
          <cell r="O3">
            <v>8034</v>
          </cell>
          <cell r="P3" t="str">
            <v>SANDAG</v>
          </cell>
        </row>
        <row r="4">
          <cell r="C4">
            <v>29</v>
          </cell>
          <cell r="E4">
            <v>23044</v>
          </cell>
          <cell r="H4" t="str">
            <v>I-15 HOV NB</v>
          </cell>
          <cell r="I4">
            <v>4</v>
          </cell>
          <cell r="J4">
            <v>1</v>
          </cell>
          <cell r="K4" t="str">
            <v>SR-163 NB</v>
          </cell>
          <cell r="L4" t="str">
            <v>SR-163</v>
          </cell>
          <cell r="O4">
            <v>8924</v>
          </cell>
          <cell r="P4" t="str">
            <v>PeMS2016</v>
          </cell>
        </row>
        <row r="5">
          <cell r="C5">
            <v>29</v>
          </cell>
          <cell r="E5">
            <v>459</v>
          </cell>
          <cell r="H5" t="str">
            <v>I-15 HOV NB</v>
          </cell>
          <cell r="I5">
            <v>7</v>
          </cell>
          <cell r="J5">
            <v>1</v>
          </cell>
          <cell r="K5" t="str">
            <v>MIRA MESA</v>
          </cell>
          <cell r="L5" t="str">
            <v>RANCHO PENASQUITOS</v>
          </cell>
          <cell r="O5">
            <v>8857</v>
          </cell>
          <cell r="P5" t="str">
            <v>PeMS2016</v>
          </cell>
        </row>
        <row r="6">
          <cell r="C6">
            <v>29</v>
          </cell>
          <cell r="E6">
            <v>461</v>
          </cell>
          <cell r="H6" t="str">
            <v>I-15 HOV NB</v>
          </cell>
          <cell r="I6">
            <v>8</v>
          </cell>
          <cell r="J6">
            <v>1</v>
          </cell>
          <cell r="K6" t="str">
            <v>MIRA MESA</v>
          </cell>
          <cell r="L6" t="str">
            <v>RANCHO PENASQUITOS</v>
          </cell>
          <cell r="O6">
            <v>9658</v>
          </cell>
          <cell r="P6" t="str">
            <v>PeMS2016</v>
          </cell>
        </row>
        <row r="7">
          <cell r="C7">
            <v>29</v>
          </cell>
          <cell r="E7">
            <v>512</v>
          </cell>
          <cell r="H7" t="str">
            <v>I-15 HOV NB</v>
          </cell>
          <cell r="I7">
            <v>12</v>
          </cell>
          <cell r="J7">
            <v>2</v>
          </cell>
          <cell r="K7" t="str">
            <v>SR-56 EB</v>
          </cell>
          <cell r="L7" t="str">
            <v>CARMEL MTN</v>
          </cell>
          <cell r="O7">
            <v>8158</v>
          </cell>
          <cell r="P7" t="str">
            <v>PeMS2016</v>
          </cell>
        </row>
        <row r="8">
          <cell r="C8">
            <v>29</v>
          </cell>
          <cell r="E8">
            <v>464</v>
          </cell>
          <cell r="H8" t="str">
            <v>I-15 HOV NB</v>
          </cell>
          <cell r="I8">
            <v>13</v>
          </cell>
          <cell r="J8">
            <v>0</v>
          </cell>
          <cell r="K8" t="str">
            <v>SR-56 EB</v>
          </cell>
          <cell r="L8" t="str">
            <v>CARMEL MTN</v>
          </cell>
          <cell r="O8">
            <v>7848</v>
          </cell>
          <cell r="P8" t="str">
            <v>PeMS2016</v>
          </cell>
        </row>
        <row r="9">
          <cell r="C9">
            <v>29</v>
          </cell>
          <cell r="E9">
            <v>468</v>
          </cell>
          <cell r="H9" t="str">
            <v>I-15 HOV NB</v>
          </cell>
          <cell r="I9">
            <v>14</v>
          </cell>
          <cell r="J9">
            <v>0</v>
          </cell>
          <cell r="K9" t="str">
            <v>CAM DEL NORTE</v>
          </cell>
          <cell r="L9" t="str">
            <v>RANCHO BERNARDO</v>
          </cell>
          <cell r="O9">
            <v>9271</v>
          </cell>
          <cell r="P9" t="str">
            <v>PeMS2016</v>
          </cell>
        </row>
        <row r="10">
          <cell r="C10">
            <v>29</v>
          </cell>
          <cell r="E10">
            <v>469</v>
          </cell>
          <cell r="H10" t="str">
            <v>I-15 HOV NB</v>
          </cell>
          <cell r="I10">
            <v>15</v>
          </cell>
          <cell r="J10">
            <v>1</v>
          </cell>
          <cell r="K10" t="str">
            <v>CAM DEL NORTE</v>
          </cell>
          <cell r="L10" t="str">
            <v>RANCHO BERNARDO</v>
          </cell>
          <cell r="O10">
            <v>8031</v>
          </cell>
          <cell r="P10" t="str">
            <v>PeMS2016</v>
          </cell>
        </row>
        <row r="11">
          <cell r="C11">
            <v>29</v>
          </cell>
          <cell r="E11">
            <v>470</v>
          </cell>
          <cell r="H11" t="str">
            <v>I-15 HOV NB</v>
          </cell>
          <cell r="I11">
            <v>16</v>
          </cell>
          <cell r="J11">
            <v>0</v>
          </cell>
          <cell r="K11" t="str">
            <v>CAM DEL NORTE</v>
          </cell>
          <cell r="L11" t="str">
            <v>RANCHO BERNARDO</v>
          </cell>
          <cell r="O11">
            <v>9947</v>
          </cell>
          <cell r="P11" t="str">
            <v>PeMS2016</v>
          </cell>
        </row>
        <row r="12">
          <cell r="C12">
            <v>29</v>
          </cell>
          <cell r="E12">
            <v>23053</v>
          </cell>
          <cell r="H12" t="str">
            <v>I-15 HOV NB</v>
          </cell>
          <cell r="I12">
            <v>17</v>
          </cell>
          <cell r="J12">
            <v>1</v>
          </cell>
          <cell r="K12" t="str">
            <v>RANCHO BERNARDO</v>
          </cell>
          <cell r="L12" t="str">
            <v>POMERADO</v>
          </cell>
          <cell r="O12">
            <v>10052</v>
          </cell>
          <cell r="P12" t="str">
            <v>PeMS2016</v>
          </cell>
        </row>
        <row r="13">
          <cell r="C13">
            <v>29</v>
          </cell>
          <cell r="E13">
            <v>473</v>
          </cell>
          <cell r="H13" t="str">
            <v>I-15 HOV NB</v>
          </cell>
          <cell r="I13">
            <v>18</v>
          </cell>
          <cell r="J13">
            <v>0</v>
          </cell>
          <cell r="K13" t="str">
            <v>VIA RANCHO</v>
          </cell>
          <cell r="L13" t="str">
            <v>VIA RANCHO</v>
          </cell>
          <cell r="O13">
            <v>9971</v>
          </cell>
          <cell r="P13" t="str">
            <v>PeMS2016</v>
          </cell>
        </row>
        <row r="14">
          <cell r="C14">
            <v>29</v>
          </cell>
          <cell r="E14">
            <v>510</v>
          </cell>
          <cell r="H14" t="str">
            <v>I-15 HOV NB</v>
          </cell>
          <cell r="I14">
            <v>19</v>
          </cell>
          <cell r="J14">
            <v>1</v>
          </cell>
          <cell r="K14" t="str">
            <v>VIA RANCHO</v>
          </cell>
          <cell r="L14" t="str">
            <v>CITRACADO</v>
          </cell>
          <cell r="O14">
            <v>9553</v>
          </cell>
          <cell r="P14" t="str">
            <v>PeMS2016</v>
          </cell>
        </row>
        <row r="15">
          <cell r="C15">
            <v>29</v>
          </cell>
          <cell r="E15">
            <v>29368</v>
          </cell>
          <cell r="H15" t="str">
            <v>I-15 HOV NB</v>
          </cell>
          <cell r="I15">
            <v>20</v>
          </cell>
          <cell r="J15">
            <v>2</v>
          </cell>
          <cell r="K15" t="str">
            <v>VIA RANCHO</v>
          </cell>
          <cell r="L15" t="str">
            <v>CITRACADO</v>
          </cell>
          <cell r="O15">
            <v>6574</v>
          </cell>
          <cell r="P15" t="str">
            <v>PeMS2016</v>
          </cell>
        </row>
        <row r="16">
          <cell r="C16">
            <v>29</v>
          </cell>
          <cell r="E16">
            <v>9808</v>
          </cell>
          <cell r="H16" t="str">
            <v>I-15 HOV NB</v>
          </cell>
          <cell r="I16">
            <v>21</v>
          </cell>
          <cell r="J16">
            <v>0</v>
          </cell>
          <cell r="K16" t="str">
            <v>VALLEY</v>
          </cell>
          <cell r="L16" t="str">
            <v>SR-78</v>
          </cell>
          <cell r="O16">
            <v>5329</v>
          </cell>
          <cell r="P16" t="str">
            <v>PeMS2016</v>
          </cell>
        </row>
      </sheetData>
      <sheetData sheetId="30">
        <row r="2">
          <cell r="C2">
            <v>30</v>
          </cell>
          <cell r="E2">
            <v>25749</v>
          </cell>
          <cell r="H2" t="str">
            <v>I-15 HOV SB</v>
          </cell>
          <cell r="I2">
            <v>3</v>
          </cell>
          <cell r="K2" t="str">
            <v>SR-78</v>
          </cell>
          <cell r="L2" t="str">
            <v>VALLEY</v>
          </cell>
          <cell r="O2">
            <v>2864</v>
          </cell>
          <cell r="P2" t="str">
            <v>PeMS2016</v>
          </cell>
        </row>
        <row r="3">
          <cell r="C3">
            <v>30</v>
          </cell>
          <cell r="E3">
            <v>29442</v>
          </cell>
          <cell r="H3" t="str">
            <v>I-15 HOV SB</v>
          </cell>
          <cell r="I3">
            <v>4</v>
          </cell>
          <cell r="K3" t="str">
            <v>CITRACADO</v>
          </cell>
          <cell r="L3" t="str">
            <v>CITRACADO</v>
          </cell>
          <cell r="O3">
            <v>3405</v>
          </cell>
          <cell r="P3" t="str">
            <v>PeMS2016</v>
          </cell>
        </row>
        <row r="4">
          <cell r="C4">
            <v>30</v>
          </cell>
          <cell r="E4">
            <v>513</v>
          </cell>
          <cell r="H4" t="str">
            <v>I-15 HOV SB</v>
          </cell>
          <cell r="I4">
            <v>5</v>
          </cell>
          <cell r="K4" t="str">
            <v>VIA RANCHO</v>
          </cell>
          <cell r="L4" t="str">
            <v>VIA RANCHO</v>
          </cell>
          <cell r="O4">
            <v>2933</v>
          </cell>
          <cell r="P4" t="str">
            <v>PeMS2016</v>
          </cell>
        </row>
        <row r="5">
          <cell r="C5">
            <v>30</v>
          </cell>
          <cell r="E5">
            <v>23128</v>
          </cell>
          <cell r="H5" t="str">
            <v>I-15 HOV SB</v>
          </cell>
          <cell r="I5">
            <v>6</v>
          </cell>
          <cell r="K5" t="str">
            <v>VIA RANCHO</v>
          </cell>
          <cell r="L5" t="str">
            <v>VIA RANCHO</v>
          </cell>
          <cell r="O5">
            <v>4115</v>
          </cell>
          <cell r="P5" t="str">
            <v>PeMS2016</v>
          </cell>
        </row>
        <row r="6">
          <cell r="C6">
            <v>30</v>
          </cell>
          <cell r="E6">
            <v>31204</v>
          </cell>
          <cell r="H6" t="str">
            <v>I-15 HOV SB</v>
          </cell>
          <cell r="I6">
            <v>9</v>
          </cell>
          <cell r="K6" t="str">
            <v>RANCHO BERNARDO</v>
          </cell>
          <cell r="L6" t="str">
            <v>CAM DEL NORTE</v>
          </cell>
          <cell r="O6">
            <v>5672</v>
          </cell>
          <cell r="P6" t="str">
            <v>PeMS2016</v>
          </cell>
        </row>
        <row r="7">
          <cell r="C7">
            <v>30</v>
          </cell>
          <cell r="E7">
            <v>525</v>
          </cell>
          <cell r="H7" t="str">
            <v>I-15 HOV SB</v>
          </cell>
          <cell r="I7">
            <v>14</v>
          </cell>
          <cell r="K7" t="str">
            <v>I-15 SB</v>
          </cell>
          <cell r="L7" t="str">
            <v>RANCHO PENASQUITOS</v>
          </cell>
          <cell r="O7">
            <v>5214</v>
          </cell>
          <cell r="P7" t="str">
            <v>PeMS2016</v>
          </cell>
        </row>
        <row r="8">
          <cell r="C8">
            <v>30</v>
          </cell>
          <cell r="E8">
            <v>553</v>
          </cell>
          <cell r="H8" t="str">
            <v>I-15 HOV SB</v>
          </cell>
          <cell r="I8">
            <v>15</v>
          </cell>
          <cell r="K8" t="str">
            <v>I-15 SB</v>
          </cell>
          <cell r="L8" t="str">
            <v>RANCHO PENASQUITOS</v>
          </cell>
          <cell r="O8">
            <v>5376</v>
          </cell>
          <cell r="P8" t="str">
            <v>PeMS2016</v>
          </cell>
        </row>
        <row r="9">
          <cell r="C9">
            <v>30</v>
          </cell>
          <cell r="E9">
            <v>23142</v>
          </cell>
          <cell r="H9" t="str">
            <v>I-15 HOV SB</v>
          </cell>
          <cell r="I9">
            <v>18</v>
          </cell>
          <cell r="K9" t="str">
            <v>MIRA MESA</v>
          </cell>
          <cell r="L9" t="str">
            <v>POMERADO</v>
          </cell>
          <cell r="O9">
            <v>5183</v>
          </cell>
          <cell r="P9" t="str">
            <v>PeMS2016</v>
          </cell>
        </row>
      </sheetData>
      <sheetData sheetId="31">
        <row r="2">
          <cell r="E2">
            <v>25386</v>
          </cell>
          <cell r="H2" t="str">
            <v>I-5 HOV NB</v>
          </cell>
          <cell r="I2">
            <v>1</v>
          </cell>
          <cell r="J2">
            <v>1</v>
          </cell>
          <cell r="K2" t="str">
            <v>MIRA MESA</v>
          </cell>
          <cell r="L2" t="str">
            <v>CARMEL MOUNTAIN</v>
          </cell>
          <cell r="O2">
            <v>2637</v>
          </cell>
          <cell r="P2" t="str">
            <v>PeMS2016</v>
          </cell>
        </row>
        <row r="3">
          <cell r="E3">
            <v>22077</v>
          </cell>
          <cell r="H3" t="str">
            <v>I-5 HOV NB</v>
          </cell>
          <cell r="I3">
            <v>3</v>
          </cell>
          <cell r="J3">
            <v>0</v>
          </cell>
          <cell r="K3" t="str">
            <v>CARMEL VALLEY</v>
          </cell>
          <cell r="L3" t="str">
            <v>CARMEL VALLEY</v>
          </cell>
          <cell r="O3">
            <v>3507</v>
          </cell>
          <cell r="P3" t="str">
            <v>PeMS2016</v>
          </cell>
        </row>
        <row r="4">
          <cell r="E4">
            <v>29571</v>
          </cell>
          <cell r="H4" t="str">
            <v>I-5 HOV NB</v>
          </cell>
          <cell r="I4">
            <v>5</v>
          </cell>
          <cell r="J4">
            <v>0</v>
          </cell>
          <cell r="K4" t="str">
            <v>CARMEL VALLEY</v>
          </cell>
          <cell r="L4" t="str">
            <v>VIA DE LA VALLE</v>
          </cell>
          <cell r="O4">
            <v>2521</v>
          </cell>
          <cell r="P4" t="str">
            <v>PeMS2016</v>
          </cell>
        </row>
        <row r="5">
          <cell r="E5">
            <v>25381</v>
          </cell>
          <cell r="H5" t="str">
            <v>I-5 HOV NB</v>
          </cell>
          <cell r="I5">
            <v>7</v>
          </cell>
          <cell r="J5">
            <v>1</v>
          </cell>
          <cell r="K5" t="str">
            <v>DEL MAR HEIGHTS</v>
          </cell>
          <cell r="L5" t="str">
            <v>VIA DE LA VALLE</v>
          </cell>
          <cell r="O5">
            <v>3058</v>
          </cell>
          <cell r="P5" t="str">
            <v>PeMS2016</v>
          </cell>
        </row>
        <row r="6">
          <cell r="E6">
            <v>29490</v>
          </cell>
          <cell r="H6" t="str">
            <v>I-5 HOV NB</v>
          </cell>
          <cell r="I6">
            <v>8</v>
          </cell>
          <cell r="J6">
            <v>1</v>
          </cell>
          <cell r="K6" t="str">
            <v>DEL MAR HEIGHTS</v>
          </cell>
          <cell r="L6" t="str">
            <v>VIA DE LA VALLE</v>
          </cell>
          <cell r="O6">
            <v>4350</v>
          </cell>
          <cell r="P6" t="str">
            <v>PeMS2016</v>
          </cell>
        </row>
      </sheetData>
      <sheetData sheetId="32">
        <row r="2">
          <cell r="C2">
            <v>32</v>
          </cell>
          <cell r="E2">
            <v>29587</v>
          </cell>
          <cell r="H2" t="str">
            <v>I-5 HOV SB</v>
          </cell>
          <cell r="I2">
            <v>21</v>
          </cell>
          <cell r="K2" t="str">
            <v>LOMAS SANTA FE</v>
          </cell>
          <cell r="L2" t="str">
            <v>LOMAS SANTA FE</v>
          </cell>
          <cell r="O2">
            <v>2055</v>
          </cell>
          <cell r="P2" t="str">
            <v>PeMS2016</v>
          </cell>
        </row>
        <row r="3">
          <cell r="C3">
            <v>32</v>
          </cell>
          <cell r="E3">
            <v>29575</v>
          </cell>
          <cell r="H3" t="str">
            <v>I-5 HOV SB</v>
          </cell>
          <cell r="I3">
            <v>22</v>
          </cell>
          <cell r="K3" t="str">
            <v>VIA DE LA VALLE</v>
          </cell>
          <cell r="L3" t="str">
            <v>VIA DE LA VALLE</v>
          </cell>
          <cell r="O3">
            <v>2260</v>
          </cell>
          <cell r="P3" t="str">
            <v>PeMS2016</v>
          </cell>
        </row>
        <row r="4">
          <cell r="C4">
            <v>32</v>
          </cell>
          <cell r="E4">
            <v>29577</v>
          </cell>
          <cell r="H4" t="str">
            <v>I-5 HOV SB</v>
          </cell>
          <cell r="I4">
            <v>23</v>
          </cell>
          <cell r="K4" t="str">
            <v>VIA DE LA VALLE</v>
          </cell>
          <cell r="L4" t="str">
            <v>VIA DE LA VALLE</v>
          </cell>
          <cell r="O4">
            <v>2152</v>
          </cell>
          <cell r="P4" t="str">
            <v>PeMS2016</v>
          </cell>
        </row>
        <row r="5">
          <cell r="C5">
            <v>32</v>
          </cell>
          <cell r="E5">
            <v>29573</v>
          </cell>
          <cell r="H5" t="str">
            <v>I-5 HOV SB</v>
          </cell>
          <cell r="I5">
            <v>24</v>
          </cell>
          <cell r="K5" t="str">
            <v>CARMEL VALLEY</v>
          </cell>
          <cell r="L5" t="str">
            <v>CARMEL VALLEY</v>
          </cell>
          <cell r="O5">
            <v>2478</v>
          </cell>
          <cell r="P5" t="str">
            <v>PeMS2016</v>
          </cell>
        </row>
      </sheetData>
      <sheetData sheetId="33">
        <row r="2">
          <cell r="C2">
            <v>33</v>
          </cell>
          <cell r="E2">
            <v>29533</v>
          </cell>
          <cell r="H2" t="str">
            <v>I-805 HOV NB</v>
          </cell>
          <cell r="I2">
            <v>52</v>
          </cell>
          <cell r="J2">
            <v>1</v>
          </cell>
          <cell r="K2" t="str">
            <v>SR-52 WB</v>
          </cell>
          <cell r="L2" t="str">
            <v>MIRAMAR</v>
          </cell>
          <cell r="O2">
            <v>2778</v>
          </cell>
          <cell r="P2" t="str">
            <v>PeMS2016</v>
          </cell>
        </row>
        <row r="3">
          <cell r="C3">
            <v>33</v>
          </cell>
          <cell r="E3">
            <v>24750</v>
          </cell>
          <cell r="H3" t="str">
            <v>I-805 HOV NB</v>
          </cell>
          <cell r="I3">
            <v>53</v>
          </cell>
          <cell r="J3">
            <v>0</v>
          </cell>
          <cell r="K3" t="str">
            <v>SR-52 WB</v>
          </cell>
          <cell r="L3" t="str">
            <v>MIRAMAR</v>
          </cell>
          <cell r="O3">
            <v>3346</v>
          </cell>
          <cell r="P3" t="str">
            <v>PeMS2016</v>
          </cell>
        </row>
        <row r="4">
          <cell r="C4">
            <v>33</v>
          </cell>
          <cell r="E4">
            <v>663</v>
          </cell>
          <cell r="H4" t="str">
            <v>I-805 HOV NB</v>
          </cell>
          <cell r="I4">
            <v>56</v>
          </cell>
          <cell r="J4">
            <v>0</v>
          </cell>
          <cell r="K4" t="str">
            <v>ramp</v>
          </cell>
          <cell r="L4" t="str">
            <v>ramp I-805 NB</v>
          </cell>
          <cell r="O4">
            <v>4186</v>
          </cell>
          <cell r="P4" t="str">
            <v>PeMS2016</v>
          </cell>
        </row>
        <row r="5">
          <cell r="C5">
            <v>33</v>
          </cell>
          <cell r="E5">
            <v>29553</v>
          </cell>
          <cell r="H5" t="str">
            <v>I-805 HOV NB</v>
          </cell>
          <cell r="I5">
            <v>61</v>
          </cell>
          <cell r="J5">
            <v>0</v>
          </cell>
          <cell r="K5" t="str">
            <v>ramp I-805 HOV NB</v>
          </cell>
          <cell r="L5" t="str">
            <v>ramp I-805 HOV NB</v>
          </cell>
          <cell r="O5">
            <v>2629</v>
          </cell>
          <cell r="P5" t="str">
            <v>PeMS2016</v>
          </cell>
        </row>
      </sheetData>
      <sheetData sheetId="34">
        <row r="2">
          <cell r="C2">
            <v>34</v>
          </cell>
          <cell r="E2">
            <v>1042</v>
          </cell>
          <cell r="H2" t="str">
            <v>I-5 NB AUX LOCAL ACC</v>
          </cell>
          <cell r="I2">
            <v>1</v>
          </cell>
          <cell r="J2">
            <v>0</v>
          </cell>
          <cell r="O2">
            <v>5367</v>
          </cell>
          <cell r="P2" t="str">
            <v>PeMS2016</v>
          </cell>
        </row>
      </sheetData>
      <sheetData sheetId="35">
        <row r="2">
          <cell r="C2">
            <v>35</v>
          </cell>
          <cell r="E2">
            <v>29548</v>
          </cell>
          <cell r="H2" t="str">
            <v>I-805 HOV SB</v>
          </cell>
          <cell r="I2">
            <v>5</v>
          </cell>
          <cell r="K2" t="str">
            <v>ramp I-805 HOV SB</v>
          </cell>
          <cell r="L2" t="str">
            <v>ramp I-805 HOV SB</v>
          </cell>
          <cell r="O2">
            <v>2838</v>
          </cell>
          <cell r="P2" t="str">
            <v>PeMS2016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Yen, Jeff" refreshedDate="44189.518468518516" createdVersion="6" refreshedVersion="6" minRefreshableVersion="3" recordCount="757">
  <cacheSource type="worksheet">
    <worksheetSource name="ws"/>
  </cacheSource>
  <cacheFields count="17">
    <cacheField name="corridor" numFmtId="0">
      <sharedItems containsSemiMixedTypes="0" containsString="0" containsNumber="1" containsInteger="1" minValue="1" maxValue="35"/>
    </cacheField>
    <cacheField name="dir" numFmtId="0">
      <sharedItems containsSemiMixedTypes="0" containsString="0" containsNumber="1" containsInteger="1" minValue="0" maxValue="4" count="5">
        <n v="3"/>
        <n v="1"/>
        <n v="2"/>
        <n v="4"/>
        <n v="0" u="1"/>
      </sharedItems>
    </cacheField>
    <cacheField name="hwycov_id" numFmtId="0">
      <sharedItems containsSemiMixedTypes="0" containsString="0" containsNumber="1" containsInteger="1" minValue="0" maxValue="31212" count="761">
        <n v="9041"/>
        <n v="28016"/>
        <n v="28011"/>
        <n v="28007"/>
        <n v="28000"/>
        <n v="27988"/>
        <n v="27987"/>
        <n v="29016"/>
        <n v="29028"/>
        <n v="29037"/>
        <n v="29041"/>
        <n v="29046"/>
        <n v="29049"/>
        <n v="27614"/>
        <n v="29051"/>
        <n v="15854"/>
        <n v="15856"/>
        <n v="15857"/>
        <n v="15862"/>
        <n v="15863"/>
        <n v="10015"/>
        <n v="8185"/>
        <n v="10002"/>
        <n v="29158"/>
        <n v="27724"/>
        <n v="27721"/>
        <n v="27716"/>
        <n v="27719"/>
        <n v="27741"/>
        <n v="27742"/>
        <n v="9904"/>
        <n v="23435"/>
        <n v="27856"/>
        <n v="12823"/>
        <n v="21942"/>
        <n v="12837"/>
        <n v="8054"/>
        <n v="23557"/>
        <n v="8056"/>
        <n v="30080"/>
        <n v="474"/>
        <n v="8057"/>
        <n v="16430"/>
        <n v="16427"/>
        <n v="29183"/>
        <n v="3207"/>
        <n v="8839"/>
        <n v="8058"/>
        <n v="8059"/>
        <n v="8834"/>
        <n v="27248"/>
        <n v="28849"/>
        <n v="16564"/>
        <n v="12578"/>
        <n v="12579"/>
        <n v="12571"/>
        <n v="28540"/>
        <n v="27543"/>
        <n v="28534"/>
        <n v="12547"/>
        <n v="14232"/>
        <n v="13046"/>
        <n v="13037"/>
        <n v="9036"/>
        <n v="7664"/>
        <n v="7665"/>
        <n v="11382"/>
        <n v="16354"/>
        <n v="16352"/>
        <n v="29171"/>
        <n v="29172"/>
        <n v="16351"/>
        <n v="16358"/>
        <n v="16359"/>
        <n v="16357"/>
        <n v="29167"/>
        <n v="8647"/>
        <n v="457"/>
        <n v="7666"/>
        <n v="14176"/>
        <n v="14155"/>
        <n v="14144"/>
        <n v="14142"/>
        <n v="28675"/>
        <n v="28677"/>
        <n v="27956"/>
        <n v="27223"/>
        <n v="27241"/>
        <n v="15277"/>
        <n v="11123"/>
        <n v="7501"/>
        <n v="15238"/>
        <n v="8103"/>
        <n v="25938"/>
        <n v="9029"/>
        <n v="23867"/>
        <n v="24091"/>
        <n v="11106"/>
        <n v="11102"/>
        <n v="11100"/>
        <n v="15157"/>
        <n v="28868"/>
        <n v="28280"/>
        <n v="28279"/>
        <n v="13438"/>
        <n v="16046"/>
        <n v="16038"/>
        <n v="15714"/>
        <n v="15690"/>
        <n v="8821"/>
        <n v="8825"/>
        <n v="15317"/>
        <n v="15206"/>
        <n v="11483"/>
        <n v="9483"/>
        <n v="9509"/>
        <n v="9519"/>
        <n v="9143"/>
        <n v="10255"/>
        <n v="10257"/>
        <n v="7190"/>
        <n v="7215"/>
        <n v="7222"/>
        <n v="10793"/>
        <n v="31171"/>
        <n v="10158"/>
        <n v="11296"/>
        <n v="11291"/>
        <n v="28939"/>
        <n v="28940"/>
        <n v="28945"/>
        <n v="28948"/>
        <n v="28924"/>
        <n v="28923"/>
        <n v="685"/>
        <n v="686"/>
        <n v="687"/>
        <n v="688"/>
        <n v="689"/>
        <n v="16183"/>
        <n v="699"/>
        <n v="702"/>
        <n v="22146"/>
        <n v="705"/>
        <n v="706"/>
        <n v="708"/>
        <n v="20741"/>
        <n v="20743"/>
        <n v="716"/>
        <n v="717"/>
        <n v="20747"/>
        <n v="726"/>
        <n v="728"/>
        <n v="3206"/>
        <n v="733"/>
        <n v="20749"/>
        <n v="15870"/>
        <n v="738"/>
        <n v="744"/>
        <n v="746"/>
        <n v="20755"/>
        <n v="751"/>
        <n v="752"/>
        <n v="754"/>
        <n v="22715"/>
        <n v="757"/>
        <n v="760"/>
        <n v="762"/>
        <n v="59"/>
        <n v="15081"/>
        <n v="15064"/>
        <n v="23851"/>
        <n v="26788"/>
        <n v="589"/>
        <n v="31198"/>
        <n v="28796"/>
        <n v="29533"/>
        <n v="24750"/>
        <n v="663"/>
        <n v="29553"/>
        <n v="27540"/>
        <n v="28270"/>
        <n v="28254"/>
        <n v="28215"/>
        <n v="28211"/>
        <n v="28206"/>
        <n v="28638"/>
        <n v="28637"/>
        <n v="28200"/>
        <n v="28197"/>
        <n v="28195"/>
        <n v="28634"/>
        <n v="28379"/>
        <n v="28193"/>
        <n v="28188"/>
        <n v="28182"/>
        <n v="28178"/>
        <n v="20727"/>
        <n v="20730"/>
        <n v="11056"/>
        <n v="11263"/>
        <n v="11266"/>
        <n v="11290"/>
        <n v="28396"/>
        <n v="28397"/>
        <n v="28144"/>
        <n v="20731"/>
        <n v="28124"/>
        <n v="28120"/>
        <n v="28118"/>
        <n v="15458"/>
        <n v="15456"/>
        <n v="15442"/>
        <n v="15439"/>
        <n v="15430"/>
        <n v="15425"/>
        <n v="16533"/>
        <n v="10998"/>
        <n v="10994"/>
        <n v="10991"/>
        <n v="16085"/>
        <n v="10982"/>
        <n v="10981"/>
        <n v="10979"/>
        <n v="29097"/>
        <n v="29095"/>
        <n v="29090"/>
        <n v="29086"/>
        <n v="29082"/>
        <n v="27600"/>
        <n v="28085"/>
        <n v="1042"/>
        <n v="9919"/>
        <n v="27694"/>
        <n v="27154"/>
        <n v="27884"/>
        <n v="27883"/>
        <n v="27875"/>
        <n v="27877"/>
        <n v="20464"/>
        <n v="27903"/>
        <n v="27914"/>
        <n v="27916"/>
        <n v="27921"/>
        <n v="27925"/>
        <n v="27929"/>
        <n v="27933"/>
        <n v="27941"/>
        <n v="27946"/>
        <n v="27948"/>
        <n v="28695"/>
        <n v="28718"/>
        <n v="28725"/>
        <n v="28727"/>
        <n v="20465"/>
        <n v="20466"/>
        <n v="28735"/>
        <n v="20467"/>
        <n v="27792"/>
        <n v="27807"/>
        <n v="30862"/>
        <n v="27825"/>
        <n v="27832"/>
        <n v="29232"/>
        <n v="29756"/>
        <n v="30864"/>
        <n v="20529"/>
        <n v="20549"/>
        <n v="20588"/>
        <n v="10969"/>
        <n v="30813"/>
        <n v="10966"/>
        <n v="20600"/>
        <n v="26708"/>
        <n v="8790"/>
        <n v="8784"/>
        <n v="20640"/>
        <n v="8781"/>
        <n v="26014"/>
        <n v="12010"/>
        <n v="12007"/>
        <n v="15020"/>
        <n v="15036"/>
        <n v="15038"/>
        <n v="14290"/>
        <n v="8896"/>
        <n v="14265"/>
        <n v="4887"/>
        <n v="26279"/>
        <n v="14262"/>
        <n v="22603"/>
        <n v="14248"/>
        <n v="13861"/>
        <n v="25387"/>
        <n v="13869"/>
        <n v="13600"/>
        <n v="26293"/>
        <n v="9872"/>
        <n v="13527"/>
        <n v="13593"/>
        <n v="25842"/>
        <n v="26523"/>
        <n v="13581"/>
        <n v="13579"/>
        <n v="615"/>
        <n v="16275"/>
        <n v="16290"/>
        <n v="16291"/>
        <n v="671"/>
        <n v="8770"/>
        <n v="26546"/>
        <n v="13279"/>
        <n v="13277"/>
        <n v="673"/>
        <n v="8768"/>
        <n v="26547"/>
        <n v="12592"/>
        <n v="16125"/>
        <n v="12253"/>
        <n v="12242"/>
        <n v="28495"/>
        <n v="28511"/>
        <n v="28512"/>
        <n v="28486"/>
        <n v="27597"/>
        <n v="27519"/>
        <n v="25386"/>
        <n v="22077"/>
        <n v="29571"/>
        <n v="25381"/>
        <n v="29490"/>
        <n v="16127"/>
        <n v="16128"/>
        <n v="11327"/>
        <n v="16136"/>
        <n v="8921"/>
        <n v="8939"/>
        <n v="27578"/>
        <n v="8977"/>
        <n v="6852"/>
        <n v="16760"/>
        <n v="15776"/>
        <n v="20457"/>
        <n v="9328"/>
        <n v="9333"/>
        <n v="9336"/>
        <n v="9337"/>
        <n v="9342"/>
        <n v="15230"/>
        <n v="22743"/>
        <n v="15188"/>
        <n v="15187"/>
        <n v="574"/>
        <n v="14682"/>
        <n v="14410"/>
        <n v="14409"/>
        <n v="14402"/>
        <n v="14397"/>
        <n v="25099"/>
        <n v="28810"/>
        <n v="14384"/>
        <n v="14386"/>
        <n v="10859"/>
        <n v="14639"/>
        <n v="3968"/>
        <n v="13672"/>
        <n v="13662"/>
        <n v="516"/>
        <n v="31205"/>
        <n v="13648"/>
        <n v="13637"/>
        <n v="13639"/>
        <n v="13640"/>
        <n v="31206"/>
        <n v="554"/>
        <n v="8809"/>
        <n v="8807"/>
        <n v="721"/>
        <n v="12955"/>
        <n v="12957"/>
        <n v="556"/>
        <n v="669"/>
        <n v="12929"/>
        <n v="28588"/>
        <n v="558"/>
        <n v="27165"/>
        <n v="27183"/>
        <n v="27181"/>
        <n v="27166"/>
        <n v="27352"/>
        <n v="26667"/>
        <n v="27193"/>
        <n v="27195"/>
        <n v="460"/>
        <n v="526"/>
        <n v="23044"/>
        <n v="459"/>
        <n v="461"/>
        <n v="512"/>
        <n v="464"/>
        <n v="468"/>
        <n v="469"/>
        <n v="470"/>
        <n v="23053"/>
        <n v="473"/>
        <n v="510"/>
        <n v="29368"/>
        <n v="9808"/>
        <n v="25749"/>
        <n v="29442"/>
        <n v="513"/>
        <n v="23128"/>
        <n v="31204"/>
        <n v="525"/>
        <n v="553"/>
        <n v="23142"/>
        <n v="27196"/>
        <n v="27194"/>
        <n v="26675"/>
        <n v="27172"/>
        <n v="27351"/>
        <n v="14782"/>
        <n v="27182"/>
        <n v="27184"/>
        <n v="28569"/>
        <n v="31193"/>
        <n v="28587"/>
        <n v="12943"/>
        <n v="12944"/>
        <n v="12946"/>
        <n v="12952"/>
        <n v="12950"/>
        <n v="26879"/>
        <n v="8808"/>
        <n v="8810"/>
        <n v="31207"/>
        <n v="568"/>
        <n v="13646"/>
        <n v="13649"/>
        <n v="13653"/>
        <n v="31208"/>
        <n v="13661"/>
        <n v="13664"/>
        <n v="13673"/>
        <n v="14644"/>
        <n v="570"/>
        <n v="14637"/>
        <n v="14660"/>
        <n v="789"/>
        <n v="14383"/>
        <n v="28809"/>
        <n v="8814"/>
        <n v="14400"/>
        <n v="14407"/>
        <n v="14411"/>
        <n v="14412"/>
        <n v="14418"/>
        <n v="14419"/>
        <n v="8816"/>
        <n v="28899"/>
        <n v="15196"/>
        <n v="15191"/>
        <n v="9338"/>
        <n v="9335"/>
        <n v="9330"/>
        <n v="15768"/>
        <n v="16570"/>
        <n v="16761"/>
        <n v="8933"/>
        <n v="8968"/>
        <n v="20463"/>
        <n v="8955"/>
        <n v="8938"/>
        <n v="22757"/>
        <n v="15917"/>
        <n v="15914"/>
        <n v="1173"/>
        <n v="28417"/>
        <n v="579"/>
        <n v="29587"/>
        <n v="29575"/>
        <n v="29577"/>
        <n v="29573"/>
        <n v="27520"/>
        <n v="27598"/>
        <n v="26623"/>
        <n v="28515"/>
        <n v="28490"/>
        <n v="28493"/>
        <n v="26562"/>
        <n v="12247"/>
        <n v="9025"/>
        <n v="12589"/>
        <n v="12583"/>
        <n v="26563"/>
        <n v="675"/>
        <n v="674"/>
        <n v="13273"/>
        <n v="13282"/>
        <n v="8771"/>
        <n v="1250"/>
        <n v="8772"/>
        <n v="8773"/>
        <n v="16272"/>
        <n v="621"/>
        <n v="13580"/>
        <n v="13582"/>
        <n v="13589"/>
        <n v="13590"/>
        <n v="643"/>
        <n v="13594"/>
        <n v="13598"/>
        <n v="13597"/>
        <n v="14247"/>
        <n v="14246"/>
        <n v="9022"/>
        <n v="8774"/>
        <n v="8899"/>
        <n v="14255"/>
        <n v="30776"/>
        <n v="14263"/>
        <n v="14286"/>
        <n v="9252"/>
        <n v="15039"/>
        <n v="15035"/>
        <n v="8777"/>
        <n v="12009"/>
        <n v="26065"/>
        <n v="26017"/>
        <n v="8780"/>
        <n v="20684"/>
        <n v="8787"/>
        <n v="30816"/>
        <n v="8791"/>
        <n v="20689"/>
        <n v="10965"/>
        <n v="10968"/>
        <n v="20693"/>
        <n v="20694"/>
        <n v="16578"/>
        <n v="20700"/>
        <n v="27834"/>
        <n v="27824"/>
        <n v="20709"/>
        <n v="27806"/>
        <n v="20711"/>
        <n v="28736"/>
        <n v="27781"/>
        <n v="28726"/>
        <n v="28717"/>
        <n v="28706"/>
        <n v="27934"/>
        <n v="27915"/>
        <n v="27902"/>
        <n v="27878"/>
        <n v="27860"/>
        <n v="27887"/>
        <n v="28455"/>
        <n v="28086"/>
        <n v="27603"/>
        <n v="27551"/>
        <n v="27605"/>
        <n v="27555"/>
        <n v="29089"/>
        <n v="29108"/>
        <n v="27607"/>
        <n v="28106"/>
        <n v="10996"/>
        <n v="16096"/>
        <n v="15432"/>
        <n v="14953"/>
        <n v="15443"/>
        <n v="15457"/>
        <n v="15459"/>
        <n v="11035"/>
        <n v="28123"/>
        <n v="20719"/>
        <n v="28143"/>
        <n v="28390"/>
        <n v="11268"/>
        <n v="11054"/>
        <n v="11055"/>
        <n v="14949"/>
        <n v="28179"/>
        <n v="28184"/>
        <n v="28186"/>
        <n v="28380"/>
        <n v="28199"/>
        <n v="28635"/>
        <n v="28636"/>
        <n v="28203"/>
        <n v="28208"/>
        <n v="28214"/>
        <n v="28216"/>
        <n v="29215"/>
        <n v="28269"/>
        <n v="27539"/>
        <n v="29548"/>
        <n v="28793"/>
        <n v="20781"/>
        <n v="28798"/>
        <n v="8802"/>
        <n v="26791"/>
        <n v="24703"/>
        <n v="15065"/>
        <n v="24704"/>
        <n v="770"/>
        <n v="771"/>
        <n v="772"/>
        <n v="777"/>
        <n v="22716"/>
        <n v="778"/>
        <n v="779"/>
        <n v="786"/>
        <n v="787"/>
        <n v="788"/>
        <n v="20782"/>
        <n v="792"/>
        <n v="797"/>
        <n v="801"/>
        <n v="802"/>
        <n v="804"/>
        <n v="806"/>
        <n v="807"/>
        <n v="3222"/>
        <n v="813"/>
        <n v="815"/>
        <n v="20789"/>
        <n v="20790"/>
        <n v="835"/>
        <n v="836"/>
        <n v="22157"/>
        <n v="841"/>
        <n v="10633"/>
        <n v="843"/>
        <n v="851"/>
        <n v="853"/>
        <n v="854"/>
        <n v="25533"/>
        <n v="857"/>
        <n v="858"/>
        <n v="28925"/>
        <n v="28950"/>
        <n v="28949"/>
        <n v="12065"/>
        <n v="28941"/>
        <n v="28938"/>
        <n v="9043"/>
        <n v="10177"/>
        <n v="10791"/>
        <n v="7258"/>
        <n v="7259"/>
        <n v="9012"/>
        <n v="30782"/>
        <n v="9142"/>
        <n v="9516"/>
        <n v="9510"/>
        <n v="9488"/>
        <n v="7374"/>
        <n v="16162"/>
        <n v="16163"/>
        <n v="8820"/>
        <n v="8823"/>
        <n v="15688"/>
        <n v="31184"/>
        <n v="15705"/>
        <n v="25142"/>
        <n v="15722"/>
        <n v="8887"/>
        <n v="16045"/>
        <n v="21848"/>
        <n v="28466"/>
        <n v="28276"/>
        <n v="28281"/>
        <n v="11095"/>
        <n v="11103"/>
        <n v="7430"/>
        <n v="7497"/>
        <n v="28904"/>
        <n v="9028"/>
        <n v="7772"/>
        <n v="7375"/>
        <n v="15239"/>
        <n v="11124"/>
        <n v="19481"/>
        <n v="7377"/>
        <n v="27229"/>
        <n v="27959"/>
        <n v="28676"/>
        <n v="28678"/>
        <n v="14143"/>
        <n v="14151"/>
        <n v="14153"/>
        <n v="7514"/>
        <n v="7525"/>
        <n v="7636"/>
        <n v="27505"/>
        <n v="27507"/>
        <n v="29168"/>
        <n v="16356"/>
        <n v="29169"/>
        <n v="16360"/>
        <n v="16350"/>
        <n v="29173"/>
        <n v="16353"/>
        <n v="16144"/>
        <n v="11379"/>
        <n v="16523"/>
        <n v="9033"/>
        <n v="13035"/>
        <n v="7724"/>
        <n v="16489"/>
        <n v="28535"/>
        <n v="27544"/>
        <n v="27245"/>
        <n v="8829"/>
        <n v="8831"/>
        <n v="8830"/>
        <n v="16566"/>
        <n v="16565"/>
        <n v="7872"/>
        <n v="27247"/>
        <n v="7873"/>
        <n v="8840"/>
        <n v="8841"/>
        <n v="29182"/>
        <n v="16428"/>
        <n v="19571"/>
        <n v="30792"/>
        <n v="16446"/>
        <n v="8846"/>
        <n v="8042"/>
        <n v="12838"/>
        <n v="12841"/>
        <n v="27855"/>
        <n v="9914"/>
        <n v="9903"/>
        <n v="27737"/>
        <n v="27720"/>
        <n v="9953"/>
        <n v="15859"/>
        <n v="15855"/>
        <n v="31212"/>
        <n v="15853"/>
        <n v="29052"/>
        <n v="29047"/>
        <n v="29039"/>
        <n v="29035"/>
        <n v="29027"/>
        <n v="29023"/>
        <n v="29025"/>
        <n v="27993"/>
        <n v="28002"/>
        <n v="10252"/>
        <n v="28012"/>
        <n v="10159"/>
        <n v="28623"/>
        <n v="0" u="1"/>
        <n v="11297" u="1"/>
        <n v="12767" u="1"/>
        <n v="12768" u="1"/>
      </sharedItems>
    </cacheField>
    <cacheField name="ifc" numFmtId="0">
      <sharedItems containsSemiMixedTypes="0" containsString="0" containsNumber="1" containsInteger="1" minValue="1" maxValue="1"/>
    </cacheField>
    <cacheField name="ihov" numFmtId="0">
      <sharedItems containsSemiMixedTypes="0" containsString="0" containsNumber="1" containsInteger="1" minValue="1" maxValue="4"/>
    </cacheField>
    <cacheField name="name" numFmtId="0">
      <sharedItems/>
    </cacheField>
    <cacheField name="ikno" numFmtId="0">
      <sharedItems containsSemiMixedTypes="0" containsString="0" containsNumber="1" containsInteger="1" minValue="1" maxValue="174"/>
    </cacheField>
    <cacheField name="length" numFmtId="0">
      <sharedItems containsSemiMixedTypes="0" containsString="0" containsNumber="1" containsInteger="1" minValue="0" maxValue="8"/>
    </cacheField>
    <cacheField name="from" numFmtId="0">
      <sharedItems containsMixedTypes="1" containsNumber="1" containsInteger="1" minValue="0" maxValue="0"/>
    </cacheField>
    <cacheField name="to" numFmtId="0">
      <sharedItems containsMixedTypes="1" containsNumber="1" containsInteger="1" minValue="0" maxValue="0"/>
    </cacheField>
    <cacheField name="count" numFmtId="0">
      <sharedItems containsSemiMixedTypes="0" containsString="0" containsNumber="1" containsInteger="1" minValue="757" maxValue="36352"/>
    </cacheField>
    <cacheField name="flow" numFmtId="1">
      <sharedItems containsSemiMixedTypes="0" containsString="0" containsNumber="1" minValue="634.33215299999995" maxValue="45436.929687999997"/>
    </cacheField>
    <cacheField name="gap" numFmtId="9">
      <sharedItems containsSemiMixedTypes="0" containsString="0" containsNumber="1" minValue="-0.60698131784386622" maxValue="1.5718949107497027"/>
    </cacheField>
    <cacheField name="x2" numFmtId="1">
      <sharedItems containsSemiMixedTypes="0" containsString="0" containsNumber="1" minValue="22.701870563906922" maxValue="437700499.49472892"/>
    </cacheField>
    <cacheField name="flag" numFmtId="0">
      <sharedItems containsSemiMixedTypes="0" containsString="0" containsNumber="1" containsInteger="1" minValue="0" maxValue="0"/>
    </cacheField>
    <cacheField name="order" numFmtId="0">
      <sharedItems containsSemiMixedTypes="0" containsString="0" containsNumber="1" containsInteger="1" minValue="1" maxValue="760"/>
    </cacheField>
    <cacheField name="sourc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7">
  <r>
    <n v="21"/>
    <x v="0"/>
    <x v="0"/>
    <n v="1"/>
    <n v="1"/>
    <s v="SR-94 WB"/>
    <n v="1"/>
    <n v="0"/>
    <s v="SR-125 SB"/>
    <s v="SR-125 SB"/>
    <n v="6056"/>
    <n v="9656.4921880000002"/>
    <n v="0.59453305614266849"/>
    <n v="12963543.995849028"/>
    <n v="0"/>
    <n v="169"/>
    <s v="PeMS2016"/>
  </r>
  <r>
    <n v="21"/>
    <x v="0"/>
    <x v="1"/>
    <n v="1"/>
    <n v="1"/>
    <s v="SR-94 WB"/>
    <n v="2"/>
    <n v="0"/>
    <s v="SR-125 SB"/>
    <s v="SR-125 NB"/>
    <n v="10717"/>
    <n v="13709.029296999999"/>
    <n v="0.27918534076700552"/>
    <n v="8952239.3141063098"/>
    <n v="0"/>
    <n v="78"/>
    <s v="PeMS2016"/>
  </r>
  <r>
    <n v="21"/>
    <x v="0"/>
    <x v="2"/>
    <n v="1"/>
    <n v="1"/>
    <s v="SR-94 WB"/>
    <n v="3"/>
    <n v="0"/>
    <s v="GROVE"/>
    <s v="GROVE"/>
    <n v="10717"/>
    <n v="15583.491211"/>
    <n v="0.45409081002146134"/>
    <n v="23682736.706740253"/>
    <n v="0"/>
    <n v="398"/>
    <s v="PeMS2016"/>
  </r>
  <r>
    <n v="21"/>
    <x v="0"/>
    <x v="3"/>
    <n v="1"/>
    <n v="1"/>
    <s v="SR-94 WB"/>
    <n v="4"/>
    <n v="0"/>
    <s v="LEMON GROVE"/>
    <s v="LEMON GROVE"/>
    <n v="12928"/>
    <n v="13342.835938"/>
    <n v="3.2088175897277305E-2"/>
    <n v="172088.85545633998"/>
    <n v="0"/>
    <n v="395"/>
    <s v="PeMS2016"/>
  </r>
  <r>
    <n v="21"/>
    <x v="0"/>
    <x v="4"/>
    <n v="1"/>
    <n v="1"/>
    <s v="SR-94 WB"/>
    <n v="5"/>
    <n v="0"/>
    <s v="LEMON GROVE"/>
    <s v="WAITE"/>
    <n v="15038"/>
    <n v="14596.053711"/>
    <n v="-2.938863472536235E-2"/>
    <n v="195316.52236087111"/>
    <n v="0"/>
    <n v="399"/>
    <s v="Caltran"/>
  </r>
  <r>
    <n v="21"/>
    <x v="0"/>
    <x v="5"/>
    <n v="1"/>
    <n v="1"/>
    <s v="SR-94 WB"/>
    <n v="7"/>
    <n v="0"/>
    <s v="MASSACHUSETTS"/>
    <s v="MASSACHUSETTS"/>
    <n v="14242"/>
    <n v="14042.169921999999"/>
    <n v="-1.4031040443757914E-2"/>
    <n v="39932.060073486427"/>
    <n v="0"/>
    <n v="401"/>
    <s v="PeMS2016"/>
  </r>
  <r>
    <n v="21"/>
    <x v="0"/>
    <x v="6"/>
    <n v="1"/>
    <n v="1"/>
    <s v="SR-94 WB"/>
    <n v="8"/>
    <n v="0"/>
    <s v="MASSACHUSETTS"/>
    <s v="COLLEGE"/>
    <n v="13093"/>
    <n v="15519.583008"/>
    <n v="0.18533437775910788"/>
    <n v="5888305.0947143259"/>
    <n v="0"/>
    <n v="402"/>
    <s v="PeMS2016"/>
  </r>
  <r>
    <n v="21"/>
    <x v="0"/>
    <x v="7"/>
    <n v="1"/>
    <n v="1"/>
    <s v="SR-94 WB"/>
    <n v="13"/>
    <n v="1"/>
    <s v="COLLEGE GROVE"/>
    <s v="FEDERAL"/>
    <n v="14371"/>
    <n v="15430.521484000001"/>
    <n v="7.3726357525572439E-2"/>
    <n v="1122585.775057564"/>
    <n v="0"/>
    <n v="403"/>
    <s v="PeMS2016"/>
  </r>
  <r>
    <n v="21"/>
    <x v="0"/>
    <x v="8"/>
    <n v="1"/>
    <n v="1"/>
    <s v="SR-94 WB"/>
    <n v="16"/>
    <n v="0"/>
    <s v="KELTON"/>
    <s v="EUCLID"/>
    <n v="15747"/>
    <n v="17249.279297000001"/>
    <n v="9.5400984123960253E-2"/>
    <n v="2256843.086194817"/>
    <n v="0"/>
    <n v="404"/>
    <s v="PeMS2016"/>
  </r>
  <r>
    <n v="21"/>
    <x v="0"/>
    <x v="9"/>
    <n v="1"/>
    <n v="1"/>
    <s v="SR-94 WB"/>
    <n v="18"/>
    <n v="0"/>
    <s v="EUCLID"/>
    <s v="EUCLID"/>
    <n v="15038"/>
    <n v="16941.630859000001"/>
    <n v="0.1265880342465755"/>
    <n v="3623810.4473370807"/>
    <n v="0"/>
    <n v="406"/>
    <s v="PeMS2016"/>
  </r>
  <r>
    <n v="21"/>
    <x v="0"/>
    <x v="10"/>
    <n v="1"/>
    <n v="1"/>
    <s v="SR-94 WB"/>
    <n v="19"/>
    <n v="0"/>
    <s v="EUCLID"/>
    <s v="47TH"/>
    <n v="18588"/>
    <n v="18551.257812"/>
    <n v="-1.9766617172369827E-3"/>
    <n v="1349.9883790273564"/>
    <n v="0"/>
    <n v="41"/>
    <s v="PeMS2016"/>
  </r>
  <r>
    <n v="21"/>
    <x v="0"/>
    <x v="11"/>
    <n v="1"/>
    <n v="1"/>
    <s v="SR-94 WB"/>
    <n v="23"/>
    <n v="0"/>
    <s v="I-805 NB"/>
    <s v="I-805 NB"/>
    <n v="9141"/>
    <n v="11687.135742"/>
    <n v="0.2785401752543486"/>
    <n v="6482807.2166898921"/>
    <n v="0"/>
    <n v="407"/>
    <s v="PeMS2016"/>
  </r>
  <r>
    <n v="21"/>
    <x v="0"/>
    <x v="12"/>
    <n v="1"/>
    <n v="1"/>
    <s v="SR-94 WB"/>
    <n v="24"/>
    <n v="0"/>
    <s v="I-805 NB"/>
    <s v="HOME"/>
    <n v="12622"/>
    <n v="13892.342773"/>
    <n v="0.1006451254159404"/>
    <n v="1613770.7609133304"/>
    <n v="0"/>
    <n v="400"/>
    <s v="PeMS2016"/>
  </r>
  <r>
    <n v="21"/>
    <x v="0"/>
    <x v="13"/>
    <n v="1"/>
    <n v="1"/>
    <s v="SR-94 WB"/>
    <n v="26"/>
    <n v="0"/>
    <s v="HOME"/>
    <s v="SR-15 NB"/>
    <n v="14485"/>
    <n v="15504.049805000001"/>
    <n v="7.0352074905074335E-2"/>
    <n v="1038462.5050705392"/>
    <n v="0"/>
    <n v="412"/>
    <s v="PeMS2016"/>
  </r>
  <r>
    <n v="21"/>
    <x v="0"/>
    <x v="14"/>
    <n v="1"/>
    <n v="1"/>
    <s v="SR-94 WB"/>
    <n v="27"/>
    <n v="0"/>
    <s v="SR-15 SB"/>
    <s v="SR-15 SB"/>
    <n v="11868"/>
    <n v="12675.560546999999"/>
    <n v="6.8045209555106068E-2"/>
    <n v="652154.0370709378"/>
    <n v="0"/>
    <n v="368"/>
    <s v="PeMS2016"/>
  </r>
  <r>
    <n v="21"/>
    <x v="0"/>
    <x v="15"/>
    <n v="1"/>
    <n v="1"/>
    <s v="SR-94 WB"/>
    <n v="31"/>
    <n v="0"/>
    <s v="32ND"/>
    <s v="28TH"/>
    <n v="13758"/>
    <n v="14145.419921999999"/>
    <n v="2.8159610553859515E-2"/>
    <n v="150094.19596248542"/>
    <n v="0"/>
    <n v="415"/>
    <s v="PeMS2016"/>
  </r>
  <r>
    <n v="21"/>
    <x v="0"/>
    <x v="16"/>
    <n v="1"/>
    <n v="1"/>
    <s v="SR-94 WB"/>
    <n v="32"/>
    <n v="0"/>
    <s v="28TH"/>
    <s v="28TH"/>
    <n v="12035"/>
    <n v="12521.715819999999"/>
    <n v="4.0441696717905984E-2"/>
    <n v="236892.28943827187"/>
    <n v="0"/>
    <n v="396"/>
    <s v="PeMS2016"/>
  </r>
  <r>
    <n v="21"/>
    <x v="0"/>
    <x v="17"/>
    <n v="1"/>
    <n v="1"/>
    <s v="SR-94 WB"/>
    <n v="33"/>
    <n v="0"/>
    <s v="28TH"/>
    <s v="25TH"/>
    <n v="12035"/>
    <n v="12742.094727"/>
    <n v="5.875319709181559E-2"/>
    <n v="499982.95295120409"/>
    <n v="0"/>
    <n v="416"/>
    <s v="PeMS2016"/>
  </r>
  <r>
    <n v="21"/>
    <x v="0"/>
    <x v="18"/>
    <n v="1"/>
    <n v="1"/>
    <s v="SR-94 WB"/>
    <n v="34"/>
    <n v="0"/>
    <s v="25TH"/>
    <s v="I-5 NB"/>
    <n v="11230"/>
    <n v="11834.413086"/>
    <n v="5.3821289937667105E-2"/>
    <n v="365315.17852804397"/>
    <n v="0"/>
    <n v="375"/>
    <s v="PeMS2016"/>
  </r>
  <r>
    <n v="21"/>
    <x v="0"/>
    <x v="19"/>
    <n v="1"/>
    <n v="1"/>
    <s v="SR-94 WB"/>
    <n v="36"/>
    <n v="0"/>
    <s v="F"/>
    <s v="F"/>
    <n v="4738"/>
    <n v="5167.0859380000002"/>
    <n v="9.0562671591388755E-2"/>
    <n v="184114.74218934"/>
    <n v="0"/>
    <n v="381"/>
    <s v="PeMS2016"/>
  </r>
  <r>
    <n v="20"/>
    <x v="0"/>
    <x v="20"/>
    <n v="1"/>
    <n v="1"/>
    <s v="SR-905 WB"/>
    <n v="1"/>
    <n v="0"/>
    <s v="MEXICAN BORDER"/>
    <s v="LRT-905"/>
    <n v="3469"/>
    <n v="1967.7967530000001"/>
    <n v="-0.43274812539636776"/>
    <n v="2253611.1888033426"/>
    <n v="0"/>
    <n v="385"/>
    <s v="Caltran"/>
  </r>
  <r>
    <n v="20"/>
    <x v="0"/>
    <x v="21"/>
    <n v="1"/>
    <n v="1"/>
    <s v="SR-905 WB"/>
    <n v="2"/>
    <n v="0"/>
    <s v="LRT-905"/>
    <s v="LRT-905"/>
    <n v="3809"/>
    <n v="1783.061279"/>
    <n v="-0.53188204804410599"/>
    <n v="4104427.7012471156"/>
    <n v="0"/>
    <n v="439"/>
    <s v="PeMS2016"/>
  </r>
  <r>
    <n v="20"/>
    <x v="0"/>
    <x v="22"/>
    <n v="1"/>
    <n v="1"/>
    <s v="SR-905 WB"/>
    <n v="3"/>
    <n v="0"/>
    <s v="LRT-905"/>
    <s v="SR-125 NB"/>
    <n v="6715"/>
    <n v="3780.9726559999999"/>
    <n v="-0.43693631332836935"/>
    <n v="8608516.4553396944"/>
    <n v="0"/>
    <n v="448"/>
    <s v="PeMS2016"/>
  </r>
  <r>
    <n v="20"/>
    <x v="0"/>
    <x v="23"/>
    <n v="1"/>
    <n v="1"/>
    <s v="SR-905 WB"/>
    <n v="5"/>
    <n v="0"/>
    <n v="0"/>
    <s v="SR-125 SB"/>
    <n v="5378"/>
    <n v="3744.255615"/>
    <n v="-0.30378289047973228"/>
    <n v="2669120.7155190283"/>
    <n v="0"/>
    <n v="353"/>
    <s v="PeMS2016"/>
  </r>
  <r>
    <n v="20"/>
    <x v="0"/>
    <x v="24"/>
    <n v="1"/>
    <n v="1"/>
    <s v="SR-905 WB"/>
    <n v="8"/>
    <n v="0"/>
    <s v="SR-125 SB"/>
    <s v="LA MEDIA"/>
    <n v="6293"/>
    <n v="6076.7934569999998"/>
    <n v="-3.4356672969966695E-2"/>
    <n v="46745.26923601095"/>
    <n v="0"/>
    <n v="481"/>
    <s v="PeMS2016"/>
  </r>
  <r>
    <n v="20"/>
    <x v="0"/>
    <x v="25"/>
    <n v="1"/>
    <n v="1"/>
    <s v="SR-905 WB"/>
    <n v="10"/>
    <n v="0"/>
    <s v="LA MEDIA"/>
    <s v="BRITANNIA"/>
    <n v="8477"/>
    <n v="7753.8090819999998"/>
    <n v="-8.5312129055090224E-2"/>
    <n v="523005.10387768305"/>
    <n v="0"/>
    <n v="174"/>
    <s v="PeMS2016"/>
  </r>
  <r>
    <n v="20"/>
    <x v="0"/>
    <x v="26"/>
    <n v="1"/>
    <n v="1"/>
    <s v="SR-905 WB"/>
    <n v="11"/>
    <n v="0"/>
    <s v="BRITANNIA"/>
    <s v="BRITANNIA"/>
    <n v="7444"/>
    <n v="7584.6748049999997"/>
    <n v="1.8897743820526447E-2"/>
    <n v="19789.400761787925"/>
    <n v="0"/>
    <n v="305"/>
    <s v="PeMS2016"/>
  </r>
  <r>
    <n v="20"/>
    <x v="0"/>
    <x v="27"/>
    <n v="1"/>
    <n v="1"/>
    <s v="SR-905 WB"/>
    <n v="12"/>
    <n v="0"/>
    <s v="BRITANNIA"/>
    <s v="HERITAGE"/>
    <n v="12493"/>
    <n v="9526.1855469999991"/>
    <n v="-0.23747814400064038"/>
    <n v="8801987.998529695"/>
    <n v="0"/>
    <n v="507"/>
    <s v="PeMS2016"/>
  </r>
  <r>
    <n v="20"/>
    <x v="0"/>
    <x v="28"/>
    <n v="1"/>
    <n v="1"/>
    <s v="SR-905 WB"/>
    <n v="14"/>
    <n v="0"/>
    <s v="HERITAGE"/>
    <s v="CALIENTE"/>
    <n v="9861"/>
    <n v="9526.1855469999991"/>
    <n v="-3.3953397525605999E-2"/>
    <n v="112100.71793768978"/>
    <n v="0"/>
    <n v="512"/>
    <s v="PeMS2016"/>
  </r>
  <r>
    <n v="20"/>
    <x v="0"/>
    <x v="29"/>
    <n v="1"/>
    <n v="1"/>
    <s v="SR-905 WB"/>
    <n v="15"/>
    <n v="0"/>
    <s v="CALIENTE"/>
    <s v="CALIENTE"/>
    <n v="9980"/>
    <n v="9390.5439449999994"/>
    <n v="-5.9063732965931925E-2"/>
    <n v="347458.44077616371"/>
    <n v="0"/>
    <n v="179"/>
    <s v="PeMS2016"/>
  </r>
  <r>
    <n v="20"/>
    <x v="0"/>
    <x v="30"/>
    <n v="1"/>
    <n v="1"/>
    <s v="SR-905 WB"/>
    <n v="2"/>
    <n v="0"/>
    <s v="CALIENTE"/>
    <s v="I-805 NB"/>
    <n v="9515"/>
    <n v="10515.410156"/>
    <n v="0.10514032117708871"/>
    <n v="1000820.4802279442"/>
    <n v="0"/>
    <n v="382"/>
    <s v="PeMS2016"/>
  </r>
  <r>
    <n v="20"/>
    <x v="0"/>
    <x v="31"/>
    <n v="1"/>
    <n v="1"/>
    <s v="SR-905 WB"/>
    <n v="3"/>
    <n v="0"/>
    <s v="I-805 NB"/>
    <s v="I-805 SB"/>
    <n v="4828"/>
    <n v="4749.0805659999996"/>
    <n v="-1.6346195940348029E-2"/>
    <n v="6228.2770628804137"/>
    <n v="0"/>
    <n v="309"/>
    <s v="PeMS2016"/>
  </r>
  <r>
    <n v="20"/>
    <x v="0"/>
    <x v="32"/>
    <n v="1"/>
    <n v="1"/>
    <s v="SR-905 WB"/>
    <n v="10"/>
    <n v="0"/>
    <s v="BEYER"/>
    <s v="I-5 NB"/>
    <n v="7458"/>
    <n v="6313.6069340000004"/>
    <n v="-0.15344503432555645"/>
    <n v="1309635.4895088796"/>
    <n v="0"/>
    <n v="314"/>
    <s v="Caltran"/>
  </r>
  <r>
    <n v="16"/>
    <x v="0"/>
    <x v="33"/>
    <n v="1"/>
    <n v="1"/>
    <s v="SR-78 WB"/>
    <n v="2"/>
    <n v="0"/>
    <s v="CENTRE CITY"/>
    <s v="CENTRE CITY"/>
    <n v="8363"/>
    <n v="9939.8212889999995"/>
    <n v="0.18854732619873249"/>
    <n v="2486365.37744362"/>
    <n v="0"/>
    <n v="499"/>
    <s v="PeMS2016"/>
  </r>
  <r>
    <n v="16"/>
    <x v="0"/>
    <x v="34"/>
    <n v="1"/>
    <n v="1"/>
    <s v="SR-78 WB"/>
    <n v="4"/>
    <n v="0"/>
    <s v="I-15 NB"/>
    <s v="I-15 SB"/>
    <n v="5453"/>
    <n v="8255.8037110000005"/>
    <n v="0.51399297836053548"/>
    <n v="7855708.6423953744"/>
    <n v="0"/>
    <n v="498"/>
    <s v="PeMS2016"/>
  </r>
  <r>
    <n v="16"/>
    <x v="0"/>
    <x v="35"/>
    <n v="1"/>
    <n v="1"/>
    <s v="SR-78 WB"/>
    <n v="5"/>
    <n v="0"/>
    <s v="I-15 SB"/>
    <s v="NORDAHL"/>
    <n v="18328"/>
    <n v="22530.097656000002"/>
    <n v="0.22927202400698388"/>
    <n v="17657624.710560709"/>
    <n v="0"/>
    <n v="135"/>
    <s v="PeMS2016"/>
  </r>
  <r>
    <n v="16"/>
    <x v="0"/>
    <x v="36"/>
    <n v="1"/>
    <n v="1"/>
    <s v="SR-78 WB"/>
    <n v="6"/>
    <n v="0"/>
    <s v="NORDAHL"/>
    <s v="NORDAHL"/>
    <n v="15330"/>
    <n v="20062.041015999999"/>
    <n v="0.30867847462491849"/>
    <n v="22392212.177106306"/>
    <n v="0"/>
    <n v="136"/>
    <s v="PeMS2016"/>
  </r>
  <r>
    <n v="16"/>
    <x v="0"/>
    <x v="37"/>
    <n v="1"/>
    <n v="1"/>
    <s v="SR-78 WB"/>
    <n v="7"/>
    <n v="0"/>
    <s v="NORDAHL"/>
    <s v="WOODLAND"/>
    <n v="14890"/>
    <n v="22982.552734000001"/>
    <n v="0.5434891023505708"/>
    <n v="65489409.75257089"/>
    <n v="0"/>
    <n v="137"/>
    <s v="PeMS2016"/>
  </r>
  <r>
    <n v="16"/>
    <x v="0"/>
    <x v="38"/>
    <n v="1"/>
    <n v="1"/>
    <s v="SR-78 WB"/>
    <n v="9"/>
    <n v="0"/>
    <s v="WOODLAND"/>
    <s v="WOODLAND"/>
    <n v="17628"/>
    <n v="21649.298827999999"/>
    <n v="0.22811996982073968"/>
    <n v="16170844.264074165"/>
    <n v="0"/>
    <n v="138"/>
    <s v="PeMS2016"/>
  </r>
  <r>
    <n v="16"/>
    <x v="0"/>
    <x v="39"/>
    <n v="1"/>
    <n v="1"/>
    <s v="SR-78 WB"/>
    <n v="12"/>
    <n v="0"/>
    <s v="TWIN OAKS VALLEY"/>
    <s v="TWIN OAKS VALLEY"/>
    <n v="16167"/>
    <n v="20594.105468999998"/>
    <n v="0.27383592930042666"/>
    <n v="19599262.833649695"/>
    <n v="0"/>
    <n v="139"/>
    <s v="PeMS2016"/>
  </r>
  <r>
    <n v="16"/>
    <x v="0"/>
    <x v="40"/>
    <n v="1"/>
    <n v="1"/>
    <s v="SR-78 WB"/>
    <n v="15"/>
    <n v="0"/>
    <s v="SAN MARCOS"/>
    <s v="SAN MARCOS"/>
    <n v="15802"/>
    <n v="19872.023438"/>
    <n v="0.25756381711175802"/>
    <n v="16565090.785869341"/>
    <n v="0"/>
    <n v="141"/>
    <s v="PeMS2016"/>
  </r>
  <r>
    <n v="16"/>
    <x v="0"/>
    <x v="41"/>
    <n v="1"/>
    <n v="1"/>
    <s v="SR-78 WB"/>
    <n v="16"/>
    <n v="0"/>
    <s v="SAN MARCOS"/>
    <s v="SAN MARCOS"/>
    <n v="16187"/>
    <n v="20437.679688"/>
    <n v="0.26259836214245991"/>
    <n v="18068277.809975781"/>
    <n v="0"/>
    <n v="142"/>
    <s v="PeMS2016"/>
  </r>
  <r>
    <n v="16"/>
    <x v="0"/>
    <x v="42"/>
    <n v="1"/>
    <n v="1"/>
    <s v="SR-78 WB"/>
    <n v="21"/>
    <n v="0"/>
    <s v="LAS POSAS"/>
    <s v="LAS POSAS"/>
    <n v="13498"/>
    <n v="16431.582031000002"/>
    <n v="0.21733457038079718"/>
    <n v="8605903.5326060951"/>
    <n v="0"/>
    <n v="144"/>
    <s v="PeMS2016"/>
  </r>
  <r>
    <n v="16"/>
    <x v="0"/>
    <x v="43"/>
    <n v="1"/>
    <n v="1"/>
    <s v="SR-78 WB"/>
    <n v="22"/>
    <n v="0"/>
    <s v="LAS POSAS"/>
    <s v="RANCHO SANTA FE"/>
    <n v="18053"/>
    <n v="16431.582031000002"/>
    <n v="-8.9814322771838428E-2"/>
    <n v="2628996.2301960792"/>
    <n v="0"/>
    <n v="145"/>
    <s v="Caltran"/>
  </r>
  <r>
    <n v="16"/>
    <x v="0"/>
    <x v="44"/>
    <n v="1"/>
    <n v="1"/>
    <s v="SR-78 WB"/>
    <n v="24"/>
    <n v="0"/>
    <s v="RANCHO SANTA FE"/>
    <s v="RANCHO SANTA FE"/>
    <n v="16131"/>
    <n v="18936.142577999999"/>
    <n v="0.17389762432583211"/>
    <n v="7868824.8829084812"/>
    <n v="0"/>
    <n v="146"/>
    <s v="PeMS2016"/>
  </r>
  <r>
    <n v="16"/>
    <x v="0"/>
    <x v="45"/>
    <n v="1"/>
    <n v="1"/>
    <s v="SR-78 WB"/>
    <n v="25"/>
    <n v="0"/>
    <s v="RANCHO SANTA FE"/>
    <s v="SYCAMORE"/>
    <n v="17701"/>
    <n v="21085.214843999998"/>
    <n v="0.1911877771877295"/>
    <n v="11452910.110349933"/>
    <n v="0"/>
    <n v="149"/>
    <s v="Caltran"/>
  </r>
  <r>
    <n v="16"/>
    <x v="0"/>
    <x v="46"/>
    <n v="1"/>
    <n v="1"/>
    <s v="SR-78 WB"/>
    <n v="29"/>
    <n v="0"/>
    <s v="SYCAMORE"/>
    <s v="SYCAMORE"/>
    <n v="14936"/>
    <n v="17853.105468999998"/>
    <n v="0.19530700783342247"/>
    <n v="8509504.3172696996"/>
    <n v="0"/>
    <n v="150"/>
    <s v="PeMS2016"/>
  </r>
  <r>
    <n v="16"/>
    <x v="0"/>
    <x v="47"/>
    <n v="1"/>
    <n v="1"/>
    <s v="SR-78 WB"/>
    <n v="31"/>
    <n v="0"/>
    <s v="MAR VISTA"/>
    <s v="MAR VISTA"/>
    <n v="17762"/>
    <n v="18103.460938"/>
    <n v="1.9224239274856503E-2"/>
    <n v="116595.57217983996"/>
    <n v="0"/>
    <n v="378"/>
    <s v="PeMS2016"/>
  </r>
  <r>
    <n v="16"/>
    <x v="0"/>
    <x v="48"/>
    <n v="1"/>
    <n v="1"/>
    <s v="SR-78 WB"/>
    <n v="33"/>
    <n v="0"/>
    <s v="SUNSET"/>
    <s v="SUNSET"/>
    <n v="15856"/>
    <n v="15585.291992"/>
    <n v="-1.7072906659939435E-2"/>
    <n v="73282.825595327857"/>
    <n v="0"/>
    <n v="152"/>
    <s v="PeMS2016"/>
  </r>
  <r>
    <n v="16"/>
    <x v="0"/>
    <x v="49"/>
    <n v="1"/>
    <n v="1"/>
    <s v="SR-78 WB"/>
    <n v="35"/>
    <n v="0"/>
    <s v="MELROSE"/>
    <s v="MELROSE"/>
    <n v="12472"/>
    <n v="13471.100586"/>
    <n v="8.0107487652341325E-2"/>
    <n v="998201.98094554432"/>
    <n v="0"/>
    <n v="153"/>
    <s v="PeMS2016"/>
  </r>
  <r>
    <n v="16"/>
    <x v="0"/>
    <x v="50"/>
    <n v="1"/>
    <n v="1"/>
    <s v="SR-78 WB"/>
    <n v="36"/>
    <n v="0"/>
    <s v="MELROSE"/>
    <s v="MELROSE"/>
    <n v="12472"/>
    <n v="13471.100586"/>
    <n v="8.0107487652341325E-2"/>
    <n v="998201.98094554432"/>
    <n v="0"/>
    <n v="155"/>
    <s v="PeMS2016"/>
  </r>
  <r>
    <n v="16"/>
    <x v="0"/>
    <x v="51"/>
    <n v="1"/>
    <n v="1"/>
    <s v="SR-78 WB"/>
    <n v="37"/>
    <n v="0"/>
    <s v="MELROSE"/>
    <s v="MELROSE"/>
    <n v="14491"/>
    <n v="14762.392578000001"/>
    <n v="1.8728354012835569E-2"/>
    <n v="73653.931393486549"/>
    <n v="0"/>
    <n v="158"/>
    <s v="PeMS2016"/>
  </r>
  <r>
    <n v="16"/>
    <x v="0"/>
    <x v="52"/>
    <n v="1"/>
    <n v="1"/>
    <s v="SR-78 WB"/>
    <n v="39"/>
    <n v="0"/>
    <s v="EMERALD"/>
    <s v="EMERALD"/>
    <n v="12863"/>
    <n v="12627.659180000001"/>
    <n v="-1.8295951177796699E-2"/>
    <n v="55385.301558272135"/>
    <n v="0"/>
    <n v="159"/>
    <s v="PeMS2016"/>
  </r>
  <r>
    <n v="16"/>
    <x v="0"/>
    <x v="53"/>
    <n v="1"/>
    <n v="1"/>
    <s v="SR-78 WB"/>
    <n v="41"/>
    <n v="0"/>
    <s v="VISTA WY"/>
    <s v="VISTA WY"/>
    <n v="11913"/>
    <n v="11507.895508"/>
    <n v="-3.4005245697977027E-2"/>
    <n v="164109.64943857837"/>
    <n v="0"/>
    <n v="160"/>
    <s v="PeMS2016"/>
  </r>
  <r>
    <n v="16"/>
    <x v="0"/>
    <x v="54"/>
    <n v="1"/>
    <n v="1"/>
    <s v="SR-78 WB"/>
    <n v="42"/>
    <n v="0"/>
    <s v="VISTA WY"/>
    <s v="COLLEGE"/>
    <n v="13748"/>
    <n v="12686.825194999999"/>
    <n v="-7.7187576738434682E-2"/>
    <n v="1126091.9667667893"/>
    <n v="0"/>
    <n v="162"/>
    <s v="PeMS2016"/>
  </r>
  <r>
    <n v="16"/>
    <x v="0"/>
    <x v="55"/>
    <n v="1"/>
    <n v="1"/>
    <s v="SR-78 WB"/>
    <n v="45"/>
    <n v="0"/>
    <s v="RANCHO DEL ORO"/>
    <s v="EL CAMINO REAL"/>
    <n v="15506"/>
    <n v="14225.608398"/>
    <n v="-8.2573945698439344E-2"/>
    <n v="1639402.6544721257"/>
    <n v="0"/>
    <n v="163"/>
    <s v="Caltran"/>
  </r>
  <r>
    <n v="16"/>
    <x v="0"/>
    <x v="56"/>
    <n v="1"/>
    <n v="1"/>
    <s v="SR-78 WB"/>
    <n v="46"/>
    <n v="0"/>
    <s v="EL CAMINO REAL"/>
    <s v="EL CAMINO REAL"/>
    <n v="11514"/>
    <n v="11301.975586"/>
    <n v="-1.8414487927740142E-2"/>
    <n v="44954.352132043197"/>
    <n v="0"/>
    <n v="164"/>
    <s v="PeMS2016"/>
  </r>
  <r>
    <n v="16"/>
    <x v="0"/>
    <x v="57"/>
    <n v="1"/>
    <n v="1"/>
    <s v="SR-78 WB"/>
    <n v="47"/>
    <n v="0"/>
    <s v="EL CAMINO REAL"/>
    <s v="JEFFERSON"/>
    <n v="13713"/>
    <n v="12539.163086"/>
    <n v="-8.5600300007292351E-2"/>
    <n v="1377893.1006690422"/>
    <n v="0"/>
    <n v="166"/>
    <s v="Caltran"/>
  </r>
  <r>
    <n v="16"/>
    <x v="0"/>
    <x v="58"/>
    <n v="1"/>
    <n v="1"/>
    <s v="SR-78 WB"/>
    <n v="48"/>
    <n v="0"/>
    <s v="JEFFERSON"/>
    <s v="JEFFERSON"/>
    <n v="11696"/>
    <n v="11245.690430000001"/>
    <n v="-3.8501160225718145E-2"/>
    <n v="202778.70883358439"/>
    <n v="0"/>
    <n v="167"/>
    <s v="PeMS2016"/>
  </r>
  <r>
    <n v="16"/>
    <x v="0"/>
    <x v="59"/>
    <n v="1"/>
    <n v="1"/>
    <s v="SR-78 WB"/>
    <n v="49"/>
    <n v="0"/>
    <s v="JEFFERSON"/>
    <s v="I-5 NB"/>
    <n v="11402"/>
    <n v="12113.695312"/>
    <n v="6.2418462725837509E-2"/>
    <n v="506510.21712277707"/>
    <n v="0"/>
    <n v="168"/>
    <s v="PeMS2016"/>
  </r>
  <r>
    <n v="7"/>
    <x v="1"/>
    <x v="60"/>
    <n v="1"/>
    <n v="1"/>
    <s v="SR-75 NB"/>
    <n v="3"/>
    <n v="0"/>
    <s v="04TH"/>
    <s v="GLORIETTA"/>
    <n v="7304"/>
    <n v="11540.101562"/>
    <n v="0.57997009337349392"/>
    <n v="17944556.443578839"/>
    <n v="0"/>
    <n v="609"/>
    <s v="Caltran"/>
  </r>
  <r>
    <n v="6"/>
    <x v="1"/>
    <x v="61"/>
    <n v="1"/>
    <n v="1"/>
    <s v="SR-67 NB"/>
    <n v="5"/>
    <n v="0"/>
    <s v="BRADLEY"/>
    <s v="BRADLEY"/>
    <n v="13046"/>
    <n v="12374.019531"/>
    <n v="-5.1508544304767701E-2"/>
    <n v="451557.75071746006"/>
    <n v="0"/>
    <n v="610"/>
    <s v="Caltran"/>
  </r>
  <r>
    <n v="6"/>
    <x v="1"/>
    <x v="62"/>
    <n v="1"/>
    <n v="1"/>
    <s v="SR-67 NB"/>
    <n v="6"/>
    <n v="0"/>
    <s v="BRADLEY"/>
    <s v="SR-52 WB"/>
    <n v="11690"/>
    <n v="14824.036133"/>
    <n v="0.26809547758768182"/>
    <n v="9822182.4829495903"/>
    <n v="0"/>
    <n v="611"/>
    <s v="Caltran"/>
  </r>
  <r>
    <n v="6"/>
    <x v="1"/>
    <x v="63"/>
    <n v="1"/>
    <n v="1"/>
    <s v="SR-67 NB"/>
    <n v="8"/>
    <n v="0"/>
    <s v="SR-52 EB"/>
    <s v="WOODSIDE"/>
    <n v="10194"/>
    <n v="11192.773438"/>
    <n v="9.7976597802629017E-2"/>
    <n v="997548.38045434013"/>
    <n v="0"/>
    <n v="612"/>
    <s v="Caltran"/>
  </r>
  <r>
    <n v="19"/>
    <x v="0"/>
    <x v="64"/>
    <n v="1"/>
    <n v="1"/>
    <s v="SR-56 WB"/>
    <n v="3"/>
    <n v="0"/>
    <s v="I-15 SB"/>
    <s v="RANCHO PENASQUITOS"/>
    <n v="8295"/>
    <n v="9277.9501949999994"/>
    <n v="0.11849911934900526"/>
    <n v="966191.08585053694"/>
    <n v="0"/>
    <n v="614"/>
    <s v="PeMS2016"/>
  </r>
  <r>
    <n v="19"/>
    <x v="0"/>
    <x v="65"/>
    <n v="1"/>
    <n v="1"/>
    <s v="SR-56 WB"/>
    <n v="4"/>
    <n v="0"/>
    <s v="RANCHO PENASQUITOS"/>
    <s v="RANCHO PENASQUITOS"/>
    <n v="6773"/>
    <n v="7423.748047"/>
    <n v="9.6079735272405209E-2"/>
    <n v="423473.02067431429"/>
    <n v="0"/>
    <n v="615"/>
    <s v="PeMS2016"/>
  </r>
  <r>
    <n v="19"/>
    <x v="0"/>
    <x v="66"/>
    <n v="1"/>
    <n v="1"/>
    <s v="SR-56 WB"/>
    <n v="5"/>
    <n v="0"/>
    <s v="RANCHO PENASQUITOS"/>
    <s v="BLACK MOUNTAIN"/>
    <n v="8306"/>
    <n v="8477.9013670000004"/>
    <n v="2.06960470744042E-2"/>
    <n v="29550.079976468824"/>
    <n v="0"/>
    <n v="616"/>
    <s v="Caltran"/>
  </r>
  <r>
    <n v="19"/>
    <x v="0"/>
    <x v="67"/>
    <n v="1"/>
    <n v="1"/>
    <s v="SR-56 WB"/>
    <n v="6"/>
    <n v="0"/>
    <s v="BLACK MOUNTAIN"/>
    <s v="BLACK MOUNTAIN"/>
    <n v="5505"/>
    <n v="6504.1083980000003"/>
    <n v="0.18149108047229801"/>
    <n v="998217.59095412702"/>
    <n v="0"/>
    <n v="617"/>
    <s v="PeMS2016"/>
  </r>
  <r>
    <n v="19"/>
    <x v="0"/>
    <x v="68"/>
    <n v="1"/>
    <n v="1"/>
    <s v="SR-56 WB"/>
    <n v="7"/>
    <n v="0"/>
    <s v="BLACK MOUNTAIN"/>
    <s v="CAMINO RUIZ"/>
    <n v="7385"/>
    <n v="9097.2070309999999"/>
    <n v="0.23184929329722404"/>
    <n v="2931652.9170058346"/>
    <n v="0"/>
    <n v="618"/>
    <s v="Caltran"/>
  </r>
  <r>
    <n v="19"/>
    <x v="0"/>
    <x v="69"/>
    <n v="1"/>
    <n v="1"/>
    <s v="SR-56 WB"/>
    <n v="8"/>
    <n v="0"/>
    <s v="CAMINO RUIZ"/>
    <s v="CAMINO RUIZ"/>
    <n v="4831"/>
    <n v="6530.1904299999997"/>
    <n v="0.35172643966052575"/>
    <n v="2887248.1174035836"/>
    <n v="0"/>
    <n v="451"/>
    <s v="PeMS2016"/>
  </r>
  <r>
    <n v="19"/>
    <x v="0"/>
    <x v="70"/>
    <n v="1"/>
    <n v="1"/>
    <s v="SR-56 WB"/>
    <n v="9"/>
    <n v="0"/>
    <s v="CAMINO RUIZ"/>
    <s v="CAMINO RUIZ"/>
    <n v="4856"/>
    <n v="6530.1904299999997"/>
    <n v="0.34476738673805585"/>
    <n v="2802913.5959035838"/>
    <n v="0"/>
    <n v="620"/>
    <s v="PeMS2016"/>
  </r>
  <r>
    <n v="19"/>
    <x v="0"/>
    <x v="71"/>
    <n v="1"/>
    <n v="1"/>
    <s v="SR-56 WB"/>
    <n v="11"/>
    <n v="0"/>
    <s v="CAMINO RUIZ"/>
    <s v="CAMINO SANTA FE"/>
    <n v="5806"/>
    <n v="7528.3403319999998"/>
    <n v="0.29664835204960371"/>
    <n v="2966456.2192338696"/>
    <n v="0"/>
    <n v="621"/>
    <s v="PeMS2016"/>
  </r>
  <r>
    <n v="19"/>
    <x v="0"/>
    <x v="72"/>
    <n v="1"/>
    <n v="1"/>
    <s v="SR-56 WB"/>
    <n v="12"/>
    <n v="0"/>
    <s v="CAMINO RUIZ"/>
    <s v="CAMINO SANTA FE"/>
    <n v="5188"/>
    <n v="7528.3403319999998"/>
    <n v="0.45110646337702387"/>
    <n v="5477192.8695858689"/>
    <n v="0"/>
    <n v="622"/>
    <s v="Caltran"/>
  </r>
  <r>
    <n v="19"/>
    <x v="0"/>
    <x v="73"/>
    <n v="1"/>
    <n v="1"/>
    <s v="SR-56 WB"/>
    <n v="13"/>
    <n v="0"/>
    <s v="CAMINO SANTA FE"/>
    <s v="CAMINO SANTA FE"/>
    <n v="5917"/>
    <n v="6405.9536129999997"/>
    <n v="8.2635391752577281E-2"/>
    <n v="239075.63566575345"/>
    <n v="0"/>
    <n v="623"/>
    <s v="PeMS2016"/>
  </r>
  <r>
    <n v="19"/>
    <x v="0"/>
    <x v="74"/>
    <n v="1"/>
    <n v="1"/>
    <s v="SR-56 WB"/>
    <n v="14"/>
    <n v="0"/>
    <s v="CAMINO SANTA FE"/>
    <s v="CARMEL COUNTRY"/>
    <n v="5886"/>
    <n v="8087.0600590000004"/>
    <n v="0.37394836204553172"/>
    <n v="4844665.383325085"/>
    <n v="0"/>
    <n v="624"/>
    <s v="Caltran"/>
  </r>
  <r>
    <n v="19"/>
    <x v="0"/>
    <x v="75"/>
    <n v="1"/>
    <n v="1"/>
    <s v="SR-56 WB"/>
    <n v="15"/>
    <n v="0"/>
    <s v="CARMEL COUNTRY"/>
    <s v="CARMEL COUNTRY"/>
    <n v="5024"/>
    <n v="6414.8808589999999"/>
    <n v="0.27684730473726105"/>
    <n v="1934549.5639325776"/>
    <n v="0"/>
    <n v="625"/>
    <s v="PeMS2016"/>
  </r>
  <r>
    <n v="19"/>
    <x v="0"/>
    <x v="76"/>
    <n v="1"/>
    <n v="1"/>
    <s v="SR-56 WB"/>
    <n v="16"/>
    <n v="0"/>
    <s v="CARMEL COUNTRY"/>
    <s v="CARMEL CREEK"/>
    <n v="6492"/>
    <n v="7865.9296880000002"/>
    <n v="0.21163427110289579"/>
    <n v="1887682.7875677778"/>
    <n v="0"/>
    <n v="626"/>
    <s v="Caltran"/>
  </r>
  <r>
    <n v="19"/>
    <x v="0"/>
    <x v="77"/>
    <n v="1"/>
    <n v="1"/>
    <s v="SR-56 WB"/>
    <n v="17"/>
    <n v="0"/>
    <s v="CARMEL CREEK"/>
    <s v="CARMEL CREEK"/>
    <n v="5669"/>
    <n v="7121.3784180000002"/>
    <n v="0.25619658105485987"/>
    <n v="2109403.0690721832"/>
    <n v="0"/>
    <n v="628"/>
    <s v="PeMS2016"/>
  </r>
  <r>
    <n v="19"/>
    <x v="0"/>
    <x v="78"/>
    <n v="1"/>
    <n v="1"/>
    <s v="SR-56 WB"/>
    <n v="19"/>
    <n v="0"/>
    <s v="CARMEL CREEK"/>
    <s v="EL CAMINO REAL"/>
    <n v="7326"/>
    <n v="8740.6875"/>
    <n v="0.19310503685503688"/>
    <n v="2001340.72265625"/>
    <n v="0"/>
    <n v="629"/>
    <s v="Caltran"/>
  </r>
  <r>
    <n v="18"/>
    <x v="0"/>
    <x v="79"/>
    <n v="1"/>
    <n v="1"/>
    <s v="SR-54 WB"/>
    <n v="4"/>
    <n v="0"/>
    <s v="SR-125 NB"/>
    <s v="BRIARWOOD"/>
    <n v="13806"/>
    <n v="12125.403319999999"/>
    <n v="-0.1217294422714762"/>
    <n v="2824405.2008270244"/>
    <n v="0"/>
    <n v="632"/>
    <s v="Caltran"/>
  </r>
  <r>
    <n v="18"/>
    <x v="0"/>
    <x v="80"/>
    <n v="1"/>
    <n v="1"/>
    <s v="SR-54 WB"/>
    <n v="5"/>
    <n v="0"/>
    <s v="BRIARWOOD"/>
    <s v="BRIARWOOD"/>
    <n v="12547"/>
    <n v="9904.4990230000003"/>
    <n v="-0.21060819136048459"/>
    <n v="6982811.4134459533"/>
    <n v="0"/>
    <n v="633"/>
    <s v="PeMS2016"/>
  </r>
  <r>
    <n v="18"/>
    <x v="0"/>
    <x v="81"/>
    <n v="1"/>
    <n v="1"/>
    <s v="SR-54 WB"/>
    <n v="7"/>
    <n v="0"/>
    <s v="WOODMAN"/>
    <s v="WOODMAN"/>
    <n v="13595"/>
    <n v="10434.219727"/>
    <n v="-0.23249579058477388"/>
    <n v="9990531.9341859557"/>
    <n v="0"/>
    <n v="635"/>
    <s v="PeMS2016"/>
  </r>
  <r>
    <n v="18"/>
    <x v="0"/>
    <x v="82"/>
    <n v="1"/>
    <n v="1"/>
    <s v="SR-54 WB"/>
    <n v="8"/>
    <n v="0"/>
    <s v="WOODMAN"/>
    <s v="VALLEY"/>
    <n v="15144"/>
    <n v="11792.741211"/>
    <n v="-0.2212928413232963"/>
    <n v="11230935.470849743"/>
    <n v="0"/>
    <n v="637"/>
    <s v="Caltran"/>
  </r>
  <r>
    <n v="18"/>
    <x v="0"/>
    <x v="83"/>
    <n v="1"/>
    <n v="1"/>
    <s v="SR-54 WB"/>
    <n v="9"/>
    <n v="0"/>
    <s v="VALLEY"/>
    <s v="VALLEY"/>
    <n v="13756"/>
    <n v="10629.482421999999"/>
    <n v="-0.22728391814480964"/>
    <n v="9775112.1655429918"/>
    <n v="0"/>
    <n v="638"/>
    <s v="PeMS2016"/>
  </r>
  <r>
    <n v="18"/>
    <x v="0"/>
    <x v="84"/>
    <n v="1"/>
    <n v="1"/>
    <s v="SR-54 WB"/>
    <n v="11"/>
    <n v="0"/>
    <s v="VALLEY"/>
    <s v="I-805 NB"/>
    <n v="15465"/>
    <n v="11886.195312"/>
    <n v="-0.23141317090203684"/>
    <n v="12807842.994850779"/>
    <n v="0"/>
    <n v="639"/>
    <s v="Caltran"/>
  </r>
  <r>
    <n v="18"/>
    <x v="0"/>
    <x v="85"/>
    <n v="1"/>
    <n v="1"/>
    <s v="SR-54 WB"/>
    <n v="17"/>
    <n v="0"/>
    <s v="NATIONAL CITY"/>
    <s v="I-5 NB"/>
    <n v="10619"/>
    <n v="9153.0332030000009"/>
    <n v="-0.1380513039834258"/>
    <n v="2149058.6499064364"/>
    <n v="0"/>
    <n v="640"/>
    <s v="Caltran"/>
  </r>
  <r>
    <n v="17"/>
    <x v="0"/>
    <x v="86"/>
    <n v="1"/>
    <n v="1"/>
    <s v="SR-52 WB"/>
    <n v="2"/>
    <n v="0"/>
    <s v="MAGNOLIA"/>
    <s v="CUYAMACA"/>
    <n v="8170"/>
    <n v="8879.09375"/>
    <n v="8.6792380660954738E-2"/>
    <n v="502813.9462890625"/>
    <n v="0"/>
    <n v="642"/>
    <s v="Caltran"/>
  </r>
  <r>
    <n v="17"/>
    <x v="0"/>
    <x v="87"/>
    <n v="1"/>
    <n v="1"/>
    <s v="SR-52 WB"/>
    <n v="5"/>
    <n v="0"/>
    <s v="CUYAMACA"/>
    <s v="FANITA"/>
    <n v="8710"/>
    <n v="9422.9111329999996"/>
    <n v="8.1849728243398312E-2"/>
    <n v="508242.28355534311"/>
    <n v="0"/>
    <n v="643"/>
    <s v="Caltran"/>
  </r>
  <r>
    <n v="17"/>
    <x v="0"/>
    <x v="88"/>
    <n v="1"/>
    <n v="1"/>
    <s v="SR-52 WB"/>
    <n v="10"/>
    <n v="0"/>
    <s v="NEW MISSION GORGE"/>
    <s v="MISSION GORGE"/>
    <n v="7448"/>
    <n v="11403.620117"/>
    <n v="0.5310982971267455"/>
    <n v="15646930.510015097"/>
    <n v="0"/>
    <n v="232"/>
    <s v="Caltran"/>
  </r>
  <r>
    <n v="17"/>
    <x v="0"/>
    <x v="89"/>
    <n v="1"/>
    <n v="1"/>
    <s v="SR-52 WB"/>
    <n v="11"/>
    <n v="0"/>
    <s v="MISSION GORGE"/>
    <s v="MAST"/>
    <n v="7477"/>
    <n v="11403.620117"/>
    <n v="0.5251598391065937"/>
    <n v="15418345.543229098"/>
    <n v="0"/>
    <n v="479"/>
    <s v="Caltran"/>
  </r>
  <r>
    <n v="17"/>
    <x v="0"/>
    <x v="90"/>
    <n v="1"/>
    <n v="1"/>
    <s v="SR-52 WB"/>
    <n v="12"/>
    <n v="0"/>
    <s v="MAST"/>
    <s v="MAST"/>
    <n v="6513"/>
    <n v="11044.945312"/>
    <n v="0.69583069430370026"/>
    <n v="20538528.310958777"/>
    <n v="0"/>
    <n v="503"/>
    <s v="PeMS2016"/>
  </r>
  <r>
    <n v="17"/>
    <x v="0"/>
    <x v="91"/>
    <n v="1"/>
    <n v="1"/>
    <s v="SR-52 WB"/>
    <n v="13"/>
    <n v="0"/>
    <s v="MAST"/>
    <s v="SANTO"/>
    <n v="7702"/>
    <n v="13229.370117"/>
    <n v="0.71765387133212166"/>
    <n v="30551820.410304599"/>
    <n v="0"/>
    <n v="154"/>
    <s v="Caltran"/>
  </r>
  <r>
    <n v="17"/>
    <x v="0"/>
    <x v="92"/>
    <n v="1"/>
    <n v="1"/>
    <s v="SR-52 WB"/>
    <n v="17"/>
    <n v="1"/>
    <s v="MAST"/>
    <s v="SANTO"/>
    <n v="7547"/>
    <n v="13229.370117"/>
    <n v="0.75293098144958259"/>
    <n v="32289330.146574598"/>
    <n v="0"/>
    <n v="46"/>
    <s v="Caltran"/>
  </r>
  <r>
    <n v="17"/>
    <x v="0"/>
    <x v="93"/>
    <n v="1"/>
    <n v="1"/>
    <s v="SR-52 WB"/>
    <n v="20"/>
    <n v="0"/>
    <s v="SANTO"/>
    <s v="I-15 NB"/>
    <n v="7928"/>
    <n v="14314.711914"/>
    <n v="0.80558929288597381"/>
    <n v="40790089.072429538"/>
    <n v="0"/>
    <n v="627"/>
    <s v="Caltran"/>
  </r>
  <r>
    <n v="17"/>
    <x v="0"/>
    <x v="94"/>
    <n v="1"/>
    <n v="1"/>
    <s v="SR-52 WB"/>
    <n v="21"/>
    <n v="0"/>
    <s v="SANTO"/>
    <s v="I-15 NB"/>
    <n v="8018"/>
    <n v="14314.711914"/>
    <n v="0.7853220147168869"/>
    <n v="39648580.927909538"/>
    <n v="0"/>
    <n v="365"/>
    <s v="PeMS2016"/>
  </r>
  <r>
    <n v="17"/>
    <x v="0"/>
    <x v="95"/>
    <n v="1"/>
    <n v="1"/>
    <s v="SR-52 WB"/>
    <n v="23"/>
    <n v="0"/>
    <s v="I-15 NB"/>
    <s v="SR-163 SB"/>
    <n v="6082"/>
    <n v="7529.5283200000003"/>
    <n v="0.23800202564945749"/>
    <n v="2095338.2372020234"/>
    <n v="0"/>
    <n v="288"/>
    <s v="PeMS2016"/>
  </r>
  <r>
    <n v="17"/>
    <x v="0"/>
    <x v="96"/>
    <n v="1"/>
    <n v="1"/>
    <s v="SR-52 WB"/>
    <n v="28"/>
    <n v="0"/>
    <s v="CONVOY"/>
    <s v="CONVOY"/>
    <n v="11348"/>
    <n v="13876.410156"/>
    <n v="0.2228066757137821"/>
    <n v="6392857.9169639442"/>
    <n v="0"/>
    <n v="340"/>
    <s v="Caltran"/>
  </r>
  <r>
    <n v="17"/>
    <x v="0"/>
    <x v="97"/>
    <n v="1"/>
    <n v="1"/>
    <s v="SR-52 WB"/>
    <n v="29"/>
    <n v="0"/>
    <s v="CONVOY"/>
    <s v="CONVOY"/>
    <n v="11783"/>
    <n v="13876.410156"/>
    <n v="0.17766359636764828"/>
    <n v="4382366.0812439444"/>
    <n v="0"/>
    <n v="121"/>
    <s v="Caltran"/>
  </r>
  <r>
    <n v="17"/>
    <x v="0"/>
    <x v="98"/>
    <n v="1"/>
    <n v="1"/>
    <s v="SR-52 WB"/>
    <n v="30"/>
    <n v="0"/>
    <s v="CONVOY"/>
    <s v="I-805 NB"/>
    <n v="14191"/>
    <n v="17090.572265999999"/>
    <n v="0.20432473159044462"/>
    <n v="8407519.325756371"/>
    <n v="0"/>
    <n v="122"/>
    <s v="PeMS2016"/>
  </r>
  <r>
    <n v="17"/>
    <x v="0"/>
    <x v="99"/>
    <n v="1"/>
    <n v="1"/>
    <s v="SR-52 WB"/>
    <n v="31"/>
    <n v="0"/>
    <s v="I-805 NB"/>
    <s v="I-805 NB"/>
    <n v="6954"/>
    <n v="7475.0463870000003"/>
    <n v="7.4927579378774922E-2"/>
    <n v="271489.33740575408"/>
    <n v="0"/>
    <n v="123"/>
    <s v="PeMS2016"/>
  </r>
  <r>
    <n v="17"/>
    <x v="0"/>
    <x v="100"/>
    <n v="1"/>
    <n v="1"/>
    <s v="SR-52 WB"/>
    <n v="33"/>
    <n v="0"/>
    <s v="I-805 SB"/>
    <s v="GENESEE"/>
    <n v="10718"/>
    <n v="12089.399414"/>
    <n v="0.12795292162716931"/>
    <n v="1880736.3527195421"/>
    <n v="0"/>
    <n v="654"/>
    <s v="PeMS2016"/>
  </r>
  <r>
    <n v="17"/>
    <x v="0"/>
    <x v="101"/>
    <n v="1"/>
    <n v="1"/>
    <s v="SR-52 WB"/>
    <n v="34"/>
    <n v="0"/>
    <s v="GENESEE"/>
    <s v="GENESEE"/>
    <n v="9018"/>
    <n v="8092.0366210000002"/>
    <n v="-0.10267946096695491"/>
    <n v="857408.17924909724"/>
    <n v="0"/>
    <n v="655"/>
    <s v="PeMS2016"/>
  </r>
  <r>
    <n v="17"/>
    <x v="0"/>
    <x v="102"/>
    <n v="1"/>
    <n v="1"/>
    <s v="SR-52 WB"/>
    <n v="35"/>
    <n v="0"/>
    <s v="GENESEE"/>
    <s v="REGENTS"/>
    <n v="10361"/>
    <n v="9955.1308590000008"/>
    <n v="-3.917277685551579E-2"/>
    <n v="164729.75961607724"/>
    <n v="0"/>
    <n v="662"/>
    <s v="PeMS2016"/>
  </r>
  <r>
    <n v="17"/>
    <x v="0"/>
    <x v="103"/>
    <n v="1"/>
    <n v="1"/>
    <s v="SR-52 WB"/>
    <n v="36"/>
    <n v="0"/>
    <s v="REGENTS"/>
    <s v="REGENTS"/>
    <n v="7981"/>
    <n v="8158.8969729999999"/>
    <n v="2.2290060518731947E-2"/>
    <n v="31647.333002562689"/>
    <n v="0"/>
    <n v="685"/>
    <s v="PeMS2016"/>
  </r>
  <r>
    <n v="4"/>
    <x v="1"/>
    <x v="104"/>
    <n v="1"/>
    <n v="1"/>
    <s v="SR-163 NB"/>
    <n v="5"/>
    <n v="0"/>
    <s v="ROBINSON"/>
    <s v="10TH"/>
    <n v="11594"/>
    <n v="13124.444336"/>
    <n v="0.13200313403484576"/>
    <n v="2342259.8655944825"/>
    <n v="0"/>
    <n v="689"/>
    <s v="PeMS2016"/>
  </r>
  <r>
    <n v="4"/>
    <x v="1"/>
    <x v="105"/>
    <n v="1"/>
    <n v="1"/>
    <s v="SR-163 NB"/>
    <n v="7"/>
    <n v="0"/>
    <s v="WASHINGTON"/>
    <s v="WASHINGTON"/>
    <n v="13015"/>
    <n v="15635.049805000001"/>
    <n v="0.2013100119093354"/>
    <n v="6864660.9806805411"/>
    <n v="0"/>
    <n v="680"/>
    <s v="PeMS2016"/>
  </r>
  <r>
    <n v="4"/>
    <x v="1"/>
    <x v="106"/>
    <n v="1"/>
    <n v="1"/>
    <s v="SR-163 NB"/>
    <n v="9"/>
    <n v="0"/>
    <s v="06TH EX"/>
    <s v="I-8 EB"/>
    <n v="22459"/>
    <n v="25766.71875"/>
    <n v="0.14727809564094563"/>
    <n v="10941003.329101563"/>
    <n v="0"/>
    <n v="681"/>
    <s v="PeMS2016"/>
  </r>
  <r>
    <n v="4"/>
    <x v="1"/>
    <x v="107"/>
    <n v="1"/>
    <n v="1"/>
    <s v="SR-163 NB"/>
    <n v="17"/>
    <n v="0"/>
    <s v="FRIARS"/>
    <s v="GENESEE"/>
    <n v="23080"/>
    <n v="28339.908202999999"/>
    <n v="0.22789896893414197"/>
    <n v="27666634.30398668"/>
    <n v="0"/>
    <n v="91"/>
    <s v="PeMS2016"/>
  </r>
  <r>
    <n v="4"/>
    <x v="1"/>
    <x v="108"/>
    <n v="1"/>
    <n v="1"/>
    <s v="SR-163 NB"/>
    <n v="24"/>
    <n v="0"/>
    <s v="I-805 NB"/>
    <s v="I-805 NB"/>
    <n v="15413"/>
    <n v="18458.734375"/>
    <n v="0.19760814734315191"/>
    <n v="9276497.8830566406"/>
    <n v="0"/>
    <n v="697"/>
    <s v="PeMS2016"/>
  </r>
  <r>
    <n v="4"/>
    <x v="1"/>
    <x v="109"/>
    <n v="1"/>
    <n v="1"/>
    <s v="SR-163 NB"/>
    <n v="27"/>
    <n v="0"/>
    <s v="BALBOA"/>
    <s v="CLAIREMONT MESA"/>
    <n v="20409"/>
    <n v="25375.207031000002"/>
    <n v="0.24333416781811956"/>
    <n v="24663212.274753854"/>
    <n v="0"/>
    <n v="698"/>
    <s v="PeMS2016"/>
  </r>
  <r>
    <n v="4"/>
    <x v="1"/>
    <x v="110"/>
    <n v="1"/>
    <n v="1"/>
    <s v="SR-163 NB"/>
    <n v="28"/>
    <n v="0"/>
    <s v="CLAIREMONT MESA"/>
    <s v="CLAIREMONT MESA"/>
    <n v="19583"/>
    <n v="22534.066406000002"/>
    <n v="0.15069531767349242"/>
    <n v="8708792.9326217677"/>
    <n v="0"/>
    <n v="699"/>
    <s v="PeMS2016"/>
  </r>
  <r>
    <n v="4"/>
    <x v="1"/>
    <x v="111"/>
    <n v="1"/>
    <n v="1"/>
    <s v="SR-163 NB"/>
    <n v="32"/>
    <n v="0"/>
    <s v="KEARNY VILLA"/>
    <s v="KEARNY VILLA"/>
    <n v="21001"/>
    <n v="23101.960938"/>
    <n v="0.10004099509547171"/>
    <n v="4414036.8630018402"/>
    <n v="0"/>
    <n v="65"/>
    <s v="PeMS2016"/>
  </r>
  <r>
    <n v="4"/>
    <x v="1"/>
    <x v="112"/>
    <n v="1"/>
    <n v="1"/>
    <s v="SR-163 NB"/>
    <n v="33"/>
    <n v="0"/>
    <s v="KEARNY VILLA"/>
    <s v="KEARNY VILLA"/>
    <n v="19955"/>
    <n v="21461.546875"/>
    <n v="7.5497212478075726E-2"/>
    <n v="2269683.4865722656"/>
    <n v="0"/>
    <n v="66"/>
    <s v="PeMS2016"/>
  </r>
  <r>
    <n v="4"/>
    <x v="1"/>
    <x v="113"/>
    <n v="1"/>
    <n v="1"/>
    <s v="SR-163 NB"/>
    <n v="34"/>
    <n v="0"/>
    <s v="KEARNY VILLA"/>
    <s v="I-15 HOV NB"/>
    <n v="19486"/>
    <n v="23833.796875"/>
    <n v="0.22312413399363651"/>
    <n v="18903337.666259766"/>
    <n v="0"/>
    <n v="79"/>
    <s v="Caltran"/>
  </r>
  <r>
    <n v="5"/>
    <x v="1"/>
    <x v="114"/>
    <n v="1"/>
    <n v="4"/>
    <s v="SR-125 NB"/>
    <n v="12"/>
    <n v="0"/>
    <s v="WOLF CANYON"/>
    <s v="EAST CENTER"/>
    <n v="1769"/>
    <n v="1920.259155"/>
    <n v="8.5505457885811209E-2"/>
    <n v="22879.331971314015"/>
    <n v="0"/>
    <n v="714"/>
    <s v="SANDAG"/>
  </r>
  <r>
    <n v="5"/>
    <x v="1"/>
    <x v="115"/>
    <n v="1"/>
    <n v="4"/>
    <s v="SR-125 NB"/>
    <n v="15"/>
    <n v="0"/>
    <s v="EAST CENTER"/>
    <s v="ORANGE"/>
    <n v="1877"/>
    <n v="1609.3594969999999"/>
    <n v="-0.1425895061267981"/>
    <n v="71631.43884609305"/>
    <n v="0"/>
    <n v="684"/>
    <s v="SANDAG"/>
  </r>
  <r>
    <n v="5"/>
    <x v="1"/>
    <x v="116"/>
    <n v="1"/>
    <n v="4"/>
    <s v="SR-125 NB"/>
    <n v="18"/>
    <n v="0"/>
    <s v="ORANGE"/>
    <s v="TOLL PLAZA"/>
    <n v="2321"/>
    <n v="1899.404419"/>
    <n v="-0.18164393838862558"/>
    <n v="177742.83391872759"/>
    <n v="0"/>
    <n v="724"/>
    <s v="SANDAG"/>
  </r>
  <r>
    <n v="5"/>
    <x v="1"/>
    <x v="117"/>
    <n v="1"/>
    <n v="4"/>
    <s v="SR-125 NB"/>
    <n v="21"/>
    <n v="0"/>
    <s v="TELEGRAPH CANYON"/>
    <s v="EASTLAKE"/>
    <n v="3009"/>
    <n v="2621.8789059999999"/>
    <n v="-0.12865440146227991"/>
    <n v="149862.7414197569"/>
    <n v="0"/>
    <n v="726"/>
    <s v="SANDAG"/>
  </r>
  <r>
    <n v="5"/>
    <x v="1"/>
    <x v="118"/>
    <n v="1"/>
    <n v="4"/>
    <s v="SR-125 NB"/>
    <n v="25"/>
    <n v="0"/>
    <s v="H"/>
    <s v="SAN MIGUEL"/>
    <n v="3276"/>
    <n v="2716.0551759999998"/>
    <n v="-0.17092332844932845"/>
    <n v="313538.20592439116"/>
    <n v="0"/>
    <n v="735"/>
    <s v="SANDAG"/>
  </r>
  <r>
    <n v="5"/>
    <x v="1"/>
    <x v="119"/>
    <n v="1"/>
    <n v="4"/>
    <s v="SR-125 NB"/>
    <n v="27"/>
    <n v="2"/>
    <s v="SAN MIGUEL"/>
    <s v="SR-54 EB"/>
    <n v="3565"/>
    <n v="3221.8562010000001"/>
    <n v="-9.6253520056100994E-2"/>
    <n v="117747.66679215236"/>
    <n v="0"/>
    <n v="37"/>
    <s v="SANDAG"/>
  </r>
  <r>
    <n v="5"/>
    <x v="1"/>
    <x v="120"/>
    <n v="1"/>
    <n v="1"/>
    <s v="SR-125 NB"/>
    <n v="1"/>
    <n v="0"/>
    <s v="SR-54 EB"/>
    <s v="SWAP MEET"/>
    <n v="12679"/>
    <n v="14145.576171999999"/>
    <n v="0.11566970360438522"/>
    <n v="2150845.6682781712"/>
    <n v="0"/>
    <n v="39"/>
    <s v="Caltran"/>
  </r>
  <r>
    <n v="5"/>
    <x v="1"/>
    <x v="121"/>
    <n v="1"/>
    <n v="1"/>
    <s v="SR-125 NB"/>
    <n v="2"/>
    <n v="0"/>
    <s v="SWAP MEET"/>
    <s v="PARADISE VALLEY"/>
    <n v="10284"/>
    <n v="11759.694336"/>
    <n v="0.14349419836639443"/>
    <n v="2177673.7733024824"/>
    <n v="0"/>
    <n v="42"/>
    <s v="PeMS2016"/>
  </r>
  <r>
    <n v="5"/>
    <x v="1"/>
    <x v="122"/>
    <n v="1"/>
    <n v="1"/>
    <s v="SR-125 NB"/>
    <n v="4"/>
    <n v="0"/>
    <s v="JAMACHA ROAD"/>
    <s v="JAMACHA ROAD"/>
    <n v="10208"/>
    <n v="10858.965819999999"/>
    <n v="6.377016261755486E-2"/>
    <n v="423756.49880827166"/>
    <n v="0"/>
    <n v="48"/>
    <s v="PeMS2016"/>
  </r>
  <r>
    <n v="5"/>
    <x v="1"/>
    <x v="123"/>
    <n v="1"/>
    <n v="1"/>
    <s v="SR-125 NB"/>
    <n v="5"/>
    <n v="1"/>
    <s v="JAMACHA ROAD"/>
    <s v="TROY"/>
    <n v="11072"/>
    <n v="13115.177734000001"/>
    <n v="0.18453556123554926"/>
    <n v="4174575.2527133781"/>
    <n v="0"/>
    <n v="49"/>
    <s v="PeMS2016"/>
  </r>
  <r>
    <n v="5"/>
    <x v="1"/>
    <x v="124"/>
    <n v="1"/>
    <n v="1"/>
    <s v="SR-125 NB"/>
    <n v="6"/>
    <n v="0"/>
    <s v="TROY"/>
    <s v="SR-94 WB"/>
    <n v="13499"/>
    <n v="13115.177734000001"/>
    <n v="-2.8433385139639888E-2"/>
    <n v="147319.53187737416"/>
    <n v="0"/>
    <n v="93"/>
    <s v="PeMS2016"/>
  </r>
  <r>
    <n v="5"/>
    <x v="1"/>
    <x v="125"/>
    <n v="1"/>
    <n v="1"/>
    <s v="SR-125 NB"/>
    <n v="1"/>
    <n v="0"/>
    <s v="SR-94 EB"/>
    <s v="CAMPO"/>
    <n v="15151"/>
    <n v="18448.203125"/>
    <n v="0.21762280542538437"/>
    <n v="10871548.447509766"/>
    <n v="0"/>
    <n v="22"/>
    <s v="PeMS2016"/>
  </r>
  <r>
    <n v="5"/>
    <x v="1"/>
    <x v="126"/>
    <n v="1"/>
    <n v="1"/>
    <s v="SR-125 NB"/>
    <n v="4"/>
    <n v="0"/>
    <s v="SR-94 WB"/>
    <s v="LEMON"/>
    <n v="20112"/>
    <n v="23732.277343999998"/>
    <n v="0.18000583452665064"/>
    <n v="13106408.047479682"/>
    <n v="0"/>
    <n v="77"/>
    <s v="Caltran"/>
  </r>
  <r>
    <n v="5"/>
    <x v="1"/>
    <x v="127"/>
    <n v="1"/>
    <n v="1"/>
    <s v="SR-125 NB"/>
    <n v="7"/>
    <n v="0"/>
    <s v="I-8 EB"/>
    <s v="GROSSMONT"/>
    <n v="8272"/>
    <n v="8672.8232420000004"/>
    <n v="4.845542093810451E-2"/>
    <n v="160659.27132739089"/>
    <n v="0"/>
    <n v="315"/>
    <s v="PeMS2016"/>
  </r>
  <r>
    <n v="5"/>
    <x v="1"/>
    <x v="128"/>
    <n v="1"/>
    <n v="1"/>
    <s v="SR-125 NB"/>
    <n v="12"/>
    <n v="0"/>
    <s v="AMAYA"/>
    <s v="AMAYA"/>
    <n v="9161"/>
    <n v="9474.3300780000009"/>
    <n v="3.4202606484008413E-2"/>
    <n v="98175.737779486633"/>
    <n v="0"/>
    <n v="310"/>
    <s v="PeMS2016"/>
  </r>
  <r>
    <n v="5"/>
    <x v="1"/>
    <x v="129"/>
    <n v="1"/>
    <n v="1"/>
    <s v="SR-125 NB"/>
    <n v="13"/>
    <n v="0"/>
    <s v="AMAYA"/>
    <s v="NAVAJO"/>
    <n v="11629"/>
    <n v="10271.800781"/>
    <n v="-0.11670816226674696"/>
    <n v="1841989.7200542102"/>
    <n v="0"/>
    <n v="502"/>
    <s v="PeMS2016"/>
  </r>
  <r>
    <n v="5"/>
    <x v="1"/>
    <x v="130"/>
    <n v="1"/>
    <n v="1"/>
    <s v="SR-125 NB"/>
    <n v="15"/>
    <n v="0"/>
    <s v="NAVAJO"/>
    <s v="NAVAJO"/>
    <n v="6963"/>
    <n v="6347.7446289999998"/>
    <n v="-8.8360673703863357E-2"/>
    <n v="378539.17154434789"/>
    <n v="0"/>
    <n v="504"/>
    <s v="PeMS2016"/>
  </r>
  <r>
    <n v="5"/>
    <x v="1"/>
    <x v="131"/>
    <n v="1"/>
    <n v="1"/>
    <s v="SR-125 NB"/>
    <n v="16"/>
    <n v="0"/>
    <s v="NAVAJO"/>
    <s v="GROSSMONT COLLEGE DR"/>
    <n v="6914"/>
    <n v="6347.7446289999998"/>
    <n v="-8.1899822244720921E-2"/>
    <n v="320645.14518634789"/>
    <n v="0"/>
    <n v="505"/>
    <s v="PeMS2016"/>
  </r>
  <r>
    <n v="5"/>
    <x v="1"/>
    <x v="132"/>
    <n v="1"/>
    <n v="1"/>
    <s v="SR-125 NB"/>
    <n v="20"/>
    <n v="0"/>
    <s v="GROSSMONT COLLEGE DR"/>
    <s v="SR-52 EB"/>
    <n v="8862"/>
    <n v="9140.53125"/>
    <n v="3.1429840893703487E-2"/>
    <n v="77579.6572265625"/>
    <n v="0"/>
    <n v="519"/>
    <s v="Caltran"/>
  </r>
  <r>
    <n v="5"/>
    <x v="1"/>
    <x v="133"/>
    <n v="1"/>
    <n v="1"/>
    <s v="SR-125 NB"/>
    <n v="21"/>
    <n v="0"/>
    <s v="SR-52 EB"/>
    <s v="FANITA"/>
    <n v="3622"/>
    <n v="4722.7475590000004"/>
    <n v="0.30390600745444507"/>
    <n v="1211645.1886444592"/>
    <n v="0"/>
    <n v="528"/>
    <s v="PeMS2016"/>
  </r>
  <r>
    <n v="3"/>
    <x v="1"/>
    <x v="134"/>
    <n v="1"/>
    <n v="1"/>
    <s v="I-805 NB"/>
    <n v="2"/>
    <n v="0"/>
    <s v="EAST SAN YSIDRO"/>
    <s v="EAST SAN YSIDRO"/>
    <n v="3303"/>
    <n v="4544.6948240000002"/>
    <n v="0.37592940478353021"/>
    <n v="1541806.0359483913"/>
    <n v="0"/>
    <n v="532"/>
    <s v="PeMS2016"/>
  </r>
  <r>
    <n v="3"/>
    <x v="1"/>
    <x v="135"/>
    <n v="1"/>
    <n v="1"/>
    <s v="I-805 NB"/>
    <n v="3"/>
    <n v="0"/>
    <s v="EAST SAN YSIDRO"/>
    <s v="SR-905 EB"/>
    <n v="6647"/>
    <n v="6969.0131840000004"/>
    <n v="4.8444890025575393E-2"/>
    <n v="103692.49066981809"/>
    <n v="0"/>
    <n v="278"/>
    <s v="PeMS2016"/>
  </r>
  <r>
    <n v="3"/>
    <x v="1"/>
    <x v="136"/>
    <n v="1"/>
    <n v="1"/>
    <s v="I-805 NB"/>
    <n v="7"/>
    <n v="0"/>
    <s v="SR-905 EB"/>
    <s v="SR-905 WB"/>
    <n v="10163"/>
    <n v="6142.1508789999998"/>
    <n v="-0.39563604457345269"/>
    <n v="16167227.653846474"/>
    <n v="0"/>
    <n v="276"/>
    <s v="PeMS2016"/>
  </r>
  <r>
    <n v="3"/>
    <x v="1"/>
    <x v="137"/>
    <n v="1"/>
    <n v="1"/>
    <s v="I-805 NB"/>
    <n v="8"/>
    <n v="0"/>
    <n v="0"/>
    <s v="SR-905 WB"/>
    <n v="15546"/>
    <n v="13926.9375"/>
    <n v="-0.10414656503280584"/>
    <n v="2621363.37890625"/>
    <n v="0"/>
    <n v="534"/>
    <s v="PeMS2016"/>
  </r>
  <r>
    <n v="3"/>
    <x v="1"/>
    <x v="138"/>
    <n v="1"/>
    <n v="1"/>
    <s v="I-805 NB"/>
    <n v="9"/>
    <n v="0"/>
    <s v="PALM"/>
    <s v="PALM"/>
    <n v="12495"/>
    <n v="12750.075194999999"/>
    <n v="2.0414181272508936E-2"/>
    <n v="65063.355104287737"/>
    <n v="0"/>
    <n v="275"/>
    <s v="PeMS2016"/>
  </r>
  <r>
    <n v="3"/>
    <x v="1"/>
    <x v="139"/>
    <n v="1"/>
    <n v="1"/>
    <s v="I-805 NB"/>
    <n v="12"/>
    <n v="0"/>
    <s v="OTAY VALLEY"/>
    <s v="OTAY VALLEY"/>
    <n v="16031"/>
    <n v="15686.220703000001"/>
    <n v="-2.1507036179901351E-2"/>
    <n v="118872.76363981361"/>
    <n v="0"/>
    <n v="536"/>
    <s v="PeMS2016"/>
  </r>
  <r>
    <n v="3"/>
    <x v="1"/>
    <x v="140"/>
    <n v="1"/>
    <n v="1"/>
    <s v="I-805 NB"/>
    <n v="14"/>
    <n v="0"/>
    <s v="ORANGE"/>
    <s v="ORANGE"/>
    <n v="15375"/>
    <n v="15148.833984000001"/>
    <n v="-1.4709984780487795E-2"/>
    <n v="51151.066793311904"/>
    <n v="0"/>
    <n v="604"/>
    <s v="PeMS2016"/>
  </r>
  <r>
    <n v="3"/>
    <x v="1"/>
    <x v="141"/>
    <n v="1"/>
    <n v="1"/>
    <s v="I-805 NB"/>
    <n v="17"/>
    <n v="0"/>
    <s v="PALOMAR"/>
    <s v="TELEGRAPH CANYON"/>
    <n v="17130"/>
    <n v="17950.041015999999"/>
    <n v="4.787162965557501E-2"/>
    <n v="672467.26792231097"/>
    <n v="0"/>
    <n v="377"/>
    <s v="PeMS2016"/>
  </r>
  <r>
    <n v="3"/>
    <x v="1"/>
    <x v="142"/>
    <n v="1"/>
    <n v="1"/>
    <s v="I-805 NB"/>
    <n v="22"/>
    <n v="0"/>
    <s v="H"/>
    <s v="H"/>
    <n v="13565"/>
    <n v="17710.476562"/>
    <n v="0.30560092605971256"/>
    <n v="17184975.926091339"/>
    <n v="0"/>
    <n v="436"/>
    <s v="PeMS2016"/>
  </r>
  <r>
    <n v="3"/>
    <x v="1"/>
    <x v="143"/>
    <n v="1"/>
    <n v="1"/>
    <s v="I-805 NB"/>
    <n v="25"/>
    <n v="0"/>
    <s v="H"/>
    <s v="BONITA"/>
    <n v="21748"/>
    <n v="22324.302734000001"/>
    <n v="2.6499114125436929E-2"/>
    <n v="332124.84121587564"/>
    <n v="0"/>
    <n v="376"/>
    <s v="PeMS2016"/>
  </r>
  <r>
    <n v="3"/>
    <x v="1"/>
    <x v="144"/>
    <n v="1"/>
    <n v="1"/>
    <s v="I-805 NB"/>
    <n v="27"/>
    <n v="0"/>
    <s v="BONITA"/>
    <s v="SR-54 EB"/>
    <n v="24359"/>
    <n v="24022.767577999999"/>
    <n v="-1.3803211215567157E-2"/>
    <n v="113052.24160398672"/>
    <n v="0"/>
    <n v="437"/>
    <s v="Caltran"/>
  </r>
  <r>
    <n v="3"/>
    <x v="1"/>
    <x v="145"/>
    <n v="1"/>
    <n v="1"/>
    <s v="I-805 NB"/>
    <n v="30"/>
    <n v="0"/>
    <s v="SWEETWATER"/>
    <s v="SWEETWATER"/>
    <n v="13364"/>
    <n v="15648.295898"/>
    <n v="0.17092905552229865"/>
    <n v="5218007.7496196274"/>
    <n v="0"/>
    <n v="454"/>
    <s v="PeMS2016"/>
  </r>
  <r>
    <n v="3"/>
    <x v="1"/>
    <x v="146"/>
    <n v="1"/>
    <n v="1"/>
    <s v="I-805 NB"/>
    <n v="32"/>
    <n v="0"/>
    <s v="SR-54 WB"/>
    <s v="PLAZA"/>
    <n v="19548"/>
    <n v="23349.59375"/>
    <n v="0.19447481839574388"/>
    <n v="14452115.040039063"/>
    <n v="0"/>
    <n v="461"/>
    <s v="PeMS2016"/>
  </r>
  <r>
    <n v="3"/>
    <x v="1"/>
    <x v="147"/>
    <n v="1"/>
    <n v="1"/>
    <s v="I-805 NB"/>
    <n v="33"/>
    <n v="0"/>
    <s v="PLAZA"/>
    <s v="PLAZA"/>
    <n v="17603"/>
    <n v="20558.769531000002"/>
    <n v="0.16791282912003647"/>
    <n v="8736573.5203879699"/>
    <n v="0"/>
    <n v="665"/>
    <s v="PeMS2016"/>
  </r>
  <r>
    <n v="3"/>
    <x v="1"/>
    <x v="148"/>
    <n v="1"/>
    <n v="1"/>
    <s v="I-805 NB"/>
    <n v="34"/>
    <n v="0"/>
    <s v="PLAZA"/>
    <s v="43RD"/>
    <n v="23486"/>
    <n v="22947.023438"/>
    <n v="-2.294884450310819E-2"/>
    <n v="290495.73438533966"/>
    <n v="0"/>
    <n v="110"/>
    <s v="Caltran"/>
  </r>
  <r>
    <n v="3"/>
    <x v="1"/>
    <x v="149"/>
    <n v="1"/>
    <n v="1"/>
    <s v="I-805 NB"/>
    <n v="35"/>
    <n v="0"/>
    <s v="43RD"/>
    <s v="47TH"/>
    <n v="20143"/>
    <n v="22242.964843999998"/>
    <n v="0.10425283443379829"/>
    <n v="4409852.3460359368"/>
    <n v="0"/>
    <n v="666"/>
    <s v="PeMS2016"/>
  </r>
  <r>
    <n v="3"/>
    <x v="1"/>
    <x v="150"/>
    <n v="1"/>
    <n v="1"/>
    <s v="I-805 NB"/>
    <n v="37"/>
    <n v="0"/>
    <s v="47TH"/>
    <s v="47TH"/>
    <n v="14457"/>
    <n v="20713.548827999999"/>
    <n v="0.43276951151691212"/>
    <n v="39144403.237148158"/>
    <n v="0"/>
    <n v="111"/>
    <s v="PeMS2016"/>
  </r>
  <r>
    <n v="3"/>
    <x v="1"/>
    <x v="151"/>
    <n v="1"/>
    <n v="1"/>
    <s v="I-805 NB"/>
    <n v="40"/>
    <n v="0"/>
    <s v="IMPERIAL"/>
    <s v="IMPERIAL"/>
    <n v="18438"/>
    <n v="22874.732422000001"/>
    <n v="0.24062980919839472"/>
    <n v="19684594.584425993"/>
    <n v="0"/>
    <n v="719"/>
    <s v="PeMS2016"/>
  </r>
  <r>
    <n v="3"/>
    <x v="1"/>
    <x v="152"/>
    <n v="1"/>
    <n v="1"/>
    <s v="I-805 NB"/>
    <n v="42"/>
    <n v="0"/>
    <s v="MARKET"/>
    <s v="SR-94 WB"/>
    <n v="22257"/>
    <n v="23706.666015999999"/>
    <n v="6.5133037516287073E-2"/>
    <n v="2101531.5579453101"/>
    <n v="0"/>
    <n v="721"/>
    <s v="Caltran"/>
  </r>
  <r>
    <n v="3"/>
    <x v="1"/>
    <x v="153"/>
    <n v="1"/>
    <n v="1"/>
    <s v="I-805 NB"/>
    <n v="43"/>
    <n v="0"/>
    <s v="SR-94 WB"/>
    <s v="MARKET"/>
    <n v="16682"/>
    <n v="18735.220702999999"/>
    <n v="0.12308000857211354"/>
    <n v="4215715.2552278107"/>
    <n v="0"/>
    <n v="720"/>
    <s v="PeMS2016"/>
  </r>
  <r>
    <n v="3"/>
    <x v="1"/>
    <x v="154"/>
    <n v="1"/>
    <n v="1"/>
    <s v="I-805 NB"/>
    <n v="46"/>
    <n v="0"/>
    <s v="SR-94 WB"/>
    <s v="HOME"/>
    <n v="16337"/>
    <n v="18197.052734000001"/>
    <n v="0.11385522029748429"/>
    <n v="3459796.1732608778"/>
    <n v="0"/>
    <n v="50"/>
    <s v="PeMS2016"/>
  </r>
  <r>
    <n v="3"/>
    <x v="1"/>
    <x v="155"/>
    <n v="1"/>
    <n v="1"/>
    <s v="I-805 NB"/>
    <n v="47"/>
    <n v="0"/>
    <s v="HOME"/>
    <s v="SR-15 NB"/>
    <n v="22990"/>
    <n v="25049.494140999999"/>
    <n v="8.9582172292300921E-2"/>
    <n v="4241516.1168133244"/>
    <n v="0"/>
    <n v="47"/>
    <s v="PeMS2016"/>
  </r>
  <r>
    <n v="3"/>
    <x v="1"/>
    <x v="156"/>
    <n v="1"/>
    <n v="1"/>
    <s v="I-805 NB"/>
    <n v="48"/>
    <n v="0"/>
    <s v="SR-15 NB"/>
    <s v="SR-15 NB"/>
    <n v="13736"/>
    <n v="14083.180664"/>
    <n v="2.5275237623762381E-2"/>
    <n v="120534.41345548056"/>
    <n v="0"/>
    <n v="727"/>
    <s v="PeMS2016"/>
  </r>
  <r>
    <n v="3"/>
    <x v="1"/>
    <x v="157"/>
    <n v="1"/>
    <n v="1"/>
    <s v="I-805 NB"/>
    <n v="49"/>
    <n v="0"/>
    <s v="SR-15 NB"/>
    <s v="SR-15 NB"/>
    <n v="13944"/>
    <n v="14083.180664"/>
    <n v="9.9814016064256883E-3"/>
    <n v="19371.257231480762"/>
    <n v="0"/>
    <n v="728"/>
    <s v="PeMS2016"/>
  </r>
  <r>
    <n v="3"/>
    <x v="1"/>
    <x v="158"/>
    <n v="1"/>
    <n v="1"/>
    <s v="I-805 NB"/>
    <n v="51"/>
    <n v="0"/>
    <s v="UNIVERSITY"/>
    <s v="UNIVERSITY"/>
    <n v="15765"/>
    <n v="16937.144531000002"/>
    <n v="7.4351064446559034E-2"/>
    <n v="1373922.801553214"/>
    <n v="0"/>
    <n v="734"/>
    <s v="PeMS2016"/>
  </r>
  <r>
    <n v="3"/>
    <x v="1"/>
    <x v="159"/>
    <n v="1"/>
    <n v="1"/>
    <s v="I-805 NB"/>
    <n v="52"/>
    <n v="0"/>
    <s v="UNIVERSITY"/>
    <s v="EL CAJON"/>
    <n v="18283"/>
    <n v="18960.5625"/>
    <n v="3.7059700268008422E-2"/>
    <n v="459090.94140625"/>
    <n v="0"/>
    <n v="672"/>
    <s v="PeMS2016"/>
  </r>
  <r>
    <n v="3"/>
    <x v="1"/>
    <x v="160"/>
    <n v="1"/>
    <n v="1"/>
    <s v="I-805 NB"/>
    <n v="56"/>
    <n v="0"/>
    <s v="I-8 EB"/>
    <s v="I-8 WB"/>
    <n v="12241"/>
    <n v="14790.169921999999"/>
    <n v="0.20824850273670448"/>
    <n v="6498267.2912294818"/>
    <n v="0"/>
    <n v="286"/>
    <s v="PeMS2016"/>
  </r>
  <r>
    <n v="3"/>
    <x v="1"/>
    <x v="161"/>
    <n v="1"/>
    <n v="1"/>
    <s v="I-805 NB"/>
    <n v="57"/>
    <n v="0"/>
    <s v="I-8 WB"/>
    <s v="MURRAY RIDGE"/>
    <n v="18002"/>
    <n v="23431.509765999999"/>
    <n v="0.30160591967559158"/>
    <n v="29479576.299089365"/>
    <n v="0"/>
    <n v="520"/>
    <s v="PeMS2016"/>
  </r>
  <r>
    <n v="3"/>
    <x v="1"/>
    <x v="162"/>
    <n v="1"/>
    <n v="1"/>
    <s v="I-805 NB"/>
    <n v="58"/>
    <n v="0"/>
    <s v="MURRAY RIDGE"/>
    <s v="MURRAY RIDGE"/>
    <n v="16381"/>
    <n v="21650.863281000002"/>
    <n v="0.3217058348696662"/>
    <n v="27771459.000432104"/>
    <n v="0"/>
    <n v="336"/>
    <s v="PeMS2016"/>
  </r>
  <r>
    <n v="3"/>
    <x v="1"/>
    <x v="163"/>
    <n v="1"/>
    <n v="1"/>
    <s v="I-805 NB"/>
    <n v="60"/>
    <n v="0"/>
    <s v="KEARNY VILLA"/>
    <s v="SR-163 NB"/>
    <n v="15252"/>
    <n v="20242.072265999999"/>
    <n v="0.32717494531864677"/>
    <n v="24900821.219902366"/>
    <n v="0"/>
    <n v="471"/>
    <s v="PeMS2016"/>
  </r>
  <r>
    <n v="3"/>
    <x v="1"/>
    <x v="164"/>
    <n v="1"/>
    <n v="1"/>
    <s v="I-805 NB"/>
    <n v="61"/>
    <n v="0"/>
    <s v="SR-163 NB"/>
    <s v="SR-163 NB"/>
    <n v="12590"/>
    <n v="16646.431640999999"/>
    <n v="0.32219472922954728"/>
    <n v="16454637.658105947"/>
    <n v="0"/>
    <n v="475"/>
    <s v="PeMS2016"/>
  </r>
  <r>
    <n v="3"/>
    <x v="1"/>
    <x v="165"/>
    <n v="1"/>
    <n v="1"/>
    <s v="I-805 NB"/>
    <n v="64"/>
    <n v="0"/>
    <s v="BALBOA"/>
    <s v="BALBOA"/>
    <n v="14910"/>
    <n v="20545.136718999998"/>
    <n v="0.37794344191817553"/>
    <n v="31754765.841822065"/>
    <n v="0"/>
    <n v="337"/>
    <s v="PeMS2016"/>
  </r>
  <r>
    <n v="3"/>
    <x v="1"/>
    <x v="166"/>
    <n v="1"/>
    <n v="1"/>
    <s v="I-805 NB"/>
    <n v="67"/>
    <n v="0"/>
    <s v="CLAIREMONT MESA"/>
    <s v="SR-52 EB"/>
    <n v="16603"/>
    <n v="24893.716797000001"/>
    <n v="0.49935052683250025"/>
    <n v="68735985.008057952"/>
    <n v="0"/>
    <n v="474"/>
    <s v="Caltran"/>
  </r>
  <r>
    <n v="3"/>
    <x v="1"/>
    <x v="167"/>
    <n v="1"/>
    <n v="1"/>
    <s v="I-805 NB"/>
    <n v="68"/>
    <n v="0"/>
    <s v="SR-52 EB"/>
    <s v="SR-52 EB"/>
    <n v="17573"/>
    <n v="20602.693359000001"/>
    <n v="0.17240615483981103"/>
    <n v="9179041.8495687079"/>
    <n v="0"/>
    <n v="472"/>
    <s v="PeMS2016"/>
  </r>
  <r>
    <n v="3"/>
    <x v="1"/>
    <x v="168"/>
    <n v="1"/>
    <n v="1"/>
    <s v="I-805 NB"/>
    <n v="69"/>
    <n v="0"/>
    <s v="SR-52 EB"/>
    <s v="SR-52 WB"/>
    <n v="14405"/>
    <n v="21330.474609000001"/>
    <n v="0.48076880312391546"/>
    <n v="47962198.559903711"/>
    <n v="0"/>
    <n v="339"/>
    <s v="PeMS2016"/>
  </r>
  <r>
    <n v="3"/>
    <x v="1"/>
    <x v="169"/>
    <n v="1"/>
    <n v="1"/>
    <s v="I-805 NB"/>
    <n v="72"/>
    <n v="0"/>
    <s v="GOVERNOR"/>
    <s v="GOVERNOR"/>
    <n v="15648"/>
    <n v="25737.396484000001"/>
    <n v="0.64477227019427419"/>
    <n v="101795921.41135158"/>
    <n v="0"/>
    <n v="656"/>
    <s v="PeMS2016"/>
  </r>
  <r>
    <n v="3"/>
    <x v="1"/>
    <x v="170"/>
    <n v="1"/>
    <n v="1"/>
    <s v="I-805 NB"/>
    <n v="74"/>
    <n v="0"/>
    <s v="NOBEL"/>
    <s v="MIRAMAR"/>
    <n v="13509"/>
    <n v="22865.240234000001"/>
    <n v="0.69259310341253988"/>
    <n v="87539231.31632039"/>
    <n v="0"/>
    <n v="518"/>
    <s v="PeMS2016"/>
  </r>
  <r>
    <n v="3"/>
    <x v="1"/>
    <x v="171"/>
    <n v="1"/>
    <n v="1"/>
    <s v="I-805 NB"/>
    <n v="75"/>
    <n v="0"/>
    <s v="MIRAMAR"/>
    <s v="MIRAMAR"/>
    <n v="12061"/>
    <n v="19374.949218999998"/>
    <n v="0.60641316797943778"/>
    <n v="53493853.178110681"/>
    <n v="0"/>
    <n v="494"/>
    <s v="PeMS2016"/>
  </r>
  <r>
    <n v="3"/>
    <x v="1"/>
    <x v="172"/>
    <n v="1"/>
    <n v="1"/>
    <s v="I-805 NB"/>
    <n v="77"/>
    <n v="0"/>
    <s v="MIRAMAR"/>
    <s v="MIRA MESA"/>
    <n v="16973"/>
    <n v="24211.787109000001"/>
    <n v="0.42648837029399633"/>
    <n v="52400038.809424587"/>
    <n v="0"/>
    <n v="683"/>
    <s v="PeMS2016"/>
  </r>
  <r>
    <n v="3"/>
    <x v="1"/>
    <x v="173"/>
    <n v="1"/>
    <n v="1"/>
    <s v="I-805 NB"/>
    <n v="80"/>
    <n v="0"/>
    <s v="VISTA SORRENTO"/>
    <s v="MIRA MESA"/>
    <n v="11504"/>
    <n v="20098.789062"/>
    <n v="0.74711309648817803"/>
    <n v="73870399.020274833"/>
    <n v="0"/>
    <n v="95"/>
    <s v="PeMS2016"/>
  </r>
  <r>
    <n v="3"/>
    <x v="1"/>
    <x v="174"/>
    <n v="1"/>
    <n v="1"/>
    <s v="I-805 NB"/>
    <n v="82"/>
    <n v="0"/>
    <s v="MIRA MESA"/>
    <s v="I-5 NB"/>
    <n v="21359"/>
    <n v="24508.279297000001"/>
    <n v="0.14744507219439118"/>
    <n v="9917960.0905128196"/>
    <n v="0"/>
    <n v="712"/>
    <s v="Caltran"/>
  </r>
  <r>
    <n v="3"/>
    <x v="1"/>
    <x v="175"/>
    <n v="1"/>
    <n v="1"/>
    <s v="I-805 NB"/>
    <n v="85"/>
    <n v="0"/>
    <s v="I-5 NB"/>
    <s v="I-5 NB"/>
    <n v="10271"/>
    <n v="18226.771484000001"/>
    <n v="0.77458587128809286"/>
    <n v="63294299.905627571"/>
    <n v="0"/>
    <n v="64"/>
    <s v="PeMS2016"/>
  </r>
  <r>
    <n v="33"/>
    <x v="1"/>
    <x v="176"/>
    <n v="1"/>
    <n v="2"/>
    <s v="I-805 HOV NB"/>
    <n v="52"/>
    <n v="1"/>
    <s v="SR-52 WB"/>
    <s v="MIRAMAR"/>
    <n v="2778"/>
    <n v="3106.874268"/>
    <n v="0.11838526565874741"/>
    <n v="108158.28415253584"/>
    <n v="0"/>
    <n v="1"/>
    <s v="PeMS2016"/>
  </r>
  <r>
    <n v="33"/>
    <x v="1"/>
    <x v="177"/>
    <n v="1"/>
    <n v="2"/>
    <s v="I-805 HOV NB"/>
    <n v="53"/>
    <n v="0"/>
    <s v="SR-52 WB"/>
    <s v="MIRAMAR"/>
    <n v="3346"/>
    <n v="4319.5708009999998"/>
    <n v="0.290965571129707"/>
    <n v="947840.10455978126"/>
    <n v="0"/>
    <n v="651"/>
    <s v="PeMS2016"/>
  </r>
  <r>
    <n v="33"/>
    <x v="1"/>
    <x v="178"/>
    <n v="1"/>
    <n v="2"/>
    <s v="I-805 HOV NB"/>
    <n v="56"/>
    <n v="0"/>
    <s v="ramp"/>
    <s v="ramp I-805 NB"/>
    <n v="4186"/>
    <n v="4319.5708009999998"/>
    <n v="3.19089347826087E-2"/>
    <n v="17841.15887978156"/>
    <n v="0"/>
    <n v="658"/>
    <s v="PeMS2016"/>
  </r>
  <r>
    <n v="33"/>
    <x v="1"/>
    <x v="179"/>
    <n v="1"/>
    <n v="2"/>
    <s v="I-805 HOV NB"/>
    <n v="61"/>
    <n v="0"/>
    <s v="ramp I-805 HOV NB"/>
    <s v="ramp I-805 HOV NB"/>
    <n v="2629"/>
    <n v="4525.5776370000003"/>
    <n v="0.72140648041080269"/>
    <n v="3597006.7331685051"/>
    <n v="0"/>
    <n v="118"/>
    <s v="PeMS2016"/>
  </r>
  <r>
    <n v="15"/>
    <x v="0"/>
    <x v="180"/>
    <n v="1"/>
    <n v="1"/>
    <s v="I-8 WB"/>
    <n v="5"/>
    <n v="7"/>
    <s v="CORRIZO GORGE"/>
    <s v="SR-94"/>
    <n v="1614"/>
    <n v="634.33215299999995"/>
    <n v="-0.60698131784386622"/>
    <n v="959749.09044561547"/>
    <n v="0"/>
    <n v="525"/>
    <s v="Caltran"/>
  </r>
  <r>
    <n v="15"/>
    <x v="0"/>
    <x v="181"/>
    <n v="1"/>
    <n v="1"/>
    <s v="I-8 WB"/>
    <n v="11"/>
    <n v="2"/>
    <s v="CAMERON TRUCK"/>
    <s v="BUCKMAN SPRINGS"/>
    <n v="1811"/>
    <n v="847.37536599999999"/>
    <n v="-0.53209532523467695"/>
    <n v="928572.43525163399"/>
    <n v="0"/>
    <n v="344"/>
    <s v="Caltran"/>
  </r>
  <r>
    <n v="15"/>
    <x v="0"/>
    <x v="182"/>
    <n v="1"/>
    <n v="1"/>
    <s v="I-8 WB"/>
    <n v="17"/>
    <n v="5"/>
    <s v="PINE VALLEY"/>
    <s v="JAPATUL VALLEY"/>
    <n v="2191"/>
    <n v="1243.587524"/>
    <n v="-0.43241098858968507"/>
    <n v="897590.39968045056"/>
    <n v="0"/>
    <n v="467"/>
    <s v="Caltran"/>
  </r>
  <r>
    <n v="15"/>
    <x v="0"/>
    <x v="183"/>
    <n v="1"/>
    <n v="1"/>
    <s v="I-8 WB"/>
    <n v="27"/>
    <n v="3"/>
    <s v="DUNBAR"/>
    <s v="LAKE JENNINGS PARK"/>
    <n v="5692"/>
    <n v="4961.3872069999998"/>
    <n v="-0.1283578343288827"/>
    <n v="533795.05329526123"/>
    <n v="0"/>
    <n v="345"/>
    <s v="Caltran"/>
  </r>
  <r>
    <n v="15"/>
    <x v="0"/>
    <x v="184"/>
    <n v="1"/>
    <n v="1"/>
    <s v="I-8 WB"/>
    <n v="28"/>
    <n v="0"/>
    <s v="LAKE JENNINGS PARK"/>
    <s v="LAKE JENNINGS PARK"/>
    <n v="4867"/>
    <n v="3941.7145999999998"/>
    <n v="-0.19011411547154311"/>
    <n v="856153.07145316037"/>
    <n v="0"/>
    <n v="466"/>
    <s v="PeMS2016"/>
  </r>
  <r>
    <n v="15"/>
    <x v="0"/>
    <x v="185"/>
    <n v="1"/>
    <n v="1"/>
    <s v="I-8 WB"/>
    <n v="30"/>
    <n v="1"/>
    <s v="LAKE JENNINGS PARK"/>
    <s v="CAM CANADA"/>
    <n v="7200"/>
    <n v="5587.0834960000002"/>
    <n v="-0.2240161811111111"/>
    <n v="2601499.6488755816"/>
    <n v="0"/>
    <n v="346"/>
    <s v="PeMS2016"/>
  </r>
  <r>
    <n v="15"/>
    <x v="0"/>
    <x v="186"/>
    <n v="1"/>
    <n v="1"/>
    <s v="I-8 WB"/>
    <n v="31"/>
    <n v="0"/>
    <s v="CAM CANADA"/>
    <s v="CAM CANADA"/>
    <n v="6569"/>
    <n v="5456.6054690000001"/>
    <n v="-0.16934001080834216"/>
    <n v="1237421.5925987097"/>
    <n v="0"/>
    <n v="347"/>
    <s v="PeMS2016"/>
  </r>
  <r>
    <n v="15"/>
    <x v="0"/>
    <x v="187"/>
    <n v="1"/>
    <n v="1"/>
    <s v="I-8 WB"/>
    <n v="32"/>
    <n v="0"/>
    <s v="CAM CANADA"/>
    <s v="GREENFIELD"/>
    <n v="8766"/>
    <n v="6945.7744140000004"/>
    <n v="-0.20764608555783703"/>
    <n v="3313221.183929042"/>
    <n v="0"/>
    <n v="465"/>
    <s v="PeMS2016"/>
  </r>
  <r>
    <n v="15"/>
    <x v="0"/>
    <x v="188"/>
    <n v="1"/>
    <n v="1"/>
    <s v="I-8 WB"/>
    <n v="34"/>
    <n v="0"/>
    <s v="GREENFIELD"/>
    <s v="GREENFIELD"/>
    <n v="7575"/>
    <n v="6631.8139650000003"/>
    <n v="-0.12451300792079201"/>
    <n v="889599.89661902073"/>
    <n v="0"/>
    <n v="348"/>
    <s v="PeMS2016"/>
  </r>
  <r>
    <n v="15"/>
    <x v="0"/>
    <x v="189"/>
    <n v="1"/>
    <n v="1"/>
    <s v="I-8 WB"/>
    <n v="35"/>
    <n v="0"/>
    <s v="GREENFIELD"/>
    <s v="SR  54"/>
    <n v="9769"/>
    <n v="8561.9775389999995"/>
    <n v="-0.12355639891493508"/>
    <n v="1456903.2213584976"/>
    <n v="0"/>
    <n v="115"/>
    <s v="PeMS2016"/>
  </r>
  <r>
    <n v="15"/>
    <x v="0"/>
    <x v="190"/>
    <n v="1"/>
    <n v="1"/>
    <s v="I-8 WB"/>
    <n v="36"/>
    <n v="0"/>
    <s v="SR  54"/>
    <s v="MAIN"/>
    <n v="9769"/>
    <n v="8561.9775389999995"/>
    <n v="-0.12355639891493508"/>
    <n v="1456903.2213584976"/>
    <n v="0"/>
    <n v="661"/>
    <s v="PeMS2016"/>
  </r>
  <r>
    <n v="15"/>
    <x v="0"/>
    <x v="191"/>
    <n v="1"/>
    <n v="1"/>
    <s v="I-8 WB"/>
    <n v="37"/>
    <n v="0"/>
    <s v="MAIN"/>
    <s v="SR  54"/>
    <n v="8745"/>
    <n v="7643.7426759999998"/>
    <n v="-0.1259299398513436"/>
    <n v="1212767.6936636413"/>
    <n v="0"/>
    <n v="116"/>
    <s v="PeMS2016"/>
  </r>
  <r>
    <n v="15"/>
    <x v="0"/>
    <x v="192"/>
    <n v="1"/>
    <n v="1"/>
    <s v="I-8 WB"/>
    <n v="38"/>
    <n v="0"/>
    <s v="MAIN"/>
    <s v="SR  54"/>
    <n v="8745"/>
    <n v="7643.7426759999998"/>
    <n v="-0.1259299398513436"/>
    <n v="1212767.6936636413"/>
    <n v="0"/>
    <n v="660"/>
    <s v="PeMS2016"/>
  </r>
  <r>
    <n v="15"/>
    <x v="0"/>
    <x v="193"/>
    <n v="1"/>
    <n v="1"/>
    <s v="I-8 WB"/>
    <n v="39"/>
    <n v="0"/>
    <s v="02ND"/>
    <s v="02ND"/>
    <n v="8290"/>
    <n v="7187.8037109999996"/>
    <n v="-0.13295492026538003"/>
    <n v="1214836.6594853725"/>
    <n v="0"/>
    <n v="659"/>
    <s v="PeMS2016"/>
  </r>
  <r>
    <n v="15"/>
    <x v="0"/>
    <x v="194"/>
    <n v="1"/>
    <n v="1"/>
    <s v="I-8 WB"/>
    <n v="40"/>
    <n v="0"/>
    <s v="02ND"/>
    <s v="MOLLISON"/>
    <n v="12716"/>
    <n v="10108.418944999999"/>
    <n v="-0.2050629958320227"/>
    <n v="6799478.9583949158"/>
    <n v="0"/>
    <n v="117"/>
    <s v="PeMS2016"/>
  </r>
  <r>
    <n v="15"/>
    <x v="0"/>
    <x v="195"/>
    <n v="1"/>
    <n v="1"/>
    <s v="I-8 WB"/>
    <n v="41"/>
    <n v="0"/>
    <s v="MOLLISON"/>
    <s v="MOLLISON"/>
    <n v="12056"/>
    <n v="9588.1044920000004"/>
    <n v="-0.20470267982747181"/>
    <n v="6090508.2384065762"/>
    <n v="0"/>
    <n v="409"/>
    <s v="PeMS2016"/>
  </r>
  <r>
    <n v="15"/>
    <x v="0"/>
    <x v="196"/>
    <n v="1"/>
    <n v="1"/>
    <s v="I-8 WB"/>
    <n v="42"/>
    <n v="0"/>
    <s v="MOLLISON"/>
    <s v="SR-67 NB"/>
    <n v="9963"/>
    <n v="11731.357421999999"/>
    <n v="0.17749246431797649"/>
    <n v="3127087.971942483"/>
    <n v="0"/>
    <n v="298"/>
    <s v="PeMS2016"/>
  </r>
  <r>
    <n v="15"/>
    <x v="0"/>
    <x v="197"/>
    <n v="1"/>
    <n v="1"/>
    <s v="I-8 WB"/>
    <n v="43"/>
    <n v="0"/>
    <s v="SR-67 NB"/>
    <s v="SR-67 SB"/>
    <n v="10019"/>
    <n v="8359.4755860000005"/>
    <n v="-0.16563772971354418"/>
    <n v="2754021.2806620416"/>
    <n v="0"/>
    <n v="740"/>
    <s v="PeMS2016"/>
  </r>
  <r>
    <n v="15"/>
    <x v="0"/>
    <x v="198"/>
    <n v="1"/>
    <n v="1"/>
    <s v="I-8 WB"/>
    <n v="44"/>
    <n v="0"/>
    <s v="SR-67 SB"/>
    <s v="JOHNSON"/>
    <n v="18455"/>
    <n v="17801.740234000001"/>
    <n v="-3.5397440585207218E-2"/>
    <n v="426748.32187437371"/>
    <n v="0"/>
    <n v="31"/>
    <s v="PeMS2016"/>
  </r>
  <r>
    <n v="15"/>
    <x v="0"/>
    <x v="199"/>
    <n v="1"/>
    <n v="1"/>
    <s v="I-8 WB"/>
    <n v="46"/>
    <n v="0"/>
    <s v="MAIN"/>
    <s v="MAIN"/>
    <n v="19260"/>
    <n v="19057.802734000001"/>
    <n v="-1.0498300415368589E-2"/>
    <n v="40883.73437787444"/>
    <n v="0"/>
    <n v="739"/>
    <s v="PeMS2016"/>
  </r>
  <r>
    <n v="15"/>
    <x v="0"/>
    <x v="200"/>
    <n v="1"/>
    <n v="1"/>
    <s v="I-8 WB"/>
    <n v="47"/>
    <n v="1"/>
    <s v="MAIN"/>
    <s v="EL CAJON"/>
    <n v="21553"/>
    <n v="21119.693359000001"/>
    <n v="-2.0104237971512062E-2"/>
    <n v="187754.64513470221"/>
    <n v="0"/>
    <n v="233"/>
    <s v="PeMS2016"/>
  </r>
  <r>
    <n v="15"/>
    <x v="0"/>
    <x v="201"/>
    <n v="1"/>
    <n v="1"/>
    <s v="I-8 WB"/>
    <n v="48"/>
    <n v="0"/>
    <s v="EL CAJON"/>
    <s v="MURRAY"/>
    <n v="27071"/>
    <n v="24171.101562"/>
    <n v="-0.10712195478556386"/>
    <n v="8409410.9507148415"/>
    <n v="0"/>
    <n v="743"/>
    <s v="PeMS2016"/>
  </r>
  <r>
    <n v="15"/>
    <x v="0"/>
    <x v="202"/>
    <n v="1"/>
    <n v="1"/>
    <s v="I-8 WB"/>
    <n v="50"/>
    <n v="0"/>
    <s v="SR-125 SB"/>
    <s v="LA MESA"/>
    <n v="11961"/>
    <n v="11659.515625"/>
    <n v="-2.5205616169216571E-2"/>
    <n v="90892.828369140625"/>
    <n v="0"/>
    <n v="23"/>
    <s v="PeMS2016"/>
  </r>
  <r>
    <n v="15"/>
    <x v="0"/>
    <x v="203"/>
    <n v="1"/>
    <n v="1"/>
    <s v="I-8 WB"/>
    <n v="51"/>
    <n v="0"/>
    <s v="LA MESA"/>
    <s v="SR-125 NB"/>
    <n v="11849"/>
    <n v="10692.170898"/>
    <n v="-9.7630947928095124E-2"/>
    <n v="1338253.5712341256"/>
    <n v="0"/>
    <n v="21"/>
    <s v="PeMS2016"/>
  </r>
  <r>
    <n v="15"/>
    <x v="0"/>
    <x v="204"/>
    <n v="1"/>
    <n v="1"/>
    <s v="I-8 WB"/>
    <n v="54"/>
    <n v="0"/>
    <s v="JACKSON"/>
    <s v="JACKSON"/>
    <n v="19074"/>
    <n v="16358.929688"/>
    <n v="-0.14234404487784413"/>
    <n v="7371606.799103776"/>
    <n v="0"/>
    <n v="126"/>
    <s v="PeMS2016"/>
  </r>
  <r>
    <n v="15"/>
    <x v="0"/>
    <x v="205"/>
    <n v="1"/>
    <n v="1"/>
    <s v="I-8 WB"/>
    <n v="55"/>
    <n v="0"/>
    <s v="JACKSON"/>
    <s v="EL CAJON"/>
    <n v="20572"/>
    <n v="17376.572265999999"/>
    <n v="-0.15532897793116862"/>
    <n v="10210758.403216381"/>
    <n v="0"/>
    <n v="759"/>
    <s v="Caltran"/>
  </r>
  <r>
    <n v="15"/>
    <x v="0"/>
    <x v="206"/>
    <n v="1"/>
    <n v="1"/>
    <s v="I-8 WB"/>
    <n v="56"/>
    <n v="0"/>
    <s v="EL CAJON"/>
    <s v="SPRING"/>
    <n v="16431"/>
    <n v="14669.231444999999"/>
    <n v="-0.10722223571298162"/>
    <n v="3103828.44138679"/>
    <n v="0"/>
    <n v="652"/>
    <s v="PeMS2016"/>
  </r>
  <r>
    <n v="15"/>
    <x v="0"/>
    <x v="207"/>
    <n v="1"/>
    <n v="1"/>
    <s v="I-8 WB"/>
    <n v="58"/>
    <n v="0"/>
    <s v="FLETCHER"/>
    <s v="FLETCHER"/>
    <n v="16883"/>
    <n v="16713.119140999999"/>
    <n v="-1.0062243617840472E-2"/>
    <n v="28859.506254578147"/>
    <n v="0"/>
    <n v="757"/>
    <s v="PeMS2016"/>
  </r>
  <r>
    <n v="15"/>
    <x v="0"/>
    <x v="208"/>
    <n v="1"/>
    <n v="1"/>
    <s v="I-8 WB"/>
    <n v="59"/>
    <n v="0"/>
    <s v="FLETCHER"/>
    <s v="LAKE MURRAY"/>
    <n v="19080"/>
    <n v="18654.271484000001"/>
    <n v="-2.2312815303983213E-2"/>
    <n v="181244.76933556158"/>
    <n v="0"/>
    <n v="119"/>
    <s v="PeMS2016"/>
  </r>
  <r>
    <n v="15"/>
    <x v="0"/>
    <x v="209"/>
    <n v="1"/>
    <n v="1"/>
    <s v="I-8 WB"/>
    <n v="60"/>
    <n v="0"/>
    <s v="LAKE MURRAY"/>
    <s v="LAKE MURRAY"/>
    <n v="17488"/>
    <n v="17249.841797000001"/>
    <n v="-1.3618378488106098E-2"/>
    <n v="56719.329656188755"/>
    <n v="0"/>
    <n v="120"/>
    <s v="PeMS2016"/>
  </r>
  <r>
    <n v="15"/>
    <x v="0"/>
    <x v="210"/>
    <n v="1"/>
    <n v="1"/>
    <s v="I-8 WB"/>
    <n v="62"/>
    <n v="0"/>
    <s v="LAKE MURRAY"/>
    <s v="COLLEGE"/>
    <n v="18996"/>
    <n v="21832.712890999999"/>
    <n v="0.149332116814066"/>
    <n v="8046940.0259655733"/>
    <n v="0"/>
    <n v="636"/>
    <s v="Caltran"/>
  </r>
  <r>
    <n v="15"/>
    <x v="0"/>
    <x v="211"/>
    <n v="1"/>
    <n v="1"/>
    <s v="I-8 WB"/>
    <n v="63"/>
    <n v="0"/>
    <s v="COLLEGE"/>
    <s v="COLLEGE"/>
    <n v="18472"/>
    <n v="19621.810547000001"/>
    <n v="6.2246131821134698E-2"/>
    <n v="1322064.2939924414"/>
    <n v="0"/>
    <n v="653"/>
    <s v="PeMS2016"/>
  </r>
  <r>
    <n v="15"/>
    <x v="0"/>
    <x v="212"/>
    <n v="1"/>
    <n v="1"/>
    <s v="I-8 WB"/>
    <n v="64"/>
    <n v="0"/>
    <s v="COLLEGE"/>
    <s v="WARING"/>
    <n v="22776"/>
    <n v="23376.226562"/>
    <n v="2.6353466894977196E-2"/>
    <n v="360271.92573033966"/>
    <n v="0"/>
    <n v="124"/>
    <s v="Caltran"/>
  </r>
  <r>
    <n v="15"/>
    <x v="0"/>
    <x v="213"/>
    <n v="1"/>
    <n v="1"/>
    <s v="I-8 WB"/>
    <n v="65"/>
    <n v="0"/>
    <s v="WARING"/>
    <s v="WARING"/>
    <n v="22466"/>
    <n v="22167.529297000001"/>
    <n v="-1.3285440354313116E-2"/>
    <n v="89084.760549313636"/>
    <n v="0"/>
    <n v="363"/>
    <s v="PeMS2016"/>
  </r>
  <r>
    <n v="15"/>
    <x v="0"/>
    <x v="214"/>
    <n v="1"/>
    <n v="1"/>
    <s v="I-8 WB"/>
    <n v="66"/>
    <n v="0"/>
    <s v="WARING"/>
    <s v="FAIRMOUNT"/>
    <n v="24478"/>
    <n v="24292.134765999999"/>
    <n v="-7.5931544243811322E-3"/>
    <n v="34545.88520987505"/>
    <n v="0"/>
    <n v="538"/>
    <s v="PeMS2016"/>
  </r>
  <r>
    <n v="15"/>
    <x v="0"/>
    <x v="215"/>
    <n v="1"/>
    <n v="1"/>
    <s v="I-8 WB"/>
    <n v="67"/>
    <n v="0"/>
    <s v="FAIRMOUNT"/>
    <s v="I-15 NB"/>
    <n v="22829"/>
    <n v="22000.673827999999"/>
    <n v="-3.6283944631827936E-2"/>
    <n v="686124.24722017511"/>
    <n v="0"/>
    <n v="272"/>
    <s v="PeMS2016"/>
  </r>
  <r>
    <n v="15"/>
    <x v="0"/>
    <x v="216"/>
    <n v="1"/>
    <n v="1"/>
    <s v="I-8 WB"/>
    <n v="69"/>
    <n v="0"/>
    <s v="I-15 NB"/>
    <s v="I-15 NB"/>
    <n v="15169"/>
    <n v="14407.948242"/>
    <n v="-5.0171518096117085E-2"/>
    <n v="579199.77835488995"/>
    <n v="0"/>
    <n v="539"/>
    <s v="PeMS2016"/>
  </r>
  <r>
    <n v="15"/>
    <x v="0"/>
    <x v="217"/>
    <n v="1"/>
    <n v="1"/>
    <s v="I-8 WB"/>
    <n v="70"/>
    <n v="0"/>
    <s v="I-15 NB"/>
    <s v="I-805 NB"/>
    <n v="21986"/>
    <n v="27040.994140999999"/>
    <n v="0.22991877290093687"/>
    <n v="25552965.765544321"/>
    <n v="0"/>
    <n v="270"/>
    <s v="PeMS2016"/>
  </r>
  <r>
    <n v="15"/>
    <x v="0"/>
    <x v="218"/>
    <n v="1"/>
    <n v="1"/>
    <s v="I-8 WB"/>
    <n v="71"/>
    <n v="0"/>
    <s v="I-805 NB"/>
    <s v="TEXAS"/>
    <n v="17634"/>
    <n v="15905.451171999999"/>
    <n v="-9.8023637745264902E-2"/>
    <n v="2987881.0507801767"/>
    <n v="0"/>
    <n v="224"/>
    <s v="PeMS2016"/>
  </r>
  <r>
    <n v="15"/>
    <x v="0"/>
    <x v="219"/>
    <n v="1"/>
    <n v="1"/>
    <s v="I-8 WB"/>
    <n v="73"/>
    <n v="0"/>
    <s v="TEXAS"/>
    <s v="I-805 NB"/>
    <n v="15627"/>
    <n v="13016.474609000001"/>
    <n v="-0.16705224233698079"/>
    <n v="6814842.8170556985"/>
    <n v="0"/>
    <n v="223"/>
    <s v="PeMS2016"/>
  </r>
  <r>
    <n v="15"/>
    <x v="0"/>
    <x v="220"/>
    <n v="1"/>
    <n v="1"/>
    <s v="I-8 WB"/>
    <n v="75"/>
    <n v="0"/>
    <s v="TEXAS"/>
    <s v="MISSION CENTER"/>
    <n v="25919"/>
    <n v="22583.816406000002"/>
    <n v="-0.12867717095566955"/>
    <n v="11123449.605686745"/>
    <n v="0"/>
    <n v="222"/>
    <s v="PeMS2016"/>
  </r>
  <r>
    <n v="15"/>
    <x v="0"/>
    <x v="221"/>
    <n v="1"/>
    <n v="1"/>
    <s v="I-8 WB"/>
    <n v="76"/>
    <n v="0"/>
    <s v="MISSION CENTER"/>
    <s v="MISSION CENTER"/>
    <n v="24409"/>
    <n v="19137.306640999999"/>
    <n v="-0.21597334421729697"/>
    <n v="27790750.871324711"/>
    <n v="0"/>
    <n v="220"/>
    <s v="PeMS2016"/>
  </r>
  <r>
    <n v="15"/>
    <x v="0"/>
    <x v="222"/>
    <n v="1"/>
    <n v="1"/>
    <s v="I-8 WB"/>
    <n v="77"/>
    <n v="0"/>
    <s v="MISSION CENTER"/>
    <s v="SR-163 NB"/>
    <n v="24409"/>
    <n v="22095.4375"/>
    <n v="-9.4783174239010171E-2"/>
    <n v="5352571.44140625"/>
    <n v="0"/>
    <n v="219"/>
    <s v="PeMS2016"/>
  </r>
  <r>
    <n v="15"/>
    <x v="0"/>
    <x v="223"/>
    <n v="1"/>
    <n v="1"/>
    <s v="I-8 WB"/>
    <n v="78"/>
    <n v="0"/>
    <s v="SR-163 NB"/>
    <s v="SR-163 SB"/>
    <n v="20299"/>
    <n v="16957.322265999999"/>
    <n v="-0.16462277619587173"/>
    <n v="11166810.077911381"/>
    <n v="0"/>
    <n v="570"/>
    <s v="PeMS2016"/>
  </r>
  <r>
    <n v="15"/>
    <x v="0"/>
    <x v="224"/>
    <n v="1"/>
    <n v="1"/>
    <s v="I-8 WB"/>
    <n v="79"/>
    <n v="0"/>
    <s v="SR-163 SB"/>
    <s v="SR-163 SB"/>
    <n v="18221"/>
    <n v="12230.083008"/>
    <n v="-0.32879188804127113"/>
    <n v="35891086.405034333"/>
    <n v="0"/>
    <n v="218"/>
    <s v="PeMS2016"/>
  </r>
  <r>
    <n v="15"/>
    <x v="0"/>
    <x v="225"/>
    <n v="1"/>
    <n v="1"/>
    <s v="I-8 WB"/>
    <n v="81"/>
    <n v="0"/>
    <s v="SR-163 SB"/>
    <n v="0"/>
    <n v="21943"/>
    <n v="21921.298827999999"/>
    <n v="-9.8897926445795648E-4"/>
    <n v="470.9408661736253"/>
    <n v="0"/>
    <n v="577"/>
    <s v="PeMS2016"/>
  </r>
  <r>
    <n v="15"/>
    <x v="0"/>
    <x v="226"/>
    <n v="1"/>
    <n v="1"/>
    <s v="I-8 WB"/>
    <n v="82"/>
    <n v="0"/>
    <s v="FASHION VALLEY"/>
    <s v="HOTEL CIRCLE NORTH"/>
    <n v="22801"/>
    <n v="23623.019531000002"/>
    <n v="3.6051906977764281E-2"/>
    <n v="675716.10934546276"/>
    <n v="0"/>
    <n v="583"/>
    <s v="PeMS2016"/>
  </r>
  <r>
    <n v="15"/>
    <x v="0"/>
    <x v="227"/>
    <n v="1"/>
    <n v="1"/>
    <s v="I-8 WB"/>
    <n v="85"/>
    <n v="0"/>
    <s v="HOTEL CIRCLE NORTH"/>
    <s v="HOTEL CIRCLE NORTH"/>
    <n v="22199"/>
    <n v="21304.689452999999"/>
    <n v="-4.0286073561872193E-2"/>
    <n v="799791.35447544092"/>
    <n v="0"/>
    <n v="584"/>
    <s v="PeMS2016"/>
  </r>
  <r>
    <n v="15"/>
    <x v="0"/>
    <x v="228"/>
    <n v="1"/>
    <n v="1"/>
    <s v="I-8 WB"/>
    <n v="86"/>
    <n v="0"/>
    <s v="TAYLOR"/>
    <s v="MORENA"/>
    <n v="22199"/>
    <n v="21972.509765999999"/>
    <n v="-1.0202722374881734E-2"/>
    <n v="51297.826097375109"/>
    <n v="0"/>
    <n v="200"/>
    <s v="PeMS2016"/>
  </r>
  <r>
    <n v="15"/>
    <x v="0"/>
    <x v="229"/>
    <n v="1"/>
    <n v="1"/>
    <s v="I-8 WB"/>
    <n v="87"/>
    <n v="0"/>
    <s v="MORENA"/>
    <s v="I-5 SB"/>
    <n v="20372"/>
    <n v="20587.421875"/>
    <n v="1.0574409729039891E-2"/>
    <n v="46406.584228515625"/>
    <n v="0"/>
    <n v="678"/>
    <s v="PeMS2016"/>
  </r>
  <r>
    <n v="15"/>
    <x v="0"/>
    <x v="230"/>
    <n v="1"/>
    <n v="1"/>
    <s v="I-8 WB"/>
    <n v="92"/>
    <n v="0"/>
    <s v="I-5 NB"/>
    <s v="MIDWAY"/>
    <n v="13497"/>
    <n v="12899.105469"/>
    <n v="-4.4298327850633479E-2"/>
    <n v="357477.87019970984"/>
    <n v="0"/>
    <n v="100"/>
    <s v="PeMS2016"/>
  </r>
  <r>
    <n v="34"/>
    <x v="1"/>
    <x v="231"/>
    <n v="1"/>
    <n v="1"/>
    <s v="I-5 NB AUX LOCAL ACC"/>
    <n v="1"/>
    <n v="0"/>
    <n v="0"/>
    <n v="0"/>
    <n v="5367"/>
    <n v="8373.4824219999991"/>
    <n v="0.56017932215390331"/>
    <n v="9038936.55379498"/>
    <n v="0"/>
    <n v="99"/>
    <s v="PeMS2016"/>
  </r>
  <r>
    <n v="1"/>
    <x v="1"/>
    <x v="232"/>
    <n v="1"/>
    <n v="1"/>
    <s v="I-5 NB"/>
    <n v="1"/>
    <n v="0"/>
    <s v="MEXICAN BORDER"/>
    <s v="EAST SAN YSIDRO"/>
    <n v="6959"/>
    <n v="3575.4819339999999"/>
    <n v="-0.4862075105618624"/>
    <n v="11448194.502948381"/>
    <n v="0"/>
    <n v="679"/>
    <s v="PeMS2016"/>
  </r>
  <r>
    <n v="1"/>
    <x v="1"/>
    <x v="233"/>
    <n v="1"/>
    <n v="1"/>
    <s v="I-5 NB"/>
    <n v="4"/>
    <n v="0"/>
    <s v="I-805 NB"/>
    <s v="VIA DE SAN YSIDRO"/>
    <n v="3216"/>
    <n v="1747.1206050000001"/>
    <n v="-0.45674110541044777"/>
    <n v="2157606.6770555656"/>
    <n v="0"/>
    <n v="98"/>
    <s v="Caltran"/>
  </r>
  <r>
    <n v="1"/>
    <x v="1"/>
    <x v="234"/>
    <n v="1"/>
    <n v="1"/>
    <s v="I-5 NB"/>
    <n v="5"/>
    <n v="0"/>
    <s v="VIA DE SAN YSIDRO"/>
    <s v="VIA DE SAN YSIDRO"/>
    <n v="3094"/>
    <n v="1684.1098629999999"/>
    <n v="-0.45568524143503564"/>
    <n v="1987790.1984098791"/>
    <n v="0"/>
    <n v="90"/>
    <s v="PeMS2016"/>
  </r>
  <r>
    <n v="1"/>
    <x v="1"/>
    <x v="235"/>
    <n v="1"/>
    <n v="1"/>
    <s v="I-5 NB"/>
    <n v="6"/>
    <n v="0"/>
    <s v="VIA DE SAN YSIDRO"/>
    <s v="SAN YSIDRO"/>
    <n v="4940"/>
    <n v="3501.806885"/>
    <n v="-0.29113220951417007"/>
    <n v="2068399.4360334033"/>
    <n v="0"/>
    <n v="687"/>
    <s v="PeMS2016"/>
  </r>
  <r>
    <n v="1"/>
    <x v="1"/>
    <x v="236"/>
    <n v="1"/>
    <n v="1"/>
    <s v="I-5 NB"/>
    <n v="7"/>
    <n v="0"/>
    <s v="SAN YSIDRO"/>
    <s v="SAN YSIDRO"/>
    <n v="4161"/>
    <n v="3249.4638669999999"/>
    <n v="-0.21906660249939924"/>
    <n v="830898.12176459376"/>
    <n v="0"/>
    <n v="201"/>
    <s v="PeMS2016"/>
  </r>
  <r>
    <n v="1"/>
    <x v="1"/>
    <x v="237"/>
    <n v="1"/>
    <n v="1"/>
    <s v="I-5 NB"/>
    <n v="9"/>
    <n v="0"/>
    <s v="SR-905 EB"/>
    <s v="SR-905 WB"/>
    <n v="6313"/>
    <n v="4346.4350590000004"/>
    <n v="-0.31151036607001414"/>
    <n v="3867377.6671703318"/>
    <n v="0"/>
    <n v="202"/>
    <s v="PeMS2016"/>
  </r>
  <r>
    <n v="1"/>
    <x v="1"/>
    <x v="238"/>
    <n v="1"/>
    <n v="1"/>
    <s v="I-5 NB"/>
    <n v="10"/>
    <n v="0"/>
    <s v="SR-905 EB"/>
    <s v="SR-905 WB"/>
    <n v="6417"/>
    <n v="4644.5898440000001"/>
    <n v="-0.27620541623811745"/>
    <n v="3141437.7610919438"/>
    <n v="0"/>
    <n v="582"/>
    <s v="PeMS2016"/>
  </r>
  <r>
    <n v="1"/>
    <x v="1"/>
    <x v="239"/>
    <n v="1"/>
    <n v="1"/>
    <s v="I-5 NB"/>
    <n v="13"/>
    <n v="0"/>
    <s v="CORONADO"/>
    <s v="PALM"/>
    <n v="13335"/>
    <n v="10422.435546999999"/>
    <n v="-0.21841503209598812"/>
    <n v="8483031.6928791944"/>
    <n v="0"/>
    <n v="203"/>
    <s v="PeMS2016"/>
  </r>
  <r>
    <n v="1"/>
    <x v="1"/>
    <x v="240"/>
    <n v="1"/>
    <n v="1"/>
    <s v="I-5 NB"/>
    <n v="14"/>
    <n v="0"/>
    <s v="PALM"/>
    <s v="PALM"/>
    <n v="9582"/>
    <n v="8579.2246090000008"/>
    <n v="-0.10465199238154865"/>
    <n v="1005558.4847952013"/>
    <n v="0"/>
    <n v="128"/>
    <s v="PeMS2016"/>
  </r>
  <r>
    <n v="1"/>
    <x v="1"/>
    <x v="241"/>
    <n v="1"/>
    <n v="1"/>
    <s v="I-5 NB"/>
    <n v="15"/>
    <n v="0"/>
    <s v="PALM"/>
    <s v="MAIN"/>
    <n v="15901"/>
    <n v="15074.466796999999"/>
    <n v="-5.197995113514875E-2"/>
    <n v="683157.13566144067"/>
    <n v="0"/>
    <n v="127"/>
    <s v="Caltran"/>
  </r>
  <r>
    <n v="1"/>
    <x v="1"/>
    <x v="242"/>
    <n v="1"/>
    <n v="1"/>
    <s v="I-5 NB"/>
    <n v="16"/>
    <n v="0"/>
    <s v="MAIN"/>
    <s v="MAIN"/>
    <n v="15095"/>
    <n v="14822.768555000001"/>
    <n v="-1.8034544219940329E-2"/>
    <n v="74109.959646787713"/>
    <n v="0"/>
    <n v="650"/>
    <s v="PeMS2016"/>
  </r>
  <r>
    <n v="1"/>
    <x v="1"/>
    <x v="243"/>
    <n v="1"/>
    <n v="1"/>
    <s v="I-5 NB"/>
    <n v="18"/>
    <n v="0"/>
    <s v="PALOMAR"/>
    <s v="PALOMAR"/>
    <n v="13340"/>
    <n v="15181.166015999999"/>
    <n v="0.13801844197901048"/>
    <n v="3389892.2984733093"/>
    <n v="0"/>
    <n v="334"/>
    <s v="PeMS2016"/>
  </r>
  <r>
    <n v="1"/>
    <x v="1"/>
    <x v="244"/>
    <n v="1"/>
    <n v="1"/>
    <s v="I-5 NB"/>
    <n v="19"/>
    <n v="0"/>
    <s v="PALOMAR"/>
    <s v="INDUSTRIAL"/>
    <n v="16048"/>
    <n v="17924.015625"/>
    <n v="0.11690027573529416"/>
    <n v="3519434.6252441406"/>
    <n v="0"/>
    <n v="710"/>
    <s v="PeMS2016"/>
  </r>
  <r>
    <n v="1"/>
    <x v="1"/>
    <x v="245"/>
    <n v="1"/>
    <n v="1"/>
    <s v="I-5 NB"/>
    <n v="20"/>
    <n v="0"/>
    <s v="INDUSTRIAL"/>
    <s v="INDUSTRIAL"/>
    <n v="13856"/>
    <n v="16651.548827999999"/>
    <n v="0.20175727684757505"/>
    <n v="7815093.2497321684"/>
    <n v="0"/>
    <n v="67"/>
    <s v="PeMS2016"/>
  </r>
  <r>
    <n v="1"/>
    <x v="1"/>
    <x v="246"/>
    <n v="1"/>
    <n v="1"/>
    <s v="I-5 NB"/>
    <n v="22"/>
    <n v="0"/>
    <s v="J"/>
    <s v="J"/>
    <n v="16098"/>
    <n v="18884.558593999998"/>
    <n v="0.17309967660578951"/>
    <n v="7764908.7977952473"/>
    <n v="0"/>
    <n v="114"/>
    <s v="PeMS2016"/>
  </r>
  <r>
    <n v="1"/>
    <x v="1"/>
    <x v="247"/>
    <n v="1"/>
    <n v="1"/>
    <s v="I-5 NB"/>
    <n v="24"/>
    <n v="0"/>
    <s v="H"/>
    <s v="H"/>
    <n v="16472"/>
    <n v="19877.478515999999"/>
    <n v="0.20674347474502186"/>
    <n v="11597283.922937557"/>
    <n v="0"/>
    <n v="281"/>
    <s v="PeMS2016"/>
  </r>
  <r>
    <n v="1"/>
    <x v="1"/>
    <x v="248"/>
    <n v="1"/>
    <n v="1"/>
    <s v="I-5 NB"/>
    <n v="26"/>
    <n v="0"/>
    <s v="E ST"/>
    <s v="E ST"/>
    <n v="16589"/>
    <n v="20735.953125"/>
    <n v="0.24998210410513"/>
    <n v="17197220.220947266"/>
    <n v="0"/>
    <n v="529"/>
    <s v="PeMS2016"/>
  </r>
  <r>
    <n v="1"/>
    <x v="1"/>
    <x v="249"/>
    <n v="1"/>
    <n v="1"/>
    <s v="I-5 NB"/>
    <n v="27"/>
    <n v="0"/>
    <s v="E ST"/>
    <s v="SR-54 EB"/>
    <n v="16211"/>
    <n v="15642.276367"/>
    <n v="-3.5082575596816934E-2"/>
    <n v="323446.57073271822"/>
    <n v="0"/>
    <n v="280"/>
    <s v="PeMS2016"/>
  </r>
  <r>
    <n v="1"/>
    <x v="1"/>
    <x v="250"/>
    <n v="1"/>
    <n v="1"/>
    <s v="I-5 NB"/>
    <n v="31"/>
    <n v="0"/>
    <s v="24TH"/>
    <s v="24TH"/>
    <n v="13780"/>
    <n v="20966.109375"/>
    <n v="0.52148834361393326"/>
    <n v="51640167.949462891"/>
    <n v="0"/>
    <n v="647"/>
    <s v="PeMS2016"/>
  </r>
  <r>
    <n v="1"/>
    <x v="1"/>
    <x v="251"/>
    <n v="1"/>
    <n v="1"/>
    <s v="I-5 NB"/>
    <n v="34"/>
    <n v="0"/>
    <s v="CIVIC CENTER"/>
    <s v="CIVIC CENTER"/>
    <n v="15393"/>
    <n v="20088.693359000001"/>
    <n v="0.30505381400636655"/>
    <n v="22049536.12175671"/>
    <n v="0"/>
    <n v="320"/>
    <s v="PeMS2016"/>
  </r>
  <r>
    <n v="1"/>
    <x v="1"/>
    <x v="252"/>
    <n v="1"/>
    <n v="1"/>
    <s v="I-5 NB"/>
    <n v="35"/>
    <n v="0"/>
    <s v="CIVIC CENTER"/>
    <s v="CIVIC CENTER"/>
    <n v="13528"/>
    <n v="22583.847656000002"/>
    <n v="0.66941511354228278"/>
    <n v="82008376.768680722"/>
    <n v="0"/>
    <n v="493"/>
    <s v="PeMS2016"/>
  </r>
  <r>
    <n v="1"/>
    <x v="1"/>
    <x v="253"/>
    <n v="1"/>
    <n v="1"/>
    <s v="I-5 NB"/>
    <n v="36"/>
    <n v="0"/>
    <s v="CIVIC CENTER"/>
    <s v="MAIN"/>
    <n v="18512"/>
    <n v="26484.007812"/>
    <n v="0.43064000713050987"/>
    <n v="63552908.554589026"/>
    <n v="0"/>
    <n v="319"/>
    <s v="Caltran"/>
  </r>
  <r>
    <n v="1"/>
    <x v="1"/>
    <x v="254"/>
    <n v="1"/>
    <n v="1"/>
    <s v="I-5 NB"/>
    <n v="38"/>
    <n v="0"/>
    <s v="MAIN"/>
    <s v="SR-15 NB"/>
    <n v="19491"/>
    <n v="26961.078125"/>
    <n v="0.38325781771073819"/>
    <n v="55802067.193603516"/>
    <n v="0"/>
    <n v="60"/>
    <s v="PeMS2016"/>
  </r>
  <r>
    <n v="1"/>
    <x v="1"/>
    <x v="255"/>
    <n v="1"/>
    <n v="1"/>
    <s v="I-5 NB"/>
    <n v="39"/>
    <n v="0"/>
    <s v="SR-15 NB"/>
    <s v="SR-15 SB"/>
    <n v="13222"/>
    <n v="17586.066406000002"/>
    <n v="0.33006098971411291"/>
    <n v="19045075.595977772"/>
    <n v="0"/>
    <n v="56"/>
    <s v="PeMS2016"/>
  </r>
  <r>
    <n v="1"/>
    <x v="1"/>
    <x v="256"/>
    <n v="1"/>
    <n v="1"/>
    <s v="I-5 NB"/>
    <n v="40"/>
    <n v="0"/>
    <s v="SR-15 SB"/>
    <s v="NATIONAL"/>
    <n v="13512"/>
    <n v="20065.240234000001"/>
    <n v="0.4849940966548254"/>
    <n v="42944957.564516388"/>
    <n v="0"/>
    <n v="54"/>
    <s v="PeMS2016"/>
  </r>
  <r>
    <n v="1"/>
    <x v="1"/>
    <x v="257"/>
    <n v="1"/>
    <n v="1"/>
    <s v="I-5 NB"/>
    <n v="41"/>
    <n v="0"/>
    <s v="NATIONAL"/>
    <s v="28TH"/>
    <n v="16004"/>
    <n v="18888.876952999999"/>
    <n v="0.18025974462634342"/>
    <n v="8322515.0339505589"/>
    <n v="0"/>
    <n v="55"/>
    <s v="PeMS2016"/>
  </r>
  <r>
    <n v="1"/>
    <x v="1"/>
    <x v="258"/>
    <n v="1"/>
    <n v="1"/>
    <s v="I-5 NB"/>
    <n v="47"/>
    <n v="0"/>
    <s v="SR-75 NB"/>
    <s v="IMPERIAL"/>
    <n v="17494"/>
    <n v="23526.082031000002"/>
    <n v="0.34480862187035566"/>
    <n v="36386013.628713109"/>
    <n v="0"/>
    <n v="496"/>
    <s v="PeMS2016"/>
  </r>
  <r>
    <n v="1"/>
    <x v="1"/>
    <x v="259"/>
    <n v="1"/>
    <n v="1"/>
    <s v="I-5 NB"/>
    <n v="50"/>
    <n v="0"/>
    <s v="19TH"/>
    <s v="PERSHING"/>
    <n v="17981"/>
    <n v="23077.027343999998"/>
    <n v="0.28341178710861459"/>
    <n v="25969494.690795675"/>
    <n v="0"/>
    <n v="495"/>
    <s v="Caltran"/>
  </r>
  <r>
    <n v="1"/>
    <x v="1"/>
    <x v="260"/>
    <n v="1"/>
    <n v="1"/>
    <s v="I-5 NB"/>
    <n v="53"/>
    <n v="0"/>
    <s v="SR-94 WB"/>
    <s v="PERSHING"/>
    <n v="16768"/>
    <n v="26549.888672000001"/>
    <n v="0.58336645229007633"/>
    <n v="95685345.991401941"/>
    <n v="0"/>
    <n v="317"/>
    <s v="PeMS2016"/>
  </r>
  <r>
    <n v="1"/>
    <x v="1"/>
    <x v="261"/>
    <n v="1"/>
    <n v="1"/>
    <s v="I-5 NB"/>
    <n v="56"/>
    <n v="0"/>
    <s v="PERSHING"/>
    <s v="PARK"/>
    <n v="25692"/>
    <n v="29806.384765999999"/>
    <n v="0.16014264230110542"/>
    <n v="16928162.002692867"/>
    <n v="0"/>
    <n v="394"/>
    <s v="PeMS2016"/>
  </r>
  <r>
    <n v="1"/>
    <x v="1"/>
    <x v="262"/>
    <n v="1"/>
    <n v="1"/>
    <s v="I-5 NB"/>
    <n v="58"/>
    <n v="0"/>
    <s v="PARK"/>
    <s v="PARK"/>
    <n v="24518"/>
    <n v="24912.363281000002"/>
    <n v="1.6084643160127365E-2"/>
    <n v="155522.39740108632"/>
    <n v="0"/>
    <n v="418"/>
    <s v="PeMS2016"/>
  </r>
  <r>
    <n v="1"/>
    <x v="1"/>
    <x v="263"/>
    <n v="1"/>
    <n v="1"/>
    <s v="I-5 NB"/>
    <n v="59"/>
    <n v="0"/>
    <s v="PARK"/>
    <s v="06TH"/>
    <n v="16511"/>
    <n v="20386.878906000002"/>
    <n v="0.2347452550420932"/>
    <n v="15022437.29397577"/>
    <n v="0"/>
    <n v="34"/>
    <s v="PeMS2016"/>
  </r>
  <r>
    <n v="1"/>
    <x v="1"/>
    <x v="264"/>
    <n v="1"/>
    <n v="1"/>
    <s v="I-5 NB"/>
    <n v="61"/>
    <n v="0"/>
    <s v="HAWTHORN"/>
    <s v="01ST"/>
    <n v="17069"/>
    <n v="18601.316406000002"/>
    <n v="8.9771890913351804E-2"/>
    <n v="2347993.5680967621"/>
    <n v="0"/>
    <n v="36"/>
    <s v="PeMS2016"/>
  </r>
  <r>
    <n v="1"/>
    <x v="1"/>
    <x v="265"/>
    <n v="1"/>
    <n v="1"/>
    <s v="I-5 NB"/>
    <n v="63"/>
    <n v="0"/>
    <s v="01ST"/>
    <s v="HAWTHORN"/>
    <n v="22881"/>
    <n v="23477.322265999999"/>
    <n v="2.6061897032472414E-2"/>
    <n v="355600.24492737383"/>
    <n v="0"/>
    <n v="736"/>
    <s v="PeMS2016"/>
  </r>
  <r>
    <n v="1"/>
    <x v="1"/>
    <x v="266"/>
    <n v="1"/>
    <n v="1"/>
    <s v="I-5 NB"/>
    <n v="66"/>
    <n v="0"/>
    <s v="INDIA"/>
    <s v="PACIFIC"/>
    <n v="18567"/>
    <n v="24870.359375"/>
    <n v="0.33949261458501634"/>
    <n v="39732339.410400391"/>
    <n v="0"/>
    <n v="737"/>
    <s v="PeMS2016"/>
  </r>
  <r>
    <n v="1"/>
    <x v="1"/>
    <x v="267"/>
    <n v="1"/>
    <n v="1"/>
    <s v="I-5 NB"/>
    <n v="67"/>
    <n v="0"/>
    <s v="PACIFIC"/>
    <s v="INDIA"/>
    <n v="18612"/>
    <n v="20102.849609000001"/>
    <n v="8.0101526380829569E-2"/>
    <n v="2222632.5566554554"/>
    <n v="0"/>
    <n v="383"/>
    <s v="PeMS2016"/>
  </r>
  <r>
    <n v="1"/>
    <x v="1"/>
    <x v="268"/>
    <n v="1"/>
    <n v="1"/>
    <s v="I-5 NB"/>
    <n v="68"/>
    <n v="0"/>
    <s v="INDIA"/>
    <s v="INDIA"/>
    <n v="17424"/>
    <n v="18593.142577999999"/>
    <n v="6.7099551078971587E-2"/>
    <n v="1366894.3676924838"/>
    <n v="0"/>
    <n v="430"/>
    <s v="PeMS2016"/>
  </r>
  <r>
    <n v="1"/>
    <x v="1"/>
    <x v="269"/>
    <n v="1"/>
    <n v="1"/>
    <s v="I-5 NB"/>
    <n v="69"/>
    <n v="0"/>
    <s v="INDIA"/>
    <s v="WASHINGTON"/>
    <n v="19134"/>
    <n v="20273.744140999999"/>
    <n v="5.9566433626005999E-2"/>
    <n v="1299016.7069438261"/>
    <n v="0"/>
    <n v="431"/>
    <s v="PeMS2016"/>
  </r>
  <r>
    <n v="1"/>
    <x v="1"/>
    <x v="270"/>
    <n v="1"/>
    <n v="1"/>
    <s v="I-5 NB"/>
    <n v="71"/>
    <n v="0"/>
    <s v="OLD TOWN"/>
    <s v="OLD TOWN"/>
    <n v="21648"/>
    <n v="20985.71875"/>
    <n v="-3.0593184127864048E-2"/>
    <n v="438616.4541015625"/>
    <n v="0"/>
    <n v="432"/>
    <s v="PeMS2016"/>
  </r>
  <r>
    <n v="1"/>
    <x v="1"/>
    <x v="271"/>
    <n v="1"/>
    <n v="1"/>
    <s v="I-5 NB"/>
    <n v="73"/>
    <n v="0"/>
    <s v="OLD TOWN"/>
    <s v="OLD TOWN"/>
    <n v="21758"/>
    <n v="20985.71875"/>
    <n v="-3.5494128596378349E-2"/>
    <n v="596418.3291015625"/>
    <n v="0"/>
    <n v="434"/>
    <s v="PeMS2016"/>
  </r>
  <r>
    <n v="1"/>
    <x v="1"/>
    <x v="272"/>
    <n v="1"/>
    <n v="1"/>
    <s v="I-5 NB"/>
    <n v="75"/>
    <n v="0"/>
    <s v="I-8 EB"/>
    <s v="CAM DEL RIO WEST"/>
    <n v="16826"/>
    <n v="16188.6875"/>
    <n v="-3.787664923332934E-2"/>
    <n v="406167.22265625"/>
    <n v="0"/>
    <n v="433"/>
    <s v="PeMS2016"/>
  </r>
  <r>
    <n v="1"/>
    <x v="1"/>
    <x v="273"/>
    <n v="1"/>
    <n v="1"/>
    <s v="I-5 NB"/>
    <n v="81"/>
    <n v="0"/>
    <s v="TECOLOTE"/>
    <s v="TECOLOTE"/>
    <n v="21260"/>
    <n v="24569.109375"/>
    <n v="0.15564954727187197"/>
    <n v="10950204.855712891"/>
    <n v="0"/>
    <n v="379"/>
    <s v="PeMS2016"/>
  </r>
  <r>
    <n v="1"/>
    <x v="1"/>
    <x v="274"/>
    <n v="1"/>
    <n v="1"/>
    <s v="I-5 NB"/>
    <n v="85"/>
    <n v="0"/>
    <s v="TECOLOTE"/>
    <s v="CLAIREMONT"/>
    <n v="18096"/>
    <n v="27119.654297000001"/>
    <n v="0.4986546362179487"/>
    <n v="81426336.871766582"/>
    <n v="0"/>
    <n v="380"/>
    <s v="PeMS2016"/>
  </r>
  <r>
    <n v="1"/>
    <x v="1"/>
    <x v="275"/>
    <n v="1"/>
    <n v="1"/>
    <s v="I-5 NB"/>
    <n v="86"/>
    <n v="0"/>
    <s v="CLAIREMONT"/>
    <s v="CLAIREMONT"/>
    <n v="22959"/>
    <n v="24965.744140999999"/>
    <n v="8.7405555163552417E-2"/>
    <n v="4027022.0474378248"/>
    <n v="0"/>
    <n v="713"/>
    <s v="PeMS2016"/>
  </r>
  <r>
    <n v="1"/>
    <x v="1"/>
    <x v="276"/>
    <n v="1"/>
    <n v="1"/>
    <s v="I-5 NB"/>
    <n v="88"/>
    <n v="0"/>
    <s v="MISSION BAY"/>
    <s v="BALBOA"/>
    <n v="17572"/>
    <n v="20442.128906000002"/>
    <n v="0.16333535772820396"/>
    <n v="8237639.9370567668"/>
    <n v="0"/>
    <n v="63"/>
    <s v="PeMS2016"/>
  </r>
  <r>
    <n v="1"/>
    <x v="1"/>
    <x v="277"/>
    <n v="1"/>
    <n v="1"/>
    <s v="I-5 NB"/>
    <n v="89"/>
    <n v="0"/>
    <s v="BALBOA"/>
    <s v="MISSION BAY"/>
    <n v="15363"/>
    <n v="17086.748047000001"/>
    <n v="0.1122012658334961"/>
    <n v="2971307.3295363174"/>
    <n v="0"/>
    <n v="62"/>
    <s v="PeMS2016"/>
  </r>
  <r>
    <n v="1"/>
    <x v="1"/>
    <x v="278"/>
    <n v="1"/>
    <n v="1"/>
    <s v="I-5 NB"/>
    <n v="91"/>
    <n v="0"/>
    <s v="MISSION BAY"/>
    <s v="SR-52 WB"/>
    <n v="19336"/>
    <n v="20734.320312"/>
    <n v="7.2316937939594483E-2"/>
    <n v="1955299.6949517769"/>
    <n v="0"/>
    <n v="500"/>
    <s v="Caltran"/>
  </r>
  <r>
    <n v="1"/>
    <x v="1"/>
    <x v="279"/>
    <n v="1"/>
    <n v="1"/>
    <s v="I-5 NB"/>
    <n v="92"/>
    <n v="0"/>
    <s v="SR-52 WB"/>
    <s v="SR-52 EB"/>
    <n v="14218"/>
    <n v="18711.841797000001"/>
    <n v="0.31606708376705583"/>
    <n v="20194614.096464198"/>
    <n v="0"/>
    <n v="313"/>
    <s v="PeMS2016"/>
  </r>
  <r>
    <n v="1"/>
    <x v="1"/>
    <x v="280"/>
    <n v="1"/>
    <n v="1"/>
    <s v="I-5 NB"/>
    <n v="93"/>
    <n v="0"/>
    <s v="SR-52 EB"/>
    <s v="SR-52 WB"/>
    <n v="13075"/>
    <n v="17324.595702999999"/>
    <n v="0.32501687977055438"/>
    <n v="18059063.638956055"/>
    <n v="0"/>
    <n v="312"/>
    <s v="PeMS2016"/>
  </r>
  <r>
    <n v="1"/>
    <x v="1"/>
    <x v="281"/>
    <n v="1"/>
    <n v="1"/>
    <s v="I-5 NB"/>
    <n v="95"/>
    <n v="0"/>
    <s v="GILMAN"/>
    <s v="GILMAN"/>
    <n v="15069"/>
    <n v="18539.802734000001"/>
    <n v="0.23032734315482117"/>
    <n v="12046471.61834188"/>
    <n v="0"/>
    <n v="501"/>
    <s v="PeMS2016"/>
  </r>
  <r>
    <n v="1"/>
    <x v="1"/>
    <x v="282"/>
    <n v="1"/>
    <n v="1"/>
    <s v="I-5 NB"/>
    <n v="96"/>
    <n v="0"/>
    <s v="GILMAN"/>
    <s v="NOBEL"/>
    <n v="13386"/>
    <n v="19409.296875"/>
    <n v="0.44996988458090548"/>
    <n v="36280105.244384766"/>
    <n v="0"/>
    <n v="105"/>
    <s v="PeMS2016"/>
  </r>
  <r>
    <n v="1"/>
    <x v="1"/>
    <x v="283"/>
    <n v="1"/>
    <n v="1"/>
    <s v="I-5 NB"/>
    <n v="98"/>
    <n v="0"/>
    <s v="LA JOLLA VILLAGE"/>
    <s v="LA JOLLA VILLAGE"/>
    <n v="15159"/>
    <n v="15634.189453000001"/>
    <n v="3.134701847087551E-2"/>
    <n v="225805.01624244003"/>
    <n v="0"/>
    <n v="299"/>
    <s v="PeMS2016"/>
  </r>
  <r>
    <n v="1"/>
    <x v="1"/>
    <x v="284"/>
    <n v="1"/>
    <n v="1"/>
    <s v="I-5 NB"/>
    <n v="102"/>
    <n v="0"/>
    <s v="GENESEE"/>
    <s v="GENESEE"/>
    <n v="18001"/>
    <n v="19797.003906000002"/>
    <n v="9.9772451863785472E-2"/>
    <n v="3225630.0303672631"/>
    <n v="0"/>
    <n v="304"/>
    <s v="PeMS2016"/>
  </r>
  <r>
    <n v="1"/>
    <x v="1"/>
    <x v="285"/>
    <n v="1"/>
    <n v="1"/>
    <s v="I-5 NB"/>
    <n v="105"/>
    <n v="0"/>
    <s v="SORRENTO VALLEY"/>
    <s v="I-805 NB"/>
    <n v="18088"/>
    <n v="23667.734375"/>
    <n v="0.3084771326293676"/>
    <n v="31133435.695556641"/>
    <n v="0"/>
    <n v="508"/>
    <s v="Caltran"/>
  </r>
  <r>
    <n v="1"/>
    <x v="1"/>
    <x v="286"/>
    <n v="1"/>
    <n v="1"/>
    <s v="I-5 NB"/>
    <n v="106"/>
    <n v="0"/>
    <s v="I-805 NB"/>
    <s v="I-805 NB"/>
    <n v="7722"/>
    <n v="15294.254883"/>
    <n v="0.98060798795648796"/>
    <n v="57339044.013117336"/>
    <n v="0"/>
    <n v="303"/>
    <s v="PeMS2016"/>
  </r>
  <r>
    <n v="1"/>
    <x v="1"/>
    <x v="287"/>
    <n v="1"/>
    <n v="1"/>
    <s v="I-5 NB"/>
    <n v="108"/>
    <n v="0"/>
    <s v="I-805 NB"/>
    <n v="0"/>
    <n v="21677"/>
    <n v="33521.027344000002"/>
    <n v="0.54638683138810729"/>
    <n v="140280983.72541973"/>
    <n v="0"/>
    <n v="509"/>
    <s v="Caltran"/>
  </r>
  <r>
    <n v="1"/>
    <x v="1"/>
    <x v="288"/>
    <n v="1"/>
    <n v="1"/>
    <s v="I-5 NB"/>
    <n v="109"/>
    <n v="0"/>
    <s v="I-805 NB"/>
    <n v="0"/>
    <n v="19035"/>
    <n v="33521.027344000002"/>
    <n v="0.76102061171526136"/>
    <n v="209844988.21111575"/>
    <n v="0"/>
    <n v="510"/>
    <s v="PeMS2016"/>
  </r>
  <r>
    <n v="1"/>
    <x v="1"/>
    <x v="289"/>
    <n v="1"/>
    <n v="1"/>
    <s v="I-5 NB"/>
    <n v="111"/>
    <n v="0"/>
    <s v="I-805 NB"/>
    <n v="0"/>
    <n v="18033"/>
    <n v="31562.857422000001"/>
    <n v="0.75028322641823331"/>
    <n v="183057041.85964853"/>
    <n v="0"/>
    <n v="511"/>
    <s v="PeMS2016"/>
  </r>
  <r>
    <n v="1"/>
    <x v="1"/>
    <x v="290"/>
    <n v="1"/>
    <n v="1"/>
    <s v="I-5 NB"/>
    <n v="112"/>
    <n v="0"/>
    <s v="CARMEL VALLEY"/>
    <s v="CARMEL VALLEY"/>
    <n v="14712"/>
    <n v="29994.886718999998"/>
    <n v="1.0388041543637847"/>
    <n v="233566626.46578655"/>
    <n v="0"/>
    <n v="300"/>
    <s v="PeMS2016"/>
  </r>
  <r>
    <n v="1"/>
    <x v="1"/>
    <x v="291"/>
    <n v="1"/>
    <n v="1"/>
    <s v="I-5 NB"/>
    <n v="115"/>
    <n v="0"/>
    <s v="CARMEL VALLEY"/>
    <s v="DEL MAR HEIGHTS"/>
    <n v="13753"/>
    <n v="34674.292969000002"/>
    <n v="1.521216677743038"/>
    <n v="437700499.49472892"/>
    <n v="0"/>
    <n v="513"/>
    <s v="PeMS2016"/>
  </r>
  <r>
    <n v="1"/>
    <x v="1"/>
    <x v="292"/>
    <n v="1"/>
    <n v="1"/>
    <s v="I-5 NB"/>
    <n v="117"/>
    <n v="0"/>
    <s v="DEL MAR HEIGHTS"/>
    <s v="DEL MAR HEIGHTS"/>
    <n v="20207"/>
    <n v="30935.710938"/>
    <n v="0.53094031464344038"/>
    <n v="115105238.39116085"/>
    <n v="0"/>
    <n v="515"/>
    <s v="PeMS2016"/>
  </r>
  <r>
    <n v="1"/>
    <x v="1"/>
    <x v="293"/>
    <n v="1"/>
    <n v="1"/>
    <s v="I-5 NB"/>
    <n v="118"/>
    <n v="1"/>
    <s v="DEL MAR HEIGHTS"/>
    <s v="VIA DE LA VALLE"/>
    <n v="19331"/>
    <n v="33859.6875"/>
    <n v="0.75157454347938546"/>
    <n v="211082760.47265625"/>
    <n v="0"/>
    <n v="514"/>
    <s v="PeMS2016"/>
  </r>
  <r>
    <n v="1"/>
    <x v="1"/>
    <x v="294"/>
    <n v="1"/>
    <n v="1"/>
    <s v="I-5 NB"/>
    <n v="120"/>
    <n v="0"/>
    <s v="VIA DE LA VALLE"/>
    <s v="VIA DE LA VALLE"/>
    <n v="19682"/>
    <n v="30474.693359000001"/>
    <n v="0.54835348841581144"/>
    <n v="116482229.94140272"/>
    <n v="0"/>
    <n v="296"/>
    <s v="PeMS2016"/>
  </r>
  <r>
    <n v="1"/>
    <x v="1"/>
    <x v="295"/>
    <n v="1"/>
    <n v="1"/>
    <s v="I-5 NB"/>
    <n v="122"/>
    <n v="0"/>
    <s v="VIA DE LA VALLE"/>
    <s v="LOMAS SANTA FE"/>
    <n v="26077"/>
    <n v="32117.257812"/>
    <n v="0.2316316221958048"/>
    <n v="36484714.435427025"/>
    <n v="0"/>
    <n v="371"/>
    <s v="Caltran"/>
  </r>
  <r>
    <n v="1"/>
    <x v="1"/>
    <x v="296"/>
    <n v="1"/>
    <n v="1"/>
    <s v="I-5 NB"/>
    <n v="123"/>
    <n v="0"/>
    <s v="LOMAS SANTA FE"/>
    <s v="LOMAS SANTA FE"/>
    <n v="20329"/>
    <n v="29805.939452999999"/>
    <n v="0.46617833897387961"/>
    <n v="89812381.395827919"/>
    <n v="0"/>
    <n v="372"/>
    <s v="PeMS2016"/>
  </r>
  <r>
    <n v="1"/>
    <x v="1"/>
    <x v="297"/>
    <n v="1"/>
    <n v="1"/>
    <s v="I-5 NB"/>
    <n v="125"/>
    <n v="0"/>
    <s v="LOMAS SANTA FE"/>
    <s v="MANCHESTER"/>
    <n v="21633"/>
    <n v="37820.757812000003"/>
    <n v="0.74829001118661331"/>
    <n v="262043502.97996715"/>
    <n v="0"/>
    <n v="373"/>
    <s v="PeMS2016"/>
  </r>
  <r>
    <n v="1"/>
    <x v="1"/>
    <x v="298"/>
    <n v="1"/>
    <n v="1"/>
    <s v="I-5 NB"/>
    <n v="127"/>
    <n v="0"/>
    <s v="MANCHESTER"/>
    <s v="MANCHESTER"/>
    <n v="23882"/>
    <n v="33316.832030999998"/>
    <n v="0.39506038150071165"/>
    <n v="89016055.453183547"/>
    <n v="0"/>
    <n v="440"/>
    <s v="PeMS2016"/>
  </r>
  <r>
    <n v="1"/>
    <x v="1"/>
    <x v="299"/>
    <n v="1"/>
    <n v="1"/>
    <s v="I-5 NB"/>
    <n v="128"/>
    <n v="0"/>
    <s v="MANCHESTER"/>
    <s v="BIRMINGHAM"/>
    <n v="22187"/>
    <n v="33322.902344000002"/>
    <n v="0.50191113462838599"/>
    <n v="124008321.01510474"/>
    <n v="0"/>
    <n v="370"/>
    <s v="PeMS2016"/>
  </r>
  <r>
    <n v="1"/>
    <x v="1"/>
    <x v="300"/>
    <n v="1"/>
    <n v="1"/>
    <s v="I-5 NB"/>
    <n v="129"/>
    <n v="0"/>
    <s v="BIRMINGHAM"/>
    <s v="BIRMINGHAM"/>
    <n v="22833"/>
    <n v="30507.140625"/>
    <n v="0.33609865654973059"/>
    <n v="58892434.332275391"/>
    <n v="0"/>
    <n v="441"/>
    <s v="PeMS2016"/>
  </r>
  <r>
    <n v="1"/>
    <x v="1"/>
    <x v="301"/>
    <n v="1"/>
    <n v="1"/>
    <s v="I-5 NB"/>
    <n v="132"/>
    <n v="0"/>
    <s v="SANTA FE"/>
    <s v="SANTA FE"/>
    <n v="21979"/>
    <n v="29582.496093999998"/>
    <n v="0.34594367778333845"/>
    <n v="57813152.851473227"/>
    <n v="0"/>
    <n v="442"/>
    <s v="PeMS2016"/>
  </r>
  <r>
    <n v="1"/>
    <x v="1"/>
    <x v="302"/>
    <n v="1"/>
    <n v="1"/>
    <s v="I-5 NB"/>
    <n v="133"/>
    <n v="0"/>
    <s v="SANTA FE"/>
    <s v="SANTA FE"/>
    <n v="22879"/>
    <n v="29582.496093999998"/>
    <n v="0.29299777499016555"/>
    <n v="44936859.882273234"/>
    <n v="0"/>
    <n v="444"/>
    <s v="PeMS2016"/>
  </r>
  <r>
    <n v="1"/>
    <x v="1"/>
    <x v="303"/>
    <n v="1"/>
    <n v="1"/>
    <s v="I-5 NB"/>
    <n v="134"/>
    <n v="0"/>
    <s v="SANTA FE"/>
    <s v="ENCINITAS"/>
    <n v="21038"/>
    <n v="30674.664062"/>
    <n v="0.45805989457172736"/>
    <n v="92865294.243842334"/>
    <n v="0"/>
    <n v="367"/>
    <s v="PeMS2016"/>
  </r>
  <r>
    <n v="1"/>
    <x v="1"/>
    <x v="304"/>
    <n v="1"/>
    <n v="1"/>
    <s v="I-5 NB"/>
    <n v="135"/>
    <n v="0"/>
    <s v="ENCINITAS"/>
    <s v="ENCINITAS"/>
    <n v="22142"/>
    <n v="28702.935547000001"/>
    <n v="0.29631178515942547"/>
    <n v="43045875.251888201"/>
    <n v="0"/>
    <n v="445"/>
    <s v="PeMS2016"/>
  </r>
  <r>
    <n v="1"/>
    <x v="1"/>
    <x v="305"/>
    <n v="1"/>
    <n v="1"/>
    <s v="I-5 NB"/>
    <n v="138"/>
    <n v="0"/>
    <s v="ENCINITAS"/>
    <s v="LEUCADIA"/>
    <n v="22564"/>
    <n v="30655.644531000002"/>
    <n v="0.3586086035720617"/>
    <n v="65474711.21606224"/>
    <n v="0"/>
    <n v="366"/>
    <s v="PeMS2016"/>
  </r>
  <r>
    <n v="1"/>
    <x v="1"/>
    <x v="306"/>
    <n v="1"/>
    <n v="1"/>
    <s v="I-5 NB"/>
    <n v="139"/>
    <n v="0"/>
    <s v="LEUCADIA"/>
    <s v="LEUCADIA"/>
    <n v="21530"/>
    <n v="28770.027343999998"/>
    <n v="0.33627623520668837"/>
    <n v="52417995.941867672"/>
    <n v="0"/>
    <n v="446"/>
    <s v="PeMS2016"/>
  </r>
  <r>
    <n v="1"/>
    <x v="1"/>
    <x v="307"/>
    <n v="1"/>
    <n v="1"/>
    <s v="I-5 NB"/>
    <n v="140"/>
    <n v="0"/>
    <s v="LEUCADIA"/>
    <s v="LA COSTA"/>
    <n v="22460"/>
    <n v="30049.851562"/>
    <n v="0.33792749608192341"/>
    <n v="57605846.733193837"/>
    <n v="0"/>
    <n v="293"/>
    <s v="PeMS2016"/>
  </r>
  <r>
    <n v="1"/>
    <x v="1"/>
    <x v="308"/>
    <n v="1"/>
    <n v="1"/>
    <s v="I-5 NB"/>
    <n v="141"/>
    <n v="0"/>
    <s v="LA COSTA"/>
    <s v="LA COSTA"/>
    <n v="20344"/>
    <n v="27788.960938"/>
    <n v="0.36595364421942578"/>
    <n v="55427443.368345842"/>
    <n v="0"/>
    <n v="295"/>
    <s v="PeMS2016"/>
  </r>
  <r>
    <n v="1"/>
    <x v="1"/>
    <x v="309"/>
    <n v="1"/>
    <n v="1"/>
    <s v="I-5 NB"/>
    <n v="142"/>
    <n v="0"/>
    <s v="LA COSTA"/>
    <s v="POINSETTIA"/>
    <n v="18707"/>
    <n v="29446.910156000002"/>
    <n v="0.5741118381354573"/>
    <n v="115345670.15895198"/>
    <n v="0"/>
    <n v="83"/>
    <s v="PeMS2016"/>
  </r>
  <r>
    <n v="1"/>
    <x v="1"/>
    <x v="310"/>
    <n v="1"/>
    <n v="1"/>
    <s v="I-5 NB"/>
    <n v="143"/>
    <n v="0"/>
    <s v="POINSETTIA"/>
    <s v="POINSETTIA"/>
    <n v="19631"/>
    <n v="26676.529297000001"/>
    <n v="0.35889813544903482"/>
    <n v="49639483.074885331"/>
    <n v="0"/>
    <n v="694"/>
    <s v="PeMS2016"/>
  </r>
  <r>
    <n v="1"/>
    <x v="1"/>
    <x v="311"/>
    <n v="1"/>
    <n v="1"/>
    <s v="I-5 NB"/>
    <n v="145"/>
    <n v="0"/>
    <s v="POINSETTIA"/>
    <s v="PALOMAR AIRPORT"/>
    <n v="20084"/>
    <n v="27984.470702999999"/>
    <n v="0.39337137537343159"/>
    <n v="62417437.328961298"/>
    <n v="0"/>
    <n v="82"/>
    <s v="PeMS2016"/>
  </r>
  <r>
    <n v="1"/>
    <x v="1"/>
    <x v="312"/>
    <n v="1"/>
    <n v="1"/>
    <s v="I-5 NB"/>
    <n v="146"/>
    <n v="0"/>
    <s v="PALOMAR AIRPORT"/>
    <s v="PALOMAR AIRPORT"/>
    <n v="18732"/>
    <n v="25315.132812"/>
    <n v="0.35143779692504795"/>
    <n v="43337637.620431028"/>
    <n v="0"/>
    <n v="695"/>
    <s v="PeMS2016"/>
  </r>
  <r>
    <n v="1"/>
    <x v="1"/>
    <x v="313"/>
    <n v="1"/>
    <n v="1"/>
    <s v="I-5 NB"/>
    <n v="148"/>
    <n v="0"/>
    <s v="CANNON"/>
    <s v="CANNON"/>
    <n v="20930"/>
    <n v="26519.716797000001"/>
    <n v="0.2670672143812709"/>
    <n v="31244933.870663948"/>
    <n v="0"/>
    <n v="696"/>
    <s v="PeMS2016"/>
  </r>
  <r>
    <n v="1"/>
    <x v="1"/>
    <x v="314"/>
    <n v="1"/>
    <n v="1"/>
    <s v="I-5 NB"/>
    <n v="149"/>
    <n v="0"/>
    <s v="CANNON"/>
    <s v="TAMARACK"/>
    <n v="24173"/>
    <n v="29920.449218999998"/>
    <n v="0.2377631745749389"/>
    <n v="33033172.524983689"/>
    <n v="0"/>
    <n v="81"/>
    <s v="PeMS2016"/>
  </r>
  <r>
    <n v="1"/>
    <x v="1"/>
    <x v="315"/>
    <n v="1"/>
    <n v="1"/>
    <s v="I-5 NB"/>
    <n v="150"/>
    <n v="0"/>
    <s v="TAMARACK"/>
    <s v="TAMARACK"/>
    <n v="24326"/>
    <n v="27735.917968999998"/>
    <n v="0.14017585994409276"/>
    <n v="11627540.555309074"/>
    <n v="0"/>
    <n v="80"/>
    <s v="Caltran"/>
  </r>
  <r>
    <n v="1"/>
    <x v="1"/>
    <x v="316"/>
    <n v="1"/>
    <n v="1"/>
    <s v="I-5 NB"/>
    <n v="151"/>
    <n v="0"/>
    <s v="TAMARACK"/>
    <s v="TAMARACK"/>
    <n v="23458"/>
    <n v="27735.917968999998"/>
    <n v="0.18236499143149443"/>
    <n v="18300582.149493068"/>
    <n v="0"/>
    <n v="61"/>
    <s v="PeMS2016"/>
  </r>
  <r>
    <n v="1"/>
    <x v="1"/>
    <x v="317"/>
    <n v="1"/>
    <n v="1"/>
    <s v="I-5 NB"/>
    <n v="156"/>
    <n v="0"/>
    <s v="LAS FLORES"/>
    <s v="SR-78 EB"/>
    <n v="21321"/>
    <n v="30691.626952999999"/>
    <n v="0.43950222564607655"/>
    <n v="87808649.49229005"/>
    <n v="0"/>
    <n v="517"/>
    <s v="PeMS2016"/>
  </r>
  <r>
    <n v="1"/>
    <x v="1"/>
    <x v="318"/>
    <n v="1"/>
    <n v="1"/>
    <s v="I-5 NB"/>
    <n v="160"/>
    <n v="0"/>
    <s v="CASSIDY"/>
    <s v="CALIFORNIA"/>
    <n v="23051"/>
    <n v="26965.445312"/>
    <n v="0.16981672430697148"/>
    <n v="15322882.100638775"/>
    <n v="0"/>
    <n v="516"/>
    <s v="PeMS2016"/>
  </r>
  <r>
    <n v="1"/>
    <x v="1"/>
    <x v="319"/>
    <n v="1"/>
    <n v="1"/>
    <s v="I-5 NB"/>
    <n v="163"/>
    <n v="0"/>
    <s v="OCEANSIDE"/>
    <s v="OCEANSIDE"/>
    <n v="19328"/>
    <n v="24837.267577999999"/>
    <n v="0.28504074803394031"/>
    <n v="30352029.246001974"/>
    <n v="0"/>
    <n v="292"/>
    <s v="PeMS2016"/>
  </r>
  <r>
    <n v="1"/>
    <x v="1"/>
    <x v="320"/>
    <n v="1"/>
    <n v="1"/>
    <s v="I-5 NB"/>
    <n v="165"/>
    <n v="0"/>
    <s v="MISSION"/>
    <s v="MISSION"/>
    <n v="15508"/>
    <n v="20113.472656000002"/>
    <n v="0.29697399123033286"/>
    <n v="21210378.38516371"/>
    <n v="0"/>
    <n v="521"/>
    <s v="PeMS2016"/>
  </r>
  <r>
    <n v="1"/>
    <x v="1"/>
    <x v="321"/>
    <n v="1"/>
    <n v="1"/>
    <s v="I-5 NB"/>
    <n v="166"/>
    <n v="0"/>
    <s v="MISSION"/>
    <s v="SR-76"/>
    <n v="16392"/>
    <n v="20515.982422000001"/>
    <n v="0.25158506722791607"/>
    <n v="17007231.016964994"/>
    <n v="0"/>
    <n v="290"/>
    <s v="Caltran"/>
  </r>
  <r>
    <n v="1"/>
    <x v="1"/>
    <x v="322"/>
    <n v="1"/>
    <n v="1"/>
    <s v="I-5 NB"/>
    <n v="167"/>
    <n v="0"/>
    <s v="SR-76"/>
    <s v="SR-76"/>
    <n v="13004"/>
    <n v="17549.816406000002"/>
    <n v="0.34957062488465107"/>
    <n v="20664446.797058772"/>
    <n v="0"/>
    <n v="523"/>
    <s v="PeMS2016"/>
  </r>
  <r>
    <n v="1"/>
    <x v="1"/>
    <x v="323"/>
    <n v="1"/>
    <n v="1"/>
    <s v="I-5 NB"/>
    <n v="171"/>
    <n v="0"/>
    <s v="VANDEGRIFT"/>
    <s v="VANDEGRIFT"/>
    <n v="11005"/>
    <n v="14461.248046999999"/>
    <n v="0.31406161263062238"/>
    <n v="11945650.562391309"/>
    <n v="0"/>
    <n v="287"/>
    <s v="PeMS2016"/>
  </r>
  <r>
    <n v="1"/>
    <x v="1"/>
    <x v="324"/>
    <n v="1"/>
    <n v="1"/>
    <s v="I-5 NB"/>
    <n v="172"/>
    <n v="7"/>
    <s v="VANDEGRIFT"/>
    <s v="LAS PULGAS"/>
    <n v="11331"/>
    <n v="14624.066406"/>
    <n v="0.29062451734180561"/>
    <n v="10844286.354325756"/>
    <n v="0"/>
    <n v="524"/>
    <s v="PeMS2016"/>
  </r>
  <r>
    <n v="1"/>
    <x v="1"/>
    <x v="325"/>
    <n v="1"/>
    <n v="1"/>
    <s v="I-5 NB"/>
    <n v="174"/>
    <n v="8"/>
    <s v="LAS PULGAS"/>
    <s v="BASILONE"/>
    <n v="12094"/>
    <n v="14625.247069999999"/>
    <n v="0.20929775673887874"/>
    <n v="6407211.7293835822"/>
    <n v="0"/>
    <n v="285"/>
    <s v="PeMS2016"/>
  </r>
  <r>
    <n v="31"/>
    <x v="1"/>
    <x v="326"/>
    <n v="1"/>
    <n v="2"/>
    <s v="I-5 HOV NB"/>
    <n v="1"/>
    <n v="1"/>
    <s v="MIRA MESA"/>
    <s v="CARMEL MOUNTAIN"/>
    <n v="2637"/>
    <n v="4525.5776370000003"/>
    <n v="0.71618416268486929"/>
    <n v="3566725.490976505"/>
    <n v="0"/>
    <n v="452"/>
    <s v="PeMS2016"/>
  </r>
  <r>
    <n v="31"/>
    <x v="1"/>
    <x v="327"/>
    <n v="1"/>
    <n v="2"/>
    <s v="I-5 HOV NB"/>
    <n v="3"/>
    <n v="0"/>
    <s v="CARMEL VALLEY"/>
    <s v="CARMEL VALLEY"/>
    <n v="3507"/>
    <n v="6483.7470700000003"/>
    <n v="0.84880155973766769"/>
    <n v="8861023.1187535878"/>
    <n v="0"/>
    <n v="361"/>
    <s v="PeMS2016"/>
  </r>
  <r>
    <n v="31"/>
    <x v="1"/>
    <x v="328"/>
    <n v="1"/>
    <n v="2"/>
    <s v="I-5 HOV NB"/>
    <n v="5"/>
    <n v="0"/>
    <s v="CARMEL VALLEY"/>
    <s v="VIA DE LA VALLE"/>
    <n v="2521"/>
    <n v="6483.7470700000003"/>
    <n v="1.5718949107497027"/>
    <n v="15703364.340793587"/>
    <n v="0"/>
    <n v="362"/>
    <s v="PeMS2016"/>
  </r>
  <r>
    <n v="31"/>
    <x v="1"/>
    <x v="329"/>
    <n v="1"/>
    <n v="2"/>
    <s v="I-5 HOV NB"/>
    <n v="7"/>
    <n v="1"/>
    <s v="DEL MAR HEIGHTS"/>
    <s v="VIA DE LA VALLE"/>
    <n v="3058"/>
    <n v="6483.7470700000003"/>
    <n v="1.1202573806409419"/>
    <n v="11735742.987613587"/>
    <n v="0"/>
    <n v="358"/>
    <s v="PeMS2016"/>
  </r>
  <r>
    <n v="31"/>
    <x v="1"/>
    <x v="330"/>
    <n v="1"/>
    <n v="2"/>
    <s v="I-5 HOV NB"/>
    <n v="8"/>
    <n v="1"/>
    <s v="DEL MAR HEIGHTS"/>
    <s v="VIA DE LA VALLE"/>
    <n v="4350"/>
    <n v="5962.09375"/>
    <n v="0.37059626436781601"/>
    <n v="2598846.2587890625"/>
    <n v="0"/>
    <n v="455"/>
    <s v="PeMS2016"/>
  </r>
  <r>
    <n v="2"/>
    <x v="1"/>
    <x v="331"/>
    <n v="1"/>
    <n v="1"/>
    <s v="I-15 NB"/>
    <n v="1"/>
    <n v="0"/>
    <s v="I-5 NB"/>
    <s v="OCEAN VIEW"/>
    <n v="13149"/>
    <n v="18554.042968999998"/>
    <n v="0.41106114297665219"/>
    <n v="29214489.496736318"/>
    <n v="0"/>
    <n v="357"/>
    <s v="Caltran"/>
  </r>
  <r>
    <n v="2"/>
    <x v="1"/>
    <x v="332"/>
    <n v="1"/>
    <n v="1"/>
    <s v="I-15 NB"/>
    <n v="2"/>
    <n v="0"/>
    <s v="OCEAN VIEW"/>
    <s v="OCEAN VIEW"/>
    <n v="13795"/>
    <n v="17869.894531000002"/>
    <n v="0.29538923747734702"/>
    <n v="16604765.438773723"/>
    <n v="0"/>
    <n v="456"/>
    <s v="PeMS2016"/>
  </r>
  <r>
    <n v="2"/>
    <x v="1"/>
    <x v="333"/>
    <n v="1"/>
    <n v="1"/>
    <s v="I-15 NB"/>
    <n v="3"/>
    <n v="0"/>
    <s v="OCEAN VIEW"/>
    <s v="IMPERIAL"/>
    <n v="15197"/>
    <n v="19397.427734000001"/>
    <n v="0.27639848220043439"/>
    <n v="17643593.148556381"/>
    <n v="0"/>
    <n v="356"/>
    <s v="PeMS2016"/>
  </r>
  <r>
    <n v="2"/>
    <x v="1"/>
    <x v="334"/>
    <n v="1"/>
    <n v="1"/>
    <s v="I-15 NB"/>
    <n v="5"/>
    <n v="0"/>
    <n v="0"/>
    <s v="MARKET"/>
    <n v="16609"/>
    <n v="20433.730468999998"/>
    <n v="0.23028059901258335"/>
    <n v="14628563.160496946"/>
    <n v="0"/>
    <n v="355"/>
    <s v="Caltran"/>
  </r>
  <r>
    <n v="2"/>
    <x v="1"/>
    <x v="335"/>
    <n v="1"/>
    <n v="1"/>
    <s v="I-15 NB"/>
    <n v="8"/>
    <n v="0"/>
    <s v="SR-94 EB"/>
    <s v="I-805 NB"/>
    <n v="14799"/>
    <n v="18744.759765999999"/>
    <n v="0.26662340468950596"/>
    <n v="15569020.130984368"/>
    <n v="0"/>
    <n v="457"/>
    <s v="PeMS2016"/>
  </r>
  <r>
    <n v="2"/>
    <x v="1"/>
    <x v="336"/>
    <n v="1"/>
    <n v="1"/>
    <s v="I-15 NB"/>
    <n v="12"/>
    <n v="0"/>
    <s v="I-805 NB"/>
    <s v="40TH"/>
    <n v="20164"/>
    <n v="24511.71875"/>
    <n v="0.21561787095814333"/>
    <n v="18902658.329101563"/>
    <n v="0"/>
    <n v="458"/>
    <s v="PeMS2016"/>
  </r>
  <r>
    <n v="2"/>
    <x v="1"/>
    <x v="337"/>
    <n v="1"/>
    <n v="1"/>
    <s v="I-15 NB"/>
    <n v="16"/>
    <n v="0"/>
    <s v="EL CAJON"/>
    <s v="EL CAJON"/>
    <n v="15852"/>
    <n v="21529.166015999999"/>
    <n v="0.35813563058289177"/>
    <n v="32230213.973225303"/>
    <n v="0"/>
    <n v="459"/>
    <s v="PeMS2016"/>
  </r>
  <r>
    <n v="2"/>
    <x v="1"/>
    <x v="338"/>
    <n v="1"/>
    <n v="1"/>
    <s v="I-15 NB"/>
    <n v="2"/>
    <n v="0"/>
    <s v="ADAMS"/>
    <s v="ADAMS"/>
    <n v="18184"/>
    <n v="21536.648438"/>
    <n v="0.1843735392652881"/>
    <n v="11240251.548823841"/>
    <n v="0"/>
    <n v="460"/>
    <s v="PeMS2016"/>
  </r>
  <r>
    <n v="2"/>
    <x v="1"/>
    <x v="339"/>
    <n v="1"/>
    <n v="1"/>
    <s v="I-15 NB"/>
    <n v="6"/>
    <n v="0"/>
    <s v="I-8 EB"/>
    <s v="I-8 EB"/>
    <n v="17236"/>
    <n v="16837.259765999999"/>
    <n v="-2.3134151427245397E-2"/>
    <n v="158993.77421037538"/>
    <n v="0"/>
    <n v="449"/>
    <s v="PeMS2016"/>
  </r>
  <r>
    <n v="2"/>
    <x v="1"/>
    <x v="340"/>
    <n v="1"/>
    <n v="1"/>
    <s v="I-15 NB"/>
    <n v="8"/>
    <n v="0"/>
    <s v="I-8 EB"/>
    <s v="I-8 EB"/>
    <n v="16271"/>
    <n v="21360.294922000001"/>
    <n v="0.31278316772171344"/>
    <n v="25900922.803094994"/>
    <n v="0"/>
    <n v="364"/>
    <s v="PeMS2016"/>
  </r>
  <r>
    <n v="2"/>
    <x v="1"/>
    <x v="341"/>
    <n v="1"/>
    <n v="1"/>
    <s v="I-15 NB"/>
    <n v="10"/>
    <n v="0"/>
    <s v="I-8 WB"/>
    <s v="FRIARS"/>
    <n v="21966"/>
    <n v="29934.923827999999"/>
    <n v="0.36278447728307373"/>
    <n v="63503746.976466157"/>
    <n v="0"/>
    <n v="447"/>
    <s v="Caltran"/>
  </r>
  <r>
    <n v="2"/>
    <x v="1"/>
    <x v="342"/>
    <n v="1"/>
    <n v="1"/>
    <s v="I-15 NB"/>
    <n v="11"/>
    <n v="0"/>
    <s v="FRIARS"/>
    <s v="FRIARS"/>
    <n v="17640"/>
    <n v="23573.1875"/>
    <n v="0.33634849773242625"/>
    <n v="35202713.91015625"/>
    <n v="0"/>
    <n v="450"/>
    <s v="PeMS2016"/>
  </r>
  <r>
    <n v="2"/>
    <x v="1"/>
    <x v="343"/>
    <n v="1"/>
    <n v="1"/>
    <s v="I-15 NB"/>
    <n v="12"/>
    <n v="0"/>
    <s v="FRIARS"/>
    <s v="STONECREST"/>
    <n v="21823"/>
    <n v="27071.931640999999"/>
    <n v="0.24052291806809323"/>
    <n v="27551283.371890943"/>
    <n v="0"/>
    <n v="354"/>
    <s v="PeMS2016"/>
  </r>
  <r>
    <n v="2"/>
    <x v="1"/>
    <x v="344"/>
    <n v="1"/>
    <n v="1"/>
    <s v="I-15 NB"/>
    <n v="13"/>
    <n v="0"/>
    <s v="STONECREST"/>
    <s v="AERO"/>
    <n v="17693"/>
    <n v="23501.767577999999"/>
    <n v="0.32830879884700148"/>
    <n v="33741780.775223978"/>
    <n v="0"/>
    <n v="424"/>
    <s v="PeMS2016"/>
  </r>
  <r>
    <n v="2"/>
    <x v="1"/>
    <x v="345"/>
    <n v="1"/>
    <n v="1"/>
    <s v="I-15 NB"/>
    <n v="14"/>
    <n v="0"/>
    <s v="AERO"/>
    <s v="BALBOA"/>
    <n v="19558"/>
    <n v="25353"/>
    <n v="0.29629818999897739"/>
    <n v="33582025"/>
    <n v="0"/>
    <n v="585"/>
    <s v="PeMS2016"/>
  </r>
  <r>
    <n v="2"/>
    <x v="1"/>
    <x v="346"/>
    <n v="1"/>
    <n v="1"/>
    <s v="I-15 NB"/>
    <n v="15"/>
    <n v="0"/>
    <s v="BALBOA"/>
    <s v="BALBOA"/>
    <n v="16940"/>
    <n v="21240.037109000001"/>
    <n v="0.25383926263282186"/>
    <n v="18490319.138777085"/>
    <n v="0"/>
    <n v="573"/>
    <s v="PeMS2016"/>
  </r>
  <r>
    <n v="2"/>
    <x v="1"/>
    <x v="347"/>
    <n v="1"/>
    <n v="1"/>
    <s v="I-15 NB"/>
    <n v="18"/>
    <n v="0"/>
    <s v="BALBOA"/>
    <s v="CLAIREMONT MESA"/>
    <n v="19575"/>
    <n v="23909.515625"/>
    <n v="0.22143119412515966"/>
    <n v="18788025.703369141"/>
    <n v="0"/>
    <n v="282"/>
    <s v="PeMS2016"/>
  </r>
  <r>
    <n v="2"/>
    <x v="1"/>
    <x v="348"/>
    <n v="1"/>
    <n v="1"/>
    <s v="I-15 NB"/>
    <n v="19"/>
    <n v="0"/>
    <s v="CLAIREMONT MESA"/>
    <s v="CLAIREMONT MESA"/>
    <n v="15340"/>
    <n v="21932.765625"/>
    <n v="0.42977611636245117"/>
    <n v="43464558.586181641"/>
    <n v="0"/>
    <n v="527"/>
    <s v="PeMS2016"/>
  </r>
  <r>
    <n v="2"/>
    <x v="1"/>
    <x v="349"/>
    <n v="1"/>
    <n v="1"/>
    <s v="I-15 NB"/>
    <n v="20"/>
    <n v="0"/>
    <s v="SR-52 EB"/>
    <s v="SR-52 WB"/>
    <n v="17202"/>
    <n v="19608.105468999998"/>
    <n v="0.13987358847808373"/>
    <n v="5789343.5279517015"/>
    <n v="0"/>
    <n v="283"/>
    <s v="PeMS2016"/>
  </r>
  <r>
    <n v="2"/>
    <x v="1"/>
    <x v="350"/>
    <n v="1"/>
    <n v="1"/>
    <s v="I-15 NB"/>
    <n v="22"/>
    <n v="0"/>
    <s v="SR-52 WB"/>
    <s v="I-15 HOV NB"/>
    <n v="17983"/>
    <n v="31245.378906000002"/>
    <n v="0.73749535149863776"/>
    <n v="175890694.24631381"/>
    <n v="0"/>
    <n v="284"/>
    <s v="PeMS2016"/>
  </r>
  <r>
    <n v="2"/>
    <x v="1"/>
    <x v="351"/>
    <n v="1"/>
    <n v="1"/>
    <s v="I-15 NB"/>
    <n v="23"/>
    <n v="0"/>
    <s v="I-15 HOV NB"/>
    <s v="SR-163 NB"/>
    <n v="28908"/>
    <n v="25285.912109000001"/>
    <n v="-0.1252970766223882"/>
    <n v="13119520.690128822"/>
    <n v="0"/>
    <n v="526"/>
    <s v="PeMS2016"/>
  </r>
  <r>
    <n v="2"/>
    <x v="1"/>
    <x v="352"/>
    <n v="1"/>
    <n v="1"/>
    <s v="I-15 NB"/>
    <n v="24"/>
    <n v="0"/>
    <s v="SR-163 NB"/>
    <s v="MIRAMAR WAY"/>
    <n v="36352"/>
    <n v="45436.929687999997"/>
    <n v="0.24991553939260558"/>
    <n v="82535947.435903713"/>
    <n v="0"/>
    <n v="171"/>
    <s v="PeMS2016"/>
  </r>
  <r>
    <n v="2"/>
    <x v="1"/>
    <x v="353"/>
    <n v="1"/>
    <n v="1"/>
    <s v="I-15 NB"/>
    <n v="26"/>
    <n v="0"/>
    <s v="MIRAMAR WAY"/>
    <s v="MIRAMAR WAY"/>
    <n v="33562"/>
    <n v="44456.273437999997"/>
    <n v="0.32460143728025725"/>
    <n v="118685193.74191226"/>
    <n v="0"/>
    <n v="607"/>
    <s v="PeMS2016"/>
  </r>
  <r>
    <n v="2"/>
    <x v="1"/>
    <x v="354"/>
    <n v="1"/>
    <n v="1"/>
    <s v="I-15 NB"/>
    <n v="27"/>
    <n v="0"/>
    <s v="MIRAMAR WAY"/>
    <s v="POMERADO"/>
    <n v="30190"/>
    <n v="44996.722655999998"/>
    <n v="0.49045123073865504"/>
    <n v="219239035.81170365"/>
    <n v="0"/>
    <n v="170"/>
    <s v="PeMS2016"/>
  </r>
  <r>
    <n v="2"/>
    <x v="1"/>
    <x v="355"/>
    <n v="1"/>
    <n v="1"/>
    <s v="I-15 NB"/>
    <n v="28"/>
    <n v="0"/>
    <s v="POMERADO"/>
    <s v="POMERADO"/>
    <n v="32473"/>
    <n v="39932.179687999997"/>
    <n v="0.22970405222800472"/>
    <n v="55639361.617871724"/>
    <n v="0"/>
    <n v="101"/>
    <s v="PeMS2016"/>
  </r>
  <r>
    <n v="2"/>
    <x v="1"/>
    <x v="356"/>
    <n v="1"/>
    <n v="1"/>
    <s v="I-15 NB"/>
    <n v="32"/>
    <n v="0"/>
    <s v="CARROLL CANYON"/>
    <s v="CARROLL CANYON"/>
    <n v="32601"/>
    <n v="40934.28125"/>
    <n v="0.25561428330419322"/>
    <n v="69443576.391601563"/>
    <n v="0"/>
    <n v="352"/>
    <s v="PeMS2016"/>
  </r>
  <r>
    <n v="2"/>
    <x v="1"/>
    <x v="357"/>
    <n v="1"/>
    <n v="1"/>
    <s v="I-15 NB"/>
    <n v="33"/>
    <n v="0"/>
    <s v="CARROLL CANYON"/>
    <s v="MIRA MESA"/>
    <n v="35698"/>
    <n v="42583.855469000002"/>
    <n v="0.19289191184380083"/>
    <n v="47415005.539957233"/>
    <n v="0"/>
    <n v="351"/>
    <s v="PeMS2016"/>
  </r>
  <r>
    <n v="2"/>
    <x v="1"/>
    <x v="358"/>
    <n v="1"/>
    <n v="1"/>
    <s v="I-15 NB"/>
    <n v="34"/>
    <n v="0"/>
    <s v="MIRA MESA"/>
    <s v="MIRA MESA"/>
    <n v="29575"/>
    <n v="38712.15625"/>
    <n v="0.30894864750633988"/>
    <n v="83487624.336914063"/>
    <n v="0"/>
    <n v="464"/>
    <s v="SANDAG"/>
  </r>
  <r>
    <n v="2"/>
    <x v="1"/>
    <x v="359"/>
    <n v="1"/>
    <n v="1"/>
    <s v="I-15 NB"/>
    <n v="35"/>
    <n v="0"/>
    <s v="MIRA MESA"/>
    <s v="MIRA MESA"/>
    <n v="29565"/>
    <n v="38480.796875"/>
    <n v="0.30156593522746489"/>
    <n v="79491433.916259766"/>
    <n v="0"/>
    <n v="463"/>
    <s v="PeMS2016"/>
  </r>
  <r>
    <n v="2"/>
    <x v="1"/>
    <x v="360"/>
    <n v="1"/>
    <n v="1"/>
    <s v="I-15 NB"/>
    <n v="37"/>
    <n v="0"/>
    <s v="MIRA MESA"/>
    <s v="MERCY"/>
    <n v="31407"/>
    <n v="43489.957030999998"/>
    <n v="0.38472178275543656"/>
    <n v="145997850.61299229"/>
    <n v="0"/>
    <n v="113"/>
    <s v="PeMS2016"/>
  </r>
  <r>
    <n v="2"/>
    <x v="1"/>
    <x v="361"/>
    <n v="1"/>
    <n v="1"/>
    <s v="I-15 NB"/>
    <n v="38"/>
    <n v="0"/>
    <s v="MERCY"/>
    <s v="MERCY"/>
    <n v="30988"/>
    <n v="39695.21875"/>
    <n v="0.28098679327481602"/>
    <n v="75815658.360351563"/>
    <n v="0"/>
    <n v="349"/>
    <s v="PeMS2016"/>
  </r>
  <r>
    <n v="2"/>
    <x v="1"/>
    <x v="362"/>
    <n v="1"/>
    <n v="1"/>
    <s v="I-15 NB"/>
    <n v="40"/>
    <n v="0"/>
    <s v="POWAY"/>
    <s v="POWAY"/>
    <n v="27642"/>
    <n v="33039.964844000002"/>
    <n v="0.19528126922798639"/>
    <n v="29138024.457059965"/>
    <n v="0"/>
    <n v="92"/>
    <s v="PeMS2016"/>
  </r>
  <r>
    <n v="2"/>
    <x v="1"/>
    <x v="363"/>
    <n v="1"/>
    <n v="1"/>
    <s v="I-15 NB"/>
    <n v="42"/>
    <n v="0"/>
    <s v="POWAY"/>
    <s v="I-15 HOV NB"/>
    <n v="28826"/>
    <n v="33945.460937999997"/>
    <n v="0.17759872816207589"/>
    <n v="26208880.295707803"/>
    <n v="0"/>
    <n v="686"/>
    <s v="SANDAG"/>
  </r>
  <r>
    <n v="2"/>
    <x v="1"/>
    <x v="364"/>
    <n v="1"/>
    <n v="1"/>
    <s v="I-15 NB"/>
    <n v="44"/>
    <n v="0"/>
    <s v="SR-56 EB"/>
    <s v="SR-56 WB"/>
    <n v="25764"/>
    <n v="30967.765625"/>
    <n v="0.20197817206179169"/>
    <n v="27079176.679931641"/>
    <n v="0"/>
    <n v="89"/>
    <s v="PeMS2016"/>
  </r>
  <r>
    <n v="2"/>
    <x v="1"/>
    <x v="365"/>
    <n v="1"/>
    <n v="1"/>
    <s v="I-15 NB"/>
    <n v="48"/>
    <n v="0"/>
    <s v="CARMEL MTN"/>
    <s v="CARMEL MTN"/>
    <n v="26402"/>
    <n v="32506.59375"/>
    <n v="0.23121709529581103"/>
    <n v="37266064.852539063"/>
    <n v="0"/>
    <n v="112"/>
    <s v="PeMS2016"/>
  </r>
  <r>
    <n v="2"/>
    <x v="1"/>
    <x v="366"/>
    <n v="1"/>
    <n v="1"/>
    <s v="I-15 NB"/>
    <n v="49"/>
    <n v="0"/>
    <s v="CARMEL MTN"/>
    <s v="CAM DEL NORTE"/>
    <n v="28364"/>
    <n v="34559.582030999998"/>
    <n v="0.21843118146241713"/>
    <n v="38385236.702850059"/>
    <n v="0"/>
    <n v="216"/>
    <s v="PeMS2016"/>
  </r>
  <r>
    <n v="2"/>
    <x v="1"/>
    <x v="367"/>
    <n v="1"/>
    <n v="1"/>
    <s v="I-15 NB"/>
    <n v="50"/>
    <n v="0"/>
    <s v="CAM DEL NORTE"/>
    <s v="CAM DEL NORTE"/>
    <n v="24337"/>
    <n v="30733.279297000001"/>
    <n v="0.26282118983440861"/>
    <n v="40912388.845230825"/>
    <n v="0"/>
    <n v="215"/>
    <s v="PeMS2016"/>
  </r>
  <r>
    <n v="2"/>
    <x v="1"/>
    <x v="368"/>
    <n v="1"/>
    <n v="1"/>
    <s v="I-15 NB"/>
    <n v="52"/>
    <n v="0"/>
    <s v="CAM DEL NORTE"/>
    <s v="BERNARDO CENTER"/>
    <n v="28835"/>
    <n v="33523.140625"/>
    <n v="0.16258507456216398"/>
    <n v="21978662.519775391"/>
    <n v="0"/>
    <n v="572"/>
    <s v="PeMS2016"/>
  </r>
  <r>
    <n v="2"/>
    <x v="1"/>
    <x v="369"/>
    <n v="1"/>
    <n v="1"/>
    <s v="I-15 NB"/>
    <n v="53"/>
    <n v="0"/>
    <s v="BERNARDO CENTER"/>
    <s v="BERNARDO CENTER"/>
    <n v="24137"/>
    <n v="31013.923827999999"/>
    <n v="0.28491211948460871"/>
    <n v="47292081.336114161"/>
    <n v="0"/>
    <n v="214"/>
    <s v="PeMS2016"/>
  </r>
  <r>
    <n v="2"/>
    <x v="1"/>
    <x v="370"/>
    <n v="1"/>
    <n v="1"/>
    <s v="I-15 NB"/>
    <n v="54"/>
    <n v="0"/>
    <s v="BERNARDO CENTER"/>
    <s v="RANCHO BERNARDO"/>
    <n v="27093"/>
    <n v="32644.353515999999"/>
    <n v="0.20489991938877194"/>
    <n v="30817525.859605554"/>
    <n v="0"/>
    <n v="213"/>
    <s v="PeMS2016"/>
  </r>
  <r>
    <n v="2"/>
    <x v="1"/>
    <x v="371"/>
    <n v="1"/>
    <n v="1"/>
    <s v="I-15 NB"/>
    <n v="55"/>
    <n v="0"/>
    <s v="RANCHO BERNARDO"/>
    <s v="RANCHO BERNARDO"/>
    <n v="26992"/>
    <n v="29717.554688"/>
    <n v="0.10097638885595739"/>
    <n v="7428648.3572787782"/>
    <n v="0"/>
    <n v="574"/>
    <s v="SANDAG"/>
  </r>
  <r>
    <n v="2"/>
    <x v="1"/>
    <x v="372"/>
    <n v="1"/>
    <n v="1"/>
    <s v="I-15 NB"/>
    <n v="56"/>
    <n v="0"/>
    <s v="RANCHO BERNARDO"/>
    <s v="RANCHO BERNARDO"/>
    <n v="26769"/>
    <n v="32120.431640999999"/>
    <n v="0.19991152605625917"/>
    <n v="28637820.608295944"/>
    <n v="0"/>
    <n v="212"/>
    <s v="PeMS2016"/>
  </r>
  <r>
    <n v="2"/>
    <x v="1"/>
    <x v="373"/>
    <n v="1"/>
    <n v="1"/>
    <s v="I-15 NB"/>
    <n v="58"/>
    <n v="1"/>
    <s v="RANCHO BERNARDO"/>
    <s v="POMERADO"/>
    <n v="29783"/>
    <n v="33736.074219000002"/>
    <n v="0.13272921529060211"/>
    <n v="15626795.780922474"/>
    <n v="0"/>
    <n v="575"/>
    <s v="PeMS2016"/>
  </r>
  <r>
    <n v="2"/>
    <x v="1"/>
    <x v="374"/>
    <n v="1"/>
    <n v="1"/>
    <s v="I-15 NB"/>
    <n v="59"/>
    <n v="0"/>
    <s v="RANCHO BERNARDO"/>
    <s v="POMERADO"/>
    <n v="28594"/>
    <n v="34795.949219000002"/>
    <n v="0.21689687413443393"/>
    <n v="38464174.115054734"/>
    <n v="0"/>
    <n v="211"/>
    <s v="PeMS2016"/>
  </r>
  <r>
    <n v="2"/>
    <x v="1"/>
    <x v="375"/>
    <n v="1"/>
    <n v="1"/>
    <s v="I-15 NB"/>
    <n v="60"/>
    <n v="0"/>
    <s v="POMERADO"/>
    <s v="POMERADO"/>
    <n v="28063"/>
    <n v="33639.695312000003"/>
    <n v="0.19872056843530639"/>
    <n v="31099530.602882817"/>
    <n v="0"/>
    <n v="576"/>
    <s v="PeMS2016"/>
  </r>
  <r>
    <n v="2"/>
    <x v="1"/>
    <x v="376"/>
    <n v="1"/>
    <n v="1"/>
    <s v="I-15 NB"/>
    <n v="61"/>
    <n v="0"/>
    <s v="POMERADO"/>
    <s v="VIA RANCHO"/>
    <n v="31840"/>
    <n v="36329.992187999997"/>
    <n v="0.14101734258793952"/>
    <n v="20160029.848300997"/>
    <n v="0"/>
    <n v="667"/>
    <s v="PeMS2016"/>
  </r>
  <r>
    <n v="2"/>
    <x v="1"/>
    <x v="377"/>
    <n v="1"/>
    <n v="1"/>
    <s v="I-15 NB"/>
    <n v="63"/>
    <n v="0"/>
    <s v="VIA RANCHO"/>
    <s v="VIA RANCHO"/>
    <n v="26470"/>
    <n v="32537.75"/>
    <n v="0.22923120513789197"/>
    <n v="36817590.0625"/>
    <n v="0"/>
    <n v="109"/>
    <s v="PeMS2016"/>
  </r>
  <r>
    <n v="2"/>
    <x v="1"/>
    <x v="378"/>
    <n v="1"/>
    <n v="1"/>
    <s v="I-15 NB"/>
    <n v="66"/>
    <n v="0"/>
    <s v="CENTRE CITY"/>
    <s v="CITRACADO"/>
    <n v="22650"/>
    <n v="26809.587890999999"/>
    <n v="0.18364626450331123"/>
    <n v="17302171.422953822"/>
    <n v="0"/>
    <n v="669"/>
    <s v="PeMS2016"/>
  </r>
  <r>
    <n v="2"/>
    <x v="1"/>
    <x v="379"/>
    <n v="1"/>
    <n v="1"/>
    <s v="I-15 NB"/>
    <n v="68"/>
    <n v="0"/>
    <s v="CITRACADO"/>
    <s v="CITRACADO"/>
    <n v="26201"/>
    <n v="29579.943359000001"/>
    <n v="0.12896238155032247"/>
    <n v="11417258.223330209"/>
    <n v="0"/>
    <n v="108"/>
    <s v="SANDAG"/>
  </r>
  <r>
    <n v="2"/>
    <x v="1"/>
    <x v="380"/>
    <n v="1"/>
    <n v="1"/>
    <s v="I-15 NB"/>
    <n v="70"/>
    <n v="0"/>
    <s v="CITRACADO"/>
    <s v="09TH"/>
    <n v="25479"/>
    <n v="30023.519531000002"/>
    <n v="0.17836333965226281"/>
    <n v="20652657.767640475"/>
    <n v="0"/>
    <n v="671"/>
    <s v="PeMS2016"/>
  </r>
  <r>
    <n v="2"/>
    <x v="1"/>
    <x v="381"/>
    <n v="1"/>
    <n v="1"/>
    <s v="I-15 NB"/>
    <n v="71"/>
    <n v="0"/>
    <s v="09TH"/>
    <s v="09TH"/>
    <n v="25100"/>
    <n v="28008.777343999998"/>
    <n v="0.11588754358565723"/>
    <n v="8460985.6369676851"/>
    <n v="0"/>
    <n v="468"/>
    <s v="PeMS2016"/>
  </r>
  <r>
    <n v="2"/>
    <x v="1"/>
    <x v="382"/>
    <n v="1"/>
    <n v="1"/>
    <s v="I-15 NB"/>
    <n v="72"/>
    <n v="0"/>
    <s v="09TH"/>
    <s v="VALLEY"/>
    <n v="21239"/>
    <n v="29044.328125"/>
    <n v="0.3674997940110174"/>
    <n v="60923147.138916016"/>
    <n v="0"/>
    <n v="342"/>
    <s v="Caltran"/>
  </r>
  <r>
    <n v="2"/>
    <x v="1"/>
    <x v="383"/>
    <n v="1"/>
    <n v="1"/>
    <s v="I-15 NB"/>
    <n v="73"/>
    <n v="0"/>
    <s v="VALLEY"/>
    <s v="VALLEY"/>
    <n v="25689"/>
    <n v="27098.158202999999"/>
    <n v="5.4854537078126819E-2"/>
    <n v="1985726.8410821864"/>
    <n v="0"/>
    <n v="747"/>
    <s v="PeMS2016"/>
  </r>
  <r>
    <n v="2"/>
    <x v="1"/>
    <x v="384"/>
    <n v="1"/>
    <n v="1"/>
    <s v="I-15 NB"/>
    <n v="76"/>
    <n v="0"/>
    <s v="SR-78 WB"/>
    <s v="SR-78 EB"/>
    <n v="19188"/>
    <n v="17664.904297000001"/>
    <n v="-7.9377512143006035E-2"/>
    <n v="2319820.5204970613"/>
    <n v="0"/>
    <n v="16"/>
    <s v="PeMS2016"/>
  </r>
  <r>
    <n v="2"/>
    <x v="1"/>
    <x v="385"/>
    <n v="1"/>
    <n v="1"/>
    <s v="I-15 NB"/>
    <n v="79"/>
    <n v="0"/>
    <s v="EL NORTE"/>
    <s v="EL NORTE"/>
    <n v="17365"/>
    <n v="17158.490234000001"/>
    <n v="-1.1892298646703048E-2"/>
    <n v="42646.283453374432"/>
    <n v="0"/>
    <n v="745"/>
    <s v="PeMS2016"/>
  </r>
  <r>
    <n v="2"/>
    <x v="1"/>
    <x v="386"/>
    <n v="1"/>
    <n v="1"/>
    <s v="I-15 NB"/>
    <n v="80"/>
    <n v="1"/>
    <s v="EL NORTE"/>
    <s v="CENTRE CITY"/>
    <n v="19536"/>
    <n v="18405.800781000002"/>
    <n v="-5.7852130374692834E-2"/>
    <n v="1277350.2746282062"/>
    <n v="0"/>
    <n v="17"/>
    <s v="PeMS2016"/>
  </r>
  <r>
    <n v="2"/>
    <x v="1"/>
    <x v="387"/>
    <n v="1"/>
    <n v="1"/>
    <s v="I-15 NB"/>
    <n v="83"/>
    <n v="1"/>
    <s v="CENTRE CITY"/>
    <s v="DEER SPRINGS"/>
    <n v="20545"/>
    <n v="19877.898438"/>
    <n v="-3.2470263421757073E-2"/>
    <n v="445024.49402283964"/>
    <n v="0"/>
    <n v="18"/>
    <s v="PeMS2016"/>
  </r>
  <r>
    <n v="2"/>
    <x v="1"/>
    <x v="388"/>
    <n v="1"/>
    <n v="1"/>
    <s v="I-15 NB"/>
    <n v="84"/>
    <n v="0"/>
    <s v="DEER SPRINGS"/>
    <s v="DEER SPRINGS"/>
    <n v="14601"/>
    <n v="18797.330077999999"/>
    <n v="0.28740018341209495"/>
    <n v="17609186.123527478"/>
    <n v="0"/>
    <n v="744"/>
    <s v="PeMS2016"/>
  </r>
  <r>
    <n v="2"/>
    <x v="1"/>
    <x v="389"/>
    <n v="1"/>
    <n v="1"/>
    <s v="I-15 NB"/>
    <n v="85"/>
    <n v="3"/>
    <s v="DEER SPRINGS"/>
    <s v="GOPHER CANYON"/>
    <n v="20665"/>
    <n v="20315.898438"/>
    <n v="-1.6893373433341408E-2"/>
    <n v="121871.90059083972"/>
    <n v="0"/>
    <n v="19"/>
    <s v="Caltran"/>
  </r>
  <r>
    <n v="2"/>
    <x v="1"/>
    <x v="390"/>
    <n v="1"/>
    <n v="1"/>
    <s v="I-15 NB"/>
    <n v="91"/>
    <n v="0"/>
    <s v="PALA"/>
    <s v="PALA"/>
    <n v="19555"/>
    <n v="16794.769531000002"/>
    <n v="-0.14115215898747113"/>
    <n v="7618872.2419959502"/>
    <n v="0"/>
    <n v="20"/>
    <s v="Caltran"/>
  </r>
  <r>
    <n v="2"/>
    <x v="1"/>
    <x v="391"/>
    <n v="1"/>
    <n v="1"/>
    <s v="I-15 NB"/>
    <n v="93"/>
    <n v="1"/>
    <s v="PALA"/>
    <s v="STEWART CANYON"/>
    <n v="14064"/>
    <n v="18164.095702999999"/>
    <n v="0.29153126443401578"/>
    <n v="16810784.773759056"/>
    <n v="0"/>
    <n v="157"/>
    <s v="PeMS2016"/>
  </r>
  <r>
    <n v="2"/>
    <x v="1"/>
    <x v="392"/>
    <n v="1"/>
    <n v="1"/>
    <s v="I-15 NB"/>
    <n v="97"/>
    <n v="2"/>
    <s v="MISSION"/>
    <s v="RAINBOW VALLEY WEST"/>
    <n v="17544"/>
    <n v="17436.033202999999"/>
    <n v="-6.1540581965344732E-3"/>
    <n v="11656.829254439415"/>
    <n v="0"/>
    <n v="478"/>
    <s v="PeMS2016"/>
  </r>
  <r>
    <n v="29"/>
    <x v="1"/>
    <x v="393"/>
    <n v="1"/>
    <n v="2"/>
    <s v="I-15 HOV NB"/>
    <n v="2"/>
    <n v="0"/>
    <s v="SR-163 NB"/>
    <s v="SR-163"/>
    <n v="6812"/>
    <n v="9642.2431639999995"/>
    <n v="0.41547903170874911"/>
    <n v="8010276.3673687279"/>
    <n v="0"/>
    <n v="477"/>
    <s v="PeMS2016"/>
  </r>
  <r>
    <n v="29"/>
    <x v="1"/>
    <x v="394"/>
    <n v="1"/>
    <n v="2"/>
    <s v="I-15 HOV NB"/>
    <n v="3"/>
    <n v="1"/>
    <s v="SR-163 NB"/>
    <s v="SR-163"/>
    <n v="8034"/>
    <n v="9712.640625"/>
    <n v="0.20894207430918588"/>
    <n v="2817834.3479003906"/>
    <n v="0"/>
    <n v="107"/>
    <s v="SANDAG"/>
  </r>
  <r>
    <n v="29"/>
    <x v="1"/>
    <x v="395"/>
    <n v="1"/>
    <n v="2"/>
    <s v="I-15 HOV NB"/>
    <n v="4"/>
    <n v="1"/>
    <s v="SR-163 NB"/>
    <s v="SR-163"/>
    <n v="8924"/>
    <n v="9327.5654300000006"/>
    <n v="4.5222482070820247E-2"/>
    <n v="162865.05629108535"/>
    <n v="0"/>
    <n v="673"/>
    <s v="PeMS2016"/>
  </r>
  <r>
    <n v="29"/>
    <x v="1"/>
    <x v="396"/>
    <n v="1"/>
    <n v="2"/>
    <s v="I-15 HOV NB"/>
    <n v="7"/>
    <n v="1"/>
    <s v="MIRA MESA"/>
    <s v="RANCHO PENASQUITOS"/>
    <n v="8857"/>
    <n v="9682.6972659999992"/>
    <n v="9.322538850626616E-2"/>
    <n v="681775.97507987346"/>
    <n v="0"/>
    <n v="106"/>
    <s v="PeMS2016"/>
  </r>
  <r>
    <n v="29"/>
    <x v="1"/>
    <x v="397"/>
    <n v="1"/>
    <n v="2"/>
    <s v="I-15 HOV NB"/>
    <n v="8"/>
    <n v="1"/>
    <s v="MIRA MESA"/>
    <s v="RANCHO PENASQUITOS"/>
    <n v="9658"/>
    <n v="9682.6972659999992"/>
    <n v="2.5571822323462445E-3"/>
    <n v="609.95494787471739"/>
    <n v="0"/>
    <n v="221"/>
    <s v="PeMS2016"/>
  </r>
  <r>
    <n v="29"/>
    <x v="1"/>
    <x v="398"/>
    <n v="1"/>
    <n v="2"/>
    <s v="I-15 HOV NB"/>
    <n v="12"/>
    <n v="2"/>
    <s v="SR-56 EB"/>
    <s v="CARMEL MTN"/>
    <n v="8158"/>
    <n v="9136.4882809999999"/>
    <n v="0.11994217712674682"/>
    <n v="957439.31605433475"/>
    <n v="0"/>
    <n v="571"/>
    <s v="PeMS2016"/>
  </r>
  <r>
    <n v="29"/>
    <x v="1"/>
    <x v="399"/>
    <n v="1"/>
    <n v="2"/>
    <s v="I-15 HOV NB"/>
    <n v="13"/>
    <n v="0"/>
    <s v="SR-56 EB"/>
    <s v="CARMEL MTN"/>
    <n v="7848"/>
    <n v="8813.7617190000001"/>
    <n v="0.12305832301223241"/>
    <n v="932695.69788583508"/>
    <n v="0"/>
    <n v="318"/>
    <s v="PeMS2016"/>
  </r>
  <r>
    <n v="29"/>
    <x v="1"/>
    <x v="400"/>
    <n v="1"/>
    <n v="2"/>
    <s v="I-15 HOV NB"/>
    <n v="14"/>
    <n v="0"/>
    <s v="CAM DEL NORTE"/>
    <s v="RANCHO BERNARDO"/>
    <n v="9271"/>
    <n v="8230.4082030000009"/>
    <n v="-0.11224159173767656"/>
    <n v="1082831.2879836874"/>
    <n v="0"/>
    <n v="332"/>
    <s v="PeMS2016"/>
  </r>
  <r>
    <n v="29"/>
    <x v="1"/>
    <x v="401"/>
    <n v="1"/>
    <n v="2"/>
    <s v="I-15 HOV NB"/>
    <n v="15"/>
    <n v="1"/>
    <s v="CAM DEL NORTE"/>
    <s v="RANCHO BERNARDO"/>
    <n v="8031"/>
    <n v="11116.642578000001"/>
    <n v="0.38421648337691461"/>
    <n v="9521190.1191664916"/>
    <n v="0"/>
    <n v="333"/>
    <s v="PeMS2016"/>
  </r>
  <r>
    <n v="29"/>
    <x v="1"/>
    <x v="402"/>
    <n v="1"/>
    <n v="2"/>
    <s v="I-15 HOV NB"/>
    <n v="16"/>
    <n v="0"/>
    <s v="CAM DEL NORTE"/>
    <s v="RANCHO BERNARDO"/>
    <n v="9947"/>
    <n v="10056.764648"/>
    <n v="1.1034950035186508E-2"/>
    <n v="12048.277950563972"/>
    <n v="0"/>
    <n v="335"/>
    <s v="PeMS2016"/>
  </r>
  <r>
    <n v="29"/>
    <x v="1"/>
    <x v="403"/>
    <n v="1"/>
    <n v="2"/>
    <s v="I-15 HOV NB"/>
    <n v="17"/>
    <n v="1"/>
    <s v="RANCHO BERNARDO"/>
    <s v="POMERADO"/>
    <n v="10052"/>
    <n v="10056.764648"/>
    <n v="4.7400000000008546E-4"/>
    <n v="22.701870563906922"/>
    <n v="0"/>
    <n v="709"/>
    <s v="PeMS2016"/>
  </r>
  <r>
    <n v="29"/>
    <x v="1"/>
    <x v="404"/>
    <n v="1"/>
    <n v="2"/>
    <s v="I-15 HOV NB"/>
    <n v="18"/>
    <n v="0"/>
    <s v="VIA RANCHO"/>
    <s v="VIA RANCHO"/>
    <n v="9971"/>
    <n v="8831.734375"/>
    <n v="-0.11425791044027678"/>
    <n v="1297926.1643066406"/>
    <n v="0"/>
    <n v="663"/>
    <s v="PeMS2016"/>
  </r>
  <r>
    <n v="29"/>
    <x v="1"/>
    <x v="405"/>
    <n v="1"/>
    <n v="2"/>
    <s v="I-15 HOV NB"/>
    <n v="19"/>
    <n v="1"/>
    <s v="VIA RANCHO"/>
    <s v="CITRACADO"/>
    <n v="9553"/>
    <n v="9763.4189449999994"/>
    <n v="2.202647806971636E-2"/>
    <n v="44276.13241491279"/>
    <n v="0"/>
    <n v="664"/>
    <s v="PeMS2016"/>
  </r>
  <r>
    <n v="29"/>
    <x v="1"/>
    <x v="406"/>
    <n v="1"/>
    <n v="2"/>
    <s v="I-15 HOV NB"/>
    <n v="20"/>
    <n v="2"/>
    <s v="VIA RANCHO"/>
    <s v="CITRACADO"/>
    <n v="6574"/>
    <n v="6289.7080079999996"/>
    <n v="-4.3244902951019237E-2"/>
    <n v="80821.93671532828"/>
    <n v="0"/>
    <n v="140"/>
    <s v="PeMS2016"/>
  </r>
  <r>
    <n v="29"/>
    <x v="1"/>
    <x v="407"/>
    <n v="1"/>
    <n v="2"/>
    <s v="I-15 HOV NB"/>
    <n v="21"/>
    <n v="0"/>
    <s v="VALLEY"/>
    <s v="SR-78"/>
    <n v="5329"/>
    <n v="5462.951172"/>
    <n v="2.5136267967723835E-2"/>
    <n v="17942.916480173597"/>
    <n v="0"/>
    <n v="506"/>
    <s v="PeMS2016"/>
  </r>
  <r>
    <n v="30"/>
    <x v="2"/>
    <x v="408"/>
    <n v="1"/>
    <n v="2"/>
    <s v="I-15 HOV SB"/>
    <n v="3"/>
    <n v="2"/>
    <s v="SR-78"/>
    <s v="VALLEY"/>
    <n v="2864"/>
    <n v="2576.515625"/>
    <n v="-0.10037862255586594"/>
    <n v="82647.265869140625"/>
    <n v="0"/>
    <n v="306"/>
    <s v="PeMS2016"/>
  </r>
  <r>
    <n v="30"/>
    <x v="2"/>
    <x v="409"/>
    <n v="1"/>
    <n v="2"/>
    <s v="I-15 HOV SB"/>
    <n v="4"/>
    <n v="1"/>
    <s v="CITRACADO"/>
    <s v="CITRACADO"/>
    <n v="3405"/>
    <n v="2672.876221"/>
    <n v="-0.21501432569750367"/>
    <n v="536005.22777724091"/>
    <n v="0"/>
    <n v="307"/>
    <s v="PeMS2016"/>
  </r>
  <r>
    <n v="30"/>
    <x v="2"/>
    <x v="410"/>
    <n v="1"/>
    <n v="2"/>
    <s v="I-15 HOV SB"/>
    <n v="5"/>
    <n v="0"/>
    <s v="VIA RANCHO"/>
    <s v="VIA RANCHO"/>
    <n v="2933"/>
    <n v="2260.2270509999998"/>
    <n v="-0.22938048039549952"/>
    <n v="452623.44090615679"/>
    <n v="0"/>
    <n v="308"/>
    <s v="PeMS2016"/>
  </r>
  <r>
    <n v="30"/>
    <x v="2"/>
    <x v="411"/>
    <n v="1"/>
    <n v="2"/>
    <s v="I-15 HOV SB"/>
    <n v="6"/>
    <n v="2"/>
    <s v="VIA RANCHO"/>
    <s v="VIA RANCHO"/>
    <n v="4115"/>
    <n v="3654.3554690000001"/>
    <n v="-0.11194277788578366"/>
    <n v="212193.3839402099"/>
    <n v="0"/>
    <n v="706"/>
    <s v="PeMS2016"/>
  </r>
  <r>
    <n v="30"/>
    <x v="2"/>
    <x v="412"/>
    <n v="1"/>
    <n v="2"/>
    <s v="I-15 HOV SB"/>
    <n v="9"/>
    <n v="1"/>
    <s v="RANCHO BERNARDO"/>
    <s v="CAM DEL NORTE"/>
    <n v="5672"/>
    <n v="3941.8483890000002"/>
    <n v="-0.30503378191114239"/>
    <n v="2993424.5970458947"/>
    <n v="0"/>
    <n v="72"/>
    <s v="PeMS2016"/>
  </r>
  <r>
    <n v="30"/>
    <x v="2"/>
    <x v="413"/>
    <n v="1"/>
    <n v="2"/>
    <s v="I-15 HOV SB"/>
    <n v="14"/>
    <n v="1"/>
    <s v="I-15 SB"/>
    <s v="RANCHO PENASQUITOS"/>
    <n v="5214"/>
    <n v="4912.2539059999999"/>
    <n v="-5.7872285001917878E-2"/>
    <n v="91050.705244256882"/>
    <n v="0"/>
    <n v="69"/>
    <s v="PeMS2016"/>
  </r>
  <r>
    <n v="30"/>
    <x v="2"/>
    <x v="414"/>
    <n v="1"/>
    <n v="2"/>
    <s v="I-15 HOV SB"/>
    <n v="15"/>
    <n v="1"/>
    <s v="I-15 SB"/>
    <s v="RANCHO PENASQUITOS"/>
    <n v="5376"/>
    <n v="4118.1098629999997"/>
    <n v="-0.23398254036458344"/>
    <n v="1582287.5967618795"/>
    <n v="0"/>
    <n v="708"/>
    <s v="PeMS2016"/>
  </r>
  <r>
    <n v="30"/>
    <x v="2"/>
    <x v="415"/>
    <n v="1"/>
    <n v="2"/>
    <s v="I-15 HOV SB"/>
    <n v="18"/>
    <n v="1"/>
    <s v="MIRA MESA"/>
    <s v="POMERADO"/>
    <n v="5183"/>
    <n v="5428.9711909999996"/>
    <n v="4.7457300983986039E-2"/>
    <n v="60501.826801958305"/>
    <n v="0"/>
    <n v="68"/>
    <s v="PeMS2016"/>
  </r>
  <r>
    <n v="9"/>
    <x v="2"/>
    <x v="416"/>
    <n v="1"/>
    <n v="1"/>
    <s v="I-15 SB"/>
    <n v="3"/>
    <n v="2"/>
    <s v="RAINBOW VALLEY WEST"/>
    <s v="MISSION"/>
    <n v="7958"/>
    <n v="14727.751953000001"/>
    <n v="0.85068509085197297"/>
    <n v="45829541.505147323"/>
    <n v="0"/>
    <n v="703"/>
    <s v="PeMS2016"/>
  </r>
  <r>
    <n v="9"/>
    <x v="2"/>
    <x v="417"/>
    <n v="1"/>
    <n v="1"/>
    <s v="I-15 SB"/>
    <n v="7"/>
    <n v="1"/>
    <s v="STEWART CANYON"/>
    <s v="PALA"/>
    <n v="7434"/>
    <n v="14480.724609000001"/>
    <n v="0.94790484382566587"/>
    <n v="49656327.715086214"/>
    <n v="0"/>
    <n v="75"/>
    <s v="PeMS2016"/>
  </r>
  <r>
    <n v="9"/>
    <x v="2"/>
    <x v="418"/>
    <n v="1"/>
    <n v="1"/>
    <s v="I-15 SB"/>
    <n v="8"/>
    <n v="0"/>
    <s v="PALA"/>
    <s v="PALA"/>
    <n v="10880"/>
    <n v="12195.829102"/>
    <n v="0.12094017481617647"/>
    <n v="1731406.2256701256"/>
    <n v="0"/>
    <n v="73"/>
    <s v="Caltran"/>
  </r>
  <r>
    <n v="9"/>
    <x v="2"/>
    <x v="419"/>
    <n v="1"/>
    <n v="1"/>
    <s v="I-15 SB"/>
    <n v="10"/>
    <n v="2"/>
    <s v="PALA"/>
    <s v="OLD 395"/>
    <n v="10056"/>
    <n v="13632.411133"/>
    <n v="0.35564947623309462"/>
    <n v="12790716.592246341"/>
    <n v="0"/>
    <n v="74"/>
    <s v="Caltran"/>
  </r>
  <r>
    <n v="9"/>
    <x v="2"/>
    <x v="420"/>
    <n v="1"/>
    <n v="1"/>
    <s v="I-15 SB"/>
    <n v="14"/>
    <n v="3"/>
    <s v="GOPHER CANYON"/>
    <s v="DEER SPRINGS"/>
    <n v="11506"/>
    <n v="13605.152344"/>
    <n v="0.18243980045193808"/>
    <n v="4406440.5633206945"/>
    <n v="0"/>
    <n v="705"/>
    <s v="PeMS2016"/>
  </r>
  <r>
    <n v="9"/>
    <x v="2"/>
    <x v="421"/>
    <n v="1"/>
    <n v="1"/>
    <s v="I-15 SB"/>
    <n v="16"/>
    <n v="1"/>
    <s v="DEER SPRINGS"/>
    <s v="CENTRE CITY"/>
    <n v="11431"/>
    <n v="12578.014648"/>
    <n v="0.10034245892747795"/>
    <n v="1315642.6027265645"/>
    <n v="0"/>
    <n v="44"/>
    <s v="PeMS2016"/>
  </r>
  <r>
    <n v="9"/>
    <x v="2"/>
    <x v="422"/>
    <n v="1"/>
    <n v="1"/>
    <s v="I-15 SB"/>
    <n v="19"/>
    <n v="1"/>
    <s v="CENTRE CITY"/>
    <s v="EL NORTE"/>
    <n v="8921"/>
    <n v="10564.071289"/>
    <n v="0.18418016915144042"/>
    <n v="2699683.2607361199"/>
    <n v="0"/>
    <n v="730"/>
    <s v="PeMS2016"/>
  </r>
  <r>
    <n v="9"/>
    <x v="2"/>
    <x v="423"/>
    <n v="1"/>
    <n v="1"/>
    <s v="I-15 SB"/>
    <n v="20"/>
    <n v="0"/>
    <s v="EL NORTE"/>
    <s v="EL NORTE"/>
    <n v="9672"/>
    <n v="10145.104492"/>
    <n v="4.8914856492969339E-2"/>
    <n v="223827.86035057844"/>
    <n v="0"/>
    <n v="43"/>
    <s v="PeMS2016"/>
  </r>
  <r>
    <n v="9"/>
    <x v="2"/>
    <x v="424"/>
    <n v="1"/>
    <n v="1"/>
    <s v="I-15 SB"/>
    <n v="22"/>
    <n v="0"/>
    <s v="SR-78 WB"/>
    <s v="SR-78 WB"/>
    <n v="12337"/>
    <n v="10345.674805000001"/>
    <n v="-0.16141081259625512"/>
    <n v="3965376.0322417859"/>
    <n v="0"/>
    <n v="733"/>
    <s v="PeMS2016"/>
  </r>
  <r>
    <n v="9"/>
    <x v="2"/>
    <x v="425"/>
    <n v="1"/>
    <n v="1"/>
    <s v="I-15 SB"/>
    <n v="23"/>
    <n v="0"/>
    <s v="SR-78 WB"/>
    <s v="SR-78 EB"/>
    <n v="12404"/>
    <n v="12606.211914"/>
    <n v="1.6302153660109564E-2"/>
    <n v="40889.658163543201"/>
    <n v="0"/>
    <n v="715"/>
    <s v="SANDAG"/>
  </r>
  <r>
    <n v="9"/>
    <x v="2"/>
    <x v="426"/>
    <n v="1"/>
    <n v="1"/>
    <s v="I-15 SB"/>
    <n v="26"/>
    <n v="0"/>
    <s v="VALLEY"/>
    <s v="VALLEY"/>
    <n v="18744"/>
    <n v="21829.029297000001"/>
    <n v="0.16458756386043549"/>
    <n v="9517405.7633483205"/>
    <n v="0"/>
    <n v="711"/>
    <s v="PeMS2016"/>
  </r>
  <r>
    <n v="9"/>
    <x v="2"/>
    <x v="427"/>
    <n v="1"/>
    <n v="1"/>
    <s v="I-15 SB"/>
    <n v="27"/>
    <n v="0"/>
    <s v="VALLEY"/>
    <s v="09TH"/>
    <n v="18909"/>
    <n v="22804.449218999998"/>
    <n v="0.206010324131366"/>
    <n v="15174524.617807696"/>
    <n v="0"/>
    <n v="217"/>
    <s v="Caltran"/>
  </r>
  <r>
    <n v="9"/>
    <x v="2"/>
    <x v="428"/>
    <n v="1"/>
    <n v="1"/>
    <s v="I-15 SB"/>
    <n v="28"/>
    <n v="0"/>
    <s v="09TH"/>
    <s v="09TH"/>
    <n v="16666"/>
    <n v="21718.832031000002"/>
    <n v="0.30318204914196589"/>
    <n v="25531111.533499602"/>
    <n v="0"/>
    <n v="53"/>
    <s v="PeMS2016"/>
  </r>
  <r>
    <n v="9"/>
    <x v="2"/>
    <x v="429"/>
    <n v="1"/>
    <n v="1"/>
    <s v="I-15 SB"/>
    <n v="31"/>
    <n v="0"/>
    <s v="CITRACADO"/>
    <s v="CITRACADO"/>
    <n v="19255"/>
    <n v="21684.171875"/>
    <n v="0.12615797844715648"/>
    <n v="5900875.9982910156"/>
    <n v="0"/>
    <n v="723"/>
    <s v="PeMS2016"/>
  </r>
  <r>
    <n v="9"/>
    <x v="2"/>
    <x v="430"/>
    <n v="1"/>
    <n v="1"/>
    <s v="I-15 SB"/>
    <n v="32"/>
    <n v="1"/>
    <s v="CITRACADO"/>
    <s v="CENTRE CITY"/>
    <n v="19724"/>
    <n v="22115.740234000001"/>
    <n v="0.12126040529304394"/>
    <n v="5720421.3469343781"/>
    <n v="0"/>
    <n v="722"/>
    <s v="PeMS2016"/>
  </r>
  <r>
    <n v="9"/>
    <x v="2"/>
    <x v="431"/>
    <n v="1"/>
    <n v="1"/>
    <s v="I-15 SB"/>
    <n v="34"/>
    <n v="0"/>
    <s v="CENTRE CITY"/>
    <s v="VIA RANCHO"/>
    <n v="22193"/>
    <n v="25555.226562"/>
    <n v="0.15149941702338565"/>
    <n v="11304567.454218339"/>
    <n v="0"/>
    <n v="469"/>
    <s v="PeMS2016"/>
  </r>
  <r>
    <n v="9"/>
    <x v="2"/>
    <x v="432"/>
    <n v="1"/>
    <n v="1"/>
    <s v="I-15 SB"/>
    <n v="35"/>
    <n v="0"/>
    <s v="VIA RANCHO"/>
    <s v="VIA RANCHO"/>
    <n v="19445"/>
    <n v="24528.134765999999"/>
    <n v="0.26141089051169963"/>
    <n v="25838259.049317867"/>
    <n v="0"/>
    <n v="542"/>
    <s v="PeMS2016"/>
  </r>
  <r>
    <n v="9"/>
    <x v="2"/>
    <x v="433"/>
    <n v="1"/>
    <n v="1"/>
    <s v="I-15 SB"/>
    <n v="37"/>
    <n v="0"/>
    <s v="VIA RANCHO"/>
    <s v="WEST BERNARDO"/>
    <n v="22985"/>
    <n v="26946.195312"/>
    <n v="0.17233827765934295"/>
    <n v="15691068.299810776"/>
    <n v="0"/>
    <n v="341"/>
    <s v="PeMS2016"/>
  </r>
  <r>
    <n v="9"/>
    <x v="2"/>
    <x v="434"/>
    <n v="1"/>
    <n v="1"/>
    <s v="I-15 SB"/>
    <n v="38"/>
    <n v="0"/>
    <s v="WEST BERNARDO"/>
    <s v="WEST BERNARDO"/>
    <n v="20830"/>
    <n v="21752.992188"/>
    <n v="4.4310714738358126E-2"/>
    <n v="851914.57910902763"/>
    <n v="0"/>
    <n v="470"/>
    <s v="PeMS2016"/>
  </r>
  <r>
    <n v="9"/>
    <x v="2"/>
    <x v="435"/>
    <n v="1"/>
    <n v="1"/>
    <s v="I-15 SB"/>
    <n v="39"/>
    <n v="1"/>
    <s v="WEST BERNARDO"/>
    <s v="RANCHO BERNARDO"/>
    <n v="21409"/>
    <n v="22075.931640999999"/>
    <n v="3.1151928674856277E-2"/>
    <n v="444797.81376695185"/>
    <n v="0"/>
    <n v="688"/>
    <s v="PeMS2016"/>
  </r>
  <r>
    <n v="9"/>
    <x v="2"/>
    <x v="436"/>
    <n v="1"/>
    <n v="1"/>
    <s v="I-15 SB"/>
    <n v="41"/>
    <n v="0"/>
    <s v="RANCHO BERNARDO"/>
    <s v="RANCHO BERNARDO"/>
    <n v="18692"/>
    <n v="20140.960938"/>
    <n v="7.7517704793494513E-2"/>
    <n v="2099487.7998498403"/>
    <n v="0"/>
    <n v="731"/>
    <s v="PeMS2016"/>
  </r>
  <r>
    <n v="9"/>
    <x v="2"/>
    <x v="437"/>
    <n v="1"/>
    <n v="1"/>
    <s v="I-15 SB"/>
    <n v="42"/>
    <n v="0"/>
    <s v="RANCHO BERNARDO"/>
    <s v="BERNARDO CENTER"/>
    <n v="22442"/>
    <n v="22404.412109000001"/>
    <n v="-1.6748904286605359E-3"/>
    <n v="1412.8495498278221"/>
    <n v="0"/>
    <n v="343"/>
    <s v="SANDAG"/>
  </r>
  <r>
    <n v="9"/>
    <x v="2"/>
    <x v="438"/>
    <n v="1"/>
    <n v="1"/>
    <s v="I-15 SB"/>
    <n v="43"/>
    <n v="0"/>
    <s v="BERNARDO CENTER"/>
    <s v="BERNARDO CENTER"/>
    <n v="21029"/>
    <n v="20416.167968999998"/>
    <n v="-2.9142233629749437E-2"/>
    <n v="375563.09821958706"/>
    <n v="0"/>
    <n v="473"/>
    <s v="PeMS2016"/>
  </r>
  <r>
    <n v="9"/>
    <x v="2"/>
    <x v="439"/>
    <n v="1"/>
    <n v="1"/>
    <s v="I-15 SB"/>
    <n v="44"/>
    <n v="0"/>
    <s v="BERNARDO CENTER"/>
    <s v="CAM DEL NORTE"/>
    <n v="24646"/>
    <n v="21767.917968999998"/>
    <n v="-0.11677684131299204"/>
    <n v="8283356.1771650948"/>
    <n v="0"/>
    <n v="240"/>
    <s v="PeMS2016"/>
  </r>
  <r>
    <n v="9"/>
    <x v="2"/>
    <x v="440"/>
    <n v="1"/>
    <n v="1"/>
    <s v="I-15 SB"/>
    <n v="45"/>
    <n v="0"/>
    <s v="CAM DEL NORTE"/>
    <s v="CAM DEL NORTE"/>
    <n v="21420"/>
    <n v="19453.318359000001"/>
    <n v="-9.1815202661064355E-2"/>
    <n v="3867836.6770464499"/>
    <n v="0"/>
    <n v="255"/>
    <s v="PeMS2016"/>
  </r>
  <r>
    <n v="9"/>
    <x v="2"/>
    <x v="441"/>
    <n v="1"/>
    <n v="1"/>
    <s v="I-15 SB"/>
    <n v="46"/>
    <n v="0"/>
    <s v="CAM DEL NORTE"/>
    <s v="CAM DEL NORTE"/>
    <n v="21294"/>
    <n v="20548.189452999999"/>
    <n v="-3.5024445712407259E-2"/>
    <n v="556233.37201644061"/>
    <n v="0"/>
    <n v="256"/>
    <s v="SANDAG"/>
  </r>
  <r>
    <n v="9"/>
    <x v="2"/>
    <x v="442"/>
    <n v="1"/>
    <n v="1"/>
    <s v="I-15 SB"/>
    <n v="47"/>
    <n v="0"/>
    <s v="CAM DEL NORTE"/>
    <s v="CARMEL MTN"/>
    <n v="27852"/>
    <n v="23023.044922000001"/>
    <n v="-0.17337911381588389"/>
    <n v="23318807.145341977"/>
    <n v="0"/>
    <n v="258"/>
    <s v="PeMS2016"/>
  </r>
  <r>
    <n v="9"/>
    <x v="2"/>
    <x v="443"/>
    <n v="1"/>
    <n v="1"/>
    <s v="I-15 SB"/>
    <n v="48"/>
    <n v="0"/>
    <s v="CARMEL MTN"/>
    <s v="CARMEL MTN"/>
    <n v="24049"/>
    <n v="20931.857422000001"/>
    <n v="-0.12961630745561137"/>
    <n v="9716577.8515804801"/>
    <n v="0"/>
    <n v="267"/>
    <s v="PeMS2016"/>
  </r>
  <r>
    <n v="9"/>
    <x v="2"/>
    <x v="444"/>
    <n v="1"/>
    <n v="1"/>
    <s v="I-15 SB"/>
    <n v="49"/>
    <n v="0"/>
    <s v="CARMEL MTN"/>
    <s v="SR-56 WB"/>
    <n v="35147"/>
    <n v="23679.675781000002"/>
    <n v="-0.32626751128119036"/>
    <n v="131499524.74366392"/>
    <n v="0"/>
    <n v="268"/>
    <s v="SANDAG"/>
  </r>
  <r>
    <n v="9"/>
    <x v="2"/>
    <x v="445"/>
    <n v="1"/>
    <n v="1"/>
    <s v="I-15 SB"/>
    <n v="53"/>
    <n v="0"/>
    <s v="I-15 HOV SB"/>
    <s v="SR-56 EB"/>
    <n v="23334"/>
    <n v="20131.929688"/>
    <n v="-0.13722766400959974"/>
    <n v="10253254.282991776"/>
    <n v="0"/>
    <n v="269"/>
    <s v="PeMS2016"/>
  </r>
  <r>
    <n v="9"/>
    <x v="2"/>
    <x v="446"/>
    <n v="1"/>
    <n v="1"/>
    <s v="I-15 SB"/>
    <n v="54"/>
    <n v="0"/>
    <s v="SR-56 EB"/>
    <s v="RANCHO PENASQUITOS"/>
    <n v="22950"/>
    <n v="21245.775390999999"/>
    <n v="-7.4258152897603513E-2"/>
    <n v="2904381.5179212056"/>
    <n v="0"/>
    <n v="273"/>
    <s v="PeMS2016"/>
  </r>
  <r>
    <n v="9"/>
    <x v="2"/>
    <x v="447"/>
    <n v="1"/>
    <n v="1"/>
    <s v="I-15 SB"/>
    <n v="55"/>
    <n v="0"/>
    <s v="RANCHO PENASQUITOS"/>
    <s v="RANCHO PENASQUITOS"/>
    <n v="24886"/>
    <n v="20698.996093999998"/>
    <n v="-0.16824736422084718"/>
    <n v="17531001.708859272"/>
    <n v="0"/>
    <n v="277"/>
    <s v="PeMS2016"/>
  </r>
  <r>
    <n v="9"/>
    <x v="2"/>
    <x v="448"/>
    <n v="1"/>
    <n v="1"/>
    <s v="I-15 SB"/>
    <n v="59"/>
    <n v="0"/>
    <s v="MERCY"/>
    <s v="MERCY"/>
    <n v="27068"/>
    <n v="24104.873047000001"/>
    <n v="-0.10946974113344166"/>
    <n v="8780121.3395950589"/>
    <n v="0"/>
    <n v="533"/>
    <s v="PeMS2016"/>
  </r>
  <r>
    <n v="9"/>
    <x v="2"/>
    <x v="449"/>
    <n v="1"/>
    <n v="1"/>
    <s v="I-15 SB"/>
    <n v="60"/>
    <n v="0"/>
    <s v="MERCY"/>
    <s v="MIRA MESA"/>
    <n v="31601"/>
    <n v="26727.076172000001"/>
    <n v="-0.154233215024841"/>
    <n v="23755133.481146164"/>
    <n v="0"/>
    <n v="537"/>
    <s v="PeMS2016"/>
  </r>
  <r>
    <n v="9"/>
    <x v="2"/>
    <x v="450"/>
    <n v="1"/>
    <n v="1"/>
    <s v="I-15 SB"/>
    <n v="62"/>
    <n v="0"/>
    <s v="MIRA MESA"/>
    <s v="MIRA MESA"/>
    <n v="24549"/>
    <n v="23598.720702999999"/>
    <n v="-3.8709491099433779E-2"/>
    <n v="903030.74230681604"/>
    <n v="0"/>
    <n v="540"/>
    <s v="PeMS2016"/>
  </r>
  <r>
    <n v="9"/>
    <x v="2"/>
    <x v="451"/>
    <n v="1"/>
    <n v="1"/>
    <s v="I-15 SB"/>
    <n v="64"/>
    <n v="0"/>
    <s v="MIRA MESA"/>
    <s v="CARROLL CANYON"/>
    <n v="30102"/>
    <n v="29478.955077999999"/>
    <n v="-2.0697791575310598E-2"/>
    <n v="388184.97482998727"/>
    <n v="0"/>
    <n v="541"/>
    <s v="PeMS2016"/>
  </r>
  <r>
    <n v="9"/>
    <x v="2"/>
    <x v="452"/>
    <n v="1"/>
    <n v="1"/>
    <s v="I-15 SB"/>
    <n v="65"/>
    <n v="0"/>
    <s v="CARROLL CANYON"/>
    <s v="CARROLL CANYON"/>
    <n v="28355"/>
    <n v="27969.427734000001"/>
    <n v="-1.3598034420737037E-2"/>
    <n v="148665.97230837416"/>
    <n v="0"/>
    <n v="543"/>
    <s v="PeMS2016"/>
  </r>
  <r>
    <n v="9"/>
    <x v="2"/>
    <x v="453"/>
    <n v="1"/>
    <n v="1"/>
    <s v="I-15 SB"/>
    <n v="67"/>
    <n v="0"/>
    <s v="MIRAMAR"/>
    <s v="MIRAMAR"/>
    <n v="29905"/>
    <n v="28587.242188"/>
    <n v="-4.4064798929944859E-2"/>
    <n v="1736485.6510870268"/>
    <n v="0"/>
    <n v="546"/>
    <s v="PeMS2016"/>
  </r>
  <r>
    <n v="9"/>
    <x v="2"/>
    <x v="454"/>
    <n v="1"/>
    <n v="1"/>
    <s v="I-15 SB"/>
    <n v="68"/>
    <n v="0"/>
    <s v="MIRAMAR"/>
    <s v="MIRAMAR"/>
    <n v="29788"/>
    <n v="30836.078125"/>
    <n v="3.5184575164495691E-2"/>
    <n v="1098467.7561035156"/>
    <n v="0"/>
    <n v="548"/>
    <s v="PeMS2016"/>
  </r>
  <r>
    <n v="9"/>
    <x v="2"/>
    <x v="455"/>
    <n v="1"/>
    <n v="1"/>
    <s v="I-15 SB"/>
    <n v="69"/>
    <n v="0"/>
    <s v="MIRAMAR"/>
    <s v="MIRAMAR WAY"/>
    <n v="28889"/>
    <n v="32198.744140999999"/>
    <n v="0.11456762577451629"/>
    <n v="10954406.278883822"/>
    <n v="0"/>
    <n v="579"/>
    <s v="PeMS2016"/>
  </r>
  <r>
    <n v="9"/>
    <x v="2"/>
    <x v="456"/>
    <n v="1"/>
    <n v="1"/>
    <s v="I-15 SB"/>
    <n v="71"/>
    <n v="0"/>
    <s v="MIRAMAR WAY"/>
    <s v="MIRAMAR WAY"/>
    <n v="30700"/>
    <n v="33734.023437999997"/>
    <n v="9.8828125016286572E-2"/>
    <n v="9205298.2223333195"/>
    <n v="0"/>
    <n v="198"/>
    <s v="PeMS2016"/>
  </r>
  <r>
    <n v="9"/>
    <x v="2"/>
    <x v="457"/>
    <n v="1"/>
    <n v="1"/>
    <s v="I-15 SB"/>
    <n v="72"/>
    <n v="0"/>
    <s v="MIRAMAR WAY"/>
    <s v="SR-163 SB"/>
    <n v="28943"/>
    <n v="34108.730469000002"/>
    <n v="0.1784794412811388"/>
    <n v="26684771.27835498"/>
    <n v="0"/>
    <n v="199"/>
    <s v="PeMS2016"/>
  </r>
  <r>
    <n v="9"/>
    <x v="2"/>
    <x v="458"/>
    <n v="1"/>
    <n v="1"/>
    <s v="I-15 SB"/>
    <n v="74"/>
    <n v="0"/>
    <s v="I-15 HOV SB"/>
    <s v="SR-52 WB"/>
    <n v="11716"/>
    <n v="24601.699218999998"/>
    <n v="1.0998377619494706"/>
    <n v="166041244.36253718"/>
    <n v="0"/>
    <n v="207"/>
    <s v="PeMS2016"/>
  </r>
  <r>
    <n v="9"/>
    <x v="2"/>
    <x v="459"/>
    <n v="1"/>
    <n v="1"/>
    <s v="I-15 SB"/>
    <n v="75"/>
    <n v="0"/>
    <s v="SR-52 WB"/>
    <s v="SR-52 EB"/>
    <n v="10958"/>
    <n v="19602.171875"/>
    <n v="0.78884576336922807"/>
    <n v="74721707.404541016"/>
    <n v="0"/>
    <n v="147"/>
    <s v="PeMS2016"/>
  </r>
  <r>
    <n v="9"/>
    <x v="2"/>
    <x v="460"/>
    <n v="1"/>
    <n v="1"/>
    <s v="I-15 SB"/>
    <n v="76"/>
    <n v="0"/>
    <s v="CLAIREMONT MESA"/>
    <s v="CLAIREMONT MESA"/>
    <n v="19875"/>
    <n v="24547.953125"/>
    <n v="0.23511713836477988"/>
    <n v="21836490.908447266"/>
    <n v="0"/>
    <n v="148"/>
    <s v="PeMS2016"/>
  </r>
  <r>
    <n v="9"/>
    <x v="2"/>
    <x v="461"/>
    <n v="1"/>
    <n v="1"/>
    <s v="I-15 SB"/>
    <n v="77"/>
    <n v="0"/>
    <s v="CLAIREMONT MESA"/>
    <s v="BALBOA"/>
    <n v="21049"/>
    <n v="28499.787109000001"/>
    <n v="0.35397344809729692"/>
    <n v="55514228.543640591"/>
    <n v="0"/>
    <n v="151"/>
    <s v="PeMS2016"/>
  </r>
  <r>
    <n v="9"/>
    <x v="2"/>
    <x v="462"/>
    <n v="1"/>
    <n v="1"/>
    <s v="I-15 SB"/>
    <n v="81"/>
    <n v="0"/>
    <s v="BALBOA"/>
    <s v="AERO"/>
    <n v="26635"/>
    <n v="32959.472655999998"/>
    <n v="0.23744969611413547"/>
    <n v="39998954.376491673"/>
    <n v="0"/>
    <n v="156"/>
    <s v="PeMS2016"/>
  </r>
  <r>
    <n v="9"/>
    <x v="2"/>
    <x v="463"/>
    <n v="1"/>
    <n v="1"/>
    <s v="I-15 SB"/>
    <n v="82"/>
    <n v="0"/>
    <s v="AERO"/>
    <s v="AERO"/>
    <n v="26697"/>
    <n v="30784.339843999998"/>
    <n v="0.15310109165823871"/>
    <n v="16706347.00034993"/>
    <n v="0"/>
    <n v="161"/>
    <s v="PeMS2016"/>
  </r>
  <r>
    <n v="9"/>
    <x v="2"/>
    <x v="464"/>
    <n v="1"/>
    <n v="1"/>
    <s v="I-15 SB"/>
    <n v="83"/>
    <n v="0"/>
    <s v="STONECREST"/>
    <s v="STONECREST"/>
    <n v="29803"/>
    <n v="35017.234375"/>
    <n v="0.17495669479582587"/>
    <n v="27188240.117431641"/>
    <n v="0"/>
    <n v="602"/>
    <s v="PeMS2016"/>
  </r>
  <r>
    <n v="9"/>
    <x v="2"/>
    <x v="465"/>
    <n v="1"/>
    <n v="1"/>
    <s v="I-15 SB"/>
    <n v="85"/>
    <n v="0"/>
    <s v="FRIARS"/>
    <s v="FRIARS"/>
    <n v="28304"/>
    <n v="31958.804688"/>
    <n v="0.12912679084228373"/>
    <n v="13357597.307426779"/>
    <n v="0"/>
    <n v="619"/>
    <s v="PeMS2016"/>
  </r>
  <r>
    <n v="9"/>
    <x v="2"/>
    <x v="466"/>
    <n v="1"/>
    <n v="1"/>
    <s v="I-15 SB"/>
    <n v="86"/>
    <n v="0"/>
    <s v="FRIARS"/>
    <s v="I-8 WB"/>
    <n v="30787"/>
    <n v="34693.183594000002"/>
    <n v="0.12687769493617451"/>
    <n v="15258270.270034771"/>
    <n v="0"/>
    <n v="630"/>
    <s v="Caltran"/>
  </r>
  <r>
    <n v="9"/>
    <x v="2"/>
    <x v="467"/>
    <n v="1"/>
    <n v="1"/>
    <s v="I-15 SB"/>
    <n v="90"/>
    <n v="0"/>
    <s v="I-8 WB"/>
    <s v="I-8 WB"/>
    <n v="17524"/>
    <n v="19930.167968999998"/>
    <n v="0.13730700576352417"/>
    <n v="5789644.295041577"/>
    <n v="0"/>
    <n v="631"/>
    <s v="PeMS2016"/>
  </r>
  <r>
    <n v="9"/>
    <x v="2"/>
    <x v="468"/>
    <n v="1"/>
    <n v="1"/>
    <s v="I-15 SB"/>
    <n v="93"/>
    <n v="0"/>
    <s v="I-8 EB"/>
    <s v="ADAMS"/>
    <n v="25927"/>
    <n v="30509.046875"/>
    <n v="0.17672877212944038"/>
    <n v="20995153.564697266"/>
    <n v="0"/>
    <n v="674"/>
    <s v="Caltran"/>
  </r>
  <r>
    <n v="9"/>
    <x v="2"/>
    <x v="469"/>
    <n v="1"/>
    <n v="1"/>
    <s v="I-15 SB"/>
    <n v="95"/>
    <n v="0"/>
    <s v="ADAMS"/>
    <s v="ADAMS"/>
    <n v="21780"/>
    <n v="25798.265625"/>
    <n v="0.18449337121212128"/>
    <n v="16146458.633056641"/>
    <n v="0"/>
    <n v="35"/>
    <s v="PeMS2016"/>
  </r>
  <r>
    <n v="9"/>
    <x v="2"/>
    <x v="470"/>
    <n v="1"/>
    <n v="1"/>
    <s v="I-15 SB"/>
    <n v="3"/>
    <n v="0"/>
    <s v="EL CAJON"/>
    <s v="UNIVERSITY"/>
    <n v="20069"/>
    <n v="20716.410156000002"/>
    <n v="3.2259213513379015E-2"/>
    <n v="419139.9100919466"/>
    <n v="0"/>
    <n v="328"/>
    <s v="PeMS2016"/>
  </r>
  <r>
    <n v="9"/>
    <x v="2"/>
    <x v="471"/>
    <n v="1"/>
    <n v="1"/>
    <s v="I-15 SB"/>
    <n v="4"/>
    <n v="0"/>
    <n v="0"/>
    <s v="UNIVERSITY"/>
    <n v="16611"/>
    <n v="22213.375"/>
    <n v="0.33726897838781533"/>
    <n v="31386605.640625"/>
    <n v="0"/>
    <n v="143"/>
    <s v="PeMS2016"/>
  </r>
  <r>
    <n v="9"/>
    <x v="2"/>
    <x v="472"/>
    <n v="1"/>
    <n v="1"/>
    <s v="I-15 SB"/>
    <n v="6"/>
    <n v="0"/>
    <s v="40TH"/>
    <s v="I-805 SB"/>
    <n v="21035"/>
    <n v="23700.261718999998"/>
    <n v="0.12670604796767293"/>
    <n v="7103620.0307668261"/>
    <n v="0"/>
    <n v="634"/>
    <s v="PeMS2016"/>
  </r>
  <r>
    <n v="9"/>
    <x v="2"/>
    <x v="473"/>
    <n v="1"/>
    <n v="1"/>
    <s v="I-15 SB"/>
    <n v="7"/>
    <n v="0"/>
    <s v="I-805 SB"/>
    <s v="I-805 SB"/>
    <n v="13241"/>
    <n v="10274.478515999999"/>
    <n v="-0.22404059240238661"/>
    <n v="8800249.7150335666"/>
    <n v="0"/>
    <n v="291"/>
    <s v="PeMS2016"/>
  </r>
  <r>
    <n v="9"/>
    <x v="2"/>
    <x v="474"/>
    <n v="1"/>
    <n v="1"/>
    <s v="I-15 SB"/>
    <n v="8"/>
    <n v="0"/>
    <s v="I-805 SB"/>
    <s v="I-805 SB"/>
    <n v="13241"/>
    <n v="10274.478515999999"/>
    <n v="-0.22404059240238661"/>
    <n v="8800249.7150335666"/>
    <n v="0"/>
    <n v="165"/>
    <s v="PeMS2016"/>
  </r>
  <r>
    <n v="9"/>
    <x v="2"/>
    <x v="475"/>
    <n v="1"/>
    <n v="1"/>
    <s v="I-15 SB"/>
    <n v="9"/>
    <n v="0"/>
    <s v="I-805 SB"/>
    <s v="SR-94 WB"/>
    <n v="17883"/>
    <n v="16453.330077999999"/>
    <n v="-7.9945754179947537E-2"/>
    <n v="2043956.0858714888"/>
    <n v="0"/>
    <n v="613"/>
    <s v="PeMS2016"/>
  </r>
  <r>
    <n v="9"/>
    <x v="2"/>
    <x v="476"/>
    <n v="1"/>
    <n v="1"/>
    <s v="I-15 SB"/>
    <n v="12"/>
    <n v="0"/>
    <s v="SR-94 EB"/>
    <s v="MARKET"/>
    <n v="17864"/>
    <n v="17153.404297000001"/>
    <n v="-3.9778084583519835E-2"/>
    <n v="504946.25312206283"/>
    <n v="0"/>
    <n v="350"/>
    <s v="Caltran"/>
  </r>
  <r>
    <n v="9"/>
    <x v="2"/>
    <x v="477"/>
    <n v="1"/>
    <n v="1"/>
    <s v="I-15 SB"/>
    <n v="16"/>
    <n v="0"/>
    <s v="IMPERIAL"/>
    <s v="IMPERIAL"/>
    <n v="16528"/>
    <n v="16870.421875"/>
    <n v="2.0717683627783146E-2"/>
    <n v="117252.74047851563"/>
    <n v="0"/>
    <n v="476"/>
    <s v="PeMS2016"/>
  </r>
  <r>
    <n v="9"/>
    <x v="2"/>
    <x v="478"/>
    <n v="1"/>
    <n v="1"/>
    <s v="I-15 SB"/>
    <n v="18"/>
    <n v="0"/>
    <s v="OCEAN VIEW"/>
    <s v="I-5 SB"/>
    <n v="14033"/>
    <n v="15734.662109000001"/>
    <n v="0.12126146290885775"/>
    <n v="2895653.9332063305"/>
    <n v="0"/>
    <n v="397"/>
    <s v="Caltran"/>
  </r>
  <r>
    <n v="32"/>
    <x v="2"/>
    <x v="479"/>
    <n v="1"/>
    <n v="2"/>
    <s v="I-5 HOV SB"/>
    <n v="21"/>
    <n v="1"/>
    <s v="LOMAS SANTA FE"/>
    <s v="LOMAS SANTA FE"/>
    <n v="2055"/>
    <n v="2686.0783689999998"/>
    <n v="0.30709409683698285"/>
    <n v="398259.90781969996"/>
    <n v="0"/>
    <n v="405"/>
    <s v="PeMS2016"/>
  </r>
  <r>
    <n v="32"/>
    <x v="2"/>
    <x v="480"/>
    <n v="1"/>
    <n v="2"/>
    <s v="I-5 HOV SB"/>
    <n v="22"/>
    <n v="1"/>
    <s v="VIA DE LA VALLE"/>
    <s v="VIA DE LA VALLE"/>
    <n v="2260"/>
    <n v="2686.0783689999998"/>
    <n v="0.18853025176991145"/>
    <n v="181542.77652970003"/>
    <n v="0"/>
    <n v="413"/>
    <s v="PeMS2016"/>
  </r>
  <r>
    <n v="32"/>
    <x v="2"/>
    <x v="481"/>
    <n v="1"/>
    <n v="2"/>
    <s v="I-5 HOV SB"/>
    <n v="23"/>
    <n v="0"/>
    <s v="VIA DE LA VALLE"/>
    <s v="VIA DE LA VALLE"/>
    <n v="2152"/>
    <n v="2686.0783689999998"/>
    <n v="0.24817768076208169"/>
    <n v="285239.7042337"/>
    <n v="0"/>
    <n v="417"/>
    <s v="PeMS2016"/>
  </r>
  <r>
    <n v="32"/>
    <x v="2"/>
    <x v="482"/>
    <n v="1"/>
    <n v="2"/>
    <s v="I-5 HOV SB"/>
    <n v="24"/>
    <n v="0"/>
    <s v="CARMEL VALLEY"/>
    <s v="CARMEL VALLEY"/>
    <n v="2478"/>
    <n v="2686.0783689999998"/>
    <n v="8.3970286117836856E-2"/>
    <n v="43296.607645700096"/>
    <n v="0"/>
    <n v="32"/>
    <s v="PeMS2016"/>
  </r>
  <r>
    <n v="8"/>
    <x v="2"/>
    <x v="483"/>
    <n v="1"/>
    <n v="1"/>
    <s v="I-5 SB"/>
    <n v="6"/>
    <n v="8"/>
    <s v="BASILONE"/>
    <s v="LAS PULGAS"/>
    <n v="12732"/>
    <n v="12921.991211"/>
    <n v="1.4922338281495584E-2"/>
    <n v="36096.660257246702"/>
    <n v="0"/>
    <n v="38"/>
    <s v="PeMS2016"/>
  </r>
  <r>
    <n v="8"/>
    <x v="2"/>
    <x v="484"/>
    <n v="1"/>
    <n v="1"/>
    <s v="I-5 SB"/>
    <n v="8"/>
    <n v="7"/>
    <s v="LAS PULGAS"/>
    <s v="VANDEGRIFT"/>
    <n v="12591"/>
    <n v="12921.695312"/>
    <n v="2.6264419982527265E-2"/>
    <n v="109359.38937877722"/>
    <n v="0"/>
    <n v="172"/>
    <s v="PeMS2016"/>
  </r>
  <r>
    <n v="8"/>
    <x v="2"/>
    <x v="485"/>
    <n v="1"/>
    <n v="1"/>
    <s v="I-5 SB"/>
    <n v="9"/>
    <n v="0"/>
    <s v="VANDEGRIFT"/>
    <s v="VANDEGRIFT"/>
    <n v="14449"/>
    <n v="12647.763671999999"/>
    <n v="-0.12466166018409586"/>
    <n v="3244452.3093069266"/>
    <n v="0"/>
    <n v="96"/>
    <s v="PeMS2016"/>
  </r>
  <r>
    <n v="8"/>
    <x v="2"/>
    <x v="486"/>
    <n v="1"/>
    <n v="1"/>
    <s v="I-5 SB"/>
    <n v="12"/>
    <n v="0"/>
    <s v="SR-76"/>
    <s v="SR-76"/>
    <n v="15983"/>
    <n v="15723.182617"/>
    <n v="-1.6255858286929881E-2"/>
    <n v="67505.072508968486"/>
    <n v="0"/>
    <n v="97"/>
    <s v="PeMS2016"/>
  </r>
  <r>
    <n v="8"/>
    <x v="2"/>
    <x v="487"/>
    <n v="1"/>
    <n v="1"/>
    <s v="I-5 SB"/>
    <n v="13"/>
    <n v="0"/>
    <s v="SR-76"/>
    <s v="MISSION"/>
    <n v="19293"/>
    <n v="18208.244140999999"/>
    <n v="-5.6225359404965536E-2"/>
    <n v="1176695.2736348296"/>
    <n v="0"/>
    <n v="606"/>
    <s v="Caltran"/>
  </r>
  <r>
    <n v="8"/>
    <x v="2"/>
    <x v="488"/>
    <n v="1"/>
    <n v="1"/>
    <s v="I-5 SB"/>
    <n v="14"/>
    <n v="0"/>
    <s v="MISSION"/>
    <s v="MISSION"/>
    <n v="18019"/>
    <n v="17498.544922000001"/>
    <n v="-2.8883682668294552E-2"/>
    <n v="270873.48821598507"/>
    <n v="0"/>
    <n v="608"/>
    <s v="PeMS2016"/>
  </r>
  <r>
    <n v="8"/>
    <x v="2"/>
    <x v="489"/>
    <n v="1"/>
    <n v="1"/>
    <s v="I-5 SB"/>
    <n v="17"/>
    <n v="0"/>
    <s v="OCEANSIDE"/>
    <s v="OCEANSIDE"/>
    <n v="19014"/>
    <n v="18670.767577999999"/>
    <n v="-1.8051563163984485E-2"/>
    <n v="117808.49551198674"/>
    <n v="0"/>
    <n v="178"/>
    <s v="PeMS2016"/>
  </r>
  <r>
    <n v="8"/>
    <x v="2"/>
    <x v="490"/>
    <n v="1"/>
    <n v="1"/>
    <s v="I-5 SB"/>
    <n v="20"/>
    <n v="0"/>
    <s v="RAMP"/>
    <s v="CASSIDY"/>
    <n v="20955"/>
    <n v="19640.533202999999"/>
    <n v="-6.2728074302075942E-2"/>
    <n v="1727822.9604154418"/>
    <n v="0"/>
    <n v="359"/>
    <s v="PeMS2016"/>
  </r>
  <r>
    <n v="8"/>
    <x v="2"/>
    <x v="491"/>
    <n v="1"/>
    <n v="1"/>
    <s v="I-5 SB"/>
    <n v="21"/>
    <n v="0"/>
    <s v="CASSIDY"/>
    <s v="VISTA WY"/>
    <n v="21835"/>
    <n v="20324.855468999998"/>
    <n v="-6.9161645569040586E-2"/>
    <n v="2280536.5045092152"/>
    <n v="0"/>
    <n v="670"/>
    <s v="Caltran"/>
  </r>
  <r>
    <n v="8"/>
    <x v="2"/>
    <x v="492"/>
    <n v="1"/>
    <n v="1"/>
    <s v="I-5 SB"/>
    <n v="25"/>
    <n v="0"/>
    <s v="LAS FLORES"/>
    <s v="LAS FLORES"/>
    <n v="18413"/>
    <n v="18015.130859000001"/>
    <n v="-2.1608056318905056E-2"/>
    <n v="158299.85336007725"/>
    <n v="0"/>
    <n v="330"/>
    <s v="PeMS2016"/>
  </r>
  <r>
    <n v="8"/>
    <x v="2"/>
    <x v="493"/>
    <n v="1"/>
    <n v="1"/>
    <s v="I-5 SB"/>
    <n v="27"/>
    <n v="0"/>
    <s v="CARLSBAD VILLAGE"/>
    <s v="CARLSBAD VILLAGE"/>
    <n v="16727"/>
    <n v="17223.634765999999"/>
    <n v="2.9690605966401495E-2"/>
    <n v="246646.09079987399"/>
    <n v="0"/>
    <n v="327"/>
    <s v="PeMS2016"/>
  </r>
  <r>
    <n v="8"/>
    <x v="2"/>
    <x v="494"/>
    <n v="1"/>
    <n v="1"/>
    <s v="I-5 SB"/>
    <n v="29"/>
    <n v="0"/>
    <s v="TAMARACK"/>
    <s v="TAMARACK"/>
    <n v="17492"/>
    <n v="17459.945312"/>
    <n v="-1.8325341870569778E-3"/>
    <n v="1027.5030227773548"/>
    <n v="0"/>
    <n v="294"/>
    <s v="PeMS2016"/>
  </r>
  <r>
    <n v="8"/>
    <x v="2"/>
    <x v="495"/>
    <n v="1"/>
    <n v="1"/>
    <s v="I-5 SB"/>
    <n v="30"/>
    <n v="0"/>
    <s v="TAMARACK"/>
    <s v="TAMARACK"/>
    <n v="18707"/>
    <n v="17459.945312"/>
    <n v="-6.666246260758002E-2"/>
    <n v="1555145.3948627778"/>
    <n v="0"/>
    <n v="641"/>
    <s v="Caltran"/>
  </r>
  <r>
    <n v="8"/>
    <x v="2"/>
    <x v="496"/>
    <n v="1"/>
    <n v="1"/>
    <s v="I-5 SB"/>
    <n v="32"/>
    <n v="0"/>
    <s v="CANNON"/>
    <s v="CANNON"/>
    <n v="17352"/>
    <n v="16250.509765999999"/>
    <n v="-6.3479151337021755E-2"/>
    <n v="1213280.7355973765"/>
    <n v="0"/>
    <n v="410"/>
    <s v="PeMS2016"/>
  </r>
  <r>
    <n v="8"/>
    <x v="2"/>
    <x v="497"/>
    <n v="1"/>
    <n v="1"/>
    <s v="I-5 SB"/>
    <n v="34"/>
    <n v="0"/>
    <s v="PALOMAR AIRPORT"/>
    <s v="PALOMAR AIRPORT"/>
    <n v="16127"/>
    <n v="16280.399414"/>
    <n v="9.5119621752339789E-3"/>
    <n v="23531.38021554325"/>
    <n v="0"/>
    <n v="301"/>
    <s v="PeMS2016"/>
  </r>
  <r>
    <n v="8"/>
    <x v="2"/>
    <x v="498"/>
    <n v="1"/>
    <n v="1"/>
    <s v="I-5 SB"/>
    <n v="36"/>
    <n v="0"/>
    <s v="PALOMAR AIRPORT"/>
    <s v="POINSETTIA"/>
    <n v="19768"/>
    <n v="19295.306640999999"/>
    <n v="-2.3912047703358974E-2"/>
    <n v="223439.01164270361"/>
    <n v="0"/>
    <n v="94"/>
    <s v="PeMS2016"/>
  </r>
  <r>
    <n v="8"/>
    <x v="2"/>
    <x v="499"/>
    <n v="1"/>
    <n v="1"/>
    <s v="I-5 SB"/>
    <n v="39"/>
    <n v="0"/>
    <s v="POINSETTIA"/>
    <s v="LA COSTA"/>
    <n v="19695"/>
    <n v="20268.236327999999"/>
    <n v="2.9105677989337275E-2"/>
    <n v="328599.88773892249"/>
    <n v="0"/>
    <n v="279"/>
    <s v="PeMS2016"/>
  </r>
  <r>
    <n v="8"/>
    <x v="2"/>
    <x v="500"/>
    <n v="1"/>
    <n v="1"/>
    <s v="I-5 SB"/>
    <n v="41"/>
    <n v="0"/>
    <s v="LA COSTA"/>
    <s v="LEUCADIA"/>
    <n v="18732"/>
    <n v="19867.166015999999"/>
    <n v="6.0600363869314444E-2"/>
    <n v="1288601.8838813105"/>
    <n v="0"/>
    <n v="531"/>
    <s v="PeMS2016"/>
  </r>
  <r>
    <n v="8"/>
    <x v="2"/>
    <x v="501"/>
    <n v="1"/>
    <n v="1"/>
    <s v="I-5 SB"/>
    <n v="42"/>
    <n v="0"/>
    <s v="LA COSTA"/>
    <s v="LEUCADIA"/>
    <n v="16669"/>
    <n v="19867.166015999999"/>
    <n v="0.19186310012598229"/>
    <n v="10228265.865897307"/>
    <n v="0"/>
    <n v="530"/>
    <s v="PeMS2016"/>
  </r>
  <r>
    <n v="8"/>
    <x v="2"/>
    <x v="502"/>
    <n v="1"/>
    <n v="1"/>
    <s v="I-5 SB"/>
    <n v="43"/>
    <n v="0"/>
    <s v="LEUCADIA"/>
    <s v="LEUCADIA"/>
    <n v="19924"/>
    <n v="18653.888672000001"/>
    <n v="-6.3747808070668488E-2"/>
    <n v="1613182.7855139212"/>
    <n v="0"/>
    <n v="289"/>
    <s v="PeMS2016"/>
  </r>
  <r>
    <n v="8"/>
    <x v="2"/>
    <x v="503"/>
    <n v="1"/>
    <n v="1"/>
    <s v="I-5 SB"/>
    <n v="44"/>
    <n v="0"/>
    <s v="LEUCADIA"/>
    <s v="ENCINITAS"/>
    <n v="20948"/>
    <n v="20066.865234000001"/>
    <n v="-4.2062954267710451E-2"/>
    <n v="776398.47585387342"/>
    <n v="0"/>
    <n v="297"/>
    <s v="PeMS2016"/>
  </r>
  <r>
    <n v="8"/>
    <x v="2"/>
    <x v="504"/>
    <n v="1"/>
    <n v="1"/>
    <s v="I-5 SB"/>
    <n v="45"/>
    <n v="0"/>
    <s v="ENCINITAS"/>
    <s v="ENCINITAS"/>
    <n v="19711"/>
    <n v="18388.466797000001"/>
    <n v="-6.7096200243518811E-2"/>
    <n v="1749094.0730374367"/>
    <n v="0"/>
    <n v="302"/>
    <s v="PeMS2016"/>
  </r>
  <r>
    <n v="8"/>
    <x v="2"/>
    <x v="505"/>
    <n v="1"/>
    <n v="1"/>
    <s v="I-5 SB"/>
    <n v="47"/>
    <n v="0"/>
    <s v="ENCINITAS"/>
    <s v="SANTA FE"/>
    <n v="21292"/>
    <n v="19964.664062"/>
    <n v="-6.2339655175652875E-2"/>
    <n v="1761820.6923063402"/>
    <n v="0"/>
    <n v="311"/>
    <s v="Caltran"/>
  </r>
  <r>
    <n v="8"/>
    <x v="2"/>
    <x v="506"/>
    <n v="1"/>
    <n v="1"/>
    <s v="I-5 SB"/>
    <n v="49"/>
    <n v="0"/>
    <s v="SANTA FE"/>
    <s v="SANTA FE"/>
    <n v="20582"/>
    <n v="19064.914062"/>
    <n v="-7.3709354678845651E-2"/>
    <n v="2301549.7432773402"/>
    <n v="0"/>
    <n v="316"/>
    <s v="PeMS2016"/>
  </r>
  <r>
    <n v="8"/>
    <x v="2"/>
    <x v="507"/>
    <n v="1"/>
    <n v="1"/>
    <s v="I-5 SB"/>
    <n v="52"/>
    <n v="0"/>
    <s v="BIRMINGHAM"/>
    <s v="BIRMINGHAM"/>
    <n v="20568"/>
    <n v="19428.822265999999"/>
    <n v="-5.5385926390509543E-2"/>
    <n v="1297725.9096413765"/>
    <n v="0"/>
    <n v="492"/>
    <s v="PeMS2016"/>
  </r>
  <r>
    <n v="8"/>
    <x v="2"/>
    <x v="508"/>
    <n v="1"/>
    <n v="1"/>
    <s v="I-5 SB"/>
    <n v="53"/>
    <n v="0"/>
    <s v="BIRMINGHAM"/>
    <s v="MANCHESTER"/>
    <n v="19999"/>
    <n v="20684.109375"/>
    <n v="3.4257181609080423E-2"/>
    <n v="469374.85571289063"/>
    <n v="0"/>
    <n v="497"/>
    <s v="PeMS2016"/>
  </r>
  <r>
    <n v="8"/>
    <x v="2"/>
    <x v="509"/>
    <n v="1"/>
    <n v="1"/>
    <s v="I-5 SB"/>
    <n v="54"/>
    <n v="0"/>
    <s v="MANCHESTER"/>
    <s v="MANCHESTER"/>
    <n v="21001"/>
    <n v="20615.837890999999"/>
    <n v="-1.8340179467644435E-2"/>
    <n v="148349.85020932849"/>
    <n v="0"/>
    <n v="488"/>
    <s v="PeMS2016"/>
  </r>
  <r>
    <n v="8"/>
    <x v="2"/>
    <x v="510"/>
    <n v="1"/>
    <n v="1"/>
    <s v="I-5 SB"/>
    <n v="56"/>
    <n v="0"/>
    <s v="MANCHESTER"/>
    <s v="LOMAS SANTA FE"/>
    <n v="22251"/>
    <n v="23280.683593999998"/>
    <n v="4.6275834524291071E-2"/>
    <n v="1060248.3037527532"/>
    <n v="0"/>
    <n v="391"/>
    <s v="PeMS2016"/>
  </r>
  <r>
    <n v="8"/>
    <x v="2"/>
    <x v="511"/>
    <n v="1"/>
    <n v="1"/>
    <s v="I-5 SB"/>
    <n v="58"/>
    <n v="0"/>
    <s v="LOMAS SANTA FE"/>
    <s v="LOMAS SANTA FE"/>
    <n v="21264"/>
    <n v="18697.166015999999"/>
    <n v="-0.12071265914221219"/>
    <n v="6588636.7014173167"/>
    <n v="0"/>
    <n v="421"/>
    <s v="PeMS2016"/>
  </r>
  <r>
    <n v="8"/>
    <x v="2"/>
    <x v="512"/>
    <n v="1"/>
    <n v="1"/>
    <s v="I-5 SB"/>
    <n v="59"/>
    <n v="0"/>
    <s v="LOMAS SANTA FE"/>
    <s v="VIA DE LA VALLE"/>
    <n v="24283"/>
    <n v="20878.109375"/>
    <n v="-0.14021704999382278"/>
    <n v="11593280.168212891"/>
    <n v="0"/>
    <n v="274"/>
    <s v="Caltran"/>
  </r>
  <r>
    <n v="8"/>
    <x v="2"/>
    <x v="513"/>
    <n v="1"/>
    <n v="1"/>
    <s v="I-5 SB"/>
    <n v="61"/>
    <n v="0"/>
    <s v="VIA DE LA VALLE"/>
    <s v="VIA DE LA VALLE"/>
    <n v="19130"/>
    <n v="20670.119140999999"/>
    <n v="8.0508057553580814E-2"/>
    <n v="2371966.9684745753"/>
    <n v="0"/>
    <n v="173"/>
    <s v="PeMS2016"/>
  </r>
  <r>
    <n v="8"/>
    <x v="2"/>
    <x v="514"/>
    <n v="1"/>
    <n v="1"/>
    <s v="I-5 SB"/>
    <n v="63"/>
    <n v="1"/>
    <s v="VIA DE LA VALLE"/>
    <s v="DEL MAR HEIGHTS"/>
    <n v="22898"/>
    <n v="23011.384765999999"/>
    <n v="4.9517322910297423E-3"/>
    <n v="12856.105160874578"/>
    <n v="0"/>
    <n v="605"/>
    <s v="PeMS2016"/>
  </r>
  <r>
    <n v="8"/>
    <x v="2"/>
    <x v="515"/>
    <n v="1"/>
    <n v="1"/>
    <s v="I-5 SB"/>
    <n v="64"/>
    <n v="0"/>
    <s v="DEL MAR HEIGHTS"/>
    <s v="DEL MAR HEIGHTS"/>
    <n v="20249"/>
    <n v="20102.951172000001"/>
    <n v="-7.2126439824188315E-3"/>
    <n v="21330.260160173308"/>
    <n v="0"/>
    <n v="435"/>
    <s v="PeMS2016"/>
  </r>
  <r>
    <n v="8"/>
    <x v="2"/>
    <x v="516"/>
    <n v="1"/>
    <n v="1"/>
    <s v="I-5 SB"/>
    <n v="65"/>
    <n v="0"/>
    <s v="DEL MAR HEIGHTS"/>
    <s v="DEL MAR HEIGHTS"/>
    <n v="20249"/>
    <n v="20102.951172000001"/>
    <n v="-7.2126439824188315E-3"/>
    <n v="21330.260160173308"/>
    <n v="0"/>
    <n v="235"/>
    <s v="PeMS2016"/>
  </r>
  <r>
    <n v="8"/>
    <x v="2"/>
    <x v="517"/>
    <n v="1"/>
    <n v="1"/>
    <s v="I-5 SB"/>
    <n v="67"/>
    <n v="0"/>
    <s v="DEL MAR HEIGHTS"/>
    <s v="CARMEL VALLEY"/>
    <n v="14572"/>
    <n v="23445.865234000001"/>
    <n v="0.60896687029920393"/>
    <n v="78745484.191193894"/>
    <n v="0"/>
    <n v="386"/>
    <s v="PeMS2016"/>
  </r>
  <r>
    <n v="8"/>
    <x v="2"/>
    <x v="518"/>
    <n v="1"/>
    <n v="1"/>
    <s v="I-5 SB"/>
    <n v="70"/>
    <n v="0"/>
    <s v="CARMEL VALLEY"/>
    <s v="CARMEL VALLEY"/>
    <n v="14023"/>
    <n v="19650.345702999999"/>
    <n v="0.40129399579262626"/>
    <n v="31667019.661072552"/>
    <n v="0"/>
    <n v="389"/>
    <s v="PeMS2016"/>
  </r>
  <r>
    <n v="8"/>
    <x v="2"/>
    <x v="519"/>
    <n v="1"/>
    <n v="1"/>
    <s v="I-5 SB"/>
    <n v="73"/>
    <n v="0"/>
    <s v="CARMEL VALLEY"/>
    <s v="I-805 SB"/>
    <n v="18486"/>
    <n v="21332.662109000001"/>
    <n v="0.15399016060802784"/>
    <n v="8103485.1628163327"/>
    <n v="0"/>
    <n v="422"/>
    <s v="Caltran"/>
  </r>
  <r>
    <n v="8"/>
    <x v="2"/>
    <x v="520"/>
    <n v="1"/>
    <n v="1"/>
    <s v="I-5 SB"/>
    <n v="75"/>
    <n v="0"/>
    <s v="I-805 SB"/>
    <s v="SORRENTO VALLEY"/>
    <n v="14198"/>
    <n v="13394.523438"/>
    <n v="-5.6590827017889866E-2"/>
    <n v="645574.58568333962"/>
    <n v="0"/>
    <n v="388"/>
    <s v="Caltran"/>
  </r>
  <r>
    <n v="8"/>
    <x v="2"/>
    <x v="521"/>
    <n v="1"/>
    <n v="1"/>
    <s v="I-5 SB"/>
    <n v="78"/>
    <n v="0"/>
    <s v="GENESEE"/>
    <s v="GENESEE"/>
    <n v="14999"/>
    <n v="14800.663086"/>
    <n v="-1.3223342489499301E-2"/>
    <n v="39337.531455043209"/>
    <n v="0"/>
    <n v="425"/>
    <s v="PeMS2016"/>
  </r>
  <r>
    <n v="8"/>
    <x v="2"/>
    <x v="522"/>
    <n v="1"/>
    <n v="1"/>
    <s v="I-5 SB"/>
    <n v="81"/>
    <n v="0"/>
    <s v="LA JOLLA VILLAGE"/>
    <s v="LA JOLLA VILLAGE"/>
    <n v="14135"/>
    <n v="17301.013672000001"/>
    <n v="0.22398398811460929"/>
    <n v="10023642.571290929"/>
    <n v="0"/>
    <n v="387"/>
    <s v="PeMS2016"/>
  </r>
  <r>
    <n v="8"/>
    <x v="2"/>
    <x v="523"/>
    <n v="1"/>
    <n v="1"/>
    <s v="I-5 SB"/>
    <n v="83"/>
    <n v="0"/>
    <s v="LA JOLLA VILLAGE"/>
    <s v="NOBEL"/>
    <n v="18571"/>
    <n v="21410.935547000001"/>
    <n v="0.1529231353723548"/>
    <n v="8065233.9111141944"/>
    <n v="0"/>
    <n v="426"/>
    <s v="PeMS2016"/>
  </r>
  <r>
    <n v="8"/>
    <x v="2"/>
    <x v="524"/>
    <n v="1"/>
    <n v="1"/>
    <s v="I-5 SB"/>
    <n v="84"/>
    <n v="0"/>
    <s v="NOBEL"/>
    <s v="GILMAN"/>
    <n v="18571"/>
    <n v="23333.398438"/>
    <n v="0.25644275687900486"/>
    <n v="22680438.882264841"/>
    <n v="0"/>
    <n v="392"/>
    <s v="PeMS2016"/>
  </r>
  <r>
    <n v="8"/>
    <x v="2"/>
    <x v="525"/>
    <n v="1"/>
    <n v="1"/>
    <s v="I-5 SB"/>
    <n v="85"/>
    <n v="0"/>
    <s v="GILMAN"/>
    <s v="GILMAN"/>
    <n v="21678"/>
    <n v="22955.121093999998"/>
    <n v="5.8913234338961118E-2"/>
    <n v="1631038.2887397525"/>
    <n v="0"/>
    <n v="420"/>
    <s v="PeMS2016"/>
  </r>
  <r>
    <n v="8"/>
    <x v="2"/>
    <x v="526"/>
    <n v="1"/>
    <n v="1"/>
    <s v="I-5 SB"/>
    <n v="87"/>
    <n v="0"/>
    <s v="SR-52 EB"/>
    <s v="SR-52 WB"/>
    <n v="21728"/>
    <n v="21101.384765999999"/>
    <n v="-2.8839066365979438E-2"/>
    <n v="392646.65148087573"/>
    <n v="0"/>
    <n v="393"/>
    <s v="PeMS2016"/>
  </r>
  <r>
    <n v="8"/>
    <x v="2"/>
    <x v="527"/>
    <n v="1"/>
    <n v="1"/>
    <s v="I-5 SB"/>
    <n v="88"/>
    <n v="0"/>
    <s v="SR-52 WB"/>
    <s v="MISSION BAY"/>
    <n v="27538"/>
    <n v="26429.449218999998"/>
    <n v="-4.0255311968915741E-2"/>
    <n v="1228884.8340557138"/>
    <n v="0"/>
    <n v="419"/>
    <s v="Caltran"/>
  </r>
  <r>
    <n v="8"/>
    <x v="2"/>
    <x v="528"/>
    <n v="1"/>
    <n v="1"/>
    <s v="I-5 SB"/>
    <n v="89"/>
    <n v="0"/>
    <s v="SR-52 WB"/>
    <s v="MISSION BAY"/>
    <n v="26378"/>
    <n v="26429.449218999998"/>
    <n v="1.9504594358934479E-3"/>
    <n v="2647.0221357097826"/>
    <n v="0"/>
    <n v="87"/>
    <s v="PeMS2016"/>
  </r>
  <r>
    <n v="8"/>
    <x v="2"/>
    <x v="529"/>
    <n v="1"/>
    <n v="1"/>
    <s v="I-5 SB"/>
    <n v="90"/>
    <n v="0"/>
    <s v="MISSION BAY"/>
    <s v="GARNET"/>
    <n v="21493"/>
    <n v="20347.445312"/>
    <n v="-5.3298966547247972E-2"/>
    <n v="1312295.5431987778"/>
    <n v="0"/>
    <n v="690"/>
    <s v="PeMS2016"/>
  </r>
  <r>
    <n v="8"/>
    <x v="2"/>
    <x v="530"/>
    <n v="1"/>
    <n v="1"/>
    <s v="I-5 SB"/>
    <n v="91"/>
    <n v="0"/>
    <s v="GARNET"/>
    <s v="MISSION BAY"/>
    <n v="23832"/>
    <n v="23282.759765999999"/>
    <n v="-2.3046334088620335E-2"/>
    <n v="301664.8346443756"/>
    <n v="0"/>
    <n v="88"/>
    <s v="PeMS2016"/>
  </r>
  <r>
    <n v="8"/>
    <x v="2"/>
    <x v="531"/>
    <n v="1"/>
    <n v="1"/>
    <s v="I-5 SB"/>
    <n v="93"/>
    <n v="0"/>
    <s v="CLAIREMONT"/>
    <s v="CLAIREMONT"/>
    <n v="28959"/>
    <n v="24334.28125"/>
    <n v="-0.15969884146552027"/>
    <n v="21388023.516601563"/>
    <n v="0"/>
    <n v="718"/>
    <s v="PeMS2016"/>
  </r>
  <r>
    <n v="8"/>
    <x v="2"/>
    <x v="532"/>
    <n v="1"/>
    <n v="1"/>
    <s v="I-5 SB"/>
    <n v="95"/>
    <n v="0"/>
    <s v="CLAIREMONT"/>
    <s v="SEA WORLD"/>
    <n v="27665"/>
    <n v="26810.771484000001"/>
    <n v="-3.08775895897343E-2"/>
    <n v="729706.35754756094"/>
    <n v="0"/>
    <n v="725"/>
    <s v="PeMS2016"/>
  </r>
  <r>
    <n v="8"/>
    <x v="2"/>
    <x v="533"/>
    <n v="1"/>
    <n v="1"/>
    <s v="I-5 SB"/>
    <n v="97"/>
    <n v="0"/>
    <s v="SEA WORLD"/>
    <s v="SEA WORLD"/>
    <n v="25382"/>
    <n v="24434.988281000002"/>
    <n v="-3.73103663619887E-2"/>
    <n v="896831.19592333166"/>
    <n v="0"/>
    <n v="51"/>
    <s v="PeMS2016"/>
  </r>
  <r>
    <n v="8"/>
    <x v="2"/>
    <x v="534"/>
    <n v="1"/>
    <n v="1"/>
    <s v="I-5 SB"/>
    <n v="101"/>
    <n v="0"/>
    <s v="I-8 EB"/>
    <s v="OLD TOWN"/>
    <n v="24040"/>
    <n v="23875.779297000001"/>
    <n v="-6.8311440515806954E-3"/>
    <n v="26968.439293813895"/>
    <n v="0"/>
    <n v="423"/>
    <s v="PeMS2016"/>
  </r>
  <r>
    <n v="8"/>
    <x v="2"/>
    <x v="535"/>
    <n v="1"/>
    <n v="1"/>
    <s v="I-5 SB"/>
    <n v="103"/>
    <n v="0"/>
    <s v="OLD TOWN"/>
    <s v="OLD TOWN"/>
    <n v="21606"/>
    <n v="22186.445312"/>
    <n v="2.6865005646579565E-2"/>
    <n v="336916.76022277714"/>
    <n v="0"/>
    <n v="390"/>
    <s v="PeMS2016"/>
  </r>
  <r>
    <n v="8"/>
    <x v="2"/>
    <x v="536"/>
    <n v="1"/>
    <n v="1"/>
    <s v="I-5 SB"/>
    <n v="106"/>
    <n v="0"/>
    <s v="HANCOCK"/>
    <s v="KETTNER"/>
    <n v="21092"/>
    <n v="22514.90625"/>
    <n v="6.7461893134837858E-2"/>
    <n v="2024662.1962890625"/>
    <n v="0"/>
    <n v="700"/>
    <s v="PeMS2016"/>
  </r>
  <r>
    <n v="8"/>
    <x v="2"/>
    <x v="537"/>
    <n v="1"/>
    <n v="1"/>
    <s v="I-5 SB"/>
    <n v="107"/>
    <n v="0"/>
    <s v="KETTNER"/>
    <s v="HANCOCK"/>
    <n v="13655"/>
    <n v="19312.359375"/>
    <n v="0.41430680153789812"/>
    <n v="32005715.097900391"/>
    <n v="0"/>
    <n v="701"/>
    <s v="PeMS2016"/>
  </r>
  <r>
    <n v="8"/>
    <x v="2"/>
    <x v="538"/>
    <n v="1"/>
    <n v="1"/>
    <s v="I-5 SB"/>
    <n v="108"/>
    <n v="0"/>
    <s v="HANCOCK"/>
    <s v="PACIFIC"/>
    <n v="14247"/>
    <n v="20951.939452999999"/>
    <n v="0.47062114501298513"/>
    <n v="44956213.068395928"/>
    <n v="0"/>
    <n v="326"/>
    <s v="PeMS2016"/>
  </r>
  <r>
    <n v="8"/>
    <x v="2"/>
    <x v="539"/>
    <n v="1"/>
    <n v="1"/>
    <s v="I-5 SB"/>
    <n v="109"/>
    <n v="0"/>
    <s v="PACIFIC"/>
    <s v="KETTNER"/>
    <n v="21357"/>
    <n v="27787.896484000001"/>
    <n v="0.30111422409514454"/>
    <n v="41356429.587923571"/>
    <n v="0"/>
    <n v="486"/>
    <s v="PeMS2016"/>
  </r>
  <r>
    <n v="8"/>
    <x v="2"/>
    <x v="540"/>
    <n v="1"/>
    <n v="1"/>
    <s v="I-5 SB"/>
    <n v="111"/>
    <n v="0"/>
    <s v="FRONT"/>
    <s v="STATE"/>
    <n v="19374"/>
    <n v="25383.552734000001"/>
    <n v="0.31018647331475169"/>
    <n v="36114724.062726885"/>
    <n v="0"/>
    <n v="599"/>
    <s v="PeMS2016"/>
  </r>
  <r>
    <n v="8"/>
    <x v="2"/>
    <x v="541"/>
    <n v="1"/>
    <n v="1"/>
    <s v="I-5 SB"/>
    <n v="114"/>
    <n v="0"/>
    <n v="0"/>
    <s v="05TH"/>
    <n v="25401"/>
    <n v="31763.394531000002"/>
    <n v="0.25047811231841277"/>
    <n v="40480064.168098733"/>
    <n v="0"/>
    <n v="181"/>
    <s v="PeMS2016"/>
  </r>
  <r>
    <n v="8"/>
    <x v="2"/>
    <x v="542"/>
    <n v="1"/>
    <n v="1"/>
    <s v="I-5 SB"/>
    <n v="117"/>
    <n v="0"/>
    <s v="PERSHING"/>
    <s v="SR-94 EB"/>
    <n v="26226"/>
    <n v="29831.550781000002"/>
    <n v="0.13748001147716016"/>
    <n v="12999996.434369722"/>
    <n v="0"/>
    <n v="58"/>
    <s v="PeMS2016"/>
  </r>
  <r>
    <n v="8"/>
    <x v="2"/>
    <x v="543"/>
    <n v="1"/>
    <n v="1"/>
    <s v="I-5 SB"/>
    <n v="120"/>
    <n v="0"/>
    <s v="PERSHING"/>
    <s v="E"/>
    <n v="20981"/>
    <n v="28713.763672000001"/>
    <n v="0.36856030084362046"/>
    <n v="59795634.007002935"/>
    <n v="0"/>
    <n v="717"/>
    <s v="PeMS2016"/>
  </r>
  <r>
    <n v="8"/>
    <x v="2"/>
    <x v="544"/>
    <n v="1"/>
    <n v="1"/>
    <s v="I-5 SB"/>
    <n v="121"/>
    <n v="0"/>
    <s v="E"/>
    <s v="IMPERIAL"/>
    <n v="18771"/>
    <n v="30405.193359000001"/>
    <n v="0.61979614080230139"/>
    <n v="135354455.11459973"/>
    <n v="0"/>
    <n v="563"/>
    <s v="PeMS2016"/>
  </r>
  <r>
    <n v="8"/>
    <x v="2"/>
    <x v="545"/>
    <n v="1"/>
    <n v="1"/>
    <s v="I-5 SB"/>
    <n v="129"/>
    <n v="0"/>
    <s v="NATIONAL"/>
    <s v="29TH"/>
    <n v="19188"/>
    <n v="27141.736327999999"/>
    <n v="0.41451617302480703"/>
    <n v="63261921.575346909"/>
    <n v="0"/>
    <n v="565"/>
    <s v="PeMS2016"/>
  </r>
  <r>
    <n v="8"/>
    <x v="2"/>
    <x v="546"/>
    <n v="1"/>
    <n v="1"/>
    <s v="I-5 SB"/>
    <n v="130"/>
    <n v="0"/>
    <s v="29TH"/>
    <s v="MAIN"/>
    <n v="20217"/>
    <n v="28089.830077999999"/>
    <n v="0.38941633664737596"/>
    <n v="61981453.437061474"/>
    <n v="0"/>
    <n v="338"/>
    <s v="PeMS2016"/>
  </r>
  <r>
    <n v="8"/>
    <x v="2"/>
    <x v="547"/>
    <n v="1"/>
    <n v="1"/>
    <s v="I-5 SB"/>
    <n v="132"/>
    <n v="0"/>
    <s v="MAIN"/>
    <s v="SR-15 SB"/>
    <n v="17560"/>
    <n v="22787.998047000001"/>
    <n v="0.297721984453303"/>
    <n v="27331963.579435825"/>
    <n v="0"/>
    <n v="325"/>
    <s v="PeMS2016"/>
  </r>
  <r>
    <n v="8"/>
    <x v="2"/>
    <x v="548"/>
    <n v="1"/>
    <n v="1"/>
    <s v="I-5 SB"/>
    <n v="134"/>
    <n v="0"/>
    <s v="MAIN"/>
    <s v="08TH"/>
    <n v="23110"/>
    <n v="31971.744140999999"/>
    <n v="0.38345928779749028"/>
    <n v="78530509.22054781"/>
    <n v="0"/>
    <n v="487"/>
    <s v="PeMS2016"/>
  </r>
  <r>
    <n v="8"/>
    <x v="2"/>
    <x v="549"/>
    <n v="1"/>
    <n v="1"/>
    <s v="I-5 SB"/>
    <n v="136"/>
    <n v="0"/>
    <s v="CIVIC CENTER"/>
    <s v="CIVIC CENTER"/>
    <n v="25627"/>
    <n v="29174.890625"/>
    <n v="0.13844346294923326"/>
    <n v="12587527.886962891"/>
    <n v="0"/>
    <n v="230"/>
    <s v="PeMS2016"/>
  </r>
  <r>
    <n v="8"/>
    <x v="2"/>
    <x v="550"/>
    <n v="1"/>
    <n v="1"/>
    <s v="I-5 SB"/>
    <n v="139"/>
    <n v="0"/>
    <s v="24TH"/>
    <s v="24TH"/>
    <n v="22365"/>
    <n v="28445.037109000001"/>
    <n v="0.27185500152023256"/>
    <n v="36966851.24681709"/>
    <n v="0"/>
    <n v="562"/>
    <s v="PeMS2016"/>
  </r>
  <r>
    <n v="8"/>
    <x v="2"/>
    <x v="551"/>
    <n v="1"/>
    <n v="1"/>
    <s v="I-5 SB"/>
    <n v="149"/>
    <n v="0"/>
    <s v="J"/>
    <s v="J"/>
    <n v="20376"/>
    <n v="23565.056640999999"/>
    <n v="0.15651043585590885"/>
    <n v="10170082.259506198"/>
    <n v="0"/>
    <n v="564"/>
    <s v="PeMS2016"/>
  </r>
  <r>
    <n v="8"/>
    <x v="2"/>
    <x v="552"/>
    <n v="1"/>
    <n v="1"/>
    <s v="I-5 SB"/>
    <n v="155"/>
    <n v="0"/>
    <s v="MAIN"/>
    <s v="MAIN"/>
    <n v="24174"/>
    <n v="19633.830077999999"/>
    <n v="-0.18781210896003975"/>
    <n v="20613142.920633495"/>
    <n v="0"/>
    <n v="568"/>
    <s v="Caltran"/>
  </r>
  <r>
    <n v="8"/>
    <x v="2"/>
    <x v="553"/>
    <n v="1"/>
    <n v="1"/>
    <s v="I-5 SB"/>
    <n v="160"/>
    <n v="0"/>
    <s v="CORONADO"/>
    <s v="CORONADO"/>
    <n v="16668"/>
    <n v="13641.490234000001"/>
    <n v="-0.18157605987520997"/>
    <n v="9159761.3636933696"/>
    <n v="0"/>
    <n v="14"/>
    <s v="PeMS2016"/>
  </r>
  <r>
    <n v="8"/>
    <x v="2"/>
    <x v="554"/>
    <n v="1"/>
    <n v="1"/>
    <s v="I-5 SB"/>
    <n v="162"/>
    <n v="0"/>
    <s v="SR-905"/>
    <s v="SR-905 WB"/>
    <n v="11019"/>
    <n v="6683.8979490000002"/>
    <n v="-0.39342064170977398"/>
    <n v="18793109.792584404"/>
    <n v="0"/>
    <n v="234"/>
    <s v="PeMS2016"/>
  </r>
  <r>
    <n v="8"/>
    <x v="2"/>
    <x v="555"/>
    <n v="1"/>
    <n v="1"/>
    <s v="I-5 SB"/>
    <n v="164"/>
    <n v="0"/>
    <s v="SR-905 EB"/>
    <s v="DAIRY MART"/>
    <n v="11501"/>
    <n v="6869.3139650000003"/>
    <n v="-0.40272028823580552"/>
    <n v="21452515.526814017"/>
    <n v="0"/>
    <n v="27"/>
    <s v="PeMS2016"/>
  </r>
  <r>
    <n v="8"/>
    <x v="2"/>
    <x v="556"/>
    <n v="1"/>
    <n v="1"/>
    <s v="I-5 SB"/>
    <n v="165"/>
    <n v="0"/>
    <s v="DAIRY MART"/>
    <s v="DAIRY MART"/>
    <n v="9158"/>
    <n v="5251.6083980000003"/>
    <n v="-0.42655509958506221"/>
    <n v="15259895.348176124"/>
    <n v="0"/>
    <n v="28"/>
    <s v="PeMS2016"/>
  </r>
  <r>
    <n v="22"/>
    <x v="3"/>
    <x v="557"/>
    <n v="1"/>
    <n v="1"/>
    <s v="I-8 EB"/>
    <n v="1"/>
    <n v="0"/>
    <s v="I-8 EB"/>
    <s v="I-8 EB"/>
    <n v="4715"/>
    <n v="7030.4902339999999"/>
    <n v="0.49109018748674438"/>
    <n v="5361495.0237493739"/>
    <n v="0"/>
    <n v="742"/>
    <s v="PeMS2016"/>
  </r>
  <r>
    <n v="22"/>
    <x v="3"/>
    <x v="558"/>
    <n v="1"/>
    <n v="1"/>
    <s v="I-8 EB"/>
    <n v="3"/>
    <n v="0"/>
    <s v="MIDWAY"/>
    <s v="I-5 SB"/>
    <n v="12709"/>
    <n v="12505.868164"/>
    <n v="-1.5983306003619524E-2"/>
    <n v="41262.54279673109"/>
    <n v="0"/>
    <n v="26"/>
    <s v="PeMS2016"/>
  </r>
  <r>
    <n v="22"/>
    <x v="3"/>
    <x v="559"/>
    <n v="1"/>
    <n v="1"/>
    <s v="I-8 EB"/>
    <n v="9"/>
    <n v="0"/>
    <s v="MORENA"/>
    <s v="TAYLOR"/>
    <n v="22897"/>
    <n v="25837.550781000002"/>
    <n v="0.12842515530418841"/>
    <n v="8646838.8956397194"/>
    <n v="0"/>
    <n v="25"/>
    <s v="PeMS2016"/>
  </r>
  <r>
    <n v="22"/>
    <x v="3"/>
    <x v="560"/>
    <n v="1"/>
    <n v="1"/>
    <s v="I-8 EB"/>
    <n v="10"/>
    <n v="0"/>
    <s v="TAYLOR"/>
    <s v="TAYLOR"/>
    <n v="25270"/>
    <n v="24938.472656000002"/>
    <n v="-1.3119404194697148E-2"/>
    <n v="109910.37981969319"/>
    <n v="0"/>
    <n v="741"/>
    <s v="PeMS2016"/>
  </r>
  <r>
    <n v="22"/>
    <x v="3"/>
    <x v="561"/>
    <n v="1"/>
    <n v="1"/>
    <s v="I-8 EB"/>
    <n v="11"/>
    <n v="0"/>
    <s v="HOTEL CIRCLE NORTH"/>
    <s v="HOTEL CIRCLE SOUTH"/>
    <n v="25270"/>
    <n v="28146.46875"/>
    <n v="0.11382939256034819"/>
    <n v="8274072.4697265625"/>
    <n v="0"/>
    <n v="29"/>
    <s v="PeMS2016"/>
  </r>
  <r>
    <n v="22"/>
    <x v="3"/>
    <x v="562"/>
    <n v="1"/>
    <n v="1"/>
    <s v="I-8 EB"/>
    <n v="12"/>
    <n v="0"/>
    <s v="HOTEL CIRCLE SOUTH"/>
    <s v="HOTEL CIRCLE SOUTH"/>
    <n v="25476"/>
    <n v="28146.46875"/>
    <n v="0.10482292157324546"/>
    <n v="7131403.3447265625"/>
    <n v="0"/>
    <n v="30"/>
    <s v="PeMS2016"/>
  </r>
  <r>
    <n v="22"/>
    <x v="3"/>
    <x v="563"/>
    <n v="1"/>
    <n v="1"/>
    <s v="I-8 EB"/>
    <n v="14"/>
    <n v="0"/>
    <s v="HOTEL CIRCLE SOUTH"/>
    <s v="HOTEL CIRCLE SOUTH"/>
    <n v="25023"/>
    <n v="26247.490234000001"/>
    <n v="4.8934589537625417E-2"/>
    <n v="1499376.3331613766"/>
    <n v="0"/>
    <n v="550"/>
    <s v="PeMS2016"/>
  </r>
  <r>
    <n v="22"/>
    <x v="3"/>
    <x v="564"/>
    <n v="1"/>
    <n v="1"/>
    <s v="I-8 EB"/>
    <n v="19"/>
    <n v="0"/>
    <s v="MISSION CENTER"/>
    <s v="TEXAS"/>
    <n v="30291"/>
    <n v="32088.878906000002"/>
    <n v="5.9353567264204043E-2"/>
    <n v="3232368.5606397633"/>
    <n v="0"/>
    <n v="259"/>
    <s v="PeMS2016"/>
  </r>
  <r>
    <n v="22"/>
    <x v="3"/>
    <x v="565"/>
    <n v="1"/>
    <n v="1"/>
    <s v="I-8 EB"/>
    <n v="21"/>
    <n v="0"/>
    <s v="I-805 SB"/>
    <s v="TEXAS"/>
    <n v="19235"/>
    <n v="20099.919922000001"/>
    <n v="4.4965943436444E-2"/>
    <n v="748086.47147248778"/>
    <n v="0"/>
    <n v="547"/>
    <s v="PeMS2016"/>
  </r>
  <r>
    <n v="22"/>
    <x v="3"/>
    <x v="566"/>
    <n v="1"/>
    <n v="1"/>
    <s v="I-8 EB"/>
    <n v="23"/>
    <n v="0"/>
    <s v="TEXAS"/>
    <s v="I-805 NB"/>
    <n v="23330"/>
    <n v="22810.544922000001"/>
    <n v="-2.2265541277325274E-2"/>
    <n v="269833.57805998507"/>
    <n v="0"/>
    <n v="260"/>
    <s v="PeMS2016"/>
  </r>
  <r>
    <n v="22"/>
    <x v="3"/>
    <x v="567"/>
    <n v="1"/>
    <n v="1"/>
    <s v="I-8 EB"/>
    <n v="24"/>
    <n v="0"/>
    <s v="I-805 NB"/>
    <s v="SR-15 SB"/>
    <n v="32396"/>
    <n v="35032.519530999998"/>
    <n v="8.1384107019385032E-2"/>
    <n v="6951235.2373444503"/>
    <n v="0"/>
    <n v="545"/>
    <s v="Caltran"/>
  </r>
  <r>
    <n v="22"/>
    <x v="3"/>
    <x v="568"/>
    <n v="1"/>
    <n v="1"/>
    <s v="I-8 EB"/>
    <n v="25"/>
    <n v="0"/>
    <s v="SR-15 SB"/>
    <s v="SR-15 SB"/>
    <n v="22510"/>
    <n v="24158.677734000001"/>
    <n v="7.3242013949355922E-2"/>
    <n v="2718138.2705873773"/>
    <n v="0"/>
    <n v="262"/>
    <s v="PeMS2016"/>
  </r>
  <r>
    <n v="22"/>
    <x v="3"/>
    <x v="569"/>
    <n v="1"/>
    <n v="1"/>
    <s v="I-8 EB"/>
    <n v="28"/>
    <n v="0"/>
    <s v="FAIRMOUNT"/>
    <s v="WARING"/>
    <n v="32759"/>
    <n v="39223.183594000002"/>
    <n v="0.19732542489086979"/>
    <n v="41785669.536938779"/>
    <n v="0"/>
    <n v="263"/>
    <s v="PeMS2016"/>
  </r>
  <r>
    <n v="22"/>
    <x v="3"/>
    <x v="570"/>
    <n v="1"/>
    <n v="1"/>
    <s v="I-8 EB"/>
    <n v="30"/>
    <n v="0"/>
    <s v="WARING"/>
    <s v="COLLEGE"/>
    <n v="32175"/>
    <n v="36448.117187999997"/>
    <n v="0.13280861501165497"/>
    <n v="18259530.502380997"/>
    <n v="0"/>
    <n v="544"/>
    <s v="PeMS2016"/>
  </r>
  <r>
    <n v="22"/>
    <x v="3"/>
    <x v="571"/>
    <n v="1"/>
    <n v="1"/>
    <s v="I-8 EB"/>
    <n v="31"/>
    <n v="0"/>
    <s v="WARING"/>
    <s v="COLLEGE"/>
    <n v="31197"/>
    <n v="37989.25"/>
    <n v="0.21772125524890207"/>
    <n v="46134660.0625"/>
    <n v="0"/>
    <n v="738"/>
    <s v="PeMS2016"/>
  </r>
  <r>
    <n v="22"/>
    <x v="3"/>
    <x v="572"/>
    <n v="1"/>
    <n v="1"/>
    <s v="I-8 EB"/>
    <n v="32"/>
    <n v="0"/>
    <s v="COLLEGE"/>
    <s v="COLLEGE"/>
    <n v="29007"/>
    <n v="29659.685547000001"/>
    <n v="2.2500966904540398E-2"/>
    <n v="425998.42326269043"/>
    <n v="0"/>
    <n v="33"/>
    <s v="PeMS2016"/>
  </r>
  <r>
    <n v="22"/>
    <x v="3"/>
    <x v="573"/>
    <n v="1"/>
    <n v="1"/>
    <s v="I-8 EB"/>
    <n v="33"/>
    <n v="0"/>
    <s v="COLLEGE"/>
    <s v="LAKE MURRAY"/>
    <n v="28021"/>
    <n v="32558.337890999999"/>
    <n v="0.16192633706862702"/>
    <n v="20587435.137104321"/>
    <n v="0"/>
    <n v="558"/>
    <s v="Caltran"/>
  </r>
  <r>
    <n v="22"/>
    <x v="3"/>
    <x v="574"/>
    <n v="1"/>
    <n v="1"/>
    <s v="I-8 EB"/>
    <n v="35"/>
    <n v="0"/>
    <s v="LAKE MURRAY"/>
    <s v="FLETCHER"/>
    <n v="28522"/>
    <n v="32062.892577999999"/>
    <n v="0.12414601283219961"/>
    <n v="12537920.24893548"/>
    <n v="0"/>
    <n v="238"/>
    <s v="PeMS2016"/>
  </r>
  <r>
    <n v="22"/>
    <x v="3"/>
    <x v="575"/>
    <n v="1"/>
    <n v="1"/>
    <s v="I-8 EB"/>
    <n v="36"/>
    <n v="0"/>
    <s v="FLETCHER"/>
    <s v="ALVARADO"/>
    <n v="24159"/>
    <n v="25169.216797000001"/>
    <n v="4.1815339914731631E-2"/>
    <n v="1020537.9769409412"/>
    <n v="0"/>
    <n v="239"/>
    <s v="PeMS2016"/>
  </r>
  <r>
    <n v="22"/>
    <x v="3"/>
    <x v="576"/>
    <n v="1"/>
    <n v="1"/>
    <s v="I-8 EB"/>
    <n v="38"/>
    <n v="0"/>
    <s v="SPRING"/>
    <s v="EL CAJON"/>
    <n v="23483"/>
    <n v="23689.3125"/>
    <n v="8.7856108674360112E-3"/>
    <n v="42564.84765625"/>
    <n v="0"/>
    <n v="557"/>
    <s v="PeMS2016"/>
  </r>
  <r>
    <n v="22"/>
    <x v="3"/>
    <x v="577"/>
    <n v="1"/>
    <n v="1"/>
    <s v="I-8 EB"/>
    <n v="39"/>
    <n v="0"/>
    <s v="EL CAJON"/>
    <s v="GROSSMONT"/>
    <n v="26961"/>
    <n v="25857.818359000001"/>
    <n v="-4.0917682615630002E-2"/>
    <n v="1217009.7330394511"/>
    <n v="0"/>
    <n v="237"/>
    <s v="Caltran"/>
  </r>
  <r>
    <n v="22"/>
    <x v="3"/>
    <x v="578"/>
    <n v="1"/>
    <n v="1"/>
    <s v="I-8 EB"/>
    <n v="40"/>
    <n v="0"/>
    <s v="GROSSMONT"/>
    <s v="GROSSMONT"/>
    <n v="21198"/>
    <n v="24746.496093999998"/>
    <n v="0.16739768346070383"/>
    <n v="12591824.529133245"/>
    <n v="0"/>
    <n v="236"/>
    <s v="PeMS2016"/>
  </r>
  <r>
    <n v="22"/>
    <x v="3"/>
    <x v="579"/>
    <n v="1"/>
    <n v="1"/>
    <s v="I-8 EB"/>
    <n v="47"/>
    <n v="0"/>
    <s v="GROSSMONT"/>
    <s v="EL CAJON"/>
    <n v="31372"/>
    <n v="32211.630859000001"/>
    <n v="2.6763701995409894E-2"/>
    <n v="704979.97938507923"/>
    <n v="0"/>
    <n v="559"/>
    <s v="PeMS2016"/>
  </r>
  <r>
    <n v="22"/>
    <x v="3"/>
    <x v="580"/>
    <n v="1"/>
    <n v="1"/>
    <s v="I-8 EB"/>
    <n v="48"/>
    <n v="0"/>
    <s v="EL CAJON"/>
    <s v="MAIN"/>
    <n v="24705"/>
    <n v="23383.609375"/>
    <n v="-5.3486768872697876E-2"/>
    <n v="1746073.1838378906"/>
    <n v="0"/>
    <n v="556"/>
    <s v="PeMS2016"/>
  </r>
  <r>
    <n v="22"/>
    <x v="3"/>
    <x v="581"/>
    <n v="1"/>
    <n v="1"/>
    <s v="I-8 EB"/>
    <n v="49"/>
    <n v="0"/>
    <s v="MAIN"/>
    <s v="MAIN"/>
    <n v="21546"/>
    <n v="21720.689452999999"/>
    <n v="8.1077440360159958E-3"/>
    <n v="30516.404989438877"/>
    <n v="0"/>
    <n v="241"/>
    <s v="PeMS2016"/>
  </r>
  <r>
    <n v="22"/>
    <x v="3"/>
    <x v="582"/>
    <n v="1"/>
    <n v="1"/>
    <s v="I-8 EB"/>
    <n v="51"/>
    <n v="0"/>
    <s v="JOHNSON"/>
    <s v="SR-67 NB"/>
    <n v="20885"/>
    <n v="20818.507812"/>
    <n v="-3.1837293751496576E-3"/>
    <n v="4421.2110650273662"/>
    <n v="0"/>
    <n v="242"/>
    <s v="PeMS2016"/>
  </r>
  <r>
    <n v="22"/>
    <x v="3"/>
    <x v="583"/>
    <n v="1"/>
    <n v="1"/>
    <s v="I-8 EB"/>
    <n v="54"/>
    <n v="0"/>
    <s v="MAGNOLIA"/>
    <s v="MOLLISON"/>
    <n v="16047"/>
    <n v="17381.960938"/>
    <n v="8.319068598491941E-2"/>
    <n v="1782120.7059858404"/>
    <n v="0"/>
    <n v="555"/>
    <s v="PeMS2016"/>
  </r>
  <r>
    <n v="22"/>
    <x v="3"/>
    <x v="584"/>
    <n v="1"/>
    <n v="1"/>
    <s v="I-8 EB"/>
    <n v="55"/>
    <n v="0"/>
    <s v="MOLLISON"/>
    <s v="MOLLISON"/>
    <n v="15932"/>
    <n v="14283.464844"/>
    <n v="-0.103473208385639"/>
    <n v="2717668.1605679439"/>
    <n v="0"/>
    <n v="243"/>
    <s v="PeMS2016"/>
  </r>
  <r>
    <n v="22"/>
    <x v="3"/>
    <x v="585"/>
    <n v="1"/>
    <n v="1"/>
    <s v="I-8 EB"/>
    <n v="56"/>
    <n v="0"/>
    <s v="MOLLISON"/>
    <s v="02ND"/>
    <n v="16600"/>
    <n v="15158.868164"/>
    <n v="-8.6815170843373535E-2"/>
    <n v="2076860.9687327323"/>
    <n v="0"/>
    <n v="244"/>
    <s v="PeMS2016"/>
  </r>
  <r>
    <n v="22"/>
    <x v="3"/>
    <x v="586"/>
    <n v="1"/>
    <n v="1"/>
    <s v="I-8 EB"/>
    <n v="58"/>
    <n v="0"/>
    <s v="SR  54"/>
    <s v="MAIN"/>
    <n v="11477"/>
    <n v="12497.608398"/>
    <n v="8.8926409166158349E-2"/>
    <n v="1041641.502068127"/>
    <n v="0"/>
    <n v="245"/>
    <s v="PeMS2016"/>
  </r>
  <r>
    <n v="22"/>
    <x v="3"/>
    <x v="587"/>
    <n v="1"/>
    <n v="1"/>
    <s v="I-8 EB"/>
    <n v="60"/>
    <n v="0"/>
    <s v="SR  54"/>
    <s v="GREENFIELD"/>
    <n v="13517"/>
    <n v="13287.690430000001"/>
    <n v="-1.6964531330916577E-2"/>
    <n v="52582.878893584646"/>
    <n v="0"/>
    <n v="246"/>
    <s v="PeMS2016"/>
  </r>
  <r>
    <n v="22"/>
    <x v="3"/>
    <x v="588"/>
    <n v="1"/>
    <n v="1"/>
    <s v="I-8 EB"/>
    <n v="62"/>
    <n v="0"/>
    <s v="GREENFIELD"/>
    <s v="GREENFIELD"/>
    <n v="10967"/>
    <n v="10658.822265999999"/>
    <n v="-2.8100459013403967E-2"/>
    <n v="94973.515733375243"/>
    <n v="0"/>
    <n v="247"/>
    <s v="PeMS2016"/>
  </r>
  <r>
    <n v="22"/>
    <x v="3"/>
    <x v="589"/>
    <n v="1"/>
    <n v="1"/>
    <s v="I-8 EB"/>
    <n v="63"/>
    <n v="0"/>
    <s v="GREENFIELD"/>
    <s v="CAM CANADA"/>
    <n v="8529"/>
    <n v="11264.482421999999"/>
    <n v="0.32072721561730555"/>
    <n v="7482864.081070981"/>
    <n v="0"/>
    <n v="554"/>
    <s v="PeMS2016"/>
  </r>
  <r>
    <n v="22"/>
    <x v="3"/>
    <x v="590"/>
    <n v="1"/>
    <n v="1"/>
    <s v="I-8 EB"/>
    <n v="64"/>
    <n v="0"/>
    <s v="CAM CANADA"/>
    <s v="CAM CANADA"/>
    <n v="8493"/>
    <n v="9066.1757809999999"/>
    <n v="6.7488023195572788E-2"/>
    <n v="328530.47592495987"/>
    <n v="0"/>
    <n v="248"/>
    <s v="PeMS2016"/>
  </r>
  <r>
    <n v="22"/>
    <x v="3"/>
    <x v="591"/>
    <n v="1"/>
    <n v="1"/>
    <s v="I-8 EB"/>
    <n v="65"/>
    <n v="1"/>
    <s v="CAM CANADA"/>
    <s v="LAKE JENNINGS PARK"/>
    <n v="10341"/>
    <n v="9256.09375"/>
    <n v="-0.10491308867614346"/>
    <n v="1177021.5712890625"/>
    <n v="0"/>
    <n v="249"/>
    <s v="PeMS2016"/>
  </r>
  <r>
    <n v="22"/>
    <x v="3"/>
    <x v="592"/>
    <n v="1"/>
    <n v="1"/>
    <s v="I-8 EB"/>
    <n v="67"/>
    <n v="0"/>
    <s v="LAKE JENNINGS PARK"/>
    <s v="LAKE JENNINGS PARK"/>
    <n v="7863"/>
    <n v="8833.3300780000009"/>
    <n v="0.12340456288948243"/>
    <n v="941540.46027148771"/>
    <n v="0"/>
    <n v="250"/>
    <s v="PeMS2016"/>
  </r>
  <r>
    <n v="22"/>
    <x v="3"/>
    <x v="593"/>
    <n v="1"/>
    <n v="1"/>
    <s v="I-8 EB"/>
    <n v="68"/>
    <n v="3"/>
    <s v="LAKE JENNINGS PARK"/>
    <s v="DUNBAR"/>
    <n v="8246"/>
    <n v="8869.7636719999991"/>
    <n v="7.5644393887945638E-2"/>
    <n v="389081.1185069225"/>
    <n v="0"/>
    <n v="86"/>
    <s v="Caltran"/>
  </r>
  <r>
    <n v="22"/>
    <x v="3"/>
    <x v="594"/>
    <n v="1"/>
    <n v="1"/>
    <s v="I-8 EB"/>
    <n v="80"/>
    <n v="2"/>
    <s v="JAPATUL VALLEY"/>
    <s v="PINE VALLEY"/>
    <n v="2708"/>
    <n v="3218.482422"/>
    <n v="0.18850901846381096"/>
    <n v="260592.30317098612"/>
    <n v="0"/>
    <n v="691"/>
    <s v="Caltran"/>
  </r>
  <r>
    <n v="22"/>
    <x v="3"/>
    <x v="595"/>
    <n v="1"/>
    <n v="1"/>
    <s v="I-8 EB"/>
    <n v="86"/>
    <n v="2"/>
    <s v="BUCKMAN SPRINGS"/>
    <s v="CAMERON TRUCK"/>
    <n v="1915"/>
    <n v="2320.1208499999998"/>
    <n v="0.21155135770234978"/>
    <n v="164122.90310472233"/>
    <n v="0"/>
    <n v="7"/>
    <s v="Caltran"/>
  </r>
  <r>
    <n v="22"/>
    <x v="3"/>
    <x v="596"/>
    <n v="1"/>
    <n v="1"/>
    <s v="I-8 EB"/>
    <n v="92"/>
    <n v="7"/>
    <s v="SR-94"/>
    <s v="CORRIZO GORGE"/>
    <n v="1608"/>
    <n v="1830.634888"/>
    <n v="0.1384545323383084"/>
    <n v="49566.293354772562"/>
    <n v="0"/>
    <n v="6"/>
    <s v="Caltran"/>
  </r>
  <r>
    <n v="35"/>
    <x v="2"/>
    <x v="597"/>
    <n v="1"/>
    <n v="2"/>
    <s v="I-805 HOV SB"/>
    <n v="5"/>
    <n v="0"/>
    <s v="ramp I-805 HOV SB"/>
    <s v="ramp I-805 HOV SB"/>
    <n v="2838"/>
    <n v="2136.1215820000002"/>
    <n v="-0.24731445313601119"/>
    <n v="492633.31365418242"/>
    <n v="0"/>
    <n v="755"/>
    <s v="PeMS2016"/>
  </r>
  <r>
    <n v="10"/>
    <x v="2"/>
    <x v="598"/>
    <n v="1"/>
    <n v="1"/>
    <s v="I-805 SB"/>
    <n v="1"/>
    <n v="0"/>
    <s v="I-5 SB"/>
    <s v="I-5 SB"/>
    <n v="9432"/>
    <n v="12409.535156"/>
    <n v="0.31568438888888894"/>
    <n v="8865715.6052159443"/>
    <n v="0"/>
    <n v="5"/>
    <s v="PeMS2016"/>
  </r>
  <r>
    <n v="10"/>
    <x v="2"/>
    <x v="599"/>
    <n v="1"/>
    <n v="1"/>
    <s v="I-805 SB"/>
    <n v="2"/>
    <n v="0"/>
    <s v="I-5 SB"/>
    <s v="SORRENTO VALLEY"/>
    <n v="15531"/>
    <n v="16690.216797000001"/>
    <n v="7.4638902646320338E-2"/>
    <n v="1343783.5824469414"/>
    <n v="0"/>
    <n v="756"/>
    <s v="Caltran"/>
  </r>
  <r>
    <n v="10"/>
    <x v="2"/>
    <x v="600"/>
    <n v="1"/>
    <n v="1"/>
    <s v="I-805 SB"/>
    <n v="4"/>
    <n v="0"/>
    <s v="SORRENTO VALLEY"/>
    <s v="SORRENTO VALLEY"/>
    <n v="12370"/>
    <n v="14624.327148"/>
    <n v="0.18224148326596601"/>
    <n v="5081990.8902098155"/>
    <n v="0"/>
    <n v="4"/>
    <s v="PeMS2016"/>
  </r>
  <r>
    <n v="10"/>
    <x v="2"/>
    <x v="601"/>
    <n v="1"/>
    <n v="1"/>
    <s v="I-805 SB"/>
    <n v="5"/>
    <n v="0"/>
    <s v="SORRENTO VALLEY"/>
    <s v="SORRENTO VALLEY"/>
    <n v="16116"/>
    <n v="19336.683593999998"/>
    <n v="0.19984385666418447"/>
    <n v="10372802.812660746"/>
    <n v="0"/>
    <n v="3"/>
    <s v="PeMS2016"/>
  </r>
  <r>
    <n v="10"/>
    <x v="2"/>
    <x v="602"/>
    <n v="1"/>
    <n v="1"/>
    <s v="I-805 SB"/>
    <n v="7"/>
    <n v="0"/>
    <s v="SORRENTO VALLEY"/>
    <s v="LA JOLLA VILLAGE"/>
    <n v="16818"/>
    <n v="23914.396484000001"/>
    <n v="0.42195246069687253"/>
    <n v="50358843.058127575"/>
    <n v="0"/>
    <n v="758"/>
    <s v="PeMS2016"/>
  </r>
  <r>
    <n v="10"/>
    <x v="2"/>
    <x v="603"/>
    <n v="1"/>
    <n v="1"/>
    <s v="I-805 SB"/>
    <n v="9"/>
    <n v="0"/>
    <s v="LA JOLLA VILLAGE"/>
    <s v="LA JOLLA VILLAGE"/>
    <n v="14690"/>
    <n v="21097.476562"/>
    <n v="0.43617948005445872"/>
    <n v="41055755.892579339"/>
    <n v="0"/>
    <n v="2"/>
    <s v="PeMS2016"/>
  </r>
  <r>
    <n v="10"/>
    <x v="2"/>
    <x v="604"/>
    <n v="1"/>
    <n v="1"/>
    <s v="I-805 SB"/>
    <n v="11"/>
    <n v="0"/>
    <s v="LA JOLLA VILLAGE"/>
    <s v="NOBEL"/>
    <n v="19570"/>
    <n v="26757.148438"/>
    <n v="0.36725336934082775"/>
    <n v="51655102.669845842"/>
    <n v="0"/>
    <n v="231"/>
    <s v="PeMS2016"/>
  </r>
  <r>
    <n v="10"/>
    <x v="2"/>
    <x v="605"/>
    <n v="1"/>
    <n v="1"/>
    <s v="I-805 SB"/>
    <n v="13"/>
    <n v="0"/>
    <s v="GOVERNOR"/>
    <s v="GOVERNOR"/>
    <n v="20288"/>
    <n v="31391.683593999998"/>
    <n v="0.54730301626577282"/>
    <n v="123291789.35566472"/>
    <n v="0"/>
    <n v="561"/>
    <s v="PeMS2016"/>
  </r>
  <r>
    <n v="10"/>
    <x v="2"/>
    <x v="606"/>
    <n v="1"/>
    <n v="1"/>
    <s v="I-805 SB"/>
    <n v="18"/>
    <n v="0"/>
    <s v="SR-52 WB"/>
    <s v="SR-52 EB"/>
    <n v="19295"/>
    <n v="26809.523438"/>
    <n v="0.38945444094324966"/>
    <n v="56468062.500251345"/>
    <n v="0"/>
    <n v="569"/>
    <s v="PeMS2016"/>
  </r>
  <r>
    <n v="10"/>
    <x v="2"/>
    <x v="607"/>
    <n v="1"/>
    <n v="1"/>
    <s v="I-805 SB"/>
    <n v="19"/>
    <n v="0"/>
    <s v="SR-52 EB"/>
    <s v="CLAIREMONT MESA"/>
    <n v="20237"/>
    <n v="30883.025390999999"/>
    <n v="0.5260673712012649"/>
    <n v="113337856.62581669"/>
    <n v="0"/>
    <n v="210"/>
    <s v="PeMS2016"/>
  </r>
  <r>
    <n v="10"/>
    <x v="2"/>
    <x v="608"/>
    <n v="1"/>
    <n v="1"/>
    <s v="I-805 SB"/>
    <n v="20"/>
    <n v="0"/>
    <s v="CLAIREMONT MESA"/>
    <s v="CLAIREMONT MESA"/>
    <n v="20101"/>
    <n v="26490.0625"/>
    <n v="0.31784799263718222"/>
    <n v="40820119.62890625"/>
    <n v="0"/>
    <n v="209"/>
    <s v="PeMS2016"/>
  </r>
  <r>
    <n v="10"/>
    <x v="2"/>
    <x v="609"/>
    <n v="1"/>
    <n v="1"/>
    <s v="I-805 SB"/>
    <n v="24"/>
    <n v="0"/>
    <s v="BALBOA"/>
    <s v="SR-163 SB"/>
    <n v="23020"/>
    <n v="31576.833984000001"/>
    <n v="0.37171303145091228"/>
    <n v="73219407.829737321"/>
    <n v="0"/>
    <n v="578"/>
    <s v="PeMS2016"/>
  </r>
  <r>
    <n v="10"/>
    <x v="2"/>
    <x v="610"/>
    <n v="1"/>
    <n v="1"/>
    <s v="I-805 SB"/>
    <n v="25"/>
    <n v="0"/>
    <s v="SR-163 SB"/>
    <s v="SR-163 SB"/>
    <n v="17403"/>
    <n v="24890.080077999999"/>
    <n v="0.43021778302591507"/>
    <n v="56056368.094384469"/>
    <n v="0"/>
    <n v="208"/>
    <s v="PeMS2016"/>
  </r>
  <r>
    <n v="10"/>
    <x v="2"/>
    <x v="611"/>
    <n v="1"/>
    <n v="1"/>
    <s v="I-805 SB"/>
    <n v="26"/>
    <n v="0"/>
    <s v="SR-163 SB"/>
    <s v="SR-163 SB"/>
    <n v="18107"/>
    <n v="24890.080077999999"/>
    <n v="0.37461092825978892"/>
    <n v="46010175.344560474"/>
    <n v="0"/>
    <n v="580"/>
    <s v="PeMS2016"/>
  </r>
  <r>
    <n v="10"/>
    <x v="2"/>
    <x v="612"/>
    <n v="1"/>
    <n v="1"/>
    <s v="I-805 SB"/>
    <n v="27"/>
    <n v="0"/>
    <s v="SR-163 SB"/>
    <s v="MESA COLLEGE"/>
    <n v="18499"/>
    <n v="34519.601562000003"/>
    <n v="0.86602527498783743"/>
    <n v="256659674.40835696"/>
    <n v="0"/>
    <n v="206"/>
    <s v="PeMS2016"/>
  </r>
  <r>
    <n v="10"/>
    <x v="2"/>
    <x v="613"/>
    <n v="1"/>
    <n v="1"/>
    <s v="I-805 SB"/>
    <n v="28"/>
    <n v="0"/>
    <s v="MESA COLLEGE"/>
    <s v="MURRAY RIDGE"/>
    <n v="29959"/>
    <n v="37906.003905999998"/>
    <n v="0.26526265582963382"/>
    <n v="63154871.08197923"/>
    <n v="0"/>
    <n v="197"/>
    <s v="PeMS2016"/>
  </r>
  <r>
    <n v="10"/>
    <x v="2"/>
    <x v="614"/>
    <n v="1"/>
    <n v="1"/>
    <s v="I-805 SB"/>
    <n v="29"/>
    <n v="0"/>
    <s v="MURRAY RIDGE"/>
    <s v="MURRAY RIDGE"/>
    <n v="29030"/>
    <n v="36127.359375"/>
    <n v="0.24448361608680669"/>
    <n v="50372510.097900391"/>
    <n v="0"/>
    <n v="586"/>
    <s v="PeMS2016"/>
  </r>
  <r>
    <n v="10"/>
    <x v="2"/>
    <x v="615"/>
    <n v="1"/>
    <n v="1"/>
    <s v="I-805 SB"/>
    <n v="30"/>
    <n v="0"/>
    <s v="MURRAY RIDGE"/>
    <s v="I-8 WB"/>
    <n v="30741"/>
    <n v="37786.039062000003"/>
    <n v="0.22917403669366654"/>
    <n v="49632575.385105886"/>
    <n v="0"/>
    <n v="196"/>
    <s v="PeMS2016"/>
  </r>
  <r>
    <n v="10"/>
    <x v="2"/>
    <x v="616"/>
    <n v="1"/>
    <n v="1"/>
    <s v="I-805 SB"/>
    <n v="31"/>
    <n v="0"/>
    <s v="I-8 WB"/>
    <s v="I-8 EB"/>
    <n v="21829"/>
    <n v="26535.144531000002"/>
    <n v="0.2155913936048377"/>
    <n v="22147796.346661225"/>
    <n v="0"/>
    <n v="587"/>
    <s v="PeMS2016"/>
  </r>
  <r>
    <n v="10"/>
    <x v="2"/>
    <x v="617"/>
    <n v="1"/>
    <n v="1"/>
    <s v="I-805 SB"/>
    <n v="33"/>
    <n v="0"/>
    <s v="MADISON"/>
    <s v="EL CAJON"/>
    <n v="29038"/>
    <n v="33287.972655999998"/>
    <n v="0.14635900048212691"/>
    <n v="18062267.576747678"/>
    <n v="0"/>
    <n v="588"/>
    <s v="PeMS2016"/>
  </r>
  <r>
    <n v="10"/>
    <x v="2"/>
    <x v="618"/>
    <n v="1"/>
    <n v="1"/>
    <s v="I-805 SB"/>
    <n v="35"/>
    <n v="0"/>
    <s v="EL CAJON"/>
    <s v="UNIVERSITY"/>
    <n v="28272"/>
    <n v="33477.5625"/>
    <n v="0.18412431027164677"/>
    <n v="27097880.94140625"/>
    <n v="0"/>
    <n v="195"/>
    <s v="Caltran"/>
  </r>
  <r>
    <n v="10"/>
    <x v="2"/>
    <x v="619"/>
    <n v="1"/>
    <n v="1"/>
    <s v="I-805 SB"/>
    <n v="39"/>
    <n v="0"/>
    <s v="SR-15 SB"/>
    <s v="SR-15 SB"/>
    <n v="23425"/>
    <n v="26420.966797000001"/>
    <n v="0.12789612794023486"/>
    <n v="8975817.0487264451"/>
    <n v="0"/>
    <n v="194"/>
    <s v="PeMS2016"/>
  </r>
  <r>
    <n v="10"/>
    <x v="2"/>
    <x v="620"/>
    <n v="1"/>
    <n v="1"/>
    <s v="I-805 SB"/>
    <n v="40"/>
    <n v="0"/>
    <s v="SR-15 SB"/>
    <s v="HOME"/>
    <n v="32716"/>
    <n v="39846.75"/>
    <n v="0.21795910257977757"/>
    <n v="50847595.5625"/>
    <n v="0"/>
    <n v="191"/>
    <s v="PeMS2016"/>
  </r>
  <r>
    <n v="10"/>
    <x v="2"/>
    <x v="621"/>
    <n v="1"/>
    <n v="1"/>
    <s v="I-805 SB"/>
    <n v="42"/>
    <n v="0"/>
    <n v="0"/>
    <s v="SR-94 EB"/>
    <n v="21789"/>
    <n v="28762.302734000001"/>
    <n v="0.32003775914452248"/>
    <n v="48626951.020011887"/>
    <n v="0"/>
    <n v="190"/>
    <s v="PeMS2016"/>
  </r>
  <r>
    <n v="10"/>
    <x v="2"/>
    <x v="622"/>
    <n v="1"/>
    <n v="1"/>
    <s v="I-805 SB"/>
    <n v="45"/>
    <n v="0"/>
    <s v="MARKET"/>
    <s v="SR-94 EB"/>
    <n v="19717"/>
    <n v="26552.71875"/>
    <n v="0.3466916239793072"/>
    <n v="46727050.829101563"/>
    <n v="0"/>
    <n v="590"/>
    <s v="PeMS2016"/>
  </r>
  <r>
    <n v="10"/>
    <x v="2"/>
    <x v="623"/>
    <n v="1"/>
    <n v="1"/>
    <s v="I-805 SB"/>
    <n v="46"/>
    <n v="0"/>
    <s v="SR-94 EB"/>
    <s v="MARKET"/>
    <n v="32011"/>
    <n v="35267.824219000002"/>
    <n v="0.10174078344943926"/>
    <n v="10606903.993464973"/>
    <n v="0"/>
    <n v="189"/>
    <s v="Caltran"/>
  </r>
  <r>
    <n v="10"/>
    <x v="2"/>
    <x v="624"/>
    <n v="1"/>
    <n v="1"/>
    <s v="I-805 SB"/>
    <n v="51"/>
    <n v="0"/>
    <s v="47TH"/>
    <s v="47TH"/>
    <n v="21475"/>
    <n v="29358.111327999999"/>
    <n v="0.36708318174621657"/>
    <n v="62143444.209641911"/>
    <n v="0"/>
    <n v="593"/>
    <s v="PeMS2016"/>
  </r>
  <r>
    <n v="10"/>
    <x v="2"/>
    <x v="625"/>
    <n v="1"/>
    <n v="1"/>
    <s v="I-805 SB"/>
    <n v="53"/>
    <n v="0"/>
    <s v="47TH"/>
    <s v="43RD"/>
    <n v="27118"/>
    <n v="30525.400390999999"/>
    <n v="0.1256508736263735"/>
    <n v="11610377.424586948"/>
    <n v="0"/>
    <n v="186"/>
    <s v="PeMS2016"/>
  </r>
  <r>
    <n v="10"/>
    <x v="2"/>
    <x v="626"/>
    <n v="1"/>
    <n v="1"/>
    <s v="I-805 SB"/>
    <n v="54"/>
    <n v="0"/>
    <s v="43RD"/>
    <s v="PLAZA"/>
    <n v="31203"/>
    <n v="32409.998047000001"/>
    <n v="3.8682115405570094E-2"/>
    <n v="1456844.2854618165"/>
    <n v="0"/>
    <n v="594"/>
    <s v="Caltran"/>
  </r>
  <r>
    <n v="10"/>
    <x v="2"/>
    <x v="627"/>
    <n v="1"/>
    <n v="1"/>
    <s v="I-805 SB"/>
    <n v="55"/>
    <n v="0"/>
    <s v="PLAZA"/>
    <s v="PLAZA"/>
    <n v="27045"/>
    <n v="28318.865234000001"/>
    <n v="4.7101691033462734E-2"/>
    <n v="1622732.6343938767"/>
    <n v="0"/>
    <n v="185"/>
    <s v="PeMS2016"/>
  </r>
  <r>
    <n v="10"/>
    <x v="2"/>
    <x v="628"/>
    <n v="1"/>
    <n v="1"/>
    <s v="I-805 SB"/>
    <n v="56"/>
    <n v="0"/>
    <s v="PLAZA"/>
    <s v="SR-54 WB"/>
    <n v="27413"/>
    <n v="30701.773438"/>
    <n v="0.119971306971145"/>
    <n v="10816030.72649434"/>
    <n v="0"/>
    <n v="595"/>
    <s v="PeMS2016"/>
  </r>
  <r>
    <n v="10"/>
    <x v="2"/>
    <x v="629"/>
    <n v="1"/>
    <n v="1"/>
    <s v="I-805 SB"/>
    <n v="62"/>
    <n v="0"/>
    <s v="SR-54 EB"/>
    <s v="BONITA"/>
    <n v="35806"/>
    <n v="32834.386719000002"/>
    <n v="-8.2992048287996334E-2"/>
    <n v="8830485.4918155745"/>
    <n v="0"/>
    <n v="184"/>
    <s v="Caltran"/>
  </r>
  <r>
    <n v="10"/>
    <x v="2"/>
    <x v="630"/>
    <n v="1"/>
    <n v="1"/>
    <s v="I-805 SB"/>
    <n v="63"/>
    <n v="0"/>
    <s v="BONITA"/>
    <s v="BONITA"/>
    <n v="30376"/>
    <n v="30056.591797000001"/>
    <n v="-1.0515150217276781E-2"/>
    <n v="102021.6001436886"/>
    <n v="0"/>
    <n v="596"/>
    <s v="PeMS2016"/>
  </r>
  <r>
    <n v="10"/>
    <x v="2"/>
    <x v="631"/>
    <n v="1"/>
    <n v="1"/>
    <s v="I-805 SB"/>
    <n v="66"/>
    <n v="0"/>
    <s v="H"/>
    <s v="H"/>
    <n v="26889"/>
    <n v="23564.941406000002"/>
    <n v="-0.12362150299378927"/>
    <n v="11049365.536345245"/>
    <n v="0"/>
    <n v="183"/>
    <s v="PeMS2016"/>
  </r>
  <r>
    <n v="10"/>
    <x v="2"/>
    <x v="632"/>
    <n v="1"/>
    <n v="1"/>
    <s v="I-805 SB"/>
    <n v="69"/>
    <n v="0"/>
    <s v="H"/>
    <s v="TELEGRAPH CANYON"/>
    <n v="26224"/>
    <n v="25396.898438"/>
    <n v="-3.1539870424039051E-2"/>
    <n v="684096.99386283953"/>
    <n v="0"/>
    <n v="598"/>
    <s v="PeMS2016"/>
  </r>
  <r>
    <n v="10"/>
    <x v="2"/>
    <x v="633"/>
    <n v="1"/>
    <n v="1"/>
    <s v="I-805 SB"/>
    <n v="70"/>
    <n v="0"/>
    <s v="TELEGRAPH CANYON"/>
    <s v="TELEGRAPH CANYON"/>
    <n v="16943"/>
    <n v="14929.143555000001"/>
    <n v="-0.11886067668063505"/>
    <n v="4055617.7810680359"/>
    <n v="0"/>
    <n v="182"/>
    <s v="PeMS2016"/>
  </r>
  <r>
    <n v="10"/>
    <x v="2"/>
    <x v="634"/>
    <n v="1"/>
    <n v="1"/>
    <s v="I-805 SB"/>
    <n v="72"/>
    <n v="0"/>
    <s v="TELEGRAPH CANYON"/>
    <s v="PALOMAR"/>
    <n v="16630"/>
    <n v="16984.791015999999"/>
    <n v="2.1334396632591623E-2"/>
    <n v="125876.66503431171"/>
    <n v="0"/>
    <n v="676"/>
    <s v="PeMS2016"/>
  </r>
  <r>
    <n v="10"/>
    <x v="2"/>
    <x v="635"/>
    <n v="1"/>
    <n v="1"/>
    <s v="I-805 SB"/>
    <n v="77"/>
    <n v="0"/>
    <s v="OTAY VALLEY"/>
    <s v="OTAY VALLEY"/>
    <n v="17965"/>
    <n v="17630.005859000001"/>
    <n v="-1.8647043751739423E-2"/>
    <n v="112221.07450432736"/>
    <n v="0"/>
    <n v="104"/>
    <s v="PeMS2016"/>
  </r>
  <r>
    <n v="10"/>
    <x v="2"/>
    <x v="636"/>
    <n v="1"/>
    <n v="1"/>
    <s v="I-805 SB"/>
    <n v="79"/>
    <n v="0"/>
    <s v="PALM"/>
    <s v="PALM"/>
    <n v="13679"/>
    <n v="15539.817383"/>
    <n v="0.13603460655018629"/>
    <n v="3462641.3328749673"/>
    <n v="0"/>
    <n v="103"/>
    <s v="PeMS2016"/>
  </r>
  <r>
    <n v="10"/>
    <x v="2"/>
    <x v="637"/>
    <n v="1"/>
    <n v="1"/>
    <s v="I-805 SB"/>
    <n v="80"/>
    <n v="0"/>
    <s v="PALM"/>
    <s v="SR-905 WB"/>
    <n v="14280"/>
    <n v="18086.373047000001"/>
    <n v="0.26655273438375349"/>
    <n v="14488475.772928072"/>
    <n v="0"/>
    <n v="677"/>
    <s v="PeMS2016"/>
  </r>
  <r>
    <n v="10"/>
    <x v="2"/>
    <x v="638"/>
    <n v="1"/>
    <n v="1"/>
    <s v="I-805 SB"/>
    <n v="81"/>
    <n v="0"/>
    <s v="SR-905 WB"/>
    <s v="SR-905 WB"/>
    <n v="8561"/>
    <n v="7642.4145509999998"/>
    <n v="-0.10729884931666867"/>
    <n v="843799.22711453191"/>
    <n v="0"/>
    <n v="193"/>
    <s v="PeMS2016"/>
  </r>
  <r>
    <n v="10"/>
    <x v="2"/>
    <x v="639"/>
    <n v="1"/>
    <n v="1"/>
    <s v="I-805 SB"/>
    <n v="85"/>
    <n v="0"/>
    <s v="SR-905 EB"/>
    <s v="EAST SAN YSIDRO"/>
    <n v="12542"/>
    <n v="8546.2949219999991"/>
    <n v="-0.31858595742305862"/>
    <n v="15965659.070354993"/>
    <n v="0"/>
    <n v="589"/>
    <s v="PeMS2016"/>
  </r>
  <r>
    <n v="10"/>
    <x v="2"/>
    <x v="640"/>
    <n v="1"/>
    <n v="1"/>
    <s v="I-805 SB"/>
    <n v="86"/>
    <n v="0"/>
    <s v="EAST SAN YSIDRO"/>
    <s v="EAST SAN YSIDRO"/>
    <n v="6694"/>
    <n v="6825.9545900000003"/>
    <n v="1.9712367792052543E-2"/>
    <n v="17412.013822068173"/>
    <n v="0"/>
    <n v="581"/>
    <s v="PeMS2016"/>
  </r>
  <r>
    <n v="12"/>
    <x v="2"/>
    <x v="641"/>
    <n v="1"/>
    <n v="1"/>
    <s v="SR-125 SB"/>
    <n v="2"/>
    <n v="0"/>
    <s v="SR-52 WB"/>
    <s v="SR-52 EB"/>
    <n v="5438"/>
    <n v="4813.5258789999998"/>
    <n v="-0.11483525579257081"/>
    <n v="389967.92779872287"/>
    <n v="0"/>
    <n v="204"/>
    <s v="PeMS2016"/>
  </r>
  <r>
    <n v="12"/>
    <x v="2"/>
    <x v="642"/>
    <n v="1"/>
    <n v="1"/>
    <s v="SR-125 SB"/>
    <n v="3"/>
    <n v="1"/>
    <s v="SR-52 EB"/>
    <s v="GROSSMONT COLLEGE DR"/>
    <n v="10546"/>
    <n v="8111.9604490000002"/>
    <n v="-0.23080215731082876"/>
    <n v="5924548.5358322812"/>
    <n v="0"/>
    <n v="205"/>
    <s v="Caltran"/>
  </r>
  <r>
    <n v="12"/>
    <x v="2"/>
    <x v="643"/>
    <n v="1"/>
    <n v="1"/>
    <s v="SR-125 SB"/>
    <n v="5"/>
    <n v="0"/>
    <s v="GROSSMONT COLLEGE DR"/>
    <s v="NAVAJO"/>
    <n v="7791"/>
    <n v="5423.7290039999998"/>
    <n v="-0.30384687408548328"/>
    <n v="5603971.9685028326"/>
    <n v="0"/>
    <n v="480"/>
    <s v="PeMS2016"/>
  </r>
  <r>
    <n v="12"/>
    <x v="2"/>
    <x v="644"/>
    <n v="1"/>
    <n v="1"/>
    <s v="SR-125 SB"/>
    <n v="7"/>
    <n v="0"/>
    <s v="NAVAJO"/>
    <s v="NAVAJO"/>
    <n v="9705"/>
    <n v="7908.3774409999996"/>
    <n v="-0.18512339608449258"/>
    <n v="3227852.61950771"/>
    <n v="0"/>
    <n v="560"/>
    <s v="PeMS2016"/>
  </r>
  <r>
    <n v="12"/>
    <x v="2"/>
    <x v="645"/>
    <n v="1"/>
    <n v="1"/>
    <s v="SR-125 SB"/>
    <n v="8"/>
    <n v="0"/>
    <s v="NAVAJO"/>
    <s v="AMAYA"/>
    <n v="12576"/>
    <n v="10987.779296999999"/>
    <n v="-0.12628981416984741"/>
    <n v="2522445.0014378168"/>
    <n v="0"/>
    <n v="675"/>
    <s v="PeMS2016"/>
  </r>
  <r>
    <n v="12"/>
    <x v="2"/>
    <x v="646"/>
    <n v="1"/>
    <n v="1"/>
    <s v="SR-125 SB"/>
    <n v="9"/>
    <n v="0"/>
    <s v="AMAYA"/>
    <s v="AMAYA"/>
    <n v="11022"/>
    <n v="10223.458008"/>
    <n v="-7.2449826891671232E-2"/>
    <n v="637669.31298732874"/>
    <n v="0"/>
    <n v="324"/>
    <s v="PeMS2016"/>
  </r>
  <r>
    <n v="12"/>
    <x v="2"/>
    <x v="647"/>
    <n v="1"/>
    <n v="1"/>
    <s v="SR-125 SB"/>
    <n v="20"/>
    <n v="0"/>
    <s v="SPRING"/>
    <s v="SPRING"/>
    <n v="18998"/>
    <n v="21269.275390999999"/>
    <n v="0.11955339462048631"/>
    <n v="5158691.9017621996"/>
    <n v="0"/>
    <n v="490"/>
    <s v="PeMS2016"/>
  </r>
  <r>
    <n v="12"/>
    <x v="2"/>
    <x v="648"/>
    <n v="1"/>
    <n v="1"/>
    <s v="SR-125 SB"/>
    <n v="21"/>
    <n v="0"/>
    <s v="SPRING"/>
    <s v="SR-94 WB"/>
    <n v="20215"/>
    <n v="21269.275390999999"/>
    <n v="5.2153123472668872E-2"/>
    <n v="1111496.6000682013"/>
    <n v="0"/>
    <n v="491"/>
    <s v="PeMS2016"/>
  </r>
  <r>
    <n v="12"/>
    <x v="2"/>
    <x v="649"/>
    <n v="1"/>
    <n v="1"/>
    <s v="SR-125 SB"/>
    <n v="3"/>
    <n v="1"/>
    <s v="TROY"/>
    <s v="JAMACHA ROAD"/>
    <n v="20233"/>
    <n v="17562.330077999999"/>
    <n v="-0.13199574566302574"/>
    <n v="7132477.8322754912"/>
    <n v="0"/>
    <n v="321"/>
    <s v="PeMS2016"/>
  </r>
  <r>
    <n v="12"/>
    <x v="2"/>
    <x v="650"/>
    <n v="1"/>
    <n v="1"/>
    <s v="SR-125 SB"/>
    <n v="5"/>
    <n v="0"/>
    <s v="JAMACHA ROAD"/>
    <s v="SR  54"/>
    <n v="14935"/>
    <n v="15151.928711"/>
    <n v="1.4524855105457091E-2"/>
    <n v="47058.065656121726"/>
    <n v="0"/>
    <n v="322"/>
    <s v="PeMS2016"/>
  </r>
  <r>
    <n v="12"/>
    <x v="2"/>
    <x v="651"/>
    <n v="1"/>
    <n v="1"/>
    <s v="SR-125 SB"/>
    <n v="6"/>
    <n v="0"/>
    <s v="SR  54"/>
    <s v="PARADISE VALLEY"/>
    <n v="14060"/>
    <n v="12828.628906"/>
    <n v="-8.7579736415362763E-2"/>
    <n v="1516274.771138757"/>
    <n v="0"/>
    <n v="323"/>
    <s v="PeMS2016"/>
  </r>
  <r>
    <n v="12"/>
    <x v="2"/>
    <x v="652"/>
    <n v="1"/>
    <n v="4"/>
    <s v="SR-125 SB"/>
    <n v="1"/>
    <n v="2"/>
    <s v="SR-54 EB"/>
    <s v="SAN MIGUEL"/>
    <n v="5914"/>
    <n v="6356.9423829999996"/>
    <n v="7.4897257862698519E-2"/>
    <n v="196197.95465771834"/>
    <n v="0"/>
    <n v="489"/>
    <s v="SANDAG"/>
  </r>
  <r>
    <n v="12"/>
    <x v="2"/>
    <x v="653"/>
    <n v="1"/>
    <n v="4"/>
    <s v="SR-125 SB"/>
    <n v="3"/>
    <n v="0"/>
    <s v="SAN MIGUEL"/>
    <s v="H"/>
    <n v="5332"/>
    <n v="5855.5986329999996"/>
    <n v="9.819929351087775E-2"/>
    <n v="274155.52847946825"/>
    <n v="0"/>
    <n v="59"/>
    <s v="SANDAG"/>
  </r>
  <r>
    <n v="12"/>
    <x v="2"/>
    <x v="654"/>
    <n v="1"/>
    <n v="4"/>
    <s v="SR-125 SB"/>
    <n v="6"/>
    <n v="0"/>
    <s v="H"/>
    <s v="TELEGRAPH CANYON"/>
    <n v="4233"/>
    <n v="4199.8891599999997"/>
    <n v="-7.8220741790693271E-3"/>
    <n v="1096.3277255056187"/>
    <n v="0"/>
    <n v="716"/>
    <s v="SANDAG"/>
  </r>
  <r>
    <n v="12"/>
    <x v="2"/>
    <x v="655"/>
    <n v="1"/>
    <n v="4"/>
    <s v="SR-125 SB"/>
    <n v="9"/>
    <n v="0"/>
    <s v="TELEGRAPH CANYON"/>
    <s v="TOLL PLAZA"/>
    <n v="2769"/>
    <n v="3155.4753420000002"/>
    <n v="0.1395721711809319"/>
    <n v="149363.18997401709"/>
    <n v="0"/>
    <n v="57"/>
    <s v="SANDAG"/>
  </r>
  <r>
    <n v="12"/>
    <x v="2"/>
    <x v="656"/>
    <n v="1"/>
    <n v="4"/>
    <s v="SR-125 SB"/>
    <n v="12"/>
    <n v="0"/>
    <s v="RAMP"/>
    <s v="EAST CENTER"/>
    <n v="1552"/>
    <n v="1915.2257079999999"/>
    <n v="0.23403718298969078"/>
    <n v="131932.91495210122"/>
    <n v="0"/>
    <n v="427"/>
    <s v="SANDAG"/>
  </r>
  <r>
    <n v="12"/>
    <x v="2"/>
    <x v="657"/>
    <n v="1"/>
    <n v="4"/>
    <s v="SR-125 SB"/>
    <n v="15"/>
    <n v="0"/>
    <s v="EAST CENTER"/>
    <s v="WOLF CANYON"/>
    <n v="757"/>
    <n v="1180.147461"/>
    <n v="0.55897947291941885"/>
    <n v="179053.77375074654"/>
    <n v="0"/>
    <n v="429"/>
    <s v="SANDAG"/>
  </r>
  <r>
    <n v="11"/>
    <x v="2"/>
    <x v="658"/>
    <n v="1"/>
    <n v="1"/>
    <s v="SR-163 SB"/>
    <n v="1"/>
    <n v="0"/>
    <s v="I-15 SB"/>
    <s v="I-15 HOV SB"/>
    <n v="17739"/>
    <n v="13165.798828000001"/>
    <n v="-0.25780490286938385"/>
    <n v="20914168.959582165"/>
    <n v="0"/>
    <n v="384"/>
    <s v="PeMS2016"/>
  </r>
  <r>
    <n v="11"/>
    <x v="2"/>
    <x v="659"/>
    <n v="1"/>
    <n v="1"/>
    <s v="SR-163 SB"/>
    <n v="2"/>
    <n v="0"/>
    <s v="I-15 HOV SB"/>
    <s v="KEARNY VILLA"/>
    <n v="20825"/>
    <n v="13179.798828000001"/>
    <n v="-0.36711650285714281"/>
    <n v="58449100.960350163"/>
    <n v="0"/>
    <n v="760"/>
    <s v="PeMS2016"/>
  </r>
  <r>
    <n v="11"/>
    <x v="2"/>
    <x v="660"/>
    <n v="1"/>
    <n v="1"/>
    <s v="SR-163 SB"/>
    <n v="4"/>
    <n v="0"/>
    <s v="KEARNY VILLA"/>
    <s v="SR-52 WB"/>
    <n v="25016"/>
    <n v="15696.981444999999"/>
    <n v="-0.37252232791013751"/>
    <n v="86844106.828434303"/>
    <n v="0"/>
    <n v="192"/>
    <s v="PeMS2016"/>
  </r>
  <r>
    <n v="11"/>
    <x v="2"/>
    <x v="661"/>
    <n v="1"/>
    <n v="1"/>
    <s v="SR-163 SB"/>
    <n v="9"/>
    <n v="0"/>
    <s v="CLAIREMONT MESA"/>
    <s v="BALBOA"/>
    <n v="23317"/>
    <n v="19762.931640999999"/>
    <n v="-0.15242391212420126"/>
    <n v="12631401.900444958"/>
    <n v="0"/>
    <n v="591"/>
    <s v="PeMS2016"/>
  </r>
  <r>
    <n v="11"/>
    <x v="2"/>
    <x v="662"/>
    <n v="1"/>
    <n v="1"/>
    <s v="SR-163 SB"/>
    <n v="10"/>
    <n v="0"/>
    <s v="BALBOA"/>
    <s v="BALBOA"/>
    <n v="18036"/>
    <n v="15473.75"/>
    <n v="-0.14206309603016187"/>
    <n v="6565125.0625"/>
    <n v="0"/>
    <n v="592"/>
    <s v="PeMS2016"/>
  </r>
  <r>
    <n v="11"/>
    <x v="2"/>
    <x v="663"/>
    <n v="1"/>
    <n v="1"/>
    <s v="SR-163 SB"/>
    <n v="11"/>
    <n v="0"/>
    <s v="BALBOA"/>
    <s v="I-805 SB"/>
    <n v="23134"/>
    <n v="24033.806640999999"/>
    <n v="3.8895419771764361E-2"/>
    <n v="809651.99118770147"/>
    <n v="0"/>
    <n v="188"/>
    <s v="PeMS2016"/>
  </r>
  <r>
    <n v="11"/>
    <x v="2"/>
    <x v="664"/>
    <n v="1"/>
    <n v="1"/>
    <s v="SR-163 SB"/>
    <n v="13"/>
    <n v="0"/>
    <s v="I-805 SB"/>
    <s v="MESA COLLEGE"/>
    <n v="21898"/>
    <n v="21091.041015999999"/>
    <n v="-3.6850807562334498E-2"/>
    <n v="651182.8018583135"/>
    <n v="0"/>
    <n v="187"/>
    <s v="PeMS2016"/>
  </r>
  <r>
    <n v="11"/>
    <x v="2"/>
    <x v="665"/>
    <n v="1"/>
    <n v="1"/>
    <s v="SR-163 SB"/>
    <n v="17"/>
    <n v="0"/>
    <s v="GENESEE"/>
    <s v="GENESEE"/>
    <n v="17086"/>
    <n v="21550.384765999999"/>
    <n v="0.26128905337703379"/>
    <n v="19930731.338892866"/>
    <n v="0"/>
    <n v="84"/>
    <s v="PeMS2016"/>
  </r>
  <r>
    <n v="11"/>
    <x v="2"/>
    <x v="666"/>
    <n v="1"/>
    <n v="1"/>
    <s v="SR-163 SB"/>
    <n v="19"/>
    <n v="0"/>
    <s v="GENESEE"/>
    <s v="FRIARS"/>
    <n v="21723"/>
    <n v="24406.072265999999"/>
    <n v="0.12351297086037838"/>
    <n v="7198876.7845783709"/>
    <n v="0"/>
    <n v="692"/>
    <s v="PeMS2016"/>
  </r>
  <r>
    <n v="11"/>
    <x v="2"/>
    <x v="667"/>
    <n v="1"/>
    <n v="1"/>
    <s v="SR-163 SB"/>
    <n v="22"/>
    <n v="0"/>
    <s v="FRIARS"/>
    <s v="FRIARS"/>
    <n v="19872"/>
    <n v="21519.048827999999"/>
    <n v="8.2882891908212519E-2"/>
    <n v="2712769.8418161706"/>
    <n v="0"/>
    <n v="85"/>
    <s v="PeMS2016"/>
  </r>
  <r>
    <n v="11"/>
    <x v="2"/>
    <x v="668"/>
    <n v="1"/>
    <n v="1"/>
    <s v="SR-163 SB"/>
    <n v="28"/>
    <n v="0"/>
    <s v="I-8 EB"/>
    <s v="06TH EX"/>
    <n v="22727"/>
    <n v="22699.681640999999"/>
    <n v="-1.2020222202666631E-3"/>
    <n v="746.2927384529238"/>
    <n v="0"/>
    <n v="693"/>
    <s v="PeMS2016"/>
  </r>
  <r>
    <n v="11"/>
    <x v="2"/>
    <x v="669"/>
    <n v="1"/>
    <n v="1"/>
    <s v="SR-163 SB"/>
    <n v="30"/>
    <n v="0"/>
    <s v="WASHINGTON"/>
    <s v="WASHINGTON"/>
    <n v="10840"/>
    <n v="11890.033203000001"/>
    <n v="9.6866531642066489E-2"/>
    <n v="1102569.727402441"/>
    <n v="0"/>
    <n v="251"/>
    <s v="PeMS2016"/>
  </r>
  <r>
    <n v="11"/>
    <x v="2"/>
    <x v="670"/>
    <n v="1"/>
    <n v="1"/>
    <s v="SR-163 SB"/>
    <n v="32"/>
    <n v="0"/>
    <s v="UNIVERSITY"/>
    <s v="ROBINSON"/>
    <n v="11803"/>
    <n v="12370.199219"/>
    <n v="4.8055512920443855E-2"/>
    <n v="321714.95403421007"/>
    <n v="0"/>
    <n v="553"/>
    <s v="Caltran"/>
  </r>
  <r>
    <n v="24"/>
    <x v="3"/>
    <x v="671"/>
    <n v="1"/>
    <n v="1"/>
    <s v="SR-52 EB"/>
    <n v="1"/>
    <n v="0"/>
    <s v="RAMP SR-52 EB"/>
    <s v="I-5 SB"/>
    <n v="12559"/>
    <n v="10440.34375"/>
    <n v="-0.16869625368261809"/>
    <n v="4488704.3056640625"/>
    <n v="0"/>
    <n v="552"/>
    <s v="PeMS2016"/>
  </r>
  <r>
    <n v="24"/>
    <x v="3"/>
    <x v="672"/>
    <n v="1"/>
    <n v="1"/>
    <s v="SR-52 EB"/>
    <n v="3"/>
    <n v="0"/>
    <s v="REGENTS"/>
    <s v="REGENTS"/>
    <n v="9591"/>
    <n v="9401.4326170000004"/>
    <n v="-1.9765132207277603E-2"/>
    <n v="35935.79269746854"/>
    <n v="0"/>
    <n v="252"/>
    <s v="PeMS2016"/>
  </r>
  <r>
    <n v="24"/>
    <x v="3"/>
    <x v="673"/>
    <n v="1"/>
    <n v="1"/>
    <s v="SR-52 EB"/>
    <n v="4"/>
    <n v="0"/>
    <s v="REGENTS"/>
    <s v="GENESEE"/>
    <n v="10970"/>
    <n v="11307.59375"/>
    <n v="3.0774270738377352E-2"/>
    <n v="113969.5400390625"/>
    <n v="0"/>
    <n v="253"/>
    <s v="PeMS2016"/>
  </r>
  <r>
    <n v="24"/>
    <x v="3"/>
    <x v="674"/>
    <n v="1"/>
    <n v="1"/>
    <s v="SR-52 EB"/>
    <n v="6"/>
    <n v="0"/>
    <s v="GENESEE"/>
    <s v="I-805 SB"/>
    <n v="11876"/>
    <n v="14191.337890999999"/>
    <n v="0.19495940476591445"/>
    <n v="5360789.5495003238"/>
    <n v="0"/>
    <n v="551"/>
    <s v="Caltran"/>
  </r>
  <r>
    <n v="24"/>
    <x v="3"/>
    <x v="675"/>
    <n v="1"/>
    <n v="1"/>
    <s v="SR-52 EB"/>
    <n v="10"/>
    <n v="0"/>
    <s v="I-805 NB"/>
    <s v="CONVOY"/>
    <n v="15241"/>
    <n v="19357.279297000001"/>
    <n v="0.27007934499048636"/>
    <n v="16943755.250910822"/>
    <n v="0"/>
    <n v="254"/>
    <s v="PeMS2016"/>
  </r>
  <r>
    <n v="24"/>
    <x v="3"/>
    <x v="676"/>
    <n v="1"/>
    <n v="1"/>
    <s v="SR-52 EB"/>
    <n v="11"/>
    <n v="0"/>
    <s v="CONVOY"/>
    <s v="CONVOY"/>
    <n v="15528"/>
    <n v="17831.539062"/>
    <n v="0.14834744088098928"/>
    <n v="5306292.2101598391"/>
    <n v="0"/>
    <n v="257"/>
    <s v="Caltran"/>
  </r>
  <r>
    <n v="24"/>
    <x v="3"/>
    <x v="677"/>
    <n v="1"/>
    <n v="1"/>
    <s v="SR-52 EB"/>
    <n v="12"/>
    <n v="0"/>
    <s v="CONVOY"/>
    <s v="CONVOY"/>
    <n v="16404"/>
    <n v="17831.539062"/>
    <n v="8.702383942940739E-2"/>
    <n v="2037867.7735358393"/>
    <n v="0"/>
    <n v="549"/>
    <s v="Caltran"/>
  </r>
  <r>
    <n v="24"/>
    <x v="3"/>
    <x v="678"/>
    <n v="1"/>
    <n v="1"/>
    <s v="SR-52 EB"/>
    <n v="17"/>
    <n v="0"/>
    <s v="SR-163 NB"/>
    <s v="KEARNY VILLA"/>
    <n v="6136"/>
    <n v="12705.788086"/>
    <n v="1.0706955811603653"/>
    <n v="43162115.494947553"/>
    <n v="0"/>
    <n v="601"/>
    <s v="PeMS2016"/>
  </r>
  <r>
    <n v="24"/>
    <x v="3"/>
    <x v="679"/>
    <n v="1"/>
    <n v="1"/>
    <s v="SR-52 EB"/>
    <n v="21"/>
    <n v="0"/>
    <s v="I-15 NB"/>
    <s v="SANTO"/>
    <n v="16332"/>
    <n v="21258.558593999998"/>
    <n v="0.30165066091109471"/>
    <n v="24270979.58011524"/>
    <n v="0"/>
    <n v="176"/>
    <s v="Caltran"/>
  </r>
  <r>
    <n v="24"/>
    <x v="3"/>
    <x v="680"/>
    <n v="1"/>
    <n v="1"/>
    <s v="SR-52 EB"/>
    <n v="25"/>
    <n v="2"/>
    <s v="SANTO"/>
    <s v="MAST"/>
    <n v="17040"/>
    <n v="20860.212890999999"/>
    <n v="0.22419089735915487"/>
    <n v="14594026.532562573"/>
    <n v="0"/>
    <n v="603"/>
    <s v="Caltran"/>
  </r>
  <r>
    <n v="24"/>
    <x v="3"/>
    <x v="681"/>
    <n v="1"/>
    <n v="1"/>
    <s v="SR-52 EB"/>
    <n v="28"/>
    <n v="0"/>
    <s v="SANTO"/>
    <s v="MAST"/>
    <n v="17410"/>
    <n v="20860.212890999999"/>
    <n v="0.19817420396323948"/>
    <n v="11903968.993222572"/>
    <n v="0"/>
    <n v="453"/>
    <s v="Caltran"/>
  </r>
  <r>
    <n v="24"/>
    <x v="3"/>
    <x v="682"/>
    <n v="1"/>
    <n v="1"/>
    <s v="SR-52 EB"/>
    <n v="29"/>
    <n v="0"/>
    <s v="MAST"/>
    <s v="MAST"/>
    <n v="14034"/>
    <n v="17307.417968999998"/>
    <n v="0.23324910709704993"/>
    <n v="10715265.199772073"/>
    <n v="0"/>
    <n v="360"/>
    <s v="PeMS2016"/>
  </r>
  <r>
    <n v="24"/>
    <x v="3"/>
    <x v="683"/>
    <n v="1"/>
    <n v="1"/>
    <s v="SR-52 EB"/>
    <n v="30"/>
    <n v="0"/>
    <s v="MAST"/>
    <s v="MISSION GORGE"/>
    <n v="14494"/>
    <n v="17693.544922000001"/>
    <n v="0.22074961515109703"/>
    <n v="10237087.707895992"/>
    <n v="0"/>
    <n v="52"/>
    <s v="Caltran"/>
  </r>
  <r>
    <n v="24"/>
    <x v="3"/>
    <x v="684"/>
    <n v="1"/>
    <n v="1"/>
    <s v="SR-52 EB"/>
    <n v="31"/>
    <n v="0"/>
    <s v="MISSION GORGE"/>
    <s v="NEW MISSION GORGE"/>
    <n v="14757"/>
    <n v="17693.544922000001"/>
    <n v="0.1989933537981976"/>
    <n v="8623296.0789239909"/>
    <n v="0"/>
    <n v="102"/>
    <s v="PeMS2016"/>
  </r>
  <r>
    <n v="24"/>
    <x v="3"/>
    <x v="685"/>
    <n v="1"/>
    <n v="1"/>
    <s v="SR-52 EB"/>
    <n v="36"/>
    <n v="0"/>
    <s v="FANITA"/>
    <s v="CUYAMACA"/>
    <n v="12887"/>
    <n v="15300.839844"/>
    <n v="0.18730812788081019"/>
    <n v="5826622.7924819449"/>
    <n v="0"/>
    <n v="462"/>
    <s v="Caltran"/>
  </r>
  <r>
    <n v="24"/>
    <x v="3"/>
    <x v="686"/>
    <n v="1"/>
    <n v="1"/>
    <s v="SR-52 EB"/>
    <n v="38"/>
    <n v="0"/>
    <s v="CUYAMACA"/>
    <s v="MAGNOLIA"/>
    <n v="12478"/>
    <n v="14889.771484000001"/>
    <n v="0.19328189485494485"/>
    <n v="5816641.6910355659"/>
    <n v="0"/>
    <n v="682"/>
    <s v="Caltran"/>
  </r>
  <r>
    <n v="25"/>
    <x v="3"/>
    <x v="687"/>
    <n v="1"/>
    <n v="1"/>
    <s v="SR-54 EB"/>
    <n v="1"/>
    <n v="0"/>
    <s v="NATIONAL CITY"/>
    <s v="HIGHLAND"/>
    <n v="15496"/>
    <n v="16487.349609000001"/>
    <n v="6.3974548851316593E-2"/>
    <n v="982774.04726445442"/>
    <n v="0"/>
    <n v="134"/>
    <s v="Caltran"/>
  </r>
  <r>
    <n v="25"/>
    <x v="3"/>
    <x v="688"/>
    <n v="1"/>
    <n v="1"/>
    <s v="SR-54 EB"/>
    <n v="6"/>
    <n v="0"/>
    <s v="I-805 NB"/>
    <s v="VALLEY"/>
    <n v="18999"/>
    <n v="18615.066406000002"/>
    <n v="-2.0208094847097069E-2"/>
    <n v="147405.0046017555"/>
    <n v="0"/>
    <n v="133"/>
    <s v="Caltran"/>
  </r>
  <r>
    <n v="25"/>
    <x v="3"/>
    <x v="689"/>
    <n v="1"/>
    <n v="1"/>
    <s v="SR-54 EB"/>
    <n v="7"/>
    <n v="0"/>
    <s v="VALLEY"/>
    <s v="VALLEY"/>
    <n v="16037"/>
    <n v="16295.623046999999"/>
    <n v="1.6126647565005925E-2"/>
    <n v="66885.880439563756"/>
    <n v="0"/>
    <n v="644"/>
    <s v="PeMS2016"/>
  </r>
  <r>
    <n v="25"/>
    <x v="3"/>
    <x v="690"/>
    <n v="1"/>
    <n v="1"/>
    <s v="SR-54 EB"/>
    <n v="8"/>
    <n v="0"/>
    <s v="VALLEY"/>
    <s v="WOODMAN"/>
    <n v="17321"/>
    <n v="17350.5"/>
    <n v="1.7031349229259529E-3"/>
    <n v="870.25"/>
    <n v="0"/>
    <n v="649"/>
    <s v="Caltran"/>
  </r>
  <r>
    <n v="25"/>
    <x v="3"/>
    <x v="691"/>
    <n v="1"/>
    <n v="1"/>
    <s v="SR-54 EB"/>
    <n v="9"/>
    <n v="0"/>
    <s v="WOODMAN"/>
    <s v="WOODMAN"/>
    <n v="15033"/>
    <n v="15216.630859000001"/>
    <n v="1.221518386217002E-2"/>
    <n v="33720.292377078171"/>
    <n v="0"/>
    <n v="129"/>
    <s v="PeMS2016"/>
  </r>
  <r>
    <n v="25"/>
    <x v="3"/>
    <x v="692"/>
    <n v="1"/>
    <n v="1"/>
    <s v="SR-54 EB"/>
    <n v="10"/>
    <n v="0"/>
    <s v="WOODMAN"/>
    <s v="BRIARWOOD"/>
    <n v="15541"/>
    <n v="15781.353515999999"/>
    <n v="1.54657689981339E-2"/>
    <n v="57769.812653561879"/>
    <n v="0"/>
    <n v="130"/>
    <s v="Caltran"/>
  </r>
  <r>
    <n v="25"/>
    <x v="3"/>
    <x v="693"/>
    <n v="1"/>
    <n v="1"/>
    <s v="SR-54 EB"/>
    <n v="11"/>
    <n v="0"/>
    <s v="BRIARWOOD"/>
    <s v="BRIARWOOD"/>
    <n v="12664"/>
    <n v="12700.825194999999"/>
    <n v="2.9078644188249569E-3"/>
    <n v="1356.0949867879838"/>
    <n v="0"/>
    <n v="648"/>
    <s v="PeMS2016"/>
  </r>
  <r>
    <n v="25"/>
    <x v="3"/>
    <x v="694"/>
    <n v="1"/>
    <n v="1"/>
    <s v="SR-54 EB"/>
    <n v="12"/>
    <n v="0"/>
    <s v="BRIARWOOD"/>
    <s v="SR-125 SB"/>
    <n v="13722"/>
    <n v="14583.092773"/>
    <n v="6.2752716295000788E-2"/>
    <n v="741480.76371283003"/>
    <n v="0"/>
    <n v="131"/>
    <s v="Caltran"/>
  </r>
  <r>
    <n v="26"/>
    <x v="3"/>
    <x v="695"/>
    <n v="1"/>
    <n v="1"/>
    <s v="SR-56 EB"/>
    <n v="1"/>
    <n v="0"/>
    <s v="EL CAMINO REAL"/>
    <s v="CARMEL CREEK"/>
    <n v="11173"/>
    <n v="9782.2451170000004"/>
    <n v="-0.12447461585966169"/>
    <n v="1934199.1445883426"/>
    <n v="0"/>
    <n v="132"/>
    <s v="PeMS2016"/>
  </r>
  <r>
    <n v="26"/>
    <x v="3"/>
    <x v="696"/>
    <n v="1"/>
    <n v="1"/>
    <s v="SR-56 EB"/>
    <n v="3"/>
    <n v="0"/>
    <s v="CARMEL CREEK"/>
    <s v="CARMEL CREEK"/>
    <n v="11784"/>
    <n v="14180.369140999999"/>
    <n v="0.20335787007807182"/>
    <n v="5742585.0599370738"/>
    <n v="0"/>
    <n v="646"/>
    <s v="PeMS2016"/>
  </r>
  <r>
    <n v="26"/>
    <x v="3"/>
    <x v="697"/>
    <n v="1"/>
    <n v="1"/>
    <s v="SR-56 EB"/>
    <n v="4"/>
    <n v="0"/>
    <s v="CARMEL CREEK"/>
    <s v="CARMEL COUNTRY"/>
    <n v="13771"/>
    <n v="14967.219727"/>
    <n v="8.6865131580858401E-2"/>
    <n v="1430941.6352639538"/>
    <n v="0"/>
    <n v="645"/>
    <s v="Caltran"/>
  </r>
  <r>
    <n v="26"/>
    <x v="3"/>
    <x v="698"/>
    <n v="1"/>
    <n v="1"/>
    <s v="SR-56 EB"/>
    <n v="5"/>
    <n v="0"/>
    <s v="CARMEL COUNTRY"/>
    <s v="CARMEL COUNTRY"/>
    <n v="10644"/>
    <n v="12655.594727"/>
    <n v="0.18898860644494553"/>
    <n v="4046513.3456942034"/>
    <n v="0"/>
    <n v="8"/>
    <s v="PeMS2016"/>
  </r>
  <r>
    <n v="26"/>
    <x v="3"/>
    <x v="699"/>
    <n v="1"/>
    <n v="1"/>
    <s v="SR-56 EB"/>
    <n v="6"/>
    <n v="0"/>
    <s v="CARMEL COUNTRY"/>
    <s v="CAMINO SANTA FE"/>
    <n v="13298"/>
    <n v="14247.068359000001"/>
    <n v="7.1369255451947611E-2"/>
    <n v="900730.75005495432"/>
    <n v="0"/>
    <n v="753"/>
    <s v="Caltran"/>
  </r>
  <r>
    <n v="26"/>
    <x v="3"/>
    <x v="700"/>
    <n v="1"/>
    <n v="1"/>
    <s v="SR-56 EB"/>
    <n v="7"/>
    <n v="0"/>
    <s v="CAMINO SANTA FE"/>
    <s v="CAMINO SANTA FE"/>
    <n v="11369"/>
    <n v="11474.403319999999"/>
    <n v="9.271116193156681E-3"/>
    <n v="11109.859867022282"/>
    <n v="0"/>
    <n v="754"/>
    <s v="PeMS2016"/>
  </r>
  <r>
    <n v="26"/>
    <x v="3"/>
    <x v="701"/>
    <n v="1"/>
    <n v="1"/>
    <s v="SR-56 EB"/>
    <n v="8"/>
    <n v="1"/>
    <s v="CAMINO SANTA FE"/>
    <s v="CAMINO RUIZ"/>
    <n v="12653"/>
    <n v="12247.650390999999"/>
    <n v="-3.2035849917015802E-2"/>
    <n v="164308.30551645352"/>
    <n v="0"/>
    <n v="752"/>
    <s v="Caltran"/>
  </r>
  <r>
    <n v="26"/>
    <x v="3"/>
    <x v="702"/>
    <n v="1"/>
    <n v="1"/>
    <s v="SR-56 EB"/>
    <n v="9"/>
    <n v="0"/>
    <s v="CAMINO SANTA FE"/>
    <s v="CAMINO RUIZ"/>
    <n v="12710"/>
    <n v="12247.650390999999"/>
    <n v="-3.6376837844217191E-2"/>
    <n v="213767.1609424536"/>
    <n v="0"/>
    <n v="9"/>
    <s v="PeMS2016"/>
  </r>
  <r>
    <n v="26"/>
    <x v="3"/>
    <x v="703"/>
    <n v="1"/>
    <n v="1"/>
    <s v="SR-56 EB"/>
    <n v="11"/>
    <n v="0"/>
    <s v="CAMINO RUIZ"/>
    <s v="CAMINO RUIZ"/>
    <n v="10972"/>
    <n v="10239.106444999999"/>
    <n v="-6.6796714819540748E-2"/>
    <n v="537132.9629605388"/>
    <n v="0"/>
    <n v="751"/>
    <s v="PeMS2016"/>
  </r>
  <r>
    <n v="26"/>
    <x v="3"/>
    <x v="704"/>
    <n v="1"/>
    <n v="1"/>
    <s v="SR-56 EB"/>
    <n v="13"/>
    <n v="0"/>
    <s v="CAMINO RUIZ"/>
    <s v="BLACK MOUNTAIN"/>
    <n v="12737"/>
    <n v="12556.775390999999"/>
    <n v="-1.4149690586480412E-2"/>
    <n v="32480.909689203163"/>
    <n v="0"/>
    <n v="10"/>
    <s v="Caltran"/>
  </r>
  <r>
    <n v="26"/>
    <x v="3"/>
    <x v="705"/>
    <n v="1"/>
    <n v="1"/>
    <s v="SR-56 EB"/>
    <n v="15"/>
    <n v="0"/>
    <s v="BLACK MOUNTAIN"/>
    <s v="RANCHO PENASQUITOS"/>
    <n v="10773"/>
    <n v="10832.131836"/>
    <n v="5.4888922305764698E-3"/>
    <n v="3496.5740287309523"/>
    <n v="0"/>
    <n v="750"/>
    <s v="PeMS2016"/>
  </r>
  <r>
    <n v="26"/>
    <x v="3"/>
    <x v="706"/>
    <n v="1"/>
    <n v="1"/>
    <s v="SR-56 EB"/>
    <n v="16"/>
    <n v="0"/>
    <s v="RANCHO PENASQUITOS"/>
    <s v="RANCHO PENASQUITOS"/>
    <n v="9505"/>
    <n v="8538.0449219999991"/>
    <n v="-0.10173120231457133"/>
    <n v="935002.12286998774"/>
    <n v="0"/>
    <n v="11"/>
    <s v="PeMS2016"/>
  </r>
  <r>
    <n v="26"/>
    <x v="3"/>
    <x v="707"/>
    <n v="1"/>
    <n v="1"/>
    <s v="SR-56 EB"/>
    <n v="17"/>
    <n v="0"/>
    <s v="RANCHO PENASQUITOS"/>
    <s v="I-15 SB"/>
    <n v="10219"/>
    <n v="9648.4882809999999"/>
    <n v="-5.5828527155298957E-2"/>
    <n v="325483.62151633506"/>
    <n v="0"/>
    <n v="12"/>
    <s v="PeMS2016"/>
  </r>
  <r>
    <n v="13"/>
    <x v="2"/>
    <x v="708"/>
    <n v="1"/>
    <n v="1"/>
    <s v="SR-67 SB"/>
    <n v="9"/>
    <n v="0"/>
    <s v="WOODSIDE(N)"/>
    <s v="SR-52 WB"/>
    <n v="8372"/>
    <n v="8746.6435550000006"/>
    <n v="4.4749588509316762E-2"/>
    <n v="140357.79330303846"/>
    <n v="0"/>
    <n v="749"/>
    <s v="Caltran"/>
  </r>
  <r>
    <n v="13"/>
    <x v="2"/>
    <x v="709"/>
    <n v="1"/>
    <n v="1"/>
    <s v="SR-67 SB"/>
    <n v="12"/>
    <n v="0"/>
    <s v="SR-52 EB"/>
    <s v="BRADLEY"/>
    <n v="13580"/>
    <n v="17803.623047000001"/>
    <n v="0.31101789742268049"/>
    <n v="17838991.643149573"/>
    <n v="0"/>
    <n v="13"/>
    <s v="Caltran"/>
  </r>
  <r>
    <n v="14"/>
    <x v="2"/>
    <x v="710"/>
    <n v="1"/>
    <n v="1"/>
    <s v="SR-75 SB"/>
    <n v="6"/>
    <n v="0"/>
    <s v="I-5 SB"/>
    <s v="GLORIETTA"/>
    <n v="11465"/>
    <n v="10731.844727"/>
    <n v="-6.3947254513737506E-2"/>
    <n v="537516.65432770504"/>
    <n v="0"/>
    <n v="15"/>
    <s v="Caltran"/>
  </r>
  <r>
    <n v="23"/>
    <x v="3"/>
    <x v="711"/>
    <n v="1"/>
    <n v="1"/>
    <s v="SR-78 EB"/>
    <n v="4"/>
    <n v="0"/>
    <s v="I-5 NB"/>
    <s v="JEFFERSON"/>
    <n v="18307"/>
    <n v="16772.240234000001"/>
    <n v="-8.3834586005353096E-2"/>
    <n v="2355487.5393323721"/>
    <n v="0"/>
    <n v="748"/>
    <s v="PeMS2016"/>
  </r>
  <r>
    <n v="23"/>
    <x v="3"/>
    <x v="712"/>
    <n v="1"/>
    <n v="1"/>
    <s v="SR-78 EB"/>
    <n v="5"/>
    <n v="0"/>
    <s v="JEFFERSON"/>
    <s v="JEFFERSON"/>
    <n v="15065"/>
    <n v="14981.489258"/>
    <n v="-5.543361566545002E-3"/>
    <n v="6974.0440293906295"/>
    <n v="0"/>
    <n v="229"/>
    <s v="PeMS2016"/>
  </r>
  <r>
    <n v="23"/>
    <x v="3"/>
    <x v="713"/>
    <n v="1"/>
    <n v="1"/>
    <s v="SR-78 EB"/>
    <n v="6"/>
    <n v="0"/>
    <s v="JEFFERSON"/>
    <s v="EL CAMINO REAL"/>
    <n v="16132"/>
    <n v="16100.902344"/>
    <n v="-1.9276999752045887E-3"/>
    <n v="967.06420869433077"/>
    <n v="0"/>
    <n v="228"/>
    <s v="Caltran"/>
  </r>
  <r>
    <n v="23"/>
    <x v="3"/>
    <x v="714"/>
    <n v="1"/>
    <n v="1"/>
    <s v="SR-78 EB"/>
    <n v="7"/>
    <n v="0"/>
    <s v="EL CAMINO REAL"/>
    <s v="EL CAMINO REAL"/>
    <n v="13752"/>
    <n v="14316.778319999999"/>
    <n v="4.1068813263525294E-2"/>
    <n v="318974.55074202176"/>
    <n v="0"/>
    <n v="566"/>
    <s v="PeMS2016"/>
  </r>
  <r>
    <n v="23"/>
    <x v="3"/>
    <x v="715"/>
    <n v="1"/>
    <n v="1"/>
    <s v="SR-78 EB"/>
    <n v="8"/>
    <n v="0"/>
    <s v="EL CAMINO REAL"/>
    <s v="RANCHO DEL ORO"/>
    <n v="18241"/>
    <n v="16805.021484000001"/>
    <n v="-7.8722576393838062E-2"/>
    <n v="2062034.29841356"/>
    <n v="0"/>
    <n v="227"/>
    <s v="Caltran"/>
  </r>
  <r>
    <n v="23"/>
    <x v="3"/>
    <x v="716"/>
    <n v="1"/>
    <n v="1"/>
    <s v="SR-78 EB"/>
    <n v="11"/>
    <n v="0"/>
    <s v="COLLEGE"/>
    <s v="PLAZA"/>
    <n v="13844"/>
    <n v="15029.502930000001"/>
    <n v="8.5632976740826372E-2"/>
    <n v="1405417.1970385863"/>
    <n v="0"/>
    <n v="226"/>
    <s v="PeMS2016"/>
  </r>
  <r>
    <n v="23"/>
    <x v="3"/>
    <x v="717"/>
    <n v="1"/>
    <n v="1"/>
    <s v="SR-78 EB"/>
    <n v="12"/>
    <n v="0"/>
    <s v="PLAZA"/>
    <s v="PLAZA"/>
    <n v="13469"/>
    <n v="13243.988281"/>
    <n v="-1.6705896428836575E-2"/>
    <n v="50630.273687335"/>
    <n v="0"/>
    <n v="225"/>
    <s v="PeMS2016"/>
  </r>
  <r>
    <n v="23"/>
    <x v="3"/>
    <x v="718"/>
    <n v="1"/>
    <n v="1"/>
    <s v="SR-78 EB"/>
    <n v="14"/>
    <n v="0"/>
    <s v="EMERALD"/>
    <s v="EMERALD"/>
    <n v="13311"/>
    <n v="13378.260742"/>
    <n v="5.0530194575915122E-3"/>
    <n v="4524.0074143906168"/>
    <n v="0"/>
    <n v="567"/>
    <s v="PeMS2016"/>
  </r>
  <r>
    <n v="23"/>
    <x v="3"/>
    <x v="719"/>
    <n v="1"/>
    <n v="1"/>
    <s v="SR-78 EB"/>
    <n v="15"/>
    <n v="1"/>
    <s v="EMERALD"/>
    <s v="MELROSE"/>
    <n v="16661"/>
    <n v="15961.9375"/>
    <n v="-4.1958015725346631E-2"/>
    <n v="488688.37890625"/>
    <n v="0"/>
    <n v="24"/>
    <s v="Caltran"/>
  </r>
  <r>
    <n v="23"/>
    <x v="3"/>
    <x v="720"/>
    <n v="1"/>
    <n v="1"/>
    <s v="SR-78 EB"/>
    <n v="18"/>
    <n v="0"/>
    <s v="MELROSE"/>
    <s v="MELROSE"/>
    <n v="11425"/>
    <n v="12476.134765999999"/>
    <n v="9.2003042975929983E-2"/>
    <n v="1104884.2962938731"/>
    <n v="0"/>
    <n v="76"/>
    <s v="PeMS2016"/>
  </r>
  <r>
    <n v="23"/>
    <x v="3"/>
    <x v="721"/>
    <n v="1"/>
    <n v="1"/>
    <s v="SR-78 EB"/>
    <n v="20"/>
    <n v="0"/>
    <s v="SUNSET"/>
    <s v="SUNSET"/>
    <n v="11810"/>
    <n v="13279.395508"/>
    <n v="0.12441960270956809"/>
    <n v="2159123.1589305769"/>
    <n v="0"/>
    <n v="702"/>
    <s v="PeMS2016"/>
  </r>
  <r>
    <n v="23"/>
    <x v="3"/>
    <x v="722"/>
    <n v="1"/>
    <n v="1"/>
    <s v="SR-78 EB"/>
    <n v="22"/>
    <n v="0"/>
    <s v="MAR VISTA"/>
    <s v="MAR VISTA"/>
    <n v="13522"/>
    <n v="14044.342773"/>
    <n v="3.8629106123354573E-2"/>
    <n v="272841.97250532988"/>
    <n v="0"/>
    <n v="704"/>
    <s v="PeMS2016"/>
  </r>
  <r>
    <n v="23"/>
    <x v="3"/>
    <x v="723"/>
    <n v="1"/>
    <n v="1"/>
    <s v="SR-78 EB"/>
    <n v="24"/>
    <n v="0"/>
    <s v="SYCAMORE"/>
    <s v="SYCAMORE"/>
    <n v="11323"/>
    <n v="13894.675781"/>
    <n v="0.22711964859136269"/>
    <n v="6613516.3225819599"/>
    <n v="0"/>
    <n v="70"/>
    <s v="PeMS2016"/>
  </r>
  <r>
    <n v="23"/>
    <x v="3"/>
    <x v="724"/>
    <n v="1"/>
    <n v="1"/>
    <s v="SR-78 EB"/>
    <n v="27"/>
    <n v="0"/>
    <s v="SYCAMORE"/>
    <s v="RANCHO SANTA FE"/>
    <n v="13576"/>
    <n v="17164.515625"/>
    <n v="0.26432790402180317"/>
    <n v="12877444.390869141"/>
    <n v="0"/>
    <n v="71"/>
    <s v="Caltran"/>
  </r>
  <r>
    <n v="23"/>
    <x v="3"/>
    <x v="725"/>
    <n v="1"/>
    <n v="1"/>
    <s v="SR-78 EB"/>
    <n v="28"/>
    <n v="0"/>
    <s v="RANCHO SANTA FE"/>
    <s v="RANCHO SANTA FE"/>
    <n v="12174"/>
    <n v="15430.165039"/>
    <n v="0.26746878914079186"/>
    <n v="10602610.761205869"/>
    <n v="0"/>
    <n v="707"/>
    <s v="PeMS2016"/>
  </r>
  <r>
    <n v="23"/>
    <x v="3"/>
    <x v="726"/>
    <n v="1"/>
    <n v="1"/>
    <s v="SR-78 EB"/>
    <n v="29"/>
    <n v="0"/>
    <s v="RANCHO SANTA FE"/>
    <s v="LAS POSAS"/>
    <n v="14152"/>
    <n v="18340.689452999999"/>
    <n v="0.29597862160825317"/>
    <n v="17545119.333673432"/>
    <n v="0"/>
    <n v="729"/>
    <s v="Caltran"/>
  </r>
  <r>
    <n v="23"/>
    <x v="3"/>
    <x v="727"/>
    <n v="1"/>
    <n v="1"/>
    <s v="SR-78 EB"/>
    <n v="33"/>
    <n v="0"/>
    <s v="LAS POSAS"/>
    <s v="SAN MARCOS"/>
    <n v="11206"/>
    <n v="16209.459961"/>
    <n v="0.44649830099946453"/>
    <n v="25034611.581330128"/>
    <n v="0"/>
    <n v="45"/>
    <s v="PeMS2016"/>
  </r>
  <r>
    <n v="23"/>
    <x v="3"/>
    <x v="728"/>
    <n v="1"/>
    <n v="1"/>
    <s v="SR-78 EB"/>
    <n v="35"/>
    <n v="0"/>
    <s v="SAN MARCOS"/>
    <s v="SAN MARCOS"/>
    <n v="12855"/>
    <n v="17839.464843999998"/>
    <n v="0.38774522318164117"/>
    <n v="24844889.781071927"/>
    <n v="0"/>
    <n v="597"/>
    <s v="PeMS2016"/>
  </r>
  <r>
    <n v="23"/>
    <x v="3"/>
    <x v="729"/>
    <n v="1"/>
    <n v="1"/>
    <s v="SR-78 EB"/>
    <n v="37"/>
    <n v="0"/>
    <s v="TWIN OAKS VALLEY"/>
    <s v="TWIN OAKS VALLEY"/>
    <n v="15361"/>
    <n v="19198.648438"/>
    <n v="0.24983063850009768"/>
    <n v="14727545.533683842"/>
    <n v="0"/>
    <n v="264"/>
    <s v="PeMS2016"/>
  </r>
  <r>
    <n v="23"/>
    <x v="3"/>
    <x v="730"/>
    <n v="1"/>
    <n v="1"/>
    <s v="SR-78 EB"/>
    <n v="42"/>
    <n v="0"/>
    <s v="WOODLAND"/>
    <s v="BARHAM"/>
    <n v="15772"/>
    <n v="20939.974609000001"/>
    <n v="0.32766767746639625"/>
    <n v="26707961.559268709"/>
    <n v="0"/>
    <n v="408"/>
    <s v="PeMS2016"/>
  </r>
  <r>
    <n v="23"/>
    <x v="3"/>
    <x v="731"/>
    <n v="1"/>
    <n v="1"/>
    <s v="SR-78 EB"/>
    <n v="44"/>
    <n v="0"/>
    <s v="NORDAHL"/>
    <s v="NORDAHL"/>
    <n v="18047"/>
    <n v="20493.337890999999"/>
    <n v="0.1355537148002437"/>
    <n v="5984569.0769423237"/>
    <n v="0"/>
    <n v="411"/>
    <s v="PeMS2016"/>
  </r>
  <r>
    <n v="23"/>
    <x v="3"/>
    <x v="732"/>
    <n v="1"/>
    <n v="1"/>
    <s v="SR-78 EB"/>
    <n v="45"/>
    <n v="0"/>
    <s v="NORDAHL"/>
    <s v="I-15 SB"/>
    <n v="21956"/>
    <n v="22969.519531000002"/>
    <n v="4.6161392375660526E-2"/>
    <n v="1027221.8397184635"/>
    <n v="0"/>
    <n v="331"/>
    <s v="PeMS2016"/>
  </r>
  <r>
    <n v="23"/>
    <x v="3"/>
    <x v="733"/>
    <n v="1"/>
    <n v="1"/>
    <s v="SR-78 EB"/>
    <n v="46"/>
    <n v="0"/>
    <s v="I-15 SB"/>
    <s v="I-15 NB"/>
    <n v="10358"/>
    <n v="10515.212890999999"/>
    <n v="1.5177919579069332E-2"/>
    <n v="24715.893096577634"/>
    <n v="0"/>
    <n v="177"/>
    <s v="PeMS2016"/>
  </r>
  <r>
    <n v="27"/>
    <x v="3"/>
    <x v="734"/>
    <n v="1"/>
    <n v="1"/>
    <s v="SR-905 EB"/>
    <n v="5"/>
    <n v="0"/>
    <s v="I-5 SB"/>
    <s v="BEYER"/>
    <n v="8022"/>
    <n v="6988.6923829999996"/>
    <n v="-0.12880922675143358"/>
    <n v="1067724.6313502195"/>
    <n v="0"/>
    <n v="600"/>
    <s v="Caltran"/>
  </r>
  <r>
    <n v="27"/>
    <x v="3"/>
    <x v="735"/>
    <n v="1"/>
    <n v="1"/>
    <s v="SR-905 EB"/>
    <n v="12"/>
    <n v="0"/>
    <s v="I-805 SB"/>
    <s v="I-805 NB"/>
    <n v="3466"/>
    <n v="4057.8901369999999"/>
    <n v="0.17077037997691868"/>
    <n v="350333.93427787861"/>
    <n v="0"/>
    <n v="180"/>
    <s v="PeMS2016"/>
  </r>
  <r>
    <n v="27"/>
    <x v="3"/>
    <x v="736"/>
    <n v="1"/>
    <n v="1"/>
    <s v="SR-905 EB"/>
    <n v="13"/>
    <n v="0"/>
    <s v="I-805 NB"/>
    <s v="CALIENTE"/>
    <n v="7641"/>
    <n v="11025.977539"/>
    <n v="0.44300190276141871"/>
    <n v="11458072.939534493"/>
    <n v="0"/>
    <n v="329"/>
    <s v="Caltran"/>
  </r>
  <r>
    <n v="27"/>
    <x v="3"/>
    <x v="737"/>
    <n v="1"/>
    <n v="1"/>
    <s v="SR-905 EB"/>
    <n v="3"/>
    <n v="0"/>
    <s v="CALIENTE"/>
    <s v="HERITAGE"/>
    <n v="7486"/>
    <n v="9806.2080079999996"/>
    <n v="0.30993962169382838"/>
    <n v="5383365.2003873261"/>
    <n v="0"/>
    <n v="485"/>
    <s v="PeMS2016"/>
  </r>
  <r>
    <n v="27"/>
    <x v="3"/>
    <x v="738"/>
    <n v="1"/>
    <n v="1"/>
    <s v="SR-905 EB"/>
    <n v="8"/>
    <n v="0"/>
    <s v="BRITANNIA"/>
    <s v="LA MEDIA"/>
    <n v="7398"/>
    <n v="9694.3769530000009"/>
    <n v="0.31040510313598291"/>
    <n v="5273347.1102695679"/>
    <n v="0"/>
    <n v="483"/>
    <s v="PeMS2016"/>
  </r>
  <r>
    <n v="27"/>
    <x v="3"/>
    <x v="739"/>
    <n v="1"/>
    <n v="1"/>
    <s v="SR-905 EB"/>
    <n v="10"/>
    <n v="0"/>
    <s v="LA MEDIA"/>
    <s v="SR-125 NB"/>
    <n v="5920"/>
    <n v="8493.9511719999991"/>
    <n v="0.43478904932432427"/>
    <n v="6625224.6358401692"/>
    <n v="0"/>
    <n v="484"/>
    <s v="PeMS2016"/>
  </r>
  <r>
    <n v="28"/>
    <x v="3"/>
    <x v="740"/>
    <n v="1"/>
    <n v="1"/>
    <s v="SR-94 EB"/>
    <n v="4"/>
    <n v="0"/>
    <s v="I-5 SB"/>
    <s v="25TH"/>
    <n v="21430"/>
    <n v="24066.369140999999"/>
    <n v="0.12302235842277187"/>
    <n v="6950442.2476170734"/>
    <n v="0"/>
    <n v="482"/>
    <s v="PeMS2016"/>
  </r>
  <r>
    <n v="28"/>
    <x v="3"/>
    <x v="741"/>
    <n v="1"/>
    <n v="1"/>
    <s v="SR-94 EB"/>
    <n v="6"/>
    <n v="0"/>
    <s v="28TH"/>
    <s v="28TH"/>
    <n v="23078"/>
    <n v="25083.037109000001"/>
    <n v="8.6880886948609071E-2"/>
    <n v="4020173.8084670808"/>
    <n v="0"/>
    <n v="265"/>
    <s v="PeMS2016"/>
  </r>
  <r>
    <n v="28"/>
    <x v="3"/>
    <x v="742"/>
    <n v="1"/>
    <n v="1"/>
    <s v="SR-94 EB"/>
    <n v="7"/>
    <n v="0"/>
    <s v="28TH"/>
    <s v="32ND"/>
    <n v="25356"/>
    <n v="26780.556640999999"/>
    <n v="5.6182230675185352E-2"/>
    <n v="2029361.6234172008"/>
    <n v="0"/>
    <n v="40"/>
    <s v="PeMS2016"/>
  </r>
  <r>
    <n v="28"/>
    <x v="3"/>
    <x v="743"/>
    <n v="1"/>
    <n v="1"/>
    <s v="SR-94 EB"/>
    <n v="8"/>
    <n v="0"/>
    <s v="28TH"/>
    <s v="32ND"/>
    <n v="25413"/>
    <n v="26780.556640999999"/>
    <n v="5.3813270412780723E-2"/>
    <n v="1870211.1663432007"/>
    <n v="0"/>
    <n v="522"/>
    <s v="PeMS2016"/>
  </r>
  <r>
    <n v="28"/>
    <x v="3"/>
    <x v="744"/>
    <n v="1"/>
    <n v="1"/>
    <s v="SR-94 EB"/>
    <n v="12"/>
    <n v="0"/>
    <s v="SR-15 NB"/>
    <s v="SR-15 SB"/>
    <n v="20068"/>
    <n v="20736.330077999999"/>
    <n v="3.3303272772573278E-2"/>
    <n v="446665.09315948479"/>
    <n v="0"/>
    <n v="657"/>
    <s v="PeMS2016"/>
  </r>
  <r>
    <n v="28"/>
    <x v="3"/>
    <x v="745"/>
    <n v="1"/>
    <n v="1"/>
    <s v="SR-94 EB"/>
    <n v="14"/>
    <n v="0"/>
    <s v="I-805 SB"/>
    <s v="I-805 NB"/>
    <n v="17407"/>
    <n v="19735.253906000002"/>
    <n v="0.13375388671224231"/>
    <n v="5420766.250804265"/>
    <n v="0"/>
    <n v="732"/>
    <s v="PeMS2016"/>
  </r>
  <r>
    <n v="28"/>
    <x v="3"/>
    <x v="746"/>
    <n v="1"/>
    <n v="1"/>
    <s v="SR-94 EB"/>
    <n v="16"/>
    <n v="0"/>
    <s v="47TH"/>
    <s v="EUCLID"/>
    <n v="29831"/>
    <n v="32788.738280999998"/>
    <n v="9.9149820019442725E-2"/>
    <n v="8748215.7388928235"/>
    <n v="0"/>
    <n v="271"/>
    <s v="PeMS2016"/>
  </r>
  <r>
    <n v="28"/>
    <x v="3"/>
    <x v="747"/>
    <n v="1"/>
    <n v="1"/>
    <s v="SR-94 EB"/>
    <n v="17"/>
    <n v="0"/>
    <s v="EUCLID"/>
    <s v="EUCLID"/>
    <n v="26851"/>
    <n v="28426.685547000001"/>
    <n v="5.8682564783434588E-2"/>
    <n v="2482784.9430246921"/>
    <n v="0"/>
    <n v="535"/>
    <s v="PeMS2016"/>
  </r>
  <r>
    <n v="28"/>
    <x v="3"/>
    <x v="748"/>
    <n v="1"/>
    <n v="1"/>
    <s v="SR-94 EB"/>
    <n v="18"/>
    <n v="0"/>
    <s v="EUCLID"/>
    <s v="KELTON"/>
    <n v="27704"/>
    <n v="29407.886718999998"/>
    <n v="6.1503274581287792E-2"/>
    <n v="2903229.9511845792"/>
    <n v="0"/>
    <n v="261"/>
    <s v="Caltran"/>
  </r>
  <r>
    <n v="28"/>
    <x v="3"/>
    <x v="749"/>
    <n v="1"/>
    <n v="1"/>
    <s v="SR-94 EB"/>
    <n v="19"/>
    <n v="0"/>
    <s v="KELTON"/>
    <s v="KELTON"/>
    <n v="27341"/>
    <n v="27589.865234000001"/>
    <n v="9.1022725576972441E-3"/>
    <n v="61933.904693875149"/>
    <n v="0"/>
    <n v="266"/>
    <s v="PeMS2016"/>
  </r>
  <r>
    <n v="28"/>
    <x v="3"/>
    <x v="750"/>
    <n v="1"/>
    <n v="1"/>
    <s v="SR-94 EB"/>
    <n v="21"/>
    <n v="1"/>
    <s v="FEDERAL"/>
    <s v="COLLEGE GROVE"/>
    <n v="21170"/>
    <n v="24804.322265999999"/>
    <n v="0.17167322938119978"/>
    <n v="13208298.333143368"/>
    <n v="0"/>
    <n v="125"/>
    <s v="PeMS2016"/>
  </r>
  <r>
    <n v="28"/>
    <x v="3"/>
    <x v="751"/>
    <n v="1"/>
    <n v="1"/>
    <s v="SR-94 EB"/>
    <n v="23"/>
    <n v="0"/>
    <s v="MASSACHUSETTS"/>
    <s v="MASSACHUSETTS"/>
    <n v="18924"/>
    <n v="19294.236327999999"/>
    <n v="1.9564380046501739E-2"/>
    <n v="137074.93857092288"/>
    <n v="0"/>
    <n v="668"/>
    <s v="PeMS2016"/>
  </r>
  <r>
    <n v="28"/>
    <x v="3"/>
    <x v="752"/>
    <n v="1"/>
    <n v="1"/>
    <s v="SR-94 EB"/>
    <n v="24"/>
    <n v="0"/>
    <s v="WAITE"/>
    <s v="LEMON GROVE"/>
    <n v="21485"/>
    <n v="22162.855468999998"/>
    <n v="3.1550173097509848E-2"/>
    <n v="459488.03685320762"/>
    <n v="0"/>
    <n v="428"/>
    <s v="Caltran"/>
  </r>
  <r>
    <n v="28"/>
    <x v="3"/>
    <x v="753"/>
    <n v="1"/>
    <n v="1"/>
    <s v="SR-94 EB"/>
    <n v="25"/>
    <n v="0"/>
    <s v="LEMON GROVE"/>
    <s v="LEMON GROVE"/>
    <n v="20208"/>
    <n v="19733.259765999999"/>
    <n v="-2.3492687747426855E-2"/>
    <n v="225378.2897783755"/>
    <n v="0"/>
    <n v="175"/>
    <s v="PeMS2016"/>
  </r>
  <r>
    <n v="28"/>
    <x v="3"/>
    <x v="754"/>
    <n v="1"/>
    <n v="1"/>
    <s v="SR-94 EB"/>
    <n v="26"/>
    <n v="0"/>
    <s v="LEMON GROVE"/>
    <s v="GROVE"/>
    <n v="21715"/>
    <n v="21784.257812"/>
    <n v="3.189399585539876E-3"/>
    <n v="4796.6445230273202"/>
    <n v="0"/>
    <n v="414"/>
    <s v="Caltran"/>
  </r>
  <r>
    <n v="28"/>
    <x v="3"/>
    <x v="755"/>
    <n v="1"/>
    <n v="1"/>
    <s v="SR-94 EB"/>
    <n v="29"/>
    <n v="0"/>
    <s v="SR-125 NB"/>
    <s v="SPRING"/>
    <n v="8226"/>
    <n v="10117.319336"/>
    <n v="0.22991968587405798"/>
    <n v="3577088.8307274827"/>
    <n v="0"/>
    <n v="369"/>
    <s v="PeMS2016"/>
  </r>
  <r>
    <n v="28"/>
    <x v="3"/>
    <x v="756"/>
    <n v="1"/>
    <n v="1"/>
    <s v="SR-94 EB"/>
    <n v="9"/>
    <n v="0"/>
    <s v="AVOCADO"/>
    <s v="CAMPO"/>
    <n v="8655"/>
    <n v="7749.8647460000002"/>
    <n v="-0.10457946320046219"/>
    <n v="819269.82803364412"/>
    <n v="0"/>
    <n v="374"/>
    <s v="Caltr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S1:AC761" firstHeaderRow="1" firstDataRow="3" firstDataCol="1"/>
  <pivotFields count="17">
    <pivotField showAll="0"/>
    <pivotField axis="axisCol" showAll="0">
      <items count="6">
        <item x="1"/>
        <item x="2"/>
        <item x="0"/>
        <item x="3"/>
        <item m="1" x="4"/>
        <item t="default"/>
      </items>
    </pivotField>
    <pivotField axis="axisRow" showAll="0">
      <items count="762">
        <item x="168"/>
        <item x="77"/>
        <item x="396"/>
        <item x="393"/>
        <item x="397"/>
        <item x="399"/>
        <item x="400"/>
        <item x="401"/>
        <item x="402"/>
        <item x="404"/>
        <item x="40"/>
        <item x="405"/>
        <item x="398"/>
        <item x="410"/>
        <item x="367"/>
        <item x="413"/>
        <item x="394"/>
        <item x="414"/>
        <item x="374"/>
        <item x="380"/>
        <item x="384"/>
        <item x="436"/>
        <item x="445"/>
        <item x="352"/>
        <item x="478"/>
        <item x="173"/>
        <item x="304"/>
        <item x="504"/>
        <item x="509"/>
        <item x="178"/>
        <item x="381"/>
        <item x="308"/>
        <item x="313"/>
        <item x="496"/>
        <item x="495"/>
        <item x="134"/>
        <item x="135"/>
        <item x="136"/>
        <item x="137"/>
        <item x="138"/>
        <item x="140"/>
        <item x="141"/>
        <item x="143"/>
        <item x="144"/>
        <item x="145"/>
        <item x="148"/>
        <item x="149"/>
        <item x="377"/>
        <item x="151"/>
        <item x="152"/>
        <item x="154"/>
        <item x="157"/>
        <item x="158"/>
        <item x="159"/>
        <item x="161"/>
        <item x="162"/>
        <item x="163"/>
        <item x="165"/>
        <item x="166"/>
        <item x="167"/>
        <item x="606"/>
        <item x="607"/>
        <item x="608"/>
        <item x="609"/>
        <item x="611"/>
        <item x="612"/>
        <item x="613"/>
        <item x="614"/>
        <item x="615"/>
        <item x="448"/>
        <item x="617"/>
        <item x="618"/>
        <item x="619"/>
        <item x="620"/>
        <item x="621"/>
        <item x="622"/>
        <item x="623"/>
        <item x="625"/>
        <item x="626"/>
        <item x="629"/>
        <item x="630"/>
        <item x="632"/>
        <item x="634"/>
        <item x="635"/>
        <item x="636"/>
        <item x="637"/>
        <item x="639"/>
        <item x="640"/>
        <item x="231"/>
        <item x="476"/>
        <item x="500"/>
        <item x="153"/>
        <item x="45"/>
        <item x="624"/>
        <item x="364"/>
        <item x="287"/>
        <item x="339"/>
        <item x="120"/>
        <item x="121"/>
        <item x="122"/>
        <item x="650"/>
        <item x="651"/>
        <item x="658"/>
        <item x="681"/>
        <item x="685"/>
        <item x="676"/>
        <item x="677"/>
        <item x="90"/>
        <item x="693"/>
        <item x="694"/>
        <item x="695"/>
        <item x="64"/>
        <item x="65"/>
        <item x="78"/>
        <item x="710"/>
        <item x="680"/>
        <item x="720"/>
        <item x="722"/>
        <item x="731"/>
        <item x="36"/>
        <item x="38"/>
        <item x="41"/>
        <item x="47"/>
        <item x="48"/>
        <item x="92"/>
        <item x="21"/>
        <item x="76"/>
        <item x="314"/>
        <item x="309"/>
        <item x="499"/>
        <item x="501"/>
        <item x="502"/>
        <item x="516"/>
        <item x="525"/>
        <item x="529"/>
        <item x="277"/>
        <item x="275"/>
        <item x="531"/>
        <item x="274"/>
        <item x="533"/>
        <item x="601"/>
        <item x="376"/>
        <item x="433"/>
        <item x="375"/>
        <item x="434"/>
        <item x="451"/>
        <item x="458"/>
        <item x="661"/>
        <item x="109"/>
        <item x="662"/>
        <item x="110"/>
        <item x="715"/>
        <item x="717"/>
        <item x="716"/>
        <item x="49"/>
        <item x="46"/>
        <item x="723"/>
        <item x="724"/>
        <item x="730"/>
        <item x="668"/>
        <item x="285"/>
        <item x="517"/>
        <item x="335"/>
        <item x="468"/>
        <item x="472"/>
        <item x="336"/>
        <item x="471"/>
        <item x="469"/>
        <item x="338"/>
        <item x="652"/>
        <item x="515"/>
        <item x="491"/>
        <item x="679"/>
        <item x="94"/>
        <item x="708"/>
        <item x="63"/>
        <item x="0"/>
        <item x="647"/>
        <item x="654"/>
        <item x="117"/>
        <item x="522"/>
        <item x="343"/>
        <item x="464"/>
        <item x="344"/>
        <item x="463"/>
        <item x="345"/>
        <item x="346"/>
        <item x="462"/>
        <item x="347"/>
        <item x="114"/>
        <item x="657"/>
        <item x="115"/>
        <item x="656"/>
        <item x="655"/>
        <item x="116"/>
        <item x="407"/>
        <item x="297"/>
        <item x="736"/>
        <item x="30"/>
        <item x="735"/>
        <item x="232"/>
        <item x="739"/>
        <item x="22"/>
        <item x="20"/>
        <item x="125"/>
        <item x="755"/>
        <item x="648"/>
        <item x="753"/>
        <item x="118"/>
        <item x="119"/>
        <item x="633"/>
        <item x="649"/>
        <item x="123"/>
        <item x="362"/>
        <item x="535"/>
        <item x="271"/>
        <item x="536"/>
        <item x="269"/>
        <item x="223"/>
        <item x="222"/>
        <item x="221"/>
        <item x="219"/>
        <item x="218"/>
        <item x="567"/>
        <item x="217"/>
        <item x="574"/>
        <item x="580"/>
        <item x="581"/>
        <item x="199"/>
        <item x="674"/>
        <item x="99"/>
        <item x="98"/>
        <item x="675"/>
        <item x="97"/>
        <item x="89"/>
        <item x="683"/>
        <item x="200"/>
        <item x="201"/>
        <item x="579"/>
        <item x="202"/>
        <item x="127"/>
        <item x="126"/>
        <item m="1" x="758"/>
        <item x="333"/>
        <item x="706"/>
        <item x="66"/>
        <item x="113"/>
        <item x="280"/>
        <item x="526"/>
        <item x="279"/>
        <item x="644"/>
        <item x="319"/>
        <item x="490"/>
        <item x="318"/>
        <item x="59"/>
        <item x="55"/>
        <item x="53"/>
        <item x="54"/>
        <item x="493"/>
        <item x="492"/>
        <item x="316"/>
        <item m="1" x="759"/>
        <item m="1" x="760"/>
        <item x="33"/>
        <item x="35"/>
        <item x="732"/>
        <item x="733"/>
        <item x="382"/>
        <item x="427"/>
        <item x="428"/>
        <item x="429"/>
        <item x="431"/>
        <item x="430"/>
        <item x="378"/>
        <item x="379"/>
        <item x="709"/>
        <item x="62"/>
        <item x="61"/>
        <item x="497"/>
        <item x="312"/>
        <item x="311"/>
        <item x="498"/>
        <item x="104"/>
        <item x="298"/>
        <item x="303"/>
        <item x="505"/>
        <item x="302"/>
        <item x="506"/>
        <item x="507"/>
        <item x="508"/>
        <item x="299"/>
        <item x="510"/>
        <item x="512"/>
        <item x="511"/>
        <item x="295"/>
        <item x="370"/>
        <item x="371"/>
        <item x="372"/>
        <item x="437"/>
        <item x="369"/>
        <item x="438"/>
        <item x="439"/>
        <item x="441"/>
        <item x="366"/>
        <item x="442"/>
        <item x="365"/>
        <item x="443"/>
        <item x="292"/>
        <item x="294"/>
        <item x="82"/>
        <item x="690"/>
        <item x="81"/>
        <item x="691"/>
        <item x="692"/>
        <item x="80"/>
        <item x="79"/>
        <item x="60"/>
        <item x="514"/>
        <item x="513"/>
        <item x="291"/>
        <item x="518"/>
        <item x="289"/>
        <item x="520"/>
        <item x="286"/>
        <item x="521"/>
        <item x="284"/>
        <item x="449"/>
        <item x="360"/>
        <item x="361"/>
        <item x="357"/>
        <item x="452"/>
        <item x="356"/>
        <item x="453"/>
        <item x="355"/>
        <item x="354"/>
        <item x="454"/>
        <item x="455"/>
        <item x="456"/>
        <item x="457"/>
        <item x="446"/>
        <item x="363"/>
        <item x="444"/>
        <item x="447"/>
        <item x="353"/>
        <item x="421"/>
        <item x="582"/>
        <item x="570"/>
        <item x="281"/>
        <item x="524"/>
        <item x="282"/>
        <item x="283"/>
        <item x="523"/>
        <item x="170"/>
        <item x="604"/>
        <item x="169"/>
        <item x="100"/>
        <item x="351"/>
        <item x="350"/>
        <item x="461"/>
        <item x="460"/>
        <item x="112"/>
        <item x="348"/>
        <item x="91"/>
        <item x="682"/>
        <item x="88"/>
        <item x="111"/>
        <item x="215"/>
        <item x="214"/>
        <item x="569"/>
        <item x="213"/>
        <item x="212"/>
        <item x="571"/>
        <item x="211"/>
        <item x="572"/>
        <item x="210"/>
        <item x="573"/>
        <item x="663"/>
        <item x="108"/>
        <item x="665"/>
        <item x="107"/>
        <item x="667"/>
        <item x="465"/>
        <item x="341"/>
        <item x="743"/>
        <item x="15"/>
        <item x="741"/>
        <item x="16"/>
        <item x="17"/>
        <item x="740"/>
        <item x="18"/>
        <item x="19"/>
        <item x="156"/>
        <item x="475"/>
        <item x="474"/>
        <item x="106"/>
        <item x="669"/>
        <item x="105"/>
        <item x="220"/>
        <item x="568"/>
        <item x="317"/>
        <item x="331"/>
        <item x="332"/>
        <item x="334"/>
        <item x="705"/>
        <item x="659"/>
        <item x="660"/>
        <item x="139"/>
        <item x="503"/>
        <item x="305"/>
        <item x="306"/>
        <item x="307"/>
        <item x="702"/>
        <item x="71"/>
        <item x="68"/>
        <item x="704"/>
        <item x="67"/>
        <item x="699"/>
        <item x="74"/>
        <item x="72"/>
        <item x="73"/>
        <item x="701"/>
        <item x="43"/>
        <item x="726"/>
        <item x="42"/>
        <item x="729"/>
        <item x="711"/>
        <item x="707"/>
        <item x="216"/>
        <item x="52"/>
        <item x="719"/>
        <item x="718"/>
        <item x="466"/>
        <item x="539"/>
        <item x="340"/>
        <item x="467"/>
        <item x="684"/>
        <item x="727"/>
        <item x="342"/>
        <item x="470"/>
        <item x="239"/>
        <item x="254"/>
        <item x="255"/>
        <item x="257"/>
        <item x="266"/>
        <item x="267"/>
        <item x="268"/>
        <item x="272"/>
        <item x="276"/>
        <item x="530"/>
        <item x="534"/>
        <item x="537"/>
        <item x="538"/>
        <item x="540"/>
        <item x="543"/>
        <item x="545"/>
        <item x="576"/>
        <item x="197"/>
        <item x="198"/>
        <item x="206"/>
        <item x="146"/>
        <item x="147"/>
        <item x="150"/>
        <item x="155"/>
        <item x="160"/>
        <item x="599"/>
        <item x="616"/>
        <item x="627"/>
        <item x="628"/>
        <item x="670"/>
        <item x="34"/>
        <item x="327"/>
        <item x="142"/>
        <item x="631"/>
        <item x="290"/>
        <item x="164"/>
        <item x="610"/>
        <item x="349"/>
        <item x="473"/>
        <item x="395"/>
        <item x="403"/>
        <item x="411"/>
        <item x="415"/>
        <item x="31"/>
        <item x="37"/>
        <item x="171"/>
        <item x="95"/>
        <item x="96"/>
        <item x="603"/>
        <item x="605"/>
        <item x="177"/>
        <item x="358"/>
        <item x="666"/>
        <item x="329"/>
        <item x="326"/>
        <item x="293"/>
        <item x="638"/>
        <item x="408"/>
        <item x="300"/>
        <item x="93"/>
        <item x="278"/>
        <item x="528"/>
        <item x="527"/>
        <item x="288"/>
        <item x="296"/>
        <item x="301"/>
        <item x="310"/>
        <item x="315"/>
        <item x="489"/>
        <item x="494"/>
        <item x="485"/>
        <item x="390"/>
        <item x="418"/>
        <item x="273"/>
        <item x="172"/>
        <item x="602"/>
        <item x="432"/>
        <item x="234"/>
        <item x="385"/>
        <item x="388"/>
        <item x="419"/>
        <item x="387"/>
        <item x="422"/>
        <item x="386"/>
        <item x="423"/>
        <item x="391"/>
        <item x="417"/>
        <item x="392"/>
        <item x="416"/>
        <item x="86"/>
        <item x="686"/>
        <item x="87"/>
        <item x="714"/>
        <item x="721"/>
        <item x="50"/>
        <item x="420"/>
        <item x="389"/>
        <item x="696"/>
        <item x="697"/>
        <item x="325"/>
        <item x="483"/>
        <item x="596"/>
        <item x="180"/>
        <item x="57"/>
        <item x="713"/>
        <item x="560"/>
        <item x="562"/>
        <item x="337"/>
        <item x="324"/>
        <item x="484"/>
        <item x="229"/>
        <item x="559"/>
        <item x="561"/>
        <item x="565"/>
        <item x="13"/>
        <item x="233"/>
        <item x="26"/>
        <item x="27"/>
        <item x="738"/>
        <item x="25"/>
        <item x="24"/>
        <item x="737"/>
        <item x="28"/>
        <item x="29"/>
        <item x="547"/>
        <item x="258"/>
        <item x="544"/>
        <item x="259"/>
        <item x="542"/>
        <item x="261"/>
        <item x="262"/>
        <item x="541"/>
        <item x="734"/>
        <item x="32"/>
        <item x="555"/>
        <item x="237"/>
        <item x="238"/>
        <item x="554"/>
        <item x="236"/>
        <item x="235"/>
        <item x="556"/>
        <item x="553"/>
        <item x="240"/>
        <item x="241"/>
        <item x="552"/>
        <item x="242"/>
        <item x="243"/>
        <item x="244"/>
        <item x="245"/>
        <item x="246"/>
        <item x="551"/>
        <item x="247"/>
        <item x="248"/>
        <item x="249"/>
        <item x="85"/>
        <item x="687"/>
        <item x="6"/>
        <item x="5"/>
        <item x="751"/>
        <item x="4"/>
        <item x="752"/>
        <item x="3"/>
        <item x="2"/>
        <item x="754"/>
        <item x="1"/>
        <item x="230"/>
        <item x="558"/>
        <item x="566"/>
        <item x="209"/>
        <item x="208"/>
        <item x="575"/>
        <item x="207"/>
        <item x="577"/>
        <item x="205"/>
        <item x="196"/>
        <item x="583"/>
        <item x="195"/>
        <item x="584"/>
        <item x="585"/>
        <item x="194"/>
        <item x="193"/>
        <item x="190"/>
        <item x="189"/>
        <item x="587"/>
        <item x="188"/>
        <item x="590"/>
        <item x="185"/>
        <item x="591"/>
        <item x="184"/>
        <item x="592"/>
        <item x="183"/>
        <item x="593"/>
        <item x="182"/>
        <item x="595"/>
        <item x="181"/>
        <item x="672"/>
        <item x="103"/>
        <item x="102"/>
        <item x="673"/>
        <item x="192"/>
        <item x="586"/>
        <item x="578"/>
        <item x="203"/>
        <item x="204"/>
        <item x="477"/>
        <item x="557"/>
        <item x="671"/>
        <item x="323"/>
        <item x="487"/>
        <item x="488"/>
        <item x="320"/>
        <item x="321"/>
        <item x="322"/>
        <item x="486"/>
        <item x="58"/>
        <item x="712"/>
        <item x="56"/>
        <item x="424"/>
        <item x="426"/>
        <item x="383"/>
        <item x="756"/>
        <item x="191"/>
        <item x="588"/>
        <item x="589"/>
        <item x="187"/>
        <item x="186"/>
        <item x="83"/>
        <item x="688"/>
        <item x="84"/>
        <item x="689"/>
        <item x="250"/>
        <item x="550"/>
        <item x="549"/>
        <item x="251"/>
        <item x="252"/>
        <item x="548"/>
        <item x="253"/>
        <item x="256"/>
        <item x="546"/>
        <item x="598"/>
        <item x="175"/>
        <item x="600"/>
        <item x="450"/>
        <item x="359"/>
        <item x="51"/>
        <item x="101"/>
        <item x="459"/>
        <item x="678"/>
        <item x="133"/>
        <item x="132"/>
        <item x="641"/>
        <item x="646"/>
        <item x="128"/>
        <item x="129"/>
        <item x="645"/>
        <item x="130"/>
        <item x="131"/>
        <item x="643"/>
        <item x="642"/>
        <item x="7"/>
        <item x="749"/>
        <item x="750"/>
        <item x="748"/>
        <item x="8"/>
        <item x="747"/>
        <item x="9"/>
        <item x="746"/>
        <item x="10"/>
        <item x="11"/>
        <item x="745"/>
        <item x="12"/>
        <item x="14"/>
        <item x="744"/>
        <item x="228"/>
        <item x="227"/>
        <item x="563"/>
        <item x="226"/>
        <item x="225"/>
        <item x="224"/>
        <item x="564"/>
        <item x="23"/>
        <item x="75"/>
        <item x="698"/>
        <item x="700"/>
        <item x="69"/>
        <item x="70"/>
        <item x="703"/>
        <item x="725"/>
        <item x="44"/>
        <item x="594"/>
        <item x="263"/>
        <item x="406"/>
        <item x="409"/>
        <item x="330"/>
        <item x="176"/>
        <item x="597"/>
        <item x="179"/>
        <item x="328"/>
        <item x="482"/>
        <item x="480"/>
        <item x="481"/>
        <item x="479"/>
        <item x="264"/>
        <item x="39"/>
        <item x="519"/>
        <item x="653"/>
        <item x="728"/>
        <item x="270"/>
        <item x="532"/>
        <item x="260"/>
        <item x="265"/>
        <item x="124"/>
        <item x="664"/>
        <item x="425"/>
        <item x="174"/>
        <item x="412"/>
        <item x="368"/>
        <item x="373"/>
        <item x="435"/>
        <item x="440"/>
        <item x="742"/>
        <item m="1" x="7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numFmtId="1" showAll="0"/>
    <pivotField numFmtId="9" showAll="0"/>
    <pivotField numFmtId="1" showAll="0"/>
    <pivotField showAll="0"/>
    <pivotField showAll="0"/>
    <pivotField showAll="0"/>
  </pivotFields>
  <rowFields count="1">
    <field x="2"/>
  </rowFields>
  <rowItems count="7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 t="grand">
      <x/>
    </i>
  </rowItems>
  <colFields count="2">
    <field x="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count" fld="10" baseField="0" baseItem="0"/>
    <dataField name="Sum of flow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socioeca8.sandag.org_abm2_f2" connectionId="1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socioeca8.sandag.org_abm2_f2" displayName="Table_socioeca8.sandag.org_abm2_f2" ref="D1:G1647" tableType="queryTable" totalsRowShown="0">
  <autoFilter ref="D1:G1647"/>
  <tableColumns count="4">
    <tableColumn id="1" uniqueName="1" name="hwycov_id" queryTableFieldId="1"/>
    <tableColumn id="3" uniqueName="3" name="flow_day" queryTableFieldId="3" dataDxfId="716"/>
    <tableColumn id="4" uniqueName="4" name="flow_am" queryTableFieldId="4" dataDxfId="715"/>
    <tableColumn id="5" uniqueName="5" name="flow_pm" queryTableFieldId="5" dataDxfId="714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6" name="ws" displayName="ws" ref="A1:Q758" totalsRowShown="0">
  <autoFilter ref="A1:Q758"/>
  <sortState ref="A2:Q761">
    <sortCondition ref="C1:C761"/>
  </sortState>
  <tableColumns count="17">
    <tableColumn id="1" name="corridor" dataDxfId="713">
      <calculatedColumnFormula>'[2]All Counts'!C2</calculatedColumnFormula>
    </tableColumn>
    <tableColumn id="2" name="dir" dataDxfId="712">
      <calculatedColumnFormula>'[2]All Counts'!D2</calculatedColumnFormula>
    </tableColumn>
    <tableColumn id="3" name="hwycov_id" dataDxfId="711">
      <calculatedColumnFormula>'[2]All Counts'!E2</calculatedColumnFormula>
    </tableColumn>
    <tableColumn id="4" name="ifc" dataDxfId="710">
      <calculatedColumnFormula>'[2]All Counts'!F2</calculatedColumnFormula>
    </tableColumn>
    <tableColumn id="5" name="ihov" dataDxfId="709">
      <calculatedColumnFormula>'[2]All Counts'!G2</calculatedColumnFormula>
    </tableColumn>
    <tableColumn id="6" name="name" dataDxfId="708">
      <calculatedColumnFormula>'[2]All Counts'!H2</calculatedColumnFormula>
    </tableColumn>
    <tableColumn id="7" name="ikno" dataDxfId="707">
      <calculatedColumnFormula>'[2]All Counts'!I2</calculatedColumnFormula>
    </tableColumn>
    <tableColumn id="8" name="length" dataDxfId="706">
      <calculatedColumnFormula>'[2]All Counts'!J2</calculatedColumnFormula>
    </tableColumn>
    <tableColumn id="9" name="from" dataDxfId="705">
      <calculatedColumnFormula>'[2]All Counts'!K2</calculatedColumnFormula>
    </tableColumn>
    <tableColumn id="10" name="to" dataDxfId="704">
      <calculatedColumnFormula>'[2]All Counts'!L2</calculatedColumnFormula>
    </tableColumn>
    <tableColumn id="11" name="count" dataDxfId="703">
      <calculatedColumnFormula>'[2]All Counts'!O2</calculatedColumnFormula>
    </tableColumn>
    <tableColumn id="14" name="flow" dataDxfId="702">
      <calculatedColumnFormula>VLOOKUP(ws[[#This Row],[hwycov_id]],readme!D:G,4,FALSE)</calculatedColumnFormula>
    </tableColumn>
    <tableColumn id="17" name="gap" dataDxfId="701" dataCellStyle="Percent">
      <calculatedColumnFormula>ws[[#This Row],[flow]]/ws[[#This Row],[count]]-1</calculatedColumnFormula>
    </tableColumn>
    <tableColumn id="18" name="x2" dataDxfId="700">
      <calculatedColumnFormula>POWER((ws[[#This Row],[flow]]-ws[[#This Row],[count]]),2)</calculatedColumnFormula>
    </tableColumn>
    <tableColumn id="12" name="flag" dataDxfId="699">
      <calculatedColumnFormula>VLOOKUP(ws[[#This Row],[hwycov_id]],count[],6,FALSE)</calculatedColumnFormula>
    </tableColumn>
    <tableColumn id="13" name="order" dataDxfId="698"/>
    <tableColumn id="15" name="source" dataDxfId="697">
      <calculatedColumnFormula>'[2]All Counts'!P2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count" displayName="count" ref="A1:F914" totalsRowShown="0">
  <autoFilter ref="A1:F914"/>
  <sortState ref="A2:F649">
    <sortCondition ref="F2:F649"/>
  </sortState>
  <tableColumns count="6">
    <tableColumn id="1" name="hwycov_id" dataDxfId="677">
      <calculatedColumnFormula>'[2]All Counts'!E2</calculatedColumnFormula>
    </tableColumn>
    <tableColumn id="2" name="count_day" dataDxfId="676">
      <calculatedColumnFormula>'[2]All Counts'!M2</calculatedColumnFormula>
    </tableColumn>
    <tableColumn id="3" name="count_am" dataDxfId="675">
      <calculatedColumnFormula>'[2]All Counts'!N2</calculatedColumnFormula>
    </tableColumn>
    <tableColumn id="4" name="count_pm" dataDxfId="674">
      <calculatedColumnFormula>'[2]All Counts'!O2</calculatedColumnFormula>
    </tableColumn>
    <tableColumn id="6" name="source" dataDxfId="673">
      <calculatedColumnFormula>'[2]All Counts'!P2</calculatedColumnFormula>
    </tableColumn>
    <tableColumn id="5" name="check" dataDxfId="672"/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id="1" name="c_1" displayName="c_1" ref="A1:L95" totalsRowShown="0">
  <autoFilter ref="A1:L95"/>
  <sortState ref="A2:L75">
    <sortCondition ref="D2:D75"/>
  </sortState>
  <tableColumns count="12">
    <tableColumn id="1" name="corridor" dataDxfId="669">
      <calculatedColumnFormula>'[2]I-5 NB'!C2</calculatedColumnFormula>
    </tableColumn>
    <tableColumn id="12" name="name" dataDxfId="668">
      <calculatedColumnFormula>'[2]I-5 NB'!H2</calculatedColumnFormula>
    </tableColumn>
    <tableColumn id="2" name="hwycov_id" dataDxfId="667">
      <calculatedColumnFormula>'[2]I-5 NB'!E2</calculatedColumnFormula>
    </tableColumn>
    <tableColumn id="3" name="ikno" dataDxfId="666">
      <calculatedColumnFormula>'[2]I-5 NB'!I2</calculatedColumnFormula>
    </tableColumn>
    <tableColumn id="4" name="Length" dataDxfId="665">
      <calculatedColumnFormula>'[2]I-5 NB'!J2</calculatedColumnFormula>
    </tableColumn>
    <tableColumn id="5" name="from_rd" dataDxfId="664">
      <calculatedColumnFormula>'[2]I-5 NB'!K2</calculatedColumnFormula>
    </tableColumn>
    <tableColumn id="6" name="to_rd" dataDxfId="663">
      <calculatedColumnFormula>'[2]I-5 NB'!L2</calculatedColumnFormula>
    </tableColumn>
    <tableColumn id="7" name="count" dataDxfId="662">
      <calculatedColumnFormula>'[2]I-5 NB'!O2</calculatedColumnFormula>
    </tableColumn>
    <tableColumn id="8" name="flow" dataDxfId="661">
      <calculatedColumnFormula>VLOOKUP(c_1[[#This Row],[hwycov_id]],readme!D:G,4,FALSE)</calculatedColumnFormula>
    </tableColumn>
    <tableColumn id="9" name="gap" dataDxfId="660">
      <calculatedColumnFormula>I2/H2-1</calculatedColumnFormula>
    </tableColumn>
    <tableColumn id="10" name="source" dataDxfId="659">
      <calculatedColumnFormula>'[2]I-5 NB'!P2</calculatedColumnFormula>
    </tableColumn>
    <tableColumn id="11" name="x2" dataDxfId="65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id="7" name="c_2" displayName="c_2" ref="A1:L63" totalsRowShown="0" headerRowDxfId="653" dataDxfId="652" tableBorderDxfId="651">
  <autoFilter ref="A1:L63"/>
  <sortState ref="A2:L59">
    <sortCondition ref="D2:D59"/>
  </sortState>
  <tableColumns count="12">
    <tableColumn id="1" name="corridor" dataDxfId="650">
      <calculatedColumnFormula>'[2]I-15 NB'!C2</calculatedColumnFormula>
    </tableColumn>
    <tableColumn id="2" name="name" dataDxfId="649">
      <calculatedColumnFormula>'[2]I-15 NB'!H2</calculatedColumnFormula>
    </tableColumn>
    <tableColumn id="3" name="hwycov_id" dataDxfId="648">
      <calculatedColumnFormula>'[2]I-15 NB'!E2</calculatedColumnFormula>
    </tableColumn>
    <tableColumn id="4" name="ikno" dataDxfId="647">
      <calculatedColumnFormula>'[2]I-15 NB'!I2</calculatedColumnFormula>
    </tableColumn>
    <tableColumn id="5" name="Length" dataDxfId="646">
      <calculatedColumnFormula>'[2]I-15 NB'!J2</calculatedColumnFormula>
    </tableColumn>
    <tableColumn id="6" name="from_rd" dataDxfId="645">
      <calculatedColumnFormula>'[2]I-15 NB'!K2</calculatedColumnFormula>
    </tableColumn>
    <tableColumn id="7" name="to_rd" dataDxfId="644">
      <calculatedColumnFormula>'[2]I-15 NB'!L2</calculatedColumnFormula>
    </tableColumn>
    <tableColumn id="8" name="count" dataDxfId="643">
      <calculatedColumnFormula>'[2]I-15 NB'!O2</calculatedColumnFormula>
    </tableColumn>
    <tableColumn id="9" name="flow" dataDxfId="642">
      <calculatedColumnFormula>VLOOKUP(c_2[[#This Row],[hwycov_id]],readme!D:G,4,FALSE)</calculatedColumnFormula>
    </tableColumn>
    <tableColumn id="10" name="gap" dataDxfId="641">
      <calculatedColumnFormula>I2/H2-1</calculatedColumnFormula>
    </tableColumn>
    <tableColumn id="12" name="source" dataDxfId="640">
      <calculatedColumnFormula>'[2]I-15 NB'!P2</calculatedColumnFormula>
    </tableColumn>
    <tableColumn id="11" name="x2" dataDxfId="639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6.xml><?xml version="1.0" encoding="utf-8"?>
<table xmlns="http://schemas.openxmlformats.org/spreadsheetml/2006/main" id="8" name="c_3" displayName="c_3" ref="A1:L43" totalsRowShown="0">
  <autoFilter ref="A1:L43"/>
  <sortState ref="A2:L30">
    <sortCondition ref="D2:D30"/>
  </sortState>
  <tableColumns count="12">
    <tableColumn id="1" name="corridor" dataDxfId="632">
      <calculatedColumnFormula>'[2]I-805 NB'!C2</calculatedColumnFormula>
    </tableColumn>
    <tableColumn id="2" name="name" dataDxfId="631">
      <calculatedColumnFormula>'[2]I-805 NB'!H2</calculatedColumnFormula>
    </tableColumn>
    <tableColumn id="3" name="hwycov_id" dataDxfId="630">
      <calculatedColumnFormula>'[2]I-805 NB'!E2</calculatedColumnFormula>
    </tableColumn>
    <tableColumn id="4" name="ikno" dataDxfId="629">
      <calculatedColumnFormula>'[2]I-805 NB'!I2</calculatedColumnFormula>
    </tableColumn>
    <tableColumn id="5" name="Length" dataDxfId="628">
      <calculatedColumnFormula>'[2]I-805 NB'!J2</calculatedColumnFormula>
    </tableColumn>
    <tableColumn id="6" name="from_rd" dataDxfId="627">
      <calculatedColumnFormula>'[2]I-805 NB'!K2</calculatedColumnFormula>
    </tableColumn>
    <tableColumn id="7" name="to_rd" dataDxfId="626">
      <calculatedColumnFormula>'[2]I-805 NB'!L2</calculatedColumnFormula>
    </tableColumn>
    <tableColumn id="8" name="count" dataDxfId="625">
      <calculatedColumnFormula>'[2]I-805 NB'!O2</calculatedColumnFormula>
    </tableColumn>
    <tableColumn id="9" name="flow" dataDxfId="624">
      <calculatedColumnFormula>VLOOKUP(c_3[[#This Row],[hwycov_id]],readme!D:G,4,FALSE)</calculatedColumnFormula>
    </tableColumn>
    <tableColumn id="10" name="gap" dataDxfId="623">
      <calculatedColumnFormula>I2/H2-1</calculatedColumnFormula>
    </tableColumn>
    <tableColumn id="11" name="source" dataDxfId="622">
      <calculatedColumnFormula>'[2]I-805 NB'!P2</calculatedColumnFormula>
    </tableColumn>
    <tableColumn id="12" name="x2" dataDxfId="62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id="9" name="c_4" displayName="c_4" ref="A1:L11" totalsRowShown="0">
  <autoFilter ref="A1:L11"/>
  <sortState ref="A2:L11">
    <sortCondition ref="D2:D11"/>
  </sortState>
  <tableColumns count="12">
    <tableColumn id="1" name="corridor">
      <calculatedColumnFormula>'[2]SR-163 NB'!C2</calculatedColumnFormula>
    </tableColumn>
    <tableColumn id="2" name="name" dataDxfId="614">
      <calculatedColumnFormula>'[2]SR-163 NB'!H2</calculatedColumnFormula>
    </tableColumn>
    <tableColumn id="3" name="hwycov_id" dataDxfId="613">
      <calculatedColumnFormula>'[2]SR-163 NB'!E2</calculatedColumnFormula>
    </tableColumn>
    <tableColumn id="4" name="ikno" dataDxfId="612">
      <calculatedColumnFormula>'[2]SR-163 NB'!I2</calculatedColumnFormula>
    </tableColumn>
    <tableColumn id="5" name="Length" dataDxfId="611">
      <calculatedColumnFormula>'[2]SR-163 NB'!J2</calculatedColumnFormula>
    </tableColumn>
    <tableColumn id="6" name="from_rd" dataDxfId="610">
      <calculatedColumnFormula>'[2]SR-163 NB'!K2</calculatedColumnFormula>
    </tableColumn>
    <tableColumn id="7" name="to_rd" dataDxfId="609">
      <calculatedColumnFormula>'[2]SR-163 NB'!L2</calculatedColumnFormula>
    </tableColumn>
    <tableColumn id="8" name="count" dataDxfId="608">
      <calculatedColumnFormula>'[2]SR-163 NB'!O2</calculatedColumnFormula>
    </tableColumn>
    <tableColumn id="9" name="flow" dataDxfId="607">
      <calculatedColumnFormula>VLOOKUP(c_4[[#This Row],[hwycov_id]],readme!D:G,4,FALSE)</calculatedColumnFormula>
    </tableColumn>
    <tableColumn id="10" name="gap" dataDxfId="606">
      <calculatedColumnFormula>I2/H2-1</calculatedColumnFormula>
    </tableColumn>
    <tableColumn id="11" name="source" dataDxfId="605">
      <calculatedColumnFormula>'[2]SR-163 NB'!P2</calculatedColumnFormula>
    </tableColumn>
    <tableColumn id="12" name="x2" dataDxfId="6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id="10" name="c_5" displayName="c_5" ref="A1:L21" totalsRowShown="0" headerRowDxfId="595" dataDxfId="594">
  <autoFilter ref="A1:L21"/>
  <tableColumns count="12">
    <tableColumn id="1" name="corridor" dataDxfId="593">
      <calculatedColumnFormula>'[2]SR-125 NB'!C2</calculatedColumnFormula>
    </tableColumn>
    <tableColumn id="2" name="name" dataDxfId="592">
      <calculatedColumnFormula>'[2]SR-125 NB'!H2</calculatedColumnFormula>
    </tableColumn>
    <tableColumn id="3" name="hwycov_id" dataDxfId="591">
      <calculatedColumnFormula>'[2]SR-125 NB'!E2</calculatedColumnFormula>
    </tableColumn>
    <tableColumn id="4" name="ikno" dataDxfId="590">
      <calculatedColumnFormula>'[2]SR-125 NB'!I2</calculatedColumnFormula>
    </tableColumn>
    <tableColumn id="5" name="Length" dataDxfId="589">
      <calculatedColumnFormula>'[2]SR-125 NB'!J2</calculatedColumnFormula>
    </tableColumn>
    <tableColumn id="6" name="from_rd" dataDxfId="588">
      <calculatedColumnFormula>'[2]SR-125 NB'!K2</calculatedColumnFormula>
    </tableColumn>
    <tableColumn id="7" name="to_rd" dataDxfId="587">
      <calculatedColumnFormula>'[2]SR-125 NB'!L2</calculatedColumnFormula>
    </tableColumn>
    <tableColumn id="8" name="count" dataDxfId="586">
      <calculatedColumnFormula>'[2]SR-125 NB'!O2</calculatedColumnFormula>
    </tableColumn>
    <tableColumn id="9" name="flow" dataDxfId="585">
      <calculatedColumnFormula>VLOOKUP(c_5[[#This Row],[hwycov_id]],readme!D:G,4,FALSE)</calculatedColumnFormula>
    </tableColumn>
    <tableColumn id="10" name="gap" dataDxfId="584">
      <calculatedColumnFormula>I2/H2-1</calculatedColumnFormula>
    </tableColumn>
    <tableColumn id="11" name="source" dataDxfId="583">
      <calculatedColumnFormula>'[2]SR-125 NB'!P2</calculatedColumnFormula>
    </tableColumn>
    <tableColumn id="12" name="x2" dataDxfId="58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id="11" name="c_6" displayName="c_6" ref="A1:L4" totalsRowShown="0" dataDxfId="575">
  <autoFilter ref="A1:L4"/>
  <tableColumns count="12">
    <tableColumn id="1" name="corridor" dataDxfId="574">
      <calculatedColumnFormula>'[2]SR-67 NB'!C2</calculatedColumnFormula>
    </tableColumn>
    <tableColumn id="2" name="name" dataDxfId="573">
      <calculatedColumnFormula>'[2]SR-67 NB'!H2</calculatedColumnFormula>
    </tableColumn>
    <tableColumn id="3" name="hwycov_id" dataDxfId="572">
      <calculatedColumnFormula>'[2]SR-67 NB'!E2</calculatedColumnFormula>
    </tableColumn>
    <tableColumn id="4" name="ikno" dataDxfId="571">
      <calculatedColumnFormula>'[2]SR-67 NB'!I2</calculatedColumnFormula>
    </tableColumn>
    <tableColumn id="5" name="Length" dataDxfId="570">
      <calculatedColumnFormula>'[2]SR-67 NB'!J2</calculatedColumnFormula>
    </tableColumn>
    <tableColumn id="6" name="from_rd" dataDxfId="569">
      <calculatedColumnFormula>'[2]SR-67 NB'!K2</calculatedColumnFormula>
    </tableColumn>
    <tableColumn id="7" name="to_rd" dataDxfId="568">
      <calculatedColumnFormula>'[2]SR-67 NB'!L2</calculatedColumnFormula>
    </tableColumn>
    <tableColumn id="8" name="count" dataDxfId="567">
      <calculatedColumnFormula>'[2]SR-67 NB'!O2</calculatedColumnFormula>
    </tableColumn>
    <tableColumn id="9" name="flow" dataDxfId="566">
      <calculatedColumnFormula>VLOOKUP(c_6[[#This Row],[hwycov_id]],readme!D:G,4,FALSE)</calculatedColumnFormula>
    </tableColumn>
    <tableColumn id="10" name="gap" dataDxfId="565">
      <calculatedColumnFormula>I2/H2-1</calculatedColumnFormula>
    </tableColumn>
    <tableColumn id="11" name="source" dataDxfId="564">
      <calculatedColumnFormula>'[2]SR-67 NB'!P2</calculatedColumnFormula>
    </tableColumn>
    <tableColumn id="12" name="x2" dataDxfId="5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id="12" name="c_7" displayName="c_7" ref="A1:L2" totalsRowShown="0" dataDxfId="558">
  <autoFilter ref="A1:L2"/>
  <tableColumns count="12">
    <tableColumn id="1" name="corridor" dataDxfId="557">
      <calculatedColumnFormula>'[2]SR-75 NB'!C2</calculatedColumnFormula>
    </tableColumn>
    <tableColumn id="2" name="name" dataDxfId="556">
      <calculatedColumnFormula>'[2]SR-75 NB'!H2</calculatedColumnFormula>
    </tableColumn>
    <tableColumn id="3" name="hwycov_id" dataDxfId="555">
      <calculatedColumnFormula>'[2]SR-75 NB'!E2</calculatedColumnFormula>
    </tableColumn>
    <tableColumn id="4" name="ikno" dataDxfId="554">
      <calculatedColumnFormula>'[2]SR-75 NB'!I2</calculatedColumnFormula>
    </tableColumn>
    <tableColumn id="5" name="Length" dataDxfId="553">
      <calculatedColumnFormula>'[2]SR-75 NB'!J2</calculatedColumnFormula>
    </tableColumn>
    <tableColumn id="6" name="from_rd" dataDxfId="552">
      <calculatedColumnFormula>'[2]SR-75 NB'!K2</calculatedColumnFormula>
    </tableColumn>
    <tableColumn id="7" name="to_rd" dataDxfId="551">
      <calculatedColumnFormula>'[2]SR-75 NB'!L2</calculatedColumnFormula>
    </tableColumn>
    <tableColumn id="8" name="count" dataDxfId="550">
      <calculatedColumnFormula>'[2]SR-75 NB'!O2</calculatedColumnFormula>
    </tableColumn>
    <tableColumn id="9" name="flow" dataDxfId="549">
      <calculatedColumnFormula>VLOOKUP(c_7[[#This Row],[hwycov_id]],readme!D:G,4,FALSE)</calculatedColumnFormula>
    </tableColumn>
    <tableColumn id="10" name="gap" dataDxfId="548">
      <calculatedColumnFormula>I2/H2-1</calculatedColumnFormula>
    </tableColumn>
    <tableColumn id="11" name="source" dataDxfId="547">
      <calculatedColumnFormula>'[2]SR-75 NB'!P2</calculatedColumnFormula>
    </tableColumn>
    <tableColumn id="12" name="x2" dataDxfId="54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id="34" name="c_29" displayName="c_29" ref="A1:L16" totalsRowShown="0">
  <autoFilter ref="A1:L16"/>
  <tableColumns count="12">
    <tableColumn id="1" name="corridor" dataDxfId="541">
      <calculatedColumnFormula>'[2]I-15 HOV NB'!C2</calculatedColumnFormula>
    </tableColumn>
    <tableColumn id="2" name="name" dataDxfId="540">
      <calculatedColumnFormula>'[2]I-15 HOV NB'!H2</calculatedColumnFormula>
    </tableColumn>
    <tableColumn id="3" name="hwycov_id" dataDxfId="539">
      <calculatedColumnFormula>'[2]I-15 HOV NB'!E2</calculatedColumnFormula>
    </tableColumn>
    <tableColumn id="4" name="ikno" dataDxfId="538">
      <calculatedColumnFormula>'[2]I-15 HOV NB'!I2</calculatedColumnFormula>
    </tableColumn>
    <tableColumn id="5" name="Length" dataDxfId="537">
      <calculatedColumnFormula>'[2]I-15 HOV NB'!J2</calculatedColumnFormula>
    </tableColumn>
    <tableColumn id="6" name="from_rd" dataDxfId="536">
      <calculatedColumnFormula>'[2]I-15 HOV NB'!K2</calculatedColumnFormula>
    </tableColumn>
    <tableColumn id="7" name="to_rd" dataDxfId="535">
      <calculatedColumnFormula>'[2]I-15 HOV NB'!L2</calculatedColumnFormula>
    </tableColumn>
    <tableColumn id="8" name="count" dataDxfId="534">
      <calculatedColumnFormula>'[2]I-15 HOV NB'!O2</calculatedColumnFormula>
    </tableColumn>
    <tableColumn id="9" name="flow" dataDxfId="533">
      <calculatedColumnFormula>VLOOKUP(c_29[[#This Row],[hwycov_id]],readme!D:G,4,FALSE)</calculatedColumnFormula>
    </tableColumn>
    <tableColumn id="10" name="gap" dataDxfId="532">
      <calculatedColumnFormula>I2/H2-1</calculatedColumnFormula>
    </tableColumn>
    <tableColumn id="11" name="source" dataDxfId="531">
      <calculatedColumnFormula>'[2]I-15 HOV NB'!P2</calculatedColumnFormula>
    </tableColumn>
    <tableColumn id="12" name="x2" dataDxfId="53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id="5" name="c_31" displayName="c_31" ref="A1:L6" totalsRowShown="0" dataDxfId="519">
  <autoFilter ref="A1:L6"/>
  <tableColumns count="12">
    <tableColumn id="1" name="corridor" dataDxfId="518">
      <calculatedColumnFormula>'[2]I-15 HOV NB'!C2</calculatedColumnFormula>
    </tableColumn>
    <tableColumn id="12" name="name" dataDxfId="517">
      <calculatedColumnFormula>'[2]I-5 HOV NB'!H2</calculatedColumnFormula>
    </tableColumn>
    <tableColumn id="2" name="hwycov_id" dataDxfId="516">
      <calculatedColumnFormula>'[2]I-5 HOV NB'!E2</calculatedColumnFormula>
    </tableColumn>
    <tableColumn id="3" name="ikno" dataDxfId="515">
      <calculatedColumnFormula>'[2]I-5 HOV NB'!I2</calculatedColumnFormula>
    </tableColumn>
    <tableColumn id="4" name="Length" dataDxfId="514">
      <calculatedColumnFormula>'[2]I-5 HOV NB'!J2</calculatedColumnFormula>
    </tableColumn>
    <tableColumn id="5" name="from_rd" dataDxfId="513">
      <calculatedColumnFormula>'[2]I-5 HOV NB'!K2</calculatedColumnFormula>
    </tableColumn>
    <tableColumn id="6" name="to_rd" dataDxfId="512">
      <calculatedColumnFormula>'[2]I-5 HOV NB'!L2</calculatedColumnFormula>
    </tableColumn>
    <tableColumn id="7" name="count" dataDxfId="511">
      <calculatedColumnFormula>'[2]I-5 HOV NB'!O2</calculatedColumnFormula>
    </tableColumn>
    <tableColumn id="8" name="flow" dataDxfId="510">
      <calculatedColumnFormula>VLOOKUP(c_31[[#This Row],[hwycov_id]],readme!D:G,4,FALSE)</calculatedColumnFormula>
    </tableColumn>
    <tableColumn id="9" name="gap" dataDxfId="509">
      <calculatedColumnFormula>I2/H2-1</calculatedColumnFormula>
    </tableColumn>
    <tableColumn id="10" name="source" dataDxfId="508">
      <calculatedColumnFormula>'[2]I-5 HOV NB'!P2</calculatedColumnFormula>
    </tableColumn>
    <tableColumn id="11" name="x2" dataDxfId="50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id="39" name="c_313840" displayName="c_313840" ref="A1:L2" totalsRowShown="0" dataDxfId="498">
  <autoFilter ref="A1:L2"/>
  <tableColumns count="12">
    <tableColumn id="1" name="corridor" dataDxfId="497">
      <calculatedColumnFormula>'[2]I-5 NB AUX LOCAL ACC'!C2</calculatedColumnFormula>
    </tableColumn>
    <tableColumn id="12" name="name" dataDxfId="496">
      <calculatedColumnFormula>'[2]I-5 NB AUX LOCAL ACC'!H2</calculatedColumnFormula>
    </tableColumn>
    <tableColumn id="2" name="hwycov_id" dataDxfId="495">
      <calculatedColumnFormula>'[2]I-5 NB AUX LOCAL ACC'!E2</calculatedColumnFormula>
    </tableColumn>
    <tableColumn id="3" name="ikno" dataDxfId="494">
      <calculatedColumnFormula>'[2]I-5 NB AUX LOCAL ACC'!I2</calculatedColumnFormula>
    </tableColumn>
    <tableColumn id="4" name="Length" dataDxfId="493">
      <calculatedColumnFormula>'[2]I-5 NB AUX LOCAL ACC'!J2</calculatedColumnFormula>
    </tableColumn>
    <tableColumn id="5" name="from_rd" dataDxfId="492">
      <calculatedColumnFormula>'[2]I-5 NB AUX LOCAL ACC'!K2</calculatedColumnFormula>
    </tableColumn>
    <tableColumn id="6" name="to_rd" dataDxfId="491">
      <calculatedColumnFormula>'[2]I-5 NB AUX LOCAL ACC'!L2</calculatedColumnFormula>
    </tableColumn>
    <tableColumn id="7" name="count" dataDxfId="490">
      <calculatedColumnFormula>'[2]I-5 NB AUX LOCAL ACC'!O2</calculatedColumnFormula>
    </tableColumn>
    <tableColumn id="8" name="flow" dataDxfId="489">
      <calculatedColumnFormula>VLOOKUP(c_313840[[#This Row],[hwycov_id]],readme!D:G,4,FALSE)</calculatedColumnFormula>
    </tableColumn>
    <tableColumn id="9" name="gap" dataDxfId="488">
      <calculatedColumnFormula>I2/H2-1</calculatedColumnFormula>
    </tableColumn>
    <tableColumn id="10" name="source" dataDxfId="487">
      <calculatedColumnFormula>'[2]I-5 NB AUX LOCAL ACC'!P2</calculatedColumnFormula>
    </tableColumn>
    <tableColumn id="11" name="x2" dataDxfId="48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id="37" name="c_3138" displayName="c_3138" ref="A1:L5" totalsRowShown="0" dataDxfId="475">
  <autoFilter ref="A1:L5"/>
  <tableColumns count="12">
    <tableColumn id="1" name="corridor" dataDxfId="474">
      <calculatedColumnFormula>'[2]I-805 HOV NB'!C2</calculatedColumnFormula>
    </tableColumn>
    <tableColumn id="12" name="name" dataDxfId="473">
      <calculatedColumnFormula>'[2]I-805 HOV NB'!H2</calculatedColumnFormula>
    </tableColumn>
    <tableColumn id="2" name="hwycov_id" dataDxfId="472">
      <calculatedColumnFormula>'[2]I-805 HOV NB'!E2</calculatedColumnFormula>
    </tableColumn>
    <tableColumn id="3" name="ikno" dataDxfId="471">
      <calculatedColumnFormula>'[2]I-805 HOV NB'!I2</calculatedColumnFormula>
    </tableColumn>
    <tableColumn id="4" name="Length" dataDxfId="470">
      <calculatedColumnFormula>'[2]I-805 HOV NB'!J2</calculatedColumnFormula>
    </tableColumn>
    <tableColumn id="5" name="from_rd" dataDxfId="469">
      <calculatedColumnFormula>'[2]I-805 HOV NB'!K2</calculatedColumnFormula>
    </tableColumn>
    <tableColumn id="6" name="to_rd" dataDxfId="468">
      <calculatedColumnFormula>'[2]I-805 HOV NB'!L2</calculatedColumnFormula>
    </tableColumn>
    <tableColumn id="7" name="count" dataDxfId="467">
      <calculatedColumnFormula>'[2]I-805 HOV NB'!O2</calculatedColumnFormula>
    </tableColumn>
    <tableColumn id="8" name="flow" dataDxfId="466">
      <calculatedColumnFormula>VLOOKUP(c_3138[[#This Row],[hwycov_id]],readme!D:G,4,FALSE)</calculatedColumnFormula>
    </tableColumn>
    <tableColumn id="9" name="gap" dataDxfId="465">
      <calculatedColumnFormula>I2/H2-1</calculatedColumnFormula>
    </tableColumn>
    <tableColumn id="10" name="source" dataDxfId="464">
      <calculatedColumnFormula>'[2]I-805 HOV NB'!P2</calculatedColumnFormula>
    </tableColumn>
    <tableColumn id="11" name="x2" dataDxfId="4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id="13" name="c_8" displayName="c_8" ref="A1:L75" totalsRowShown="0" dataDxfId="454">
  <autoFilter ref="A1:L75"/>
  <sortState ref="A2:L73">
    <sortCondition ref="D2:D73"/>
  </sortState>
  <tableColumns count="12">
    <tableColumn id="1" name="corridor" dataDxfId="453">
      <calculatedColumnFormula>'[2]I-5 SB'!C2</calculatedColumnFormula>
    </tableColumn>
    <tableColumn id="2" name="name" dataDxfId="452">
      <calculatedColumnFormula>'[2]I-5 SB'!H2</calculatedColumnFormula>
    </tableColumn>
    <tableColumn id="3" name="hwycov_id" dataDxfId="451">
      <calculatedColumnFormula>'[2]I-5 SB'!E2</calculatedColumnFormula>
    </tableColumn>
    <tableColumn id="4" name="ikno" dataDxfId="450">
      <calculatedColumnFormula>'[2]I-5 SB'!I2</calculatedColumnFormula>
    </tableColumn>
    <tableColumn id="5" name="Length" dataDxfId="449">
      <calculatedColumnFormula>'[2]I-5 SB'!J2</calculatedColumnFormula>
    </tableColumn>
    <tableColumn id="6" name="from_rd" dataDxfId="448">
      <calculatedColumnFormula>'[2]I-5 SB'!K2</calculatedColumnFormula>
    </tableColumn>
    <tableColumn id="7" name="to_rd" dataDxfId="447">
      <calculatedColumnFormula>'[2]I-5 SB'!L2</calculatedColumnFormula>
    </tableColumn>
    <tableColumn id="8" name="count" dataDxfId="446">
      <calculatedColumnFormula>'[2]I-5 SB'!O2</calculatedColumnFormula>
    </tableColumn>
    <tableColumn id="9" name="flow" dataDxfId="445">
      <calculatedColumnFormula>VLOOKUP(c_8[[#This Row],[hwycov_id]],readme!D:G,4,FALSE)</calculatedColumnFormula>
    </tableColumn>
    <tableColumn id="10" name="gap" dataDxfId="444">
      <calculatedColumnFormula>I2/H2-1</calculatedColumnFormula>
    </tableColumn>
    <tableColumn id="11" name="source" dataDxfId="443">
      <calculatedColumnFormula>'[2]I-5 SB'!P2</calculatedColumnFormula>
    </tableColumn>
    <tableColumn id="12" name="x2" dataDxfId="44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id="14" name="c_9" displayName="c_9" ref="A1:L64" totalsRowShown="0" headerRowDxfId="435" dataDxfId="434">
  <autoFilter ref="A1:L64"/>
  <tableColumns count="12">
    <tableColumn id="1" name="corridor" dataDxfId="433">
      <calculatedColumnFormula>'[2]I-15 SB'!C2</calculatedColumnFormula>
    </tableColumn>
    <tableColumn id="2" name="name" dataDxfId="432">
      <calculatedColumnFormula>'[2]I-15 SB'!H2</calculatedColumnFormula>
    </tableColumn>
    <tableColumn id="3" name="hwycov_id" dataDxfId="431">
      <calculatedColumnFormula>'[2]I-15 SB'!E2</calculatedColumnFormula>
    </tableColumn>
    <tableColumn id="4" name="ikno" dataDxfId="430">
      <calculatedColumnFormula>'[2]I-15 SB'!I2</calculatedColumnFormula>
    </tableColumn>
    <tableColumn id="5" name="Length" dataDxfId="429">
      <calculatedColumnFormula>'[2]I-15 SB'!J2</calculatedColumnFormula>
    </tableColumn>
    <tableColumn id="6" name="from_rd" dataDxfId="428">
      <calculatedColumnFormula>'[2]I-15 SB'!K2</calculatedColumnFormula>
    </tableColumn>
    <tableColumn id="7" name="to_rd" dataDxfId="427">
      <calculatedColumnFormula>'[2]I-15 SB'!L2</calculatedColumnFormula>
    </tableColumn>
    <tableColumn id="8" name="count" dataDxfId="426">
      <calculatedColumnFormula>'[2]I-15 SB'!O2</calculatedColumnFormula>
    </tableColumn>
    <tableColumn id="9" name="flow" dataDxfId="425">
      <calculatedColumnFormula>VLOOKUP(c_9[[#This Row],[hwycov_id]],readme!D:G,4,FALSE)</calculatedColumnFormula>
    </tableColumn>
    <tableColumn id="10" name="gap" dataDxfId="424">
      <calculatedColumnFormula>I2/H2-1</calculatedColumnFormula>
    </tableColumn>
    <tableColumn id="11" name="source" dataDxfId="423">
      <calculatedColumnFormula>'[2]I-15 SB'!P2</calculatedColumnFormula>
    </tableColumn>
    <tableColumn id="12" name="x2" dataDxfId="42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id="15" name="c_10" displayName="c_10" ref="A1:L44" totalsRowShown="0">
  <autoFilter ref="A1:L44"/>
  <tableColumns count="12">
    <tableColumn id="1" name="corridor" dataDxfId="415">
      <calculatedColumnFormula>'[2]I-805 SB'!C2</calculatedColumnFormula>
    </tableColumn>
    <tableColumn id="2" name="name" dataDxfId="414">
      <calculatedColumnFormula>'[2]I-805 SB'!H2</calculatedColumnFormula>
    </tableColumn>
    <tableColumn id="3" name="hwycov_id" dataDxfId="413">
      <calculatedColumnFormula>'[2]I-805 SB'!E2</calculatedColumnFormula>
    </tableColumn>
    <tableColumn id="4" name="ikno" dataDxfId="412">
      <calculatedColumnFormula>'[2]I-805 SB'!I2</calculatedColumnFormula>
    </tableColumn>
    <tableColumn id="5" name="Length" dataDxfId="411">
      <calculatedColumnFormula>'[2]I-805 SB'!J2</calculatedColumnFormula>
    </tableColumn>
    <tableColumn id="6" name="from_rd" dataDxfId="410">
      <calculatedColumnFormula>'[2]I-805 SB'!K2</calculatedColumnFormula>
    </tableColumn>
    <tableColumn id="7" name="to_rd" dataDxfId="409">
      <calculatedColumnFormula>'[2]I-805 SB'!L2</calculatedColumnFormula>
    </tableColumn>
    <tableColumn id="8" name="count" dataDxfId="408">
      <calculatedColumnFormula>'[2]I-805 SB'!O2</calculatedColumnFormula>
    </tableColumn>
    <tableColumn id="9" name="flow" dataDxfId="407">
      <calculatedColumnFormula>VLOOKUP(c_10[[#This Row],[hwycov_id]],readme!D:G,4,FALSE)</calculatedColumnFormula>
    </tableColumn>
    <tableColumn id="10" name="gap" dataDxfId="406">
      <calculatedColumnFormula>I2/H2-1</calculatedColumnFormula>
    </tableColumn>
    <tableColumn id="11" name="source" dataDxfId="405">
      <calculatedColumnFormula>'[2]I-805 SB'!P2</calculatedColumnFormula>
    </tableColumn>
    <tableColumn id="12" name="x2" dataDxfId="4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id="16" name="c_11" displayName="c_11" ref="A1:L14" totalsRowShown="0" dataDxfId="397">
  <autoFilter ref="A1:L14"/>
  <tableColumns count="12">
    <tableColumn id="1" name="corridor" dataDxfId="396">
      <calculatedColumnFormula>'[2]SR-163 SB'!C2</calculatedColumnFormula>
    </tableColumn>
    <tableColumn id="2" name="name" dataDxfId="395">
      <calculatedColumnFormula>'[2]SR-163 SB'!H2</calculatedColumnFormula>
    </tableColumn>
    <tableColumn id="3" name="hwycov_id" dataDxfId="394">
      <calculatedColumnFormula>'[2]SR-163 SB'!E2</calculatedColumnFormula>
    </tableColumn>
    <tableColumn id="4" name="ikno" dataDxfId="393">
      <calculatedColumnFormula>'[2]SR-163 SB'!I2</calculatedColumnFormula>
    </tableColumn>
    <tableColumn id="5" name="Length" dataDxfId="392">
      <calculatedColumnFormula>'[2]SR-163 SB'!J2</calculatedColumnFormula>
    </tableColumn>
    <tableColumn id="6" name="from_rd" dataDxfId="391">
      <calculatedColumnFormula>'[2]SR-163 SB'!K2</calculatedColumnFormula>
    </tableColumn>
    <tableColumn id="7" name="to_rd" dataDxfId="390">
      <calculatedColumnFormula>'[2]SR-163 SB'!L2</calculatedColumnFormula>
    </tableColumn>
    <tableColumn id="8" name="count" dataDxfId="389">
      <calculatedColumnFormula>'[2]SR-163 SB'!O2</calculatedColumnFormula>
    </tableColumn>
    <tableColumn id="9" name="flow" dataDxfId="388">
      <calculatedColumnFormula>VLOOKUP(c_11[[#This Row],[hwycov_id]],readme!D:G,4,FALSE)</calculatedColumnFormula>
    </tableColumn>
    <tableColumn id="10" name="gap" dataDxfId="387">
      <calculatedColumnFormula>I2/H2-1</calculatedColumnFormula>
    </tableColumn>
    <tableColumn id="11" name="source" dataDxfId="386">
      <calculatedColumnFormula>'[2]SR-163 SB'!P2</calculatedColumnFormula>
    </tableColumn>
    <tableColumn id="12" name="x2" dataDxfId="3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id="17" name="c_12" displayName="c_12" ref="A1:L18" totalsRowShown="0" dataDxfId="378">
  <autoFilter ref="A1:L18"/>
  <tableColumns count="12">
    <tableColumn id="1" name="corridor" dataDxfId="377">
      <calculatedColumnFormula>'[2]SR-125 SB'!C2</calculatedColumnFormula>
    </tableColumn>
    <tableColumn id="2" name="name" dataDxfId="376">
      <calculatedColumnFormula>'[2]SR-125 SB'!H2</calculatedColumnFormula>
    </tableColumn>
    <tableColumn id="3" name="hwycov_id" dataDxfId="375">
      <calculatedColumnFormula>'[2]SR-125 SB'!E2</calculatedColumnFormula>
    </tableColumn>
    <tableColumn id="4" name="ikno" dataDxfId="374">
      <calculatedColumnFormula>'[2]SR-125 SB'!I2</calculatedColumnFormula>
    </tableColumn>
    <tableColumn id="5" name="Length" dataDxfId="373">
      <calculatedColumnFormula>'[2]SR-125 SB'!J2</calculatedColumnFormula>
    </tableColumn>
    <tableColumn id="6" name="from_rd" dataDxfId="372">
      <calculatedColumnFormula>'[2]SR-125 SB'!K2</calculatedColumnFormula>
    </tableColumn>
    <tableColumn id="7" name="to_rd" dataDxfId="371">
      <calculatedColumnFormula>'[2]SR-125 SB'!L2</calculatedColumnFormula>
    </tableColumn>
    <tableColumn id="8" name="count" dataDxfId="370">
      <calculatedColumnFormula>'[2]SR-125 SB'!O2</calculatedColumnFormula>
    </tableColumn>
    <tableColumn id="9" name="flow" dataDxfId="369">
      <calculatedColumnFormula>VLOOKUP(c_12[[#This Row],[hwycov_id]],readme!D:G,4,FALSE)</calculatedColumnFormula>
    </tableColumn>
    <tableColumn id="10" name="gap" dataDxfId="368">
      <calculatedColumnFormula>I2/H2-1</calculatedColumnFormula>
    </tableColumn>
    <tableColumn id="11" name="source" dataDxfId="367">
      <calculatedColumnFormula>'[2]SR-125 SB'!P2</calculatedColumnFormula>
    </tableColumn>
    <tableColumn id="12" name="x2" dataDxfId="36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id="18" name="c_13" displayName="c_13" ref="A1:L3" totalsRowShown="0" dataDxfId="357">
  <autoFilter ref="A1:L3"/>
  <tableColumns count="12">
    <tableColumn id="1" name="corridor" dataDxfId="356">
      <calculatedColumnFormula>'[2]SR-67 SB'!C2</calculatedColumnFormula>
    </tableColumn>
    <tableColumn id="2" name="name" dataDxfId="355">
      <calculatedColumnFormula>'[2]SR-67 SB'!H2</calculatedColumnFormula>
    </tableColumn>
    <tableColumn id="3" name="hwycov_id" dataDxfId="354">
      <calculatedColumnFormula>'[2]SR-67 SB'!E2</calculatedColumnFormula>
    </tableColumn>
    <tableColumn id="4" name="ikno" dataDxfId="353">
      <calculatedColumnFormula>'[2]SR-67 SB'!I2</calculatedColumnFormula>
    </tableColumn>
    <tableColumn id="5" name="Length" dataDxfId="352">
      <calculatedColumnFormula>'[2]SR-67 SB'!J2</calculatedColumnFormula>
    </tableColumn>
    <tableColumn id="6" name="from_rd" dataDxfId="351">
      <calculatedColumnFormula>'[2]SR-67 SB'!K2</calculatedColumnFormula>
    </tableColumn>
    <tableColumn id="7" name="to_rd" dataDxfId="350">
      <calculatedColumnFormula>'[2]SR-67 SB'!L2</calculatedColumnFormula>
    </tableColumn>
    <tableColumn id="8" name="count" dataDxfId="349">
      <calculatedColumnFormula>'[2]SR-67 SB'!O2</calculatedColumnFormula>
    </tableColumn>
    <tableColumn id="9" name="flow" dataDxfId="348">
      <calculatedColumnFormula>VLOOKUP(c_13[[#This Row],[hwycov_id]],readme!D:G,4,FALSE)</calculatedColumnFormula>
    </tableColumn>
    <tableColumn id="10" name="gap" dataDxfId="347">
      <calculatedColumnFormula>I2/H2-1</calculatedColumnFormula>
    </tableColumn>
    <tableColumn id="11" name="source" dataDxfId="346">
      <calculatedColumnFormula>'[2]SR-67 SB'!P2</calculatedColumnFormula>
    </tableColumn>
    <tableColumn id="12" name="x2" dataDxfId="34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id="19" name="c_14" displayName="c_14" ref="A1:L2" totalsRowShown="0" dataDxfId="338">
  <autoFilter ref="A1:L2"/>
  <tableColumns count="12">
    <tableColumn id="1" name="corridor" dataDxfId="337">
      <calculatedColumnFormula>'[2]SR-75 SB'!C2</calculatedColumnFormula>
    </tableColumn>
    <tableColumn id="2" name="name" dataDxfId="336">
      <calculatedColumnFormula>'[2]SR-75 SB'!H2</calculatedColumnFormula>
    </tableColumn>
    <tableColumn id="3" name="hwycov_id" dataDxfId="335">
      <calculatedColumnFormula>'[2]SR-75 SB'!E2</calculatedColumnFormula>
    </tableColumn>
    <tableColumn id="4" name="ikno" dataDxfId="334">
      <calculatedColumnFormula>'[2]SR-75 SB'!I2</calculatedColumnFormula>
    </tableColumn>
    <tableColumn id="5" name="Length" dataDxfId="333">
      <calculatedColumnFormula>'[2]SR-75 SB'!J2</calculatedColumnFormula>
    </tableColumn>
    <tableColumn id="6" name="from_rd" dataDxfId="332">
      <calculatedColumnFormula>'[2]SR-75 SB'!K2</calculatedColumnFormula>
    </tableColumn>
    <tableColumn id="7" name="to_rd" dataDxfId="331">
      <calculatedColumnFormula>'[2]SR-75 SB'!L2</calculatedColumnFormula>
    </tableColumn>
    <tableColumn id="8" name="count" dataDxfId="330">
      <calculatedColumnFormula>'[2]SR-75 SB'!O2</calculatedColumnFormula>
    </tableColumn>
    <tableColumn id="9" name="flow" dataDxfId="329">
      <calculatedColumnFormula>VLOOKUP(c_14[[#This Row],[hwycov_id]],readme!D:G,4,FALSE)</calculatedColumnFormula>
    </tableColumn>
    <tableColumn id="10" name="gap" dataDxfId="328">
      <calculatedColumnFormula>I2/H2-1</calculatedColumnFormula>
    </tableColumn>
    <tableColumn id="11" name="source" dataDxfId="327">
      <calculatedColumnFormula>'[2]SR-75 SB'!P2</calculatedColumnFormula>
    </tableColumn>
    <tableColumn id="12" name="x2" dataDxfId="32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id="35" name="c_30" displayName="c_30" ref="A1:L9" totalsRowShown="0">
  <autoFilter ref="A1:L9"/>
  <tableColumns count="12">
    <tableColumn id="1" name="corridor" dataDxfId="319">
      <calculatedColumnFormula>'[2]I-15 HOV SB'!C2</calculatedColumnFormula>
    </tableColumn>
    <tableColumn id="2" name="name" dataDxfId="318">
      <calculatedColumnFormula>'[2]I-15 HOV SB'!H2</calculatedColumnFormula>
    </tableColumn>
    <tableColumn id="3" name="hwycov_id" dataDxfId="317">
      <calculatedColumnFormula>'[2]I-15 HOV SB'!E2</calculatedColumnFormula>
    </tableColumn>
    <tableColumn id="4" name="ikno" dataDxfId="316">
      <calculatedColumnFormula>'[2]I-15 HOV SB'!I2</calculatedColumnFormula>
    </tableColumn>
    <tableColumn id="5" name="Length" dataDxfId="315">
      <calculatedColumnFormula>'[2]I-15 HOV NB'!J2</calculatedColumnFormula>
    </tableColumn>
    <tableColumn id="6" name="from_rd" dataDxfId="314">
      <calculatedColumnFormula>'[2]I-15 HOV SB'!K2</calculatedColumnFormula>
    </tableColumn>
    <tableColumn id="7" name="to_rd" dataDxfId="313">
      <calculatedColumnFormula>'[2]I-15 HOV SB'!L2</calculatedColumnFormula>
    </tableColumn>
    <tableColumn id="8" name="count" dataDxfId="312">
      <calculatedColumnFormula>'[2]I-15 HOV SB'!O2</calculatedColumnFormula>
    </tableColumn>
    <tableColumn id="9" name="flow" dataDxfId="311">
      <calculatedColumnFormula>VLOOKUP(c_30[[#This Row],[hwycov_id]],readme!D:G,4,FALSE)</calculatedColumnFormula>
    </tableColumn>
    <tableColumn id="10" name="gap" dataDxfId="310">
      <calculatedColumnFormula>I2/H2-1</calculatedColumnFormula>
    </tableColumn>
    <tableColumn id="11" name="source" dataDxfId="309">
      <calculatedColumnFormula>'[2]I-15 HOV SB'!P2</calculatedColumnFormula>
    </tableColumn>
    <tableColumn id="12" name="x2" dataDxfId="30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id="36" name="c_32" displayName="c_32" ref="A1:L5" totalsRowShown="0">
  <autoFilter ref="A1:L5"/>
  <sortState ref="A2:L4">
    <sortCondition ref="D2:D4"/>
  </sortState>
  <tableColumns count="12">
    <tableColumn id="1" name="corridor" dataDxfId="299">
      <calculatedColumnFormula>'[2]I-5 HOV SB'!C2</calculatedColumnFormula>
    </tableColumn>
    <tableColumn id="2" name="name" dataDxfId="298">
      <calculatedColumnFormula>'[2]I-5 HOV SB'!H2</calculatedColumnFormula>
    </tableColumn>
    <tableColumn id="3" name="hwycov_id" dataDxfId="297">
      <calculatedColumnFormula>'[2]I-5 HOV SB'!E2</calculatedColumnFormula>
    </tableColumn>
    <tableColumn id="4" name="ikno" dataDxfId="296">
      <calculatedColumnFormula>'[2]I-5 HOV SB'!I2</calculatedColumnFormula>
    </tableColumn>
    <tableColumn id="5" name="Length" dataDxfId="295">
      <calculatedColumnFormula>'[2]I-5 HOV NB'!J2</calculatedColumnFormula>
    </tableColumn>
    <tableColumn id="6" name="from_rd" dataDxfId="294">
      <calculatedColumnFormula>'[2]I-5 HOV SB'!K2</calculatedColumnFormula>
    </tableColumn>
    <tableColumn id="7" name="to_rd" dataDxfId="293">
      <calculatedColumnFormula>'[2]I-5 HOV SB'!L2</calculatedColumnFormula>
    </tableColumn>
    <tableColumn id="8" name="count" dataDxfId="292">
      <calculatedColumnFormula>'[2]I-5 HOV SB'!O2</calculatedColumnFormula>
    </tableColumn>
    <tableColumn id="9" name="flow" dataDxfId="291">
      <calculatedColumnFormula>VLOOKUP(c_32[[#This Row],[hwycov_id]],readme!D:G,4,FALSE)</calculatedColumnFormula>
    </tableColumn>
    <tableColumn id="10" name="gap" dataDxfId="290">
      <calculatedColumnFormula>I2/H2-1</calculatedColumnFormula>
    </tableColumn>
    <tableColumn id="11" name="source" dataDxfId="289">
      <calculatedColumnFormula>'[2]I-5 HOV SB'!P2</calculatedColumnFormula>
    </tableColumn>
    <tableColumn id="12" name="x2" dataDxfId="28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id="38" name="c_3239" displayName="c_3239" ref="A1:L2" totalsRowShown="0">
  <autoFilter ref="A1:L2"/>
  <sortState ref="A2:L4">
    <sortCondition ref="D2:D4"/>
  </sortState>
  <tableColumns count="12">
    <tableColumn id="1" name="corridor" dataDxfId="279">
      <calculatedColumnFormula>'[2]I-805 HOV SB'!C2</calculatedColumnFormula>
    </tableColumn>
    <tableColumn id="2" name="name" dataDxfId="278">
      <calculatedColumnFormula>'[2]I-805 HOV SB'!H2</calculatedColumnFormula>
    </tableColumn>
    <tableColumn id="3" name="hwycov_id" dataDxfId="277">
      <calculatedColumnFormula>'[2]I-805 HOV SB'!E2</calculatedColumnFormula>
    </tableColumn>
    <tableColumn id="4" name="ikno" dataDxfId="276">
      <calculatedColumnFormula>'[2]I-805 HOV SB'!I2</calculatedColumnFormula>
    </tableColumn>
    <tableColumn id="5" name="Length" dataDxfId="275">
      <calculatedColumnFormula>'[2]I-805 HOV NB'!J2</calculatedColumnFormula>
    </tableColumn>
    <tableColumn id="6" name="from_rd" dataDxfId="274">
      <calculatedColumnFormula>'[2]I-805 HOV SB'!K2</calculatedColumnFormula>
    </tableColumn>
    <tableColumn id="7" name="to_rd" dataDxfId="273">
      <calculatedColumnFormula>'[2]I-805 HOV SB'!L2</calculatedColumnFormula>
    </tableColumn>
    <tableColumn id="8" name="count" dataDxfId="272">
      <calculatedColumnFormula>'[2]I-805 HOV SB'!O2</calculatedColumnFormula>
    </tableColumn>
    <tableColumn id="9" name="flow" dataDxfId="271">
      <calculatedColumnFormula>VLOOKUP(c_3239[[#This Row],[hwycov_id]],readme!D:G,4,FALSE)</calculatedColumnFormula>
    </tableColumn>
    <tableColumn id="10" name="gap" dataDxfId="270">
      <calculatedColumnFormula>I2/H2-1</calculatedColumnFormula>
    </tableColumn>
    <tableColumn id="11" name="source" dataDxfId="269">
      <calculatedColumnFormula>'[2]I-805 HOV SB'!P2</calculatedColumnFormula>
    </tableColumn>
    <tableColumn id="12" name="x2" dataDxfId="26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id="20" name="c_15" displayName="c_15" ref="A1:L52" totalsRowShown="0" dataDxfId="263">
  <autoFilter ref="A1:L52"/>
  <tableColumns count="12">
    <tableColumn id="1" name="corridor" dataDxfId="262">
      <calculatedColumnFormula>'[2]I-8 WB'!C2</calculatedColumnFormula>
    </tableColumn>
    <tableColumn id="2" name="name" dataDxfId="261">
      <calculatedColumnFormula>'[2]I-8 WB'!H2</calculatedColumnFormula>
    </tableColumn>
    <tableColumn id="3" name="hwycov_id" dataDxfId="260">
      <calculatedColumnFormula>'[2]I-8 WB'!E2</calculatedColumnFormula>
    </tableColumn>
    <tableColumn id="4" name="ikno" dataDxfId="259">
      <calculatedColumnFormula>'[2]I-8 WB'!I2</calculatedColumnFormula>
    </tableColumn>
    <tableColumn id="5" name="Length" dataDxfId="258">
      <calculatedColumnFormula>'[2]I-8 WB'!J2</calculatedColumnFormula>
    </tableColumn>
    <tableColumn id="6" name="from_rd" dataDxfId="257">
      <calculatedColumnFormula>'[2]I-8 WB'!K2</calculatedColumnFormula>
    </tableColumn>
    <tableColumn id="7" name="to_rd" dataDxfId="256">
      <calculatedColumnFormula>'[2]I-8 WB'!L2</calculatedColumnFormula>
    </tableColumn>
    <tableColumn id="8" name="count" dataDxfId="255">
      <calculatedColumnFormula>'[2]I-8 WB'!O2</calculatedColumnFormula>
    </tableColumn>
    <tableColumn id="9" name="flow" dataDxfId="254">
      <calculatedColumnFormula>VLOOKUP(c_15[[#This Row],[hwycov_id]],readme!D:G,4,FALSE)</calculatedColumnFormula>
    </tableColumn>
    <tableColumn id="10" name="gap" dataDxfId="253">
      <calculatedColumnFormula>I2/H2-1</calculatedColumnFormula>
    </tableColumn>
    <tableColumn id="11" name="source" dataDxfId="252">
      <calculatedColumnFormula>'[2]I-8 WB'!P2</calculatedColumnFormula>
    </tableColumn>
    <tableColumn id="12" name="x2" dataDxfId="25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id="21" name="c_16" displayName="c_16" ref="A1:L28" totalsRowShown="0" dataDxfId="244">
  <autoFilter ref="A1:L28"/>
  <sortState ref="A2:L26">
    <sortCondition ref="D2:D26"/>
  </sortState>
  <tableColumns count="12">
    <tableColumn id="1" name="corridor" dataDxfId="243">
      <calculatedColumnFormula>'[2]SR-78 WB'!C2</calculatedColumnFormula>
    </tableColumn>
    <tableColumn id="2" name="name" dataDxfId="242">
      <calculatedColumnFormula>'[2]SR-78 WB'!H2</calculatedColumnFormula>
    </tableColumn>
    <tableColumn id="3" name="hwycov_id" dataDxfId="241">
      <calculatedColumnFormula>'[2]SR-78 WB'!E2</calculatedColumnFormula>
    </tableColumn>
    <tableColumn id="4" name="ikno" dataDxfId="240">
      <calculatedColumnFormula>'[2]SR-78 WB'!I2</calculatedColumnFormula>
    </tableColumn>
    <tableColumn id="5" name="Length" dataDxfId="239">
      <calculatedColumnFormula>'[2]SR-78 WB'!J2</calculatedColumnFormula>
    </tableColumn>
    <tableColumn id="6" name="from_rd" dataDxfId="238">
      <calculatedColumnFormula>'[2]SR-78 WB'!K2</calculatedColumnFormula>
    </tableColumn>
    <tableColumn id="7" name="to_rd" dataDxfId="237">
      <calculatedColumnFormula>'[2]SR-78 WB'!L2</calculatedColumnFormula>
    </tableColumn>
    <tableColumn id="8" name="count" dataDxfId="236">
      <calculatedColumnFormula>'[2]SR-78 WB'!O2</calculatedColumnFormula>
    </tableColumn>
    <tableColumn id="9" name="flow" dataDxfId="235">
      <calculatedColumnFormula>VLOOKUP(c_16[[#This Row],[hwycov_id]],readme!D:G,4,FALSE)</calculatedColumnFormula>
    </tableColumn>
    <tableColumn id="10" name="gap" dataDxfId="234">
      <calculatedColumnFormula>I2/H2-1</calculatedColumnFormula>
    </tableColumn>
    <tableColumn id="11" name="source" dataDxfId="233">
      <calculatedColumnFormula>'[2]SR-78 WB'!P2</calculatedColumnFormula>
    </tableColumn>
    <tableColumn id="12" name="x2" dataDxfId="23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id="22" name="c_17" displayName="c_17" ref="A1:L19" totalsRowShown="0" dataDxfId="227">
  <autoFilter ref="A1:L19"/>
  <sortState ref="A2:L18">
    <sortCondition ref="D2:D18"/>
  </sortState>
  <tableColumns count="12">
    <tableColumn id="1" name="corridor" dataDxfId="226">
      <calculatedColumnFormula>'[2]SR-52 WB'!C2</calculatedColumnFormula>
    </tableColumn>
    <tableColumn id="2" name="name" dataDxfId="225">
      <calculatedColumnFormula>'[2]SR-52 WB'!H2</calculatedColumnFormula>
    </tableColumn>
    <tableColumn id="3" name="hwycov_id" dataDxfId="224">
      <calculatedColumnFormula>'[2]SR-52 WB'!E2</calculatedColumnFormula>
    </tableColumn>
    <tableColumn id="4" name="ikno" dataDxfId="223">
      <calculatedColumnFormula>'[2]SR-52 WB'!I2</calculatedColumnFormula>
    </tableColumn>
    <tableColumn id="5" name="Length" dataDxfId="222">
      <calculatedColumnFormula>'[2]SR-52 WB'!J2</calculatedColumnFormula>
    </tableColumn>
    <tableColumn id="6" name="from_rd" dataDxfId="221">
      <calculatedColumnFormula>'[2]SR-52 WB'!K2</calculatedColumnFormula>
    </tableColumn>
    <tableColumn id="7" name="to_rd" dataDxfId="220">
      <calculatedColumnFormula>'[2]SR-52 WB'!L2</calculatedColumnFormula>
    </tableColumn>
    <tableColumn id="8" name="count" dataDxfId="219">
      <calculatedColumnFormula>'[2]SR-52 WB'!O2</calculatedColumnFormula>
    </tableColumn>
    <tableColumn id="9" name="flow" dataDxfId="218">
      <calculatedColumnFormula>VLOOKUP(c_17[[#This Row],[hwycov_id]],readme!D:G,4,FALSE)</calculatedColumnFormula>
    </tableColumn>
    <tableColumn id="10" name="gap" dataDxfId="217">
      <calculatedColumnFormula>I2/H2-1</calculatedColumnFormula>
    </tableColumn>
    <tableColumn id="11" name="source" dataDxfId="216">
      <calculatedColumnFormula>'[2]SR-52 WB'!P2</calculatedColumnFormula>
    </tableColumn>
    <tableColumn id="12" name="x2" dataDxfId="21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id="23" name="c_18" displayName="c_18" ref="A1:L8" totalsRowShown="0" dataDxfId="206">
  <autoFilter ref="A1:L8"/>
  <tableColumns count="12">
    <tableColumn id="1" name="corridor" dataDxfId="205">
      <calculatedColumnFormula>'[2]SR-54 WB'!C2</calculatedColumnFormula>
    </tableColumn>
    <tableColumn id="2" name="name" dataDxfId="204">
      <calculatedColumnFormula>'[2]SR-54 WB'!H2</calculatedColumnFormula>
    </tableColumn>
    <tableColumn id="3" name="hwycov_id" dataDxfId="203">
      <calculatedColumnFormula>'[2]SR-54 WB'!E2</calculatedColumnFormula>
    </tableColumn>
    <tableColumn id="4" name="ikno" dataDxfId="202">
      <calculatedColumnFormula>'[2]SR-54 WB'!I2</calculatedColumnFormula>
    </tableColumn>
    <tableColumn id="5" name="Length" dataDxfId="201">
      <calculatedColumnFormula>'[2]SR-54 WB'!J2</calculatedColumnFormula>
    </tableColumn>
    <tableColumn id="6" name="from_rd" dataDxfId="200">
      <calculatedColumnFormula>'[2]SR-54 WB'!K2</calculatedColumnFormula>
    </tableColumn>
    <tableColumn id="7" name="to_rd" dataDxfId="199">
      <calculatedColumnFormula>'[2]SR-54 WB'!L2</calculatedColumnFormula>
    </tableColumn>
    <tableColumn id="8" name="count" dataDxfId="198">
      <calculatedColumnFormula>'[2]SR-54 WB'!O2</calculatedColumnFormula>
    </tableColumn>
    <tableColumn id="9" name="flow" dataDxfId="197">
      <calculatedColumnFormula>VLOOKUP(c_18[[#This Row],[hwycov_id]],readme!D:G,4,FALSE)</calculatedColumnFormula>
    </tableColumn>
    <tableColumn id="10" name="gap" dataDxfId="196">
      <calculatedColumnFormula>I2/H2-1</calculatedColumnFormula>
    </tableColumn>
    <tableColumn id="11" name="source" dataDxfId="195">
      <calculatedColumnFormula>'[2]SR-54 WB'!P2</calculatedColumnFormula>
    </tableColumn>
    <tableColumn id="12" name="x2" dataDxfId="1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id="24" name="c_19" displayName="c_19" ref="A1:L16" totalsRowShown="0" dataDxfId="187">
  <autoFilter ref="A1:L16"/>
  <tableColumns count="12">
    <tableColumn id="1" name="corridor" dataDxfId="186">
      <calculatedColumnFormula>'[2]SR-56 WB'!C2</calculatedColumnFormula>
    </tableColumn>
    <tableColumn id="2" name="name" dataDxfId="185">
      <calculatedColumnFormula>'[2]SR-56 WB'!H2</calculatedColumnFormula>
    </tableColumn>
    <tableColumn id="3" name="hwycov_id" dataDxfId="184">
      <calculatedColumnFormula>'[2]SR-56 WB'!E2</calculatedColumnFormula>
    </tableColumn>
    <tableColumn id="4" name="ikno" dataDxfId="183">
      <calculatedColumnFormula>'[2]SR-56 WB'!I2</calculatedColumnFormula>
    </tableColumn>
    <tableColumn id="5" name="Length" dataDxfId="182">
      <calculatedColumnFormula>'[2]SR-56 WB'!J2</calculatedColumnFormula>
    </tableColumn>
    <tableColumn id="6" name="from_rd" dataDxfId="181">
      <calculatedColumnFormula>'[2]SR-56 WB'!K2</calculatedColumnFormula>
    </tableColumn>
    <tableColumn id="7" name="to_rd" dataDxfId="180">
      <calculatedColumnFormula>'[2]SR-56 WB'!L2</calculatedColumnFormula>
    </tableColumn>
    <tableColumn id="8" name="count" dataDxfId="179">
      <calculatedColumnFormula>'[2]SR-56 WB'!O2</calculatedColumnFormula>
    </tableColumn>
    <tableColumn id="9" name="flow" dataDxfId="178">
      <calculatedColumnFormula>VLOOKUP(c_19[[#This Row],[hwycov_id]],readme!D:G,4,FALSE)</calculatedColumnFormula>
    </tableColumn>
    <tableColumn id="10" name="gap" dataDxfId="177">
      <calculatedColumnFormula>I2/H2-1</calculatedColumnFormula>
    </tableColumn>
    <tableColumn id="11" name="source" dataDxfId="176">
      <calculatedColumnFormula>'[2]SR-56 WB'!P2</calculatedColumnFormula>
    </tableColumn>
    <tableColumn id="12" name="x2" dataDxfId="1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id="25" name="c_20" displayName="c_20" ref="A1:L14" totalsRowShown="0" dataDxfId="168">
  <autoFilter ref="A1:L14"/>
  <tableColumns count="12">
    <tableColumn id="1" name="corridor" dataDxfId="167">
      <calculatedColumnFormula>'[2]SR-905 WB'!C2</calculatedColumnFormula>
    </tableColumn>
    <tableColumn id="2" name="name" dataDxfId="166">
      <calculatedColumnFormula>'[2]SR-905 WB'!H2</calculatedColumnFormula>
    </tableColumn>
    <tableColumn id="3" name="hwycov_id" dataDxfId="165">
      <calculatedColumnFormula>'[2]SR-905 WB'!E2</calculatedColumnFormula>
    </tableColumn>
    <tableColumn id="4" name="ikno" dataDxfId="164">
      <calculatedColumnFormula>'[2]SR-905 WB'!I2</calculatedColumnFormula>
    </tableColumn>
    <tableColumn id="5" name="Length" dataDxfId="163">
      <calculatedColumnFormula>'[2]SR-905 WB'!J2</calculatedColumnFormula>
    </tableColumn>
    <tableColumn id="6" name="from_rd" dataDxfId="162">
      <calculatedColumnFormula>'[2]SR-905 WB'!K2</calculatedColumnFormula>
    </tableColumn>
    <tableColumn id="7" name="to_rd" dataDxfId="161">
      <calculatedColumnFormula>'[2]SR-905 WB'!L2</calculatedColumnFormula>
    </tableColumn>
    <tableColumn id="8" name="count" dataDxfId="160">
      <calculatedColumnFormula>'[2]SR-905 WB'!O2</calculatedColumnFormula>
    </tableColumn>
    <tableColumn id="9" name="flow" dataDxfId="159">
      <calculatedColumnFormula>VLOOKUP(c_20[[#This Row],[hwycov_id]],readme!D:G,4,FALSE)</calculatedColumnFormula>
    </tableColumn>
    <tableColumn id="10" name="gap" dataDxfId="158">
      <calculatedColumnFormula>I2/H2-1</calculatedColumnFormula>
    </tableColumn>
    <tableColumn id="11" name="source" dataDxfId="157">
      <calculatedColumnFormula>'[2]SR-905 WB'!P2</calculatedColumnFormula>
    </tableColumn>
    <tableColumn id="12" name="x2" dataDxfId="15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id="26" name="c_21" displayName="c_21" ref="A1:L21" totalsRowShown="0" dataDxfId="149">
  <autoFilter ref="A1:L21"/>
  <tableColumns count="12">
    <tableColumn id="1" name="corridor" dataDxfId="148">
      <calculatedColumnFormula>'[2]SR-94 WB'!C2</calculatedColumnFormula>
    </tableColumn>
    <tableColumn id="2" name="name" dataDxfId="147">
      <calculatedColumnFormula>'[2]SR-94 WB'!H2</calculatedColumnFormula>
    </tableColumn>
    <tableColumn id="3" name="hwycov_id" dataDxfId="146">
      <calculatedColumnFormula>'[2]SR-94 WB'!E2</calculatedColumnFormula>
    </tableColumn>
    <tableColumn id="4" name="ikno" dataDxfId="145">
      <calculatedColumnFormula>'[2]SR-94 WB'!I2</calculatedColumnFormula>
    </tableColumn>
    <tableColumn id="5" name="Length" dataDxfId="144">
      <calculatedColumnFormula>'[2]SR-94 WB'!J2</calculatedColumnFormula>
    </tableColumn>
    <tableColumn id="6" name="from_rd" dataDxfId="143">
      <calculatedColumnFormula>'[2]SR-94 WB'!K2</calculatedColumnFormula>
    </tableColumn>
    <tableColumn id="7" name="to_rd" dataDxfId="142">
      <calculatedColumnFormula>'[2]SR-94 WB'!L2</calculatedColumnFormula>
    </tableColumn>
    <tableColumn id="8" name="count" dataDxfId="141">
      <calculatedColumnFormula>'[2]SR-94 WB'!O2</calculatedColumnFormula>
    </tableColumn>
    <tableColumn id="9" name="flow" dataDxfId="140">
      <calculatedColumnFormula>VLOOKUP(c_21[[#This Row],[hwycov_id]],readme!D:G,4,FALSE)</calculatedColumnFormula>
    </tableColumn>
    <tableColumn id="10" name="gap" dataDxfId="139">
      <calculatedColumnFormula>I2/H2-1</calculatedColumnFormula>
    </tableColumn>
    <tableColumn id="11" name="source" dataDxfId="138">
      <calculatedColumnFormula>'[2]SR-94 WB'!P2</calculatedColumnFormula>
    </tableColumn>
    <tableColumn id="12" name="x2" dataDxfId="13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id="27" name="c_22" displayName="c_22" ref="A1:L41" totalsRowShown="0" dataDxfId="130">
  <autoFilter ref="A1:L41"/>
  <sortState ref="A2:L40">
    <sortCondition ref="D2:D40"/>
  </sortState>
  <tableColumns count="12">
    <tableColumn id="1" name="corridor" dataDxfId="129">
      <calculatedColumnFormula>'[2]I-8 EB'!C2</calculatedColumnFormula>
    </tableColumn>
    <tableColumn id="2" name="name" dataDxfId="128">
      <calculatedColumnFormula>'[2]I-8 EB'!H2</calculatedColumnFormula>
    </tableColumn>
    <tableColumn id="3" name="hwycov_id" dataDxfId="127">
      <calculatedColumnFormula>'[2]I-8 EB'!E2</calculatedColumnFormula>
    </tableColumn>
    <tableColumn id="4" name="ikno" dataDxfId="126">
      <calculatedColumnFormula>'[2]I-8 EB'!I2</calculatedColumnFormula>
    </tableColumn>
    <tableColumn id="5" name="Length" dataDxfId="125">
      <calculatedColumnFormula>'[2]I-8 EB'!J2</calculatedColumnFormula>
    </tableColumn>
    <tableColumn id="6" name="from_rd" dataDxfId="124">
      <calculatedColumnFormula>'[2]I-8 EB'!K2</calculatedColumnFormula>
    </tableColumn>
    <tableColumn id="7" name="to_rd" dataDxfId="123">
      <calculatedColumnFormula>'[2]I-8 EB'!L2</calculatedColumnFormula>
    </tableColumn>
    <tableColumn id="8" name="count" dataDxfId="122">
      <calculatedColumnFormula>'[2]I-8 EB'!O2</calculatedColumnFormula>
    </tableColumn>
    <tableColumn id="9" name="flow" dataDxfId="121">
      <calculatedColumnFormula>VLOOKUP(c_22[[#This Row],[hwycov_id]],readme!D:G,4,FALSE)</calculatedColumnFormula>
    </tableColumn>
    <tableColumn id="10" name="gap" dataDxfId="120">
      <calculatedColumnFormula>I2/H2-1</calculatedColumnFormula>
    </tableColumn>
    <tableColumn id="11" name="source" dataDxfId="119">
      <calculatedColumnFormula>'[2]I-8 EB'!P2</calculatedColumnFormula>
    </tableColumn>
    <tableColumn id="12" name="x2" dataDxfId="1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id="28" name="c_23" displayName="c_23" ref="A1:L24" totalsRowShown="0" dataDxfId="111">
  <autoFilter ref="A1:L24"/>
  <tableColumns count="12">
    <tableColumn id="1" name="corridor" dataDxfId="110">
      <calculatedColumnFormula>'[2]SR-78 EB'!C2</calculatedColumnFormula>
    </tableColumn>
    <tableColumn id="2" name="name" dataDxfId="109">
      <calculatedColumnFormula>'[2]SR-78 EB'!H2</calculatedColumnFormula>
    </tableColumn>
    <tableColumn id="3" name="hwycov_id" dataDxfId="108">
      <calculatedColumnFormula>'[2]SR-78 EB'!E2</calculatedColumnFormula>
    </tableColumn>
    <tableColumn id="4" name="ikno" dataDxfId="107">
      <calculatedColumnFormula>'[2]SR-78 EB'!I2</calculatedColumnFormula>
    </tableColumn>
    <tableColumn id="5" name="Length" dataDxfId="106">
      <calculatedColumnFormula>'[2]SR-78 EB'!J2</calculatedColumnFormula>
    </tableColumn>
    <tableColumn id="6" name="from_rd" dataDxfId="105">
      <calculatedColumnFormula>'[2]SR-78 EB'!K2</calculatedColumnFormula>
    </tableColumn>
    <tableColumn id="7" name="to_rd" dataDxfId="104">
      <calculatedColumnFormula>'[2]SR-78 EB'!L2</calculatedColumnFormula>
    </tableColumn>
    <tableColumn id="8" name="count" dataDxfId="103">
      <calculatedColumnFormula>'[2]SR-78 EB'!O2</calculatedColumnFormula>
    </tableColumn>
    <tableColumn id="9" name="flow" dataDxfId="102">
      <calculatedColumnFormula>VLOOKUP(c_23[[#This Row],[hwycov_id]],readme!D:G,4,FALSE)</calculatedColumnFormula>
    </tableColumn>
    <tableColumn id="10" name="gap" dataDxfId="101">
      <calculatedColumnFormula>I2/H2-1</calculatedColumnFormula>
    </tableColumn>
    <tableColumn id="11" name="source" dataDxfId="100">
      <calculatedColumnFormula>'[2]SR-78 EB'!P2</calculatedColumnFormula>
    </tableColumn>
    <tableColumn id="12" name="x2" dataDxfId="9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id="29" name="c_24" displayName="c_24" ref="A1:L17" totalsRowShown="0" dataDxfId="92">
  <autoFilter ref="A1:L17"/>
  <tableColumns count="12">
    <tableColumn id="1" name="corridor" dataDxfId="91">
      <calculatedColumnFormula>'[2]SR-52 EB'!C2</calculatedColumnFormula>
    </tableColumn>
    <tableColumn id="2" name="name" dataDxfId="90">
      <calculatedColumnFormula>'[2]SR-52 EB'!H2</calculatedColumnFormula>
    </tableColumn>
    <tableColumn id="3" name="hwycov_id" dataDxfId="89">
      <calculatedColumnFormula>'[2]SR-52 EB'!E2</calculatedColumnFormula>
    </tableColumn>
    <tableColumn id="4" name="ikno" dataDxfId="88">
      <calculatedColumnFormula>'[2]SR-52 EB'!I2</calculatedColumnFormula>
    </tableColumn>
    <tableColumn id="5" name="Length" dataDxfId="87">
      <calculatedColumnFormula>'[2]SR-52 EB'!J2</calculatedColumnFormula>
    </tableColumn>
    <tableColumn id="6" name="from_rd" dataDxfId="86">
      <calculatedColumnFormula>'[2]SR-52 EB'!K2</calculatedColumnFormula>
    </tableColumn>
    <tableColumn id="7" name="to_rd" dataDxfId="85">
      <calculatedColumnFormula>'[2]SR-52 EB'!L2</calculatedColumnFormula>
    </tableColumn>
    <tableColumn id="8" name="count" dataDxfId="84">
      <calculatedColumnFormula>'[2]SR-52 EB'!O2</calculatedColumnFormula>
    </tableColumn>
    <tableColumn id="9" name="flow" dataDxfId="83">
      <calculatedColumnFormula>VLOOKUP(c_24[[#This Row],[hwycov_id]],readme!D:G,4,FALSE)</calculatedColumnFormula>
    </tableColumn>
    <tableColumn id="10" name="gap" dataDxfId="82">
      <calculatedColumnFormula>I2/H2-1</calculatedColumnFormula>
    </tableColumn>
    <tableColumn id="11" name="source" dataDxfId="81">
      <calculatedColumnFormula>'[2]SR-52 EB'!P2</calculatedColumnFormula>
    </tableColumn>
    <tableColumn id="12" name="x2" dataDxfId="8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id="30" name="c_25" displayName="c_25" ref="A1:L9" totalsRowShown="0" dataDxfId="71">
  <autoFilter ref="A1:L9"/>
  <tableColumns count="12">
    <tableColumn id="1" name="corridor" dataDxfId="70">
      <calculatedColumnFormula>'[2]SR-54 EB'!C2</calculatedColumnFormula>
    </tableColumn>
    <tableColumn id="2" name="name" dataDxfId="69">
      <calculatedColumnFormula>'[2]SR-54 EB'!H2</calculatedColumnFormula>
    </tableColumn>
    <tableColumn id="3" name="hwycov_id" dataDxfId="68">
      <calculatedColumnFormula>'[2]SR-54 EB'!E2</calculatedColumnFormula>
    </tableColumn>
    <tableColumn id="4" name="ikno" dataDxfId="67">
      <calculatedColumnFormula>'[2]SR-54 EB'!I2</calculatedColumnFormula>
    </tableColumn>
    <tableColumn id="5" name="Length" dataDxfId="66">
      <calculatedColumnFormula>'[2]SR-54 WB'!J2</calculatedColumnFormula>
    </tableColumn>
    <tableColumn id="6" name="from_rd" dataDxfId="65">
      <calculatedColumnFormula>'[2]SR-54 EB'!K2</calculatedColumnFormula>
    </tableColumn>
    <tableColumn id="7" name="to_rd" dataDxfId="64">
      <calculatedColumnFormula>'[2]SR-54 EB'!L2</calculatedColumnFormula>
    </tableColumn>
    <tableColumn id="8" name="count" dataDxfId="63">
      <calculatedColumnFormula>'[2]SR-54 EB'!O2</calculatedColumnFormula>
    </tableColumn>
    <tableColumn id="9" name="flow" dataDxfId="62">
      <calculatedColumnFormula>VLOOKUP(c_25[[#This Row],[hwycov_id]],readme!D:G,4,FALSE)</calculatedColumnFormula>
    </tableColumn>
    <tableColumn id="10" name="gap" dataDxfId="61">
      <calculatedColumnFormula>I2/H2-1</calculatedColumnFormula>
    </tableColumn>
    <tableColumn id="11" name="source" dataDxfId="60">
      <calculatedColumnFormula>'[2]SR-54 EB'!P2</calculatedColumnFormula>
    </tableColumn>
    <tableColumn id="12" name="x2" dataDxfId="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id="31" name="c_26" displayName="c_26" ref="A1:L14" totalsRowShown="0" dataDxfId="50">
  <autoFilter ref="A1:L14"/>
  <sortState ref="A2:L10">
    <sortCondition ref="D2:D10"/>
  </sortState>
  <tableColumns count="12">
    <tableColumn id="1" name="corridor" dataDxfId="49">
      <calculatedColumnFormula>'[2]SR-56 EB'!C2</calculatedColumnFormula>
    </tableColumn>
    <tableColumn id="2" name="name" dataDxfId="48">
      <calculatedColumnFormula>'[2]SR-56 EB'!H2</calculatedColumnFormula>
    </tableColumn>
    <tableColumn id="3" name="hwycov_id" dataDxfId="47">
      <calculatedColumnFormula>'[2]SR-56 EB'!E2</calculatedColumnFormula>
    </tableColumn>
    <tableColumn id="4" name="ikno" dataDxfId="46">
      <calculatedColumnFormula>'[2]SR-56 EB'!I2</calculatedColumnFormula>
    </tableColumn>
    <tableColumn id="5" name="Length" dataDxfId="45">
      <calculatedColumnFormula>'[2]SR-56 EB'!J2</calculatedColumnFormula>
    </tableColumn>
    <tableColumn id="6" name="from_rd" dataDxfId="44">
      <calculatedColumnFormula>'[2]SR-56 EB'!K2</calculatedColumnFormula>
    </tableColumn>
    <tableColumn id="7" name="to_rd" dataDxfId="43">
      <calculatedColumnFormula>'[2]SR-56 EB'!L2</calculatedColumnFormula>
    </tableColumn>
    <tableColumn id="8" name="count" dataDxfId="42">
      <calculatedColumnFormula>'[2]SR-56 EB'!O2</calculatedColumnFormula>
    </tableColumn>
    <tableColumn id="9" name="flow" dataDxfId="41">
      <calculatedColumnFormula>VLOOKUP(c_26[[#This Row],[hwycov_id]],readme!D:G,4,FALSE)</calculatedColumnFormula>
    </tableColumn>
    <tableColumn id="10" name="gap" dataDxfId="40">
      <calculatedColumnFormula>I2/H2-1</calculatedColumnFormula>
    </tableColumn>
    <tableColumn id="11" name="source" dataDxfId="39">
      <calculatedColumnFormula>'[2]SR-56 EB'!P2</calculatedColumnFormula>
    </tableColumn>
    <tableColumn id="12" name="x2" dataDxfId="3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7.xml><?xml version="1.0" encoding="utf-8"?>
<table xmlns="http://schemas.openxmlformats.org/spreadsheetml/2006/main" id="32" name="c_27" displayName="c_27" ref="A1:L7" totalsRowShown="0" dataDxfId="31">
  <autoFilter ref="A1:L7"/>
  <tableColumns count="12">
    <tableColumn id="1" name="corridor" dataDxfId="30">
      <calculatedColumnFormula>'[2]SR-905 EB'!C2</calculatedColumnFormula>
    </tableColumn>
    <tableColumn id="2" name="name" dataDxfId="29">
      <calculatedColumnFormula>'[2]SR-905 EB'!H2</calculatedColumnFormula>
    </tableColumn>
    <tableColumn id="3" name="hwycov_id" dataDxfId="28">
      <calculatedColumnFormula>'[2]SR-905 EB'!E2</calculatedColumnFormula>
    </tableColumn>
    <tableColumn id="4" name="ikno" dataDxfId="27">
      <calculatedColumnFormula>'[2]SR-905 EB'!I2</calculatedColumnFormula>
    </tableColumn>
    <tableColumn id="5" name="Length" dataDxfId="26">
      <calculatedColumnFormula>'[2]SR-905 EB'!J2</calculatedColumnFormula>
    </tableColumn>
    <tableColumn id="6" name="from_rd" dataDxfId="25">
      <calculatedColumnFormula>'[2]SR-905 EB'!K2</calculatedColumnFormula>
    </tableColumn>
    <tableColumn id="7" name="to_rd" dataDxfId="24">
      <calculatedColumnFormula>'[2]SR-905 EB'!L2</calculatedColumnFormula>
    </tableColumn>
    <tableColumn id="8" name="count" dataDxfId="23">
      <calculatedColumnFormula>'[2]SR-905 EB'!O2</calculatedColumnFormula>
    </tableColumn>
    <tableColumn id="9" name="flow" dataDxfId="22">
      <calculatedColumnFormula>VLOOKUP(c_27[[#This Row],[hwycov_id]],readme!D:G,4,FALSE)</calculatedColumnFormula>
    </tableColumn>
    <tableColumn id="10" name="gap" dataDxfId="21">
      <calculatedColumnFormula>I2/H2-1</calculatedColumnFormula>
    </tableColumn>
    <tableColumn id="11" name="source" dataDxfId="20">
      <calculatedColumnFormula>'[2]SR-905 EB'!P2</calculatedColumnFormula>
    </tableColumn>
    <tableColumn id="12" name="x2" dataDxfId="1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8.xml><?xml version="1.0" encoding="utf-8"?>
<table xmlns="http://schemas.openxmlformats.org/spreadsheetml/2006/main" id="33" name="c_28" displayName="c_28" ref="A1:L18" totalsRowShown="0" dataDxfId="12">
  <autoFilter ref="A1:L18"/>
  <tableColumns count="12">
    <tableColumn id="1" name="corridor" dataDxfId="11">
      <calculatedColumnFormula>'[2]SR-94 EB'!C2</calculatedColumnFormula>
    </tableColumn>
    <tableColumn id="2" name="name" dataDxfId="10">
      <calculatedColumnFormula>'[2]SR-94 EB'!H2</calculatedColumnFormula>
    </tableColumn>
    <tableColumn id="3" name="hwycov_id" dataDxfId="9">
      <calculatedColumnFormula>'[2]SR-94 EB'!E2</calculatedColumnFormula>
    </tableColumn>
    <tableColumn id="4" name="ikno" dataDxfId="8">
      <calculatedColumnFormula>'[2]SR-94 EB'!I2</calculatedColumnFormula>
    </tableColumn>
    <tableColumn id="5" name="Length" dataDxfId="7">
      <calculatedColumnFormula>'[2]SR-94 EB'!J2</calculatedColumnFormula>
    </tableColumn>
    <tableColumn id="6" name="from_rd" dataDxfId="6">
      <calculatedColumnFormula>'[2]SR-94 EB'!K2</calculatedColumnFormula>
    </tableColumn>
    <tableColumn id="7" name="to_rd" dataDxfId="5">
      <calculatedColumnFormula>'[2]SR-94 EB'!L2</calculatedColumnFormula>
    </tableColumn>
    <tableColumn id="8" name="count" dataDxfId="4">
      <calculatedColumnFormula>'[2]SR-94 EB'!O2</calculatedColumnFormula>
    </tableColumn>
    <tableColumn id="9" name="flow" dataDxfId="3">
      <calculatedColumnFormula>VLOOKUP(c_28[[#This Row],[hwycov_id]],readme!D:G,4,FALSE)</calculatedColumnFormula>
    </tableColumn>
    <tableColumn id="10" name="gap" dataDxfId="2">
      <calculatedColumnFormula>I2/H2-1</calculatedColumnFormula>
    </tableColumn>
    <tableColumn id="11" name="source" dataDxfId="1">
      <calculatedColumnFormula>'[2]SR-94 EB'!P2</calculatedColumnFormula>
    </tableColumn>
    <tableColumn id="12" name="x2" dataDxfId="0">
      <calculatedColumnFormula>POWER((I2-H2),2)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Jeff.Yen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7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1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9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7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73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drawing" Target="../drawings/drawing7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G1649"/>
  <sheetViews>
    <sheetView showGridLines="0" tabSelected="1" workbookViewId="0">
      <pane ySplit="1" topLeftCell="A2" activePane="bottomLeft" state="frozen"/>
      <selection pane="bottomLeft" activeCell="B23" sqref="B22:B23"/>
    </sheetView>
  </sheetViews>
  <sheetFormatPr defaultRowHeight="15" x14ac:dyDescent="0.25"/>
  <cols>
    <col min="1" max="1" width="10.7109375" customWidth="1"/>
    <col min="2" max="2" width="136.28515625" customWidth="1"/>
    <col min="4" max="4" width="12.7109375" customWidth="1"/>
    <col min="5" max="5" width="11.42578125" customWidth="1"/>
    <col min="6" max="6" width="11" customWidth="1"/>
    <col min="7" max="7" width="11.140625" customWidth="1"/>
    <col min="9" max="9" width="11.140625" customWidth="1"/>
  </cols>
  <sheetData>
    <row r="1" spans="1:7" x14ac:dyDescent="0.25">
      <c r="A1" t="s">
        <v>262</v>
      </c>
      <c r="D1" t="s">
        <v>53</v>
      </c>
      <c r="E1" t="s">
        <v>124</v>
      </c>
      <c r="F1" t="s">
        <v>125</v>
      </c>
      <c r="G1" t="s">
        <v>126</v>
      </c>
    </row>
    <row r="2" spans="1:7" x14ac:dyDescent="0.25">
      <c r="A2" s="12"/>
      <c r="B2" s="94"/>
      <c r="D2">
        <f>[1]flow_freeway!A2</f>
        <v>58</v>
      </c>
      <c r="E2" s="137">
        <f>[1]flow_freeway!B2</f>
        <v>11064.571824000001</v>
      </c>
      <c r="F2" s="137">
        <f>[1]flow_freeway!C2</f>
        <v>1810.005249</v>
      </c>
      <c r="G2" s="137">
        <f>[1]flow_freeway!D2</f>
        <v>4525.5776370000003</v>
      </c>
    </row>
    <row r="3" spans="1:7" x14ac:dyDescent="0.25">
      <c r="D3">
        <f>[1]flow_freeway!A3</f>
        <v>59</v>
      </c>
      <c r="E3" s="137">
        <f>[1]flow_freeway!B3</f>
        <v>99079.569336</v>
      </c>
      <c r="F3" s="137">
        <f>[1]flow_freeway!C3</f>
        <v>22800.0625</v>
      </c>
      <c r="G3" s="137">
        <f>[1]flow_freeway!D3</f>
        <v>21330.474609000001</v>
      </c>
    </row>
    <row r="4" spans="1:7" x14ac:dyDescent="0.25">
      <c r="D4">
        <f>[1]flow_freeway!A4</f>
        <v>323</v>
      </c>
      <c r="E4" s="137">
        <f>[1]flow_freeway!B4</f>
        <v>34289.511842</v>
      </c>
      <c r="F4" s="137">
        <f>[1]flow_freeway!C4</f>
        <v>7340.9838870000003</v>
      </c>
      <c r="G4" s="137">
        <f>[1]flow_freeway!D4</f>
        <v>8173.1972660000001</v>
      </c>
    </row>
    <row r="5" spans="1:7" x14ac:dyDescent="0.25">
      <c r="D5">
        <f>[1]flow_freeway!A5</f>
        <v>442</v>
      </c>
      <c r="E5" s="137">
        <f>[1]flow_freeway!B5</f>
        <v>6891.1660460000003</v>
      </c>
      <c r="F5" s="137">
        <f>[1]flow_freeway!C5</f>
        <v>1061.383789</v>
      </c>
      <c r="G5" s="137">
        <f>[1]flow_freeway!D5</f>
        <v>1920.259155</v>
      </c>
    </row>
    <row r="6" spans="1:7" x14ac:dyDescent="0.25">
      <c r="D6">
        <f>[1]flow_freeway!A6</f>
        <v>457</v>
      </c>
      <c r="E6" s="137">
        <f>[1]flow_freeway!B6</f>
        <v>38501.084961</v>
      </c>
      <c r="F6" s="137">
        <f>[1]flow_freeway!C6</f>
        <v>12486.902344</v>
      </c>
      <c r="G6" s="137">
        <f>[1]flow_freeway!D6</f>
        <v>7121.3784180000002</v>
      </c>
    </row>
    <row r="7" spans="1:7" x14ac:dyDescent="0.25">
      <c r="A7" t="s">
        <v>146</v>
      </c>
      <c r="D7">
        <f>[1]flow_freeway!A7</f>
        <v>459</v>
      </c>
      <c r="E7" s="137">
        <f>[1]flow_freeway!B7</f>
        <v>20916.753867999996</v>
      </c>
      <c r="F7" s="137">
        <f>[1]flow_freeway!C7</f>
        <v>2748.1066890000002</v>
      </c>
      <c r="G7" s="137">
        <f>[1]flow_freeway!D7</f>
        <v>9682.6972659999992</v>
      </c>
    </row>
    <row r="8" spans="1:7" x14ac:dyDescent="0.25">
      <c r="A8">
        <v>1</v>
      </c>
      <c r="B8" t="s">
        <v>148</v>
      </c>
      <c r="D8">
        <f>[1]flow_freeway!A8</f>
        <v>460</v>
      </c>
      <c r="E8" s="137">
        <f>[1]flow_freeway!B8</f>
        <v>22064.320259</v>
      </c>
      <c r="F8" s="137">
        <f>[1]flow_freeway!C8</f>
        <v>3630.4909670000002</v>
      </c>
      <c r="G8" s="137">
        <f>[1]flow_freeway!D8</f>
        <v>9642.2431639999995</v>
      </c>
    </row>
    <row r="9" spans="1:7" x14ac:dyDescent="0.25">
      <c r="A9">
        <v>2</v>
      </c>
      <c r="B9" t="s">
        <v>277</v>
      </c>
      <c r="D9">
        <f>[1]flow_freeway!A9</f>
        <v>461</v>
      </c>
      <c r="E9" s="137">
        <f>[1]flow_freeway!B9</f>
        <v>20916.753867999996</v>
      </c>
      <c r="F9" s="137">
        <f>[1]flow_freeway!C9</f>
        <v>2748.1066890000002</v>
      </c>
      <c r="G9" s="137">
        <f>[1]flow_freeway!D9</f>
        <v>9682.6972659999992</v>
      </c>
    </row>
    <row r="10" spans="1:7" x14ac:dyDescent="0.25">
      <c r="A10">
        <v>3</v>
      </c>
      <c r="B10" t="s">
        <v>276</v>
      </c>
      <c r="D10">
        <f>[1]flow_freeway!A10</f>
        <v>462</v>
      </c>
      <c r="E10" s="137">
        <f>[1]flow_freeway!B10</f>
        <v>17374.660179000002</v>
      </c>
      <c r="F10" s="137">
        <f>[1]flow_freeway!C10</f>
        <v>2344.0551759999998</v>
      </c>
      <c r="G10" s="137">
        <f>[1]flow_freeway!D10</f>
        <v>7983.810547</v>
      </c>
    </row>
    <row r="11" spans="1:7" x14ac:dyDescent="0.25">
      <c r="A11">
        <v>4</v>
      </c>
      <c r="B11" t="s">
        <v>147</v>
      </c>
      <c r="D11">
        <f>[1]flow_freeway!A11</f>
        <v>463</v>
      </c>
      <c r="E11" s="137">
        <f>[1]flow_freeway!B11</f>
        <v>19573.366709999998</v>
      </c>
      <c r="F11" s="137">
        <f>[1]flow_freeway!C11</f>
        <v>3013.5893550000001</v>
      </c>
      <c r="G11" s="137">
        <f>[1]flow_freeway!D11</f>
        <v>9384.1914059999999</v>
      </c>
    </row>
    <row r="12" spans="1:7" x14ac:dyDescent="0.25">
      <c r="A12">
        <v>5</v>
      </c>
      <c r="B12" t="s">
        <v>150</v>
      </c>
      <c r="D12">
        <f>[1]flow_freeway!A12</f>
        <v>464</v>
      </c>
      <c r="E12" s="137">
        <f>[1]flow_freeway!B12</f>
        <v>20937.111541000002</v>
      </c>
      <c r="F12" s="137">
        <f>[1]flow_freeway!C12</f>
        <v>2864.4934079999998</v>
      </c>
      <c r="G12" s="137">
        <f>[1]flow_freeway!D12</f>
        <v>8813.7617190000001</v>
      </c>
    </row>
    <row r="13" spans="1:7" x14ac:dyDescent="0.25">
      <c r="A13">
        <v>6</v>
      </c>
      <c r="B13" s="81" t="s">
        <v>149</v>
      </c>
      <c r="D13">
        <f>[1]flow_freeway!A13</f>
        <v>465</v>
      </c>
      <c r="E13" s="137">
        <f>[1]flow_freeway!B13</f>
        <v>19573.366709999998</v>
      </c>
      <c r="F13" s="137">
        <f>[1]flow_freeway!C13</f>
        <v>3013.5893550000001</v>
      </c>
      <c r="G13" s="137">
        <f>[1]flow_freeway!D13</f>
        <v>9384.1914059999999</v>
      </c>
    </row>
    <row r="14" spans="1:7" x14ac:dyDescent="0.25">
      <c r="B14" s="81"/>
      <c r="D14">
        <f>[1]flow_freeway!A14</f>
        <v>468</v>
      </c>
      <c r="E14" s="137">
        <f>[1]flow_freeway!B14</f>
        <v>18627.984171000004</v>
      </c>
      <c r="F14" s="137">
        <f>[1]flow_freeway!C14</f>
        <v>2483.0588379999999</v>
      </c>
      <c r="G14" s="137">
        <f>[1]flow_freeway!D14</f>
        <v>8230.4082030000009</v>
      </c>
    </row>
    <row r="15" spans="1:7" x14ac:dyDescent="0.25">
      <c r="D15">
        <f>[1]flow_freeway!A15</f>
        <v>469</v>
      </c>
      <c r="E15" s="137">
        <f>[1]flow_freeway!B15</f>
        <v>23946.688805000002</v>
      </c>
      <c r="F15" s="137">
        <f>[1]flow_freeway!C15</f>
        <v>3996.7304690000001</v>
      </c>
      <c r="G15" s="137">
        <f>[1]flow_freeway!D15</f>
        <v>11116.642578000001</v>
      </c>
    </row>
    <row r="16" spans="1:7" x14ac:dyDescent="0.25">
      <c r="D16">
        <f>[1]flow_freeway!A16</f>
        <v>470</v>
      </c>
      <c r="E16" s="137">
        <f>[1]flow_freeway!B16</f>
        <v>22948.723755999999</v>
      </c>
      <c r="F16" s="137">
        <f>[1]flow_freeway!C16</f>
        <v>3485.6503910000001</v>
      </c>
      <c r="G16" s="137">
        <f>[1]flow_freeway!D16</f>
        <v>10056.764648</v>
      </c>
    </row>
    <row r="17" spans="1:7" x14ac:dyDescent="0.25">
      <c r="D17">
        <f>[1]flow_freeway!A17</f>
        <v>473</v>
      </c>
      <c r="E17" s="137">
        <f>[1]flow_freeway!B17</f>
        <v>20853.126743999997</v>
      </c>
      <c r="F17" s="137">
        <f>[1]flow_freeway!C17</f>
        <v>3297.7441410000001</v>
      </c>
      <c r="G17" s="137">
        <f>[1]flow_freeway!D17</f>
        <v>8831.734375</v>
      </c>
    </row>
    <row r="18" spans="1:7" x14ac:dyDescent="0.25">
      <c r="D18">
        <f>[1]flow_freeway!A18</f>
        <v>474</v>
      </c>
      <c r="E18" s="137">
        <f>[1]flow_freeway!B18</f>
        <v>77749.018066999997</v>
      </c>
      <c r="F18" s="137">
        <f>[1]flow_freeway!C18</f>
        <v>15582.697265999999</v>
      </c>
      <c r="G18" s="137">
        <f>[1]flow_freeway!D18</f>
        <v>19872.023438</v>
      </c>
    </row>
    <row r="19" spans="1:7" x14ac:dyDescent="0.25">
      <c r="D19">
        <f>[1]flow_freeway!A19</f>
        <v>505</v>
      </c>
      <c r="E19" s="137">
        <f>[1]flow_freeway!B19</f>
        <v>10309.898341</v>
      </c>
      <c r="F19" s="137">
        <f>[1]flow_freeway!C19</f>
        <v>4466.4716799999997</v>
      </c>
      <c r="G19" s="137">
        <f>[1]flow_freeway!D19</f>
        <v>1132.622803</v>
      </c>
    </row>
    <row r="20" spans="1:7" x14ac:dyDescent="0.25">
      <c r="A20" s="126" t="s">
        <v>145</v>
      </c>
      <c r="B20" s="186" t="s">
        <v>275</v>
      </c>
      <c r="D20">
        <f>[1]flow_freeway!A20</f>
        <v>510</v>
      </c>
      <c r="E20" s="137">
        <f>[1]flow_freeway!B20</f>
        <v>23420.203555999997</v>
      </c>
      <c r="F20" s="137">
        <f>[1]flow_freeway!C20</f>
        <v>3864.3413089999999</v>
      </c>
      <c r="G20" s="137">
        <f>[1]flow_freeway!D20</f>
        <v>9763.4189449999994</v>
      </c>
    </row>
    <row r="21" spans="1:7" x14ac:dyDescent="0.25">
      <c r="D21">
        <f>[1]flow_freeway!A21</f>
        <v>512</v>
      </c>
      <c r="E21" s="137">
        <f>[1]flow_freeway!B21</f>
        <v>20344.507533</v>
      </c>
      <c r="F21" s="137">
        <f>[1]flow_freeway!C21</f>
        <v>2903.7402339999999</v>
      </c>
      <c r="G21" s="137">
        <f>[1]flow_freeway!D21</f>
        <v>9136.4882809999999</v>
      </c>
    </row>
    <row r="22" spans="1:7" x14ac:dyDescent="0.25">
      <c r="D22">
        <f>[1]flow_freeway!A22</f>
        <v>513</v>
      </c>
      <c r="E22" s="137">
        <f>[1]flow_freeway!B22</f>
        <v>15725.298050000001</v>
      </c>
      <c r="F22" s="137">
        <f>[1]flow_freeway!C22</f>
        <v>6351.0351559999999</v>
      </c>
      <c r="G22" s="137">
        <f>[1]flow_freeway!D22</f>
        <v>2260.2270509999998</v>
      </c>
    </row>
    <row r="23" spans="1:7" x14ac:dyDescent="0.25">
      <c r="D23">
        <f>[1]flow_freeway!A23</f>
        <v>514</v>
      </c>
      <c r="E23" s="137">
        <f>[1]flow_freeway!B23</f>
        <v>108833.37988399999</v>
      </c>
      <c r="F23" s="137">
        <f>[1]flow_freeway!C23</f>
        <v>18210.839843999998</v>
      </c>
      <c r="G23" s="137">
        <f>[1]flow_freeway!D23</f>
        <v>34428.304687999997</v>
      </c>
    </row>
    <row r="24" spans="1:7" x14ac:dyDescent="0.25">
      <c r="D24">
        <f>[1]flow_freeway!A24</f>
        <v>515</v>
      </c>
      <c r="E24" s="137">
        <f>[1]flow_freeway!B24</f>
        <v>17985.180267</v>
      </c>
      <c r="F24" s="137">
        <f>[1]flow_freeway!C24</f>
        <v>6834.140625</v>
      </c>
      <c r="G24" s="137">
        <f>[1]flow_freeway!D24</f>
        <v>3009.8120119999999</v>
      </c>
    </row>
    <row r="25" spans="1:7" x14ac:dyDescent="0.25">
      <c r="D25">
        <f>[1]flow_freeway!A25</f>
        <v>516</v>
      </c>
      <c r="E25" s="137">
        <f>[1]flow_freeway!B25</f>
        <v>99059.642577999999</v>
      </c>
      <c r="F25" s="137">
        <f>[1]flow_freeway!C25</f>
        <v>16118.501953000001</v>
      </c>
      <c r="G25" s="137">
        <f>[1]flow_freeway!D25</f>
        <v>30733.279297000001</v>
      </c>
    </row>
    <row r="26" spans="1:7" x14ac:dyDescent="0.25">
      <c r="D26">
        <f>[1]flow_freeway!A26</f>
        <v>517</v>
      </c>
      <c r="E26" s="137">
        <f>[1]flow_freeway!B26</f>
        <v>15536.040099</v>
      </c>
      <c r="F26" s="137">
        <f>[1]flow_freeway!C26</f>
        <v>5919.1083980000003</v>
      </c>
      <c r="G26" s="137">
        <f>[1]flow_freeway!D26</f>
        <v>2650.383789</v>
      </c>
    </row>
    <row r="27" spans="1:7" x14ac:dyDescent="0.25">
      <c r="D27">
        <f>[1]flow_freeway!A27</f>
        <v>520</v>
      </c>
      <c r="E27" s="137">
        <f>[1]flow_freeway!B27</f>
        <v>16175.667572</v>
      </c>
      <c r="F27" s="137">
        <f>[1]flow_freeway!C27</f>
        <v>6074.2607420000004</v>
      </c>
      <c r="G27" s="137">
        <f>[1]flow_freeway!D27</f>
        <v>2846.9760740000002</v>
      </c>
    </row>
    <row r="28" spans="1:7" x14ac:dyDescent="0.25">
      <c r="D28">
        <f>[1]flow_freeway!A28</f>
        <v>521</v>
      </c>
      <c r="E28" s="137">
        <f>[1]flow_freeway!B28</f>
        <v>93083.389649999997</v>
      </c>
      <c r="F28" s="137">
        <f>[1]flow_freeway!C28</f>
        <v>16539.087890999999</v>
      </c>
      <c r="G28" s="137">
        <f>[1]flow_freeway!D28</f>
        <v>26106.234375</v>
      </c>
    </row>
    <row r="29" spans="1:7" x14ac:dyDescent="0.25">
      <c r="D29">
        <f>[1]flow_freeway!A29</f>
        <v>522</v>
      </c>
      <c r="E29" s="137">
        <f>[1]flow_freeway!B29</f>
        <v>15656.754681</v>
      </c>
      <c r="F29" s="137">
        <f>[1]flow_freeway!C29</f>
        <v>5752.1440430000002</v>
      </c>
      <c r="G29" s="137">
        <f>[1]flow_freeway!D29</f>
        <v>2767.9145509999998</v>
      </c>
    </row>
    <row r="30" spans="1:7" x14ac:dyDescent="0.25">
      <c r="D30">
        <f>[1]flow_freeway!A30</f>
        <v>524</v>
      </c>
      <c r="E30" s="137">
        <f>[1]flow_freeway!B30</f>
        <v>16578.436011999998</v>
      </c>
      <c r="F30" s="137">
        <f>[1]flow_freeway!C30</f>
        <v>6260.1396480000003</v>
      </c>
      <c r="G30" s="137">
        <f>[1]flow_freeway!D30</f>
        <v>2905.3427729999999</v>
      </c>
    </row>
    <row r="31" spans="1:7" x14ac:dyDescent="0.25">
      <c r="D31">
        <f>[1]flow_freeway!A31</f>
        <v>525</v>
      </c>
      <c r="E31" s="137">
        <f>[1]flow_freeway!B31</f>
        <v>22651.178650999995</v>
      </c>
      <c r="F31" s="137">
        <f>[1]flow_freeway!C31</f>
        <v>8902.9179690000001</v>
      </c>
      <c r="G31" s="137">
        <f>[1]flow_freeway!D31</f>
        <v>4912.2539059999999</v>
      </c>
    </row>
    <row r="32" spans="1:7" x14ac:dyDescent="0.25">
      <c r="D32">
        <f>[1]flow_freeway!A32</f>
        <v>526</v>
      </c>
      <c r="E32" s="137">
        <f>[1]flow_freeway!B32</f>
        <v>22619.467886999999</v>
      </c>
      <c r="F32" s="137">
        <f>[1]flow_freeway!C32</f>
        <v>3735.6447750000002</v>
      </c>
      <c r="G32" s="137">
        <f>[1]flow_freeway!D32</f>
        <v>9712.640625</v>
      </c>
    </row>
    <row r="33" spans="4:7" x14ac:dyDescent="0.25">
      <c r="D33">
        <f>[1]flow_freeway!A33</f>
        <v>528</v>
      </c>
      <c r="E33" s="137">
        <f>[1]flow_freeway!B33</f>
        <v>21293.322394999999</v>
      </c>
      <c r="F33" s="137">
        <f>[1]flow_freeway!C33</f>
        <v>8019.5854490000002</v>
      </c>
      <c r="G33" s="137">
        <f>[1]flow_freeway!D33</f>
        <v>4118.1533200000003</v>
      </c>
    </row>
    <row r="34" spans="4:7" x14ac:dyDescent="0.25">
      <c r="D34">
        <f>[1]flow_freeway!A34</f>
        <v>551</v>
      </c>
      <c r="E34" s="137">
        <f>[1]flow_freeway!B34</f>
        <v>106281.87011599999</v>
      </c>
      <c r="F34" s="137">
        <f>[1]flow_freeway!C34</f>
        <v>25975.570312</v>
      </c>
      <c r="G34" s="137">
        <f>[1]flow_freeway!D34</f>
        <v>23285.703125</v>
      </c>
    </row>
    <row r="35" spans="4:7" x14ac:dyDescent="0.25">
      <c r="D35">
        <f>[1]flow_freeway!A35</f>
        <v>552</v>
      </c>
      <c r="E35" s="137">
        <f>[1]flow_freeway!B35</f>
        <v>20427.042931</v>
      </c>
      <c r="F35" s="137">
        <f>[1]flow_freeway!C35</f>
        <v>2723.4804690000001</v>
      </c>
      <c r="G35" s="137">
        <f>[1]flow_freeway!D35</f>
        <v>9451.3349610000005</v>
      </c>
    </row>
    <row r="36" spans="4:7" x14ac:dyDescent="0.25">
      <c r="D36">
        <f>[1]flow_freeway!A36</f>
        <v>553</v>
      </c>
      <c r="E36" s="137">
        <f>[1]flow_freeway!B36</f>
        <v>20981.255256</v>
      </c>
      <c r="F36" s="137">
        <f>[1]flow_freeway!C36</f>
        <v>7801.2802730000003</v>
      </c>
      <c r="G36" s="137">
        <f>[1]flow_freeway!D36</f>
        <v>4118.1098629999997</v>
      </c>
    </row>
    <row r="37" spans="4:7" x14ac:dyDescent="0.25">
      <c r="D37">
        <f>[1]flow_freeway!A37</f>
        <v>554</v>
      </c>
      <c r="E37" s="137">
        <f>[1]flow_freeway!B37</f>
        <v>116504.724609</v>
      </c>
      <c r="F37" s="137">
        <f>[1]flow_freeway!C37</f>
        <v>19057.755859000001</v>
      </c>
      <c r="G37" s="137">
        <f>[1]flow_freeway!D37</f>
        <v>34795.949219000002</v>
      </c>
    </row>
    <row r="38" spans="4:7" x14ac:dyDescent="0.25">
      <c r="D38">
        <f>[1]flow_freeway!A38</f>
        <v>556</v>
      </c>
      <c r="E38" s="137">
        <f>[1]flow_freeway!B38</f>
        <v>103337.96044900001</v>
      </c>
      <c r="F38" s="137">
        <f>[1]flow_freeway!C38</f>
        <v>18090.667968999998</v>
      </c>
      <c r="G38" s="137">
        <f>[1]flow_freeway!D38</f>
        <v>30023.519531000002</v>
      </c>
    </row>
    <row r="39" spans="4:7" x14ac:dyDescent="0.25">
      <c r="D39">
        <f>[1]flow_freeway!A39</f>
        <v>558</v>
      </c>
      <c r="E39" s="137">
        <f>[1]flow_freeway!B39</f>
        <v>56741.877928999995</v>
      </c>
      <c r="F39" s="137">
        <f>[1]flow_freeway!C39</f>
        <v>8695.6357420000004</v>
      </c>
      <c r="G39" s="137">
        <f>[1]flow_freeway!D39</f>
        <v>17664.904297000001</v>
      </c>
    </row>
    <row r="40" spans="4:7" x14ac:dyDescent="0.25">
      <c r="D40">
        <f>[1]flow_freeway!A40</f>
        <v>562</v>
      </c>
      <c r="E40" s="137">
        <f>[1]flow_freeway!B40</f>
        <v>104296.42773499999</v>
      </c>
      <c r="F40" s="137">
        <f>[1]flow_freeway!C40</f>
        <v>24323.759765999999</v>
      </c>
      <c r="G40" s="137">
        <f>[1]flow_freeway!D40</f>
        <v>22115.740234000001</v>
      </c>
    </row>
    <row r="41" spans="4:7" x14ac:dyDescent="0.25">
      <c r="D41">
        <f>[1]flow_freeway!A41</f>
        <v>564</v>
      </c>
      <c r="E41" s="137">
        <f>[1]flow_freeway!B41</f>
        <v>73773.267579000007</v>
      </c>
      <c r="F41" s="137">
        <f>[1]flow_freeway!C41</f>
        <v>18636.103515999999</v>
      </c>
      <c r="G41" s="137">
        <f>[1]flow_freeway!D41</f>
        <v>16837.259765999999</v>
      </c>
    </row>
    <row r="42" spans="4:7" x14ac:dyDescent="0.25">
      <c r="D42">
        <f>[1]flow_freeway!A42</f>
        <v>568</v>
      </c>
      <c r="E42" s="137">
        <f>[1]flow_freeway!B42</f>
        <v>104962.455078</v>
      </c>
      <c r="F42" s="137">
        <f>[1]flow_freeway!C42</f>
        <v>26194.851562</v>
      </c>
      <c r="G42" s="137">
        <f>[1]flow_freeway!D42</f>
        <v>20140.960938</v>
      </c>
    </row>
    <row r="43" spans="4:7" x14ac:dyDescent="0.25">
      <c r="D43">
        <f>[1]flow_freeway!A43</f>
        <v>570</v>
      </c>
      <c r="E43" s="137">
        <f>[1]flow_freeway!B43</f>
        <v>105989.027344</v>
      </c>
      <c r="F43" s="137">
        <f>[1]flow_freeway!C43</f>
        <v>26482.472656000002</v>
      </c>
      <c r="G43" s="137">
        <f>[1]flow_freeway!D43</f>
        <v>20131.929688</v>
      </c>
    </row>
    <row r="44" spans="4:7" x14ac:dyDescent="0.25">
      <c r="D44">
        <f>[1]flow_freeway!A44</f>
        <v>573</v>
      </c>
      <c r="E44" s="137">
        <f>[1]flow_freeway!B44</f>
        <v>106104.312256</v>
      </c>
      <c r="F44" s="137">
        <f>[1]flow_freeway!C44</f>
        <v>18819.46875</v>
      </c>
      <c r="G44" s="137">
        <f>[1]flow_freeway!D44</f>
        <v>30509.046875</v>
      </c>
    </row>
    <row r="45" spans="4:7" x14ac:dyDescent="0.25">
      <c r="D45">
        <f>[1]flow_freeway!A45</f>
        <v>574</v>
      </c>
      <c r="E45" s="137">
        <f>[1]flow_freeway!B45</f>
        <v>165472.37890700001</v>
      </c>
      <c r="F45" s="137">
        <f>[1]flow_freeway!C45</f>
        <v>31180.765625</v>
      </c>
      <c r="G45" s="137">
        <f>[1]flow_freeway!D45</f>
        <v>45436.929687999997</v>
      </c>
    </row>
    <row r="46" spans="4:7" x14ac:dyDescent="0.25">
      <c r="D46">
        <f>[1]flow_freeway!A46</f>
        <v>575</v>
      </c>
      <c r="E46" s="137">
        <f>[1]flow_freeway!B46</f>
        <v>144875.806151</v>
      </c>
      <c r="F46" s="137">
        <f>[1]flow_freeway!C46</f>
        <v>24470.099609000001</v>
      </c>
      <c r="G46" s="137">
        <f>[1]flow_freeway!D46</f>
        <v>43236.128905999998</v>
      </c>
    </row>
    <row r="47" spans="4:7" x14ac:dyDescent="0.25">
      <c r="D47">
        <f>[1]flow_freeway!A47</f>
        <v>578</v>
      </c>
      <c r="E47" s="137">
        <f>[1]flow_freeway!B47</f>
        <v>106104.312256</v>
      </c>
      <c r="F47" s="137">
        <f>[1]flow_freeway!C47</f>
        <v>18819.46875</v>
      </c>
      <c r="G47" s="137">
        <f>[1]flow_freeway!D47</f>
        <v>30509.046875</v>
      </c>
    </row>
    <row r="48" spans="4:7" x14ac:dyDescent="0.25">
      <c r="D48">
        <f>[1]flow_freeway!A48</f>
        <v>579</v>
      </c>
      <c r="E48" s="137">
        <f>[1]flow_freeway!B48</f>
        <v>66906.283204000007</v>
      </c>
      <c r="F48" s="137">
        <f>[1]flow_freeway!C48</f>
        <v>15328.194336</v>
      </c>
      <c r="G48" s="137">
        <f>[1]flow_freeway!D48</f>
        <v>15734.662109000001</v>
      </c>
    </row>
    <row r="49" spans="4:7" x14ac:dyDescent="0.25">
      <c r="D49">
        <f>[1]flow_freeway!A49</f>
        <v>580</v>
      </c>
      <c r="E49" s="137">
        <f>[1]flow_freeway!B49</f>
        <v>98674.104491999999</v>
      </c>
      <c r="F49" s="137">
        <f>[1]flow_freeway!C49</f>
        <v>23015.203125</v>
      </c>
      <c r="G49" s="137">
        <f>[1]flow_freeway!D49</f>
        <v>18580.806640999999</v>
      </c>
    </row>
    <row r="50" spans="4:7" x14ac:dyDescent="0.25">
      <c r="D50">
        <f>[1]flow_freeway!A50</f>
        <v>589</v>
      </c>
      <c r="E50" s="137">
        <f>[1]flow_freeway!B50</f>
        <v>68660.273436999996</v>
      </c>
      <c r="F50" s="137">
        <f>[1]flow_freeway!C50</f>
        <v>11584.186523</v>
      </c>
      <c r="G50" s="137">
        <f>[1]flow_freeway!D50</f>
        <v>20098.789062</v>
      </c>
    </row>
    <row r="51" spans="4:7" x14ac:dyDescent="0.25">
      <c r="D51">
        <f>[1]flow_freeway!A51</f>
        <v>590</v>
      </c>
      <c r="E51" s="137">
        <f>[1]flow_freeway!B51</f>
        <v>83787.932860999994</v>
      </c>
      <c r="F51" s="137">
        <f>[1]flow_freeway!C51</f>
        <v>14627.862305000001</v>
      </c>
      <c r="G51" s="137">
        <f>[1]flow_freeway!D51</f>
        <v>23298.769531000002</v>
      </c>
    </row>
    <row r="52" spans="4:7" x14ac:dyDescent="0.25">
      <c r="D52">
        <f>[1]flow_freeway!A52</f>
        <v>605</v>
      </c>
      <c r="E52" s="137">
        <f>[1]flow_freeway!B52</f>
        <v>39182.144043</v>
      </c>
      <c r="F52" s="137">
        <f>[1]flow_freeway!C52</f>
        <v>7830.3881840000004</v>
      </c>
      <c r="G52" s="137">
        <f>[1]flow_freeway!D52</f>
        <v>6329.0268550000001</v>
      </c>
    </row>
    <row r="53" spans="4:7" x14ac:dyDescent="0.25">
      <c r="D53">
        <f>[1]flow_freeway!A53</f>
        <v>610</v>
      </c>
      <c r="E53" s="137">
        <f>[1]flow_freeway!B53</f>
        <v>57994.660400000001</v>
      </c>
      <c r="F53" s="137">
        <f>[1]flow_freeway!C53</f>
        <v>12637.748046999999</v>
      </c>
      <c r="G53" s="137">
        <f>[1]flow_freeway!D53</f>
        <v>13924.809569999999</v>
      </c>
    </row>
    <row r="54" spans="4:7" x14ac:dyDescent="0.25">
      <c r="D54">
        <f>[1]flow_freeway!A54</f>
        <v>611</v>
      </c>
      <c r="E54" s="137">
        <f>[1]flow_freeway!B54</f>
        <v>58712.684570000005</v>
      </c>
      <c r="F54" s="137">
        <f>[1]flow_freeway!C54</f>
        <v>12931.772461</v>
      </c>
      <c r="G54" s="137">
        <f>[1]flow_freeway!D54</f>
        <v>14068.421875</v>
      </c>
    </row>
    <row r="55" spans="4:7" x14ac:dyDescent="0.25">
      <c r="D55">
        <f>[1]flow_freeway!A55</f>
        <v>615</v>
      </c>
      <c r="E55" s="137">
        <f>[1]flow_freeway!B55</f>
        <v>95828.199706999992</v>
      </c>
      <c r="F55" s="137">
        <f>[1]flow_freeway!C55</f>
        <v>15560.994140999999</v>
      </c>
      <c r="G55" s="137">
        <f>[1]flow_freeway!D55</f>
        <v>28702.935547000001</v>
      </c>
    </row>
    <row r="56" spans="4:7" x14ac:dyDescent="0.25">
      <c r="D56">
        <f>[1]flow_freeway!A56</f>
        <v>617</v>
      </c>
      <c r="E56" s="137">
        <f>[1]flow_freeway!B56</f>
        <v>59330.226561999996</v>
      </c>
      <c r="F56" s="137">
        <f>[1]flow_freeway!C56</f>
        <v>11453.200194999999</v>
      </c>
      <c r="G56" s="137">
        <f>[1]flow_freeway!D56</f>
        <v>12721.300781</v>
      </c>
    </row>
    <row r="57" spans="4:7" x14ac:dyDescent="0.25">
      <c r="D57">
        <f>[1]flow_freeway!A57</f>
        <v>619</v>
      </c>
      <c r="E57" s="137">
        <f>[1]flow_freeway!B57</f>
        <v>30408.039307000003</v>
      </c>
      <c r="F57" s="137">
        <f>[1]flow_freeway!C57</f>
        <v>2510.5395509999998</v>
      </c>
      <c r="G57" s="137">
        <f>[1]flow_freeway!D57</f>
        <v>9435.0634769999997</v>
      </c>
    </row>
    <row r="58" spans="4:7" x14ac:dyDescent="0.25">
      <c r="D58">
        <f>[1]flow_freeway!A58</f>
        <v>621</v>
      </c>
      <c r="E58" s="137">
        <f>[1]flow_freeway!B58</f>
        <v>96256.835938000004</v>
      </c>
      <c r="F58" s="137">
        <f>[1]flow_freeway!C58</f>
        <v>23652.900390999999</v>
      </c>
      <c r="G58" s="137">
        <f>[1]flow_freeway!D58</f>
        <v>18388.466797000001</v>
      </c>
    </row>
    <row r="59" spans="4:7" x14ac:dyDescent="0.25">
      <c r="D59">
        <f>[1]flow_freeway!A59</f>
        <v>637</v>
      </c>
      <c r="E59" s="137">
        <f>[1]flow_freeway!B59</f>
        <v>101605.638672</v>
      </c>
      <c r="F59" s="137">
        <f>[1]flow_freeway!C59</f>
        <v>26750.248047000001</v>
      </c>
      <c r="G59" s="137">
        <f>[1]flow_freeway!D59</f>
        <v>20278.203125</v>
      </c>
    </row>
    <row r="60" spans="4:7" x14ac:dyDescent="0.25">
      <c r="D60">
        <f>[1]flow_freeway!A60</f>
        <v>640</v>
      </c>
      <c r="E60" s="137">
        <f>[1]flow_freeway!B60</f>
        <v>89182.097657000006</v>
      </c>
      <c r="F60" s="137">
        <f>[1]flow_freeway!C60</f>
        <v>22632.074218999998</v>
      </c>
      <c r="G60" s="137">
        <f>[1]flow_freeway!D60</f>
        <v>20750.378906000002</v>
      </c>
    </row>
    <row r="61" spans="4:7" x14ac:dyDescent="0.25">
      <c r="D61">
        <f>[1]flow_freeway!A61</f>
        <v>643</v>
      </c>
      <c r="E61" s="137">
        <f>[1]flow_freeway!B61</f>
        <v>106887.13769600001</v>
      </c>
      <c r="F61" s="137">
        <f>[1]flow_freeway!C61</f>
        <v>27411.390625</v>
      </c>
      <c r="G61" s="137">
        <f>[1]flow_freeway!D61</f>
        <v>20615.837890999999</v>
      </c>
    </row>
    <row r="62" spans="4:7" x14ac:dyDescent="0.25">
      <c r="D62">
        <f>[1]flow_freeway!A62</f>
        <v>651</v>
      </c>
      <c r="E62" s="137">
        <f>[1]flow_freeway!B62</f>
        <v>37211.112793</v>
      </c>
      <c r="F62" s="137">
        <f>[1]flow_freeway!C62</f>
        <v>2520.6823730000001</v>
      </c>
      <c r="G62" s="137">
        <f>[1]flow_freeway!D62</f>
        <v>12063.563477</v>
      </c>
    </row>
    <row r="63" spans="4:7" x14ac:dyDescent="0.25">
      <c r="D63">
        <f>[1]flow_freeway!A63</f>
        <v>653</v>
      </c>
      <c r="E63" s="137">
        <f>[1]flow_freeway!B63</f>
        <v>1828.7254640000001</v>
      </c>
      <c r="F63" s="137">
        <f>[1]flow_freeway!C63</f>
        <v>1828.7254640000001</v>
      </c>
      <c r="G63" s="137">
        <f>[1]flow_freeway!D63</f>
        <v>0</v>
      </c>
    </row>
    <row r="64" spans="4:7" x14ac:dyDescent="0.25">
      <c r="D64">
        <f>[1]flow_freeway!A64</f>
        <v>659</v>
      </c>
      <c r="E64" s="137">
        <f>[1]flow_freeway!B64</f>
        <v>1828.7254640000001</v>
      </c>
      <c r="F64" s="137">
        <f>[1]flow_freeway!C64</f>
        <v>1828.7254640000001</v>
      </c>
      <c r="G64" s="137">
        <f>[1]flow_freeway!D64</f>
        <v>0</v>
      </c>
    </row>
    <row r="65" spans="4:7" x14ac:dyDescent="0.25">
      <c r="D65">
        <f>[1]flow_freeway!A65</f>
        <v>660</v>
      </c>
      <c r="E65" s="137">
        <f>[1]flow_freeway!B65</f>
        <v>1828.7254640000001</v>
      </c>
      <c r="F65" s="137">
        <f>[1]flow_freeway!C65</f>
        <v>1828.7254640000001</v>
      </c>
      <c r="G65" s="137">
        <f>[1]flow_freeway!D65</f>
        <v>0</v>
      </c>
    </row>
    <row r="66" spans="4:7" x14ac:dyDescent="0.25">
      <c r="D66">
        <f>[1]flow_freeway!A66</f>
        <v>662</v>
      </c>
      <c r="E66" s="137">
        <f>[1]flow_freeway!B66</f>
        <v>1828.7254640000001</v>
      </c>
      <c r="F66" s="137">
        <f>[1]flow_freeway!C66</f>
        <v>1828.7254640000001</v>
      </c>
      <c r="G66" s="137">
        <f>[1]flow_freeway!D66</f>
        <v>0</v>
      </c>
    </row>
    <row r="67" spans="4:7" x14ac:dyDescent="0.25">
      <c r="D67">
        <f>[1]flow_freeway!A67</f>
        <v>663</v>
      </c>
      <c r="E67" s="137">
        <f>[1]flow_freeway!B67</f>
        <v>14328.058105999999</v>
      </c>
      <c r="F67" s="137">
        <f>[1]flow_freeway!C67</f>
        <v>3814.3076169999999</v>
      </c>
      <c r="G67" s="137">
        <f>[1]flow_freeway!D67</f>
        <v>4319.5708009999998</v>
      </c>
    </row>
    <row r="68" spans="4:7" x14ac:dyDescent="0.25">
      <c r="D68">
        <f>[1]flow_freeway!A68</f>
        <v>664</v>
      </c>
      <c r="E68" s="137">
        <f>[1]flow_freeway!B68</f>
        <v>17267.160339999999</v>
      </c>
      <c r="F68" s="137">
        <f>[1]flow_freeway!C68</f>
        <v>3984.5429690000001</v>
      </c>
      <c r="G68" s="137">
        <f>[1]flow_freeway!D68</f>
        <v>4798.4726559999999</v>
      </c>
    </row>
    <row r="69" spans="4:7" x14ac:dyDescent="0.25">
      <c r="D69">
        <f>[1]flow_freeway!A69</f>
        <v>665</v>
      </c>
      <c r="E69" s="137">
        <f>[1]flow_freeway!B69</f>
        <v>1985.8908690000001</v>
      </c>
      <c r="F69" s="137">
        <f>[1]flow_freeway!C69</f>
        <v>0</v>
      </c>
      <c r="G69" s="137">
        <f>[1]flow_freeway!D69</f>
        <v>1985.8908690000001</v>
      </c>
    </row>
    <row r="70" spans="4:7" x14ac:dyDescent="0.25">
      <c r="D70">
        <f>[1]flow_freeway!A70</f>
        <v>666</v>
      </c>
      <c r="E70" s="137">
        <f>[1]flow_freeway!B70</f>
        <v>1985.8908690000001</v>
      </c>
      <c r="F70" s="137">
        <f>[1]flow_freeway!C70</f>
        <v>0</v>
      </c>
      <c r="G70" s="137">
        <f>[1]flow_freeway!D70</f>
        <v>1985.8908690000001</v>
      </c>
    </row>
    <row r="71" spans="4:7" x14ac:dyDescent="0.25">
      <c r="D71">
        <f>[1]flow_freeway!A71</f>
        <v>668</v>
      </c>
      <c r="E71" s="137">
        <f>[1]flow_freeway!B71</f>
        <v>1985.8908690000001</v>
      </c>
      <c r="F71" s="137">
        <f>[1]flow_freeway!C71</f>
        <v>0</v>
      </c>
      <c r="G71" s="137">
        <f>[1]flow_freeway!D71</f>
        <v>1985.8908690000001</v>
      </c>
    </row>
    <row r="72" spans="4:7" x14ac:dyDescent="0.25">
      <c r="D72">
        <f>[1]flow_freeway!A72</f>
        <v>669</v>
      </c>
      <c r="E72" s="137">
        <f>[1]flow_freeway!B72</f>
        <v>96128.014647999997</v>
      </c>
      <c r="F72" s="137">
        <f>[1]flow_freeway!C72</f>
        <v>16799.941406000002</v>
      </c>
      <c r="G72" s="137">
        <f>[1]flow_freeway!D72</f>
        <v>28008.777343999998</v>
      </c>
    </row>
    <row r="73" spans="4:7" x14ac:dyDescent="0.25">
      <c r="D73">
        <f>[1]flow_freeway!A73</f>
        <v>671</v>
      </c>
      <c r="E73" s="137">
        <f>[1]flow_freeway!B73</f>
        <v>93664.69384800001</v>
      </c>
      <c r="F73" s="137">
        <f>[1]flow_freeway!C73</f>
        <v>15305.530273</v>
      </c>
      <c r="G73" s="137">
        <f>[1]flow_freeway!D73</f>
        <v>27788.960938</v>
      </c>
    </row>
    <row r="74" spans="4:7" x14ac:dyDescent="0.25">
      <c r="D74">
        <f>[1]flow_freeway!A74</f>
        <v>672</v>
      </c>
      <c r="E74" s="137">
        <f>[1]flow_freeway!B74</f>
        <v>94049.779297000001</v>
      </c>
      <c r="F74" s="137">
        <f>[1]flow_freeway!C74</f>
        <v>22419.826172000001</v>
      </c>
      <c r="G74" s="137">
        <f>[1]flow_freeway!D74</f>
        <v>18324.837890999999</v>
      </c>
    </row>
    <row r="75" spans="4:7" x14ac:dyDescent="0.25">
      <c r="D75">
        <f>[1]flow_freeway!A75</f>
        <v>673</v>
      </c>
      <c r="E75" s="137">
        <f>[1]flow_freeway!B75</f>
        <v>88528.632812999989</v>
      </c>
      <c r="F75" s="137">
        <f>[1]flow_freeway!C75</f>
        <v>14321.339844</v>
      </c>
      <c r="G75" s="137">
        <f>[1]flow_freeway!D75</f>
        <v>26519.716797000001</v>
      </c>
    </row>
    <row r="76" spans="4:7" x14ac:dyDescent="0.25">
      <c r="D76">
        <f>[1]flow_freeway!A76</f>
        <v>674</v>
      </c>
      <c r="E76" s="137">
        <f>[1]flow_freeway!B76</f>
        <v>88440.536622</v>
      </c>
      <c r="F76" s="137">
        <f>[1]flow_freeway!C76</f>
        <v>21682.5625</v>
      </c>
      <c r="G76" s="137">
        <f>[1]flow_freeway!D76</f>
        <v>16250.509765999999</v>
      </c>
    </row>
    <row r="77" spans="4:7" x14ac:dyDescent="0.25">
      <c r="D77">
        <f>[1]flow_freeway!A77</f>
        <v>675</v>
      </c>
      <c r="E77" s="137">
        <f>[1]flow_freeway!B77</f>
        <v>94304.983396999989</v>
      </c>
      <c r="F77" s="137">
        <f>[1]flow_freeway!C77</f>
        <v>22666.785156000002</v>
      </c>
      <c r="G77" s="137">
        <f>[1]flow_freeway!D77</f>
        <v>17459.945312</v>
      </c>
    </row>
    <row r="78" spans="4:7" x14ac:dyDescent="0.25">
      <c r="D78">
        <f>[1]flow_freeway!A78</f>
        <v>684</v>
      </c>
      <c r="E78" s="137">
        <f>[1]flow_freeway!B78</f>
        <v>23993.076416999997</v>
      </c>
      <c r="F78" s="137">
        <f>[1]flow_freeway!C78</f>
        <v>4344.1606449999999</v>
      </c>
      <c r="G78" s="137">
        <f>[1]flow_freeway!D78</f>
        <v>4581.9057620000003</v>
      </c>
    </row>
    <row r="79" spans="4:7" x14ac:dyDescent="0.25">
      <c r="D79">
        <f>[1]flow_freeway!A79</f>
        <v>685</v>
      </c>
      <c r="E79" s="137">
        <f>[1]flow_freeway!B79</f>
        <v>23355.613279999998</v>
      </c>
      <c r="F79" s="137">
        <f>[1]flow_freeway!C79</f>
        <v>4159.7348629999997</v>
      </c>
      <c r="G79" s="137">
        <f>[1]flow_freeway!D79</f>
        <v>4544.6948240000002</v>
      </c>
    </row>
    <row r="80" spans="4:7" x14ac:dyDescent="0.25">
      <c r="D80">
        <f>[1]flow_freeway!A80</f>
        <v>686</v>
      </c>
      <c r="E80" s="137">
        <f>[1]flow_freeway!B80</f>
        <v>33285.762940000001</v>
      </c>
      <c r="F80" s="137">
        <f>[1]flow_freeway!C80</f>
        <v>5868.5825199999999</v>
      </c>
      <c r="G80" s="137">
        <f>[1]flow_freeway!D80</f>
        <v>6969.0131840000004</v>
      </c>
    </row>
    <row r="81" spans="4:7" x14ac:dyDescent="0.25">
      <c r="D81">
        <f>[1]flow_freeway!A81</f>
        <v>687</v>
      </c>
      <c r="E81" s="137">
        <f>[1]flow_freeway!B81</f>
        <v>29246.889404000001</v>
      </c>
      <c r="F81" s="137">
        <f>[1]flow_freeway!C81</f>
        <v>5271.0214839999999</v>
      </c>
      <c r="G81" s="137">
        <f>[1]flow_freeway!D81</f>
        <v>6142.1508789999998</v>
      </c>
    </row>
    <row r="82" spans="4:7" x14ac:dyDescent="0.25">
      <c r="D82">
        <f>[1]flow_freeway!A82</f>
        <v>688</v>
      </c>
      <c r="E82" s="137">
        <f>[1]flow_freeway!B82</f>
        <v>63478.188964000001</v>
      </c>
      <c r="F82" s="137">
        <f>[1]flow_freeway!C82</f>
        <v>11927.961914</v>
      </c>
      <c r="G82" s="137">
        <f>[1]flow_freeway!D82</f>
        <v>13926.9375</v>
      </c>
    </row>
    <row r="83" spans="4:7" x14ac:dyDescent="0.25">
      <c r="D83">
        <f>[1]flow_freeway!A83</f>
        <v>689</v>
      </c>
      <c r="E83" s="137">
        <f>[1]flow_freeway!B83</f>
        <v>56309.528318999997</v>
      </c>
      <c r="F83" s="137">
        <f>[1]flow_freeway!C83</f>
        <v>10444.539062</v>
      </c>
      <c r="G83" s="137">
        <f>[1]flow_freeway!D83</f>
        <v>12750.075194999999</v>
      </c>
    </row>
    <row r="84" spans="4:7" x14ac:dyDescent="0.25">
      <c r="D84">
        <f>[1]flow_freeway!A84</f>
        <v>690</v>
      </c>
      <c r="E84" s="137">
        <f>[1]flow_freeway!B84</f>
        <v>77623.078124000007</v>
      </c>
      <c r="F84" s="137">
        <f>[1]flow_freeway!C84</f>
        <v>15187.789062</v>
      </c>
      <c r="G84" s="137">
        <f>[1]flow_freeway!D84</f>
        <v>17749.285156000002</v>
      </c>
    </row>
    <row r="85" spans="4:7" x14ac:dyDescent="0.25">
      <c r="D85">
        <f>[1]flow_freeway!A85</f>
        <v>696</v>
      </c>
      <c r="E85" s="137">
        <f>[1]flow_freeway!B85</f>
        <v>67227.285157000006</v>
      </c>
      <c r="F85" s="137">
        <f>[1]flow_freeway!C85</f>
        <v>13381.326171999999</v>
      </c>
      <c r="G85" s="137">
        <f>[1]flow_freeway!D85</f>
        <v>15686.220703000001</v>
      </c>
    </row>
    <row r="86" spans="4:7" x14ac:dyDescent="0.25">
      <c r="D86">
        <f>[1]flow_freeway!A86</f>
        <v>698</v>
      </c>
      <c r="E86" s="137">
        <f>[1]flow_freeway!B86</f>
        <v>77585.795897999997</v>
      </c>
      <c r="F86" s="137">
        <f>[1]flow_freeway!C86</f>
        <v>15712.217773</v>
      </c>
      <c r="G86" s="137">
        <f>[1]flow_freeway!D86</f>
        <v>18137.439452999999</v>
      </c>
    </row>
    <row r="87" spans="4:7" x14ac:dyDescent="0.25">
      <c r="D87">
        <f>[1]flow_freeway!A87</f>
        <v>699</v>
      </c>
      <c r="E87" s="137">
        <f>[1]flow_freeway!B87</f>
        <v>64460.819578999995</v>
      </c>
      <c r="F87" s="137">
        <f>[1]flow_freeway!C87</f>
        <v>13317.691406</v>
      </c>
      <c r="G87" s="137">
        <f>[1]flow_freeway!D87</f>
        <v>15148.833984000001</v>
      </c>
    </row>
    <row r="88" spans="4:7" x14ac:dyDescent="0.25">
      <c r="D88">
        <f>[1]flow_freeway!A88</f>
        <v>700</v>
      </c>
      <c r="E88" s="137">
        <f>[1]flow_freeway!B88</f>
        <v>79601.837402999998</v>
      </c>
      <c r="F88" s="137">
        <f>[1]flow_freeway!C88</f>
        <v>17016.806640999999</v>
      </c>
      <c r="G88" s="137">
        <f>[1]flow_freeway!D88</f>
        <v>17950.041015999999</v>
      </c>
    </row>
    <row r="89" spans="4:7" x14ac:dyDescent="0.25">
      <c r="D89">
        <f>[1]flow_freeway!A89</f>
        <v>702</v>
      </c>
      <c r="E89" s="137">
        <f>[1]flow_freeway!B89</f>
        <v>78078.392090000008</v>
      </c>
      <c r="F89" s="137">
        <f>[1]flow_freeway!C89</f>
        <v>15493.361328000001</v>
      </c>
      <c r="G89" s="137">
        <f>[1]flow_freeway!D89</f>
        <v>17950.041015999999</v>
      </c>
    </row>
    <row r="90" spans="4:7" x14ac:dyDescent="0.25">
      <c r="D90">
        <f>[1]flow_freeway!A90</f>
        <v>703</v>
      </c>
      <c r="E90" s="137">
        <f>[1]flow_freeway!B90</f>
        <v>70458.823729999989</v>
      </c>
      <c r="F90" s="137">
        <f>[1]flow_freeway!C90</f>
        <v>13912.359375</v>
      </c>
      <c r="G90" s="137">
        <f>[1]flow_freeway!D90</f>
        <v>16374.408203000001</v>
      </c>
    </row>
    <row r="91" spans="4:7" x14ac:dyDescent="0.25">
      <c r="D91">
        <f>[1]flow_freeway!A91</f>
        <v>704</v>
      </c>
      <c r="E91" s="137">
        <f>[1]flow_freeway!B91</f>
        <v>93955.051757999987</v>
      </c>
      <c r="F91" s="137">
        <f>[1]flow_freeway!C91</f>
        <v>17788.46875</v>
      </c>
      <c r="G91" s="137">
        <f>[1]flow_freeway!D91</f>
        <v>20226.599609000001</v>
      </c>
    </row>
    <row r="92" spans="4:7" x14ac:dyDescent="0.25">
      <c r="D92">
        <f>[1]flow_freeway!A92</f>
        <v>705</v>
      </c>
      <c r="E92" s="137">
        <f>[1]flow_freeway!B92</f>
        <v>103793.88671799999</v>
      </c>
      <c r="F92" s="137">
        <f>[1]flow_freeway!C92</f>
        <v>20871.912109000001</v>
      </c>
      <c r="G92" s="137">
        <f>[1]flow_freeway!D92</f>
        <v>22324.302734000001</v>
      </c>
    </row>
    <row r="93" spans="4:7" x14ac:dyDescent="0.25">
      <c r="D93">
        <f>[1]flow_freeway!A93</f>
        <v>706</v>
      </c>
      <c r="E93" s="137">
        <f>[1]flow_freeway!B93</f>
        <v>112043.30468799999</v>
      </c>
      <c r="F93" s="137">
        <f>[1]flow_freeway!C93</f>
        <v>22931.871093999998</v>
      </c>
      <c r="G93" s="137">
        <f>[1]flow_freeway!D93</f>
        <v>24022.767577999999</v>
      </c>
    </row>
    <row r="94" spans="4:7" x14ac:dyDescent="0.25">
      <c r="D94">
        <f>[1]flow_freeway!A94</f>
        <v>707</v>
      </c>
      <c r="E94" s="137">
        <f>[1]flow_freeway!B94</f>
        <v>82835.215331999992</v>
      </c>
      <c r="F94" s="137">
        <f>[1]flow_freeway!C94</f>
        <v>17516.517577999999</v>
      </c>
      <c r="G94" s="137">
        <f>[1]flow_freeway!D94</f>
        <v>17020.642577999999</v>
      </c>
    </row>
    <row r="95" spans="4:7" x14ac:dyDescent="0.25">
      <c r="D95">
        <f>[1]flow_freeway!A95</f>
        <v>708</v>
      </c>
      <c r="E95" s="137">
        <f>[1]flow_freeway!B95</f>
        <v>76611.419433000003</v>
      </c>
      <c r="F95" s="137">
        <f>[1]flow_freeway!C95</f>
        <v>16137.199219</v>
      </c>
      <c r="G95" s="137">
        <f>[1]flow_freeway!D95</f>
        <v>15648.295898</v>
      </c>
    </row>
    <row r="96" spans="4:7" x14ac:dyDescent="0.25">
      <c r="D96">
        <f>[1]flow_freeway!A96</f>
        <v>711</v>
      </c>
      <c r="E96" s="137">
        <f>[1]flow_freeway!B96</f>
        <v>88269.198728999996</v>
      </c>
      <c r="F96" s="137">
        <f>[1]flow_freeway!C96</f>
        <v>19690.048827999999</v>
      </c>
      <c r="G96" s="137">
        <f>[1]flow_freeway!D96</f>
        <v>18532.173827999999</v>
      </c>
    </row>
    <row r="97" spans="4:7" x14ac:dyDescent="0.25">
      <c r="D97">
        <f>[1]flow_freeway!A97</f>
        <v>716</v>
      </c>
      <c r="E97" s="137">
        <f>[1]flow_freeway!B97</f>
        <v>113330.40625</v>
      </c>
      <c r="F97" s="137">
        <f>[1]flow_freeway!C97</f>
        <v>26770.097656000002</v>
      </c>
      <c r="G97" s="137">
        <f>[1]flow_freeway!D97</f>
        <v>22947.023438</v>
      </c>
    </row>
    <row r="98" spans="4:7" x14ac:dyDescent="0.25">
      <c r="D98">
        <f>[1]flow_freeway!A98</f>
        <v>717</v>
      </c>
      <c r="E98" s="137">
        <f>[1]flow_freeway!B98</f>
        <v>109693.649414</v>
      </c>
      <c r="F98" s="137">
        <f>[1]flow_freeway!C98</f>
        <v>25772.324218999998</v>
      </c>
      <c r="G98" s="137">
        <f>[1]flow_freeway!D98</f>
        <v>22242.964843999998</v>
      </c>
    </row>
    <row r="99" spans="4:7" x14ac:dyDescent="0.25">
      <c r="D99">
        <f>[1]flow_freeway!A99</f>
        <v>720</v>
      </c>
      <c r="E99" s="137">
        <f>[1]flow_freeway!B99</f>
        <v>114625.756836</v>
      </c>
      <c r="F99" s="137">
        <f>[1]flow_freeway!C99</f>
        <v>27136.039062</v>
      </c>
      <c r="G99" s="137">
        <f>[1]flow_freeway!D99</f>
        <v>22494.580077999999</v>
      </c>
    </row>
    <row r="100" spans="4:7" x14ac:dyDescent="0.25">
      <c r="D100">
        <f>[1]flow_freeway!A100</f>
        <v>721</v>
      </c>
      <c r="E100" s="137">
        <f>[1]flow_freeway!B100</f>
        <v>110784.33837900001</v>
      </c>
      <c r="F100" s="137">
        <f>[1]flow_freeway!C100</f>
        <v>18877.945312</v>
      </c>
      <c r="G100" s="137">
        <f>[1]flow_freeway!D100</f>
        <v>32537.75</v>
      </c>
    </row>
    <row r="101" spans="4:7" x14ac:dyDescent="0.25">
      <c r="D101">
        <f>[1]flow_freeway!A101</f>
        <v>722</v>
      </c>
      <c r="E101" s="137">
        <f>[1]flow_freeway!B101</f>
        <v>118255.37207</v>
      </c>
      <c r="F101" s="137">
        <f>[1]flow_freeway!C101</f>
        <v>27838.642577999999</v>
      </c>
      <c r="G101" s="137">
        <f>[1]flow_freeway!D101</f>
        <v>24528.134765999999</v>
      </c>
    </row>
    <row r="102" spans="4:7" x14ac:dyDescent="0.25">
      <c r="D102">
        <f>[1]flow_freeway!A102</f>
        <v>725</v>
      </c>
      <c r="E102" s="137">
        <f>[1]flow_freeway!B102</f>
        <v>119699.527344</v>
      </c>
      <c r="F102" s="137">
        <f>[1]flow_freeway!C102</f>
        <v>28270.28125</v>
      </c>
      <c r="G102" s="137">
        <f>[1]flow_freeway!D102</f>
        <v>23687.25</v>
      </c>
    </row>
    <row r="103" spans="4:7" x14ac:dyDescent="0.25">
      <c r="D103">
        <f>[1]flow_freeway!A103</f>
        <v>726</v>
      </c>
      <c r="E103" s="137">
        <f>[1]flow_freeway!B103</f>
        <v>115141.61914000001</v>
      </c>
      <c r="F103" s="137">
        <f>[1]flow_freeway!C103</f>
        <v>27491.552734000001</v>
      </c>
      <c r="G103" s="137">
        <f>[1]flow_freeway!D103</f>
        <v>22874.732422000001</v>
      </c>
    </row>
    <row r="104" spans="4:7" x14ac:dyDescent="0.25">
      <c r="D104">
        <f>[1]flow_freeway!A104</f>
        <v>727</v>
      </c>
      <c r="E104" s="137">
        <f>[1]flow_freeway!B104</f>
        <v>126433.42284999999</v>
      </c>
      <c r="F104" s="137">
        <f>[1]flow_freeway!C104</f>
        <v>29631.130859000001</v>
      </c>
      <c r="G104" s="137">
        <f>[1]flow_freeway!D104</f>
        <v>24749.662109000001</v>
      </c>
    </row>
    <row r="105" spans="4:7" x14ac:dyDescent="0.25">
      <c r="D105">
        <f>[1]flow_freeway!A105</f>
        <v>728</v>
      </c>
      <c r="E105" s="137">
        <f>[1]flow_freeway!B105</f>
        <v>121344.80761800001</v>
      </c>
      <c r="F105" s="137">
        <f>[1]flow_freeway!C105</f>
        <v>28279.71875</v>
      </c>
      <c r="G105" s="137">
        <f>[1]flow_freeway!D105</f>
        <v>23706.666015999999</v>
      </c>
    </row>
    <row r="106" spans="4:7" x14ac:dyDescent="0.25">
      <c r="D106">
        <f>[1]flow_freeway!A106</f>
        <v>729</v>
      </c>
      <c r="E106" s="137">
        <f>[1]flow_freeway!B106</f>
        <v>93283.437012000009</v>
      </c>
      <c r="F106" s="137">
        <f>[1]flow_freeway!C106</f>
        <v>25543.279297000001</v>
      </c>
      <c r="G106" s="137">
        <f>[1]flow_freeway!D106</f>
        <v>18735.220702999999</v>
      </c>
    </row>
    <row r="107" spans="4:7" x14ac:dyDescent="0.25">
      <c r="D107">
        <f>[1]flow_freeway!A107</f>
        <v>730</v>
      </c>
      <c r="E107" s="137">
        <f>[1]flow_freeway!B107</f>
        <v>96631.736816000004</v>
      </c>
      <c r="F107" s="137">
        <f>[1]flow_freeway!C107</f>
        <v>26819.771484000001</v>
      </c>
      <c r="G107" s="137">
        <f>[1]flow_freeway!D107</f>
        <v>19521.953125</v>
      </c>
    </row>
    <row r="108" spans="4:7" x14ac:dyDescent="0.25">
      <c r="D108">
        <f>[1]flow_freeway!A108</f>
        <v>733</v>
      </c>
      <c r="E108" s="137">
        <f>[1]flow_freeway!B108</f>
        <v>91431.995116999984</v>
      </c>
      <c r="F108" s="137">
        <f>[1]flow_freeway!C108</f>
        <v>25886.861327999999</v>
      </c>
      <c r="G108" s="137">
        <f>[1]flow_freeway!D108</f>
        <v>18197.052734000001</v>
      </c>
    </row>
    <row r="109" spans="4:7" x14ac:dyDescent="0.25">
      <c r="D109">
        <f>[1]flow_freeway!A109</f>
        <v>734</v>
      </c>
      <c r="E109" s="137">
        <f>[1]flow_freeway!B109</f>
        <v>90248.988282000006</v>
      </c>
      <c r="F109" s="137">
        <f>[1]flow_freeway!C109</f>
        <v>14893.682617</v>
      </c>
      <c r="G109" s="137">
        <f>[1]flow_freeway!D109</f>
        <v>26676.529297000001</v>
      </c>
    </row>
    <row r="110" spans="4:7" x14ac:dyDescent="0.25">
      <c r="D110">
        <f>[1]flow_freeway!A110</f>
        <v>735</v>
      </c>
      <c r="E110" s="137">
        <f>[1]flow_freeway!B110</f>
        <v>90090.123045999993</v>
      </c>
      <c r="F110" s="137">
        <f>[1]flow_freeway!C110</f>
        <v>21472.263672000001</v>
      </c>
      <c r="G110" s="137">
        <f>[1]flow_freeway!D110</f>
        <v>17917.552734000001</v>
      </c>
    </row>
    <row r="111" spans="4:7" x14ac:dyDescent="0.25">
      <c r="D111">
        <f>[1]flow_freeway!A111</f>
        <v>738</v>
      </c>
      <c r="E111" s="137">
        <f>[1]flow_freeway!B111</f>
        <v>74621.187987999991</v>
      </c>
      <c r="F111" s="137">
        <f>[1]flow_freeway!C111</f>
        <v>21932.548827999999</v>
      </c>
      <c r="G111" s="137">
        <f>[1]flow_freeway!D111</f>
        <v>14083.180664</v>
      </c>
    </row>
    <row r="112" spans="4:7" x14ac:dyDescent="0.25">
      <c r="D112">
        <f>[1]flow_freeway!A112</f>
        <v>743</v>
      </c>
      <c r="E112" s="137">
        <f>[1]flow_freeway!B112</f>
        <v>97639.727051000009</v>
      </c>
      <c r="F112" s="137">
        <f>[1]flow_freeway!C112</f>
        <v>27100.044922000001</v>
      </c>
      <c r="G112" s="137">
        <f>[1]flow_freeway!D112</f>
        <v>19282.535156000002</v>
      </c>
    </row>
    <row r="113" spans="4:7" x14ac:dyDescent="0.25">
      <c r="D113">
        <f>[1]flow_freeway!A113</f>
        <v>744</v>
      </c>
      <c r="E113" s="137">
        <f>[1]flow_freeway!B113</f>
        <v>87791.646483000004</v>
      </c>
      <c r="F113" s="137">
        <f>[1]flow_freeway!C113</f>
        <v>25174.185547000001</v>
      </c>
      <c r="G113" s="137">
        <f>[1]flow_freeway!D113</f>
        <v>16937.144531000002</v>
      </c>
    </row>
    <row r="114" spans="4:7" x14ac:dyDescent="0.25">
      <c r="D114">
        <f>[1]flow_freeway!A114</f>
        <v>746</v>
      </c>
      <c r="E114" s="137">
        <f>[1]flow_freeway!B114</f>
        <v>98109.87402399999</v>
      </c>
      <c r="F114" s="137">
        <f>[1]flow_freeway!C114</f>
        <v>27431.917968999998</v>
      </c>
      <c r="G114" s="137">
        <f>[1]flow_freeway!D114</f>
        <v>18960.5625</v>
      </c>
    </row>
    <row r="115" spans="4:7" x14ac:dyDescent="0.25">
      <c r="D115">
        <f>[1]flow_freeway!A115</f>
        <v>748</v>
      </c>
      <c r="E115" s="137">
        <f>[1]flow_freeway!B115</f>
        <v>99117.828612999991</v>
      </c>
      <c r="F115" s="137">
        <f>[1]flow_freeway!C115</f>
        <v>27102.697265999999</v>
      </c>
      <c r="G115" s="137">
        <f>[1]flow_freeway!D115</f>
        <v>17919.158202999999</v>
      </c>
    </row>
    <row r="116" spans="4:7" x14ac:dyDescent="0.25">
      <c r="D116">
        <f>[1]flow_freeway!A116</f>
        <v>749</v>
      </c>
      <c r="E116" s="137">
        <f>[1]flow_freeway!B116</f>
        <v>114851.54882900001</v>
      </c>
      <c r="F116" s="137">
        <f>[1]flow_freeway!C116</f>
        <v>31462.236327999999</v>
      </c>
      <c r="G116" s="137">
        <f>[1]flow_freeway!D116</f>
        <v>21639.642577999999</v>
      </c>
    </row>
    <row r="117" spans="4:7" x14ac:dyDescent="0.25">
      <c r="D117">
        <f>[1]flow_freeway!A117</f>
        <v>751</v>
      </c>
      <c r="E117" s="137">
        <f>[1]flow_freeway!B117</f>
        <v>118978.48632900001</v>
      </c>
      <c r="F117" s="137">
        <f>[1]flow_freeway!C117</f>
        <v>31951.941406000002</v>
      </c>
      <c r="G117" s="137">
        <f>[1]flow_freeway!D117</f>
        <v>23431.509765999999</v>
      </c>
    </row>
    <row r="118" spans="4:7" x14ac:dyDescent="0.25">
      <c r="D118">
        <f>[1]flow_freeway!A118</f>
        <v>752</v>
      </c>
      <c r="E118" s="137">
        <f>[1]flow_freeway!B118</f>
        <v>112208.13085799999</v>
      </c>
      <c r="F118" s="137">
        <f>[1]flow_freeway!C118</f>
        <v>30514.957031000002</v>
      </c>
      <c r="G118" s="137">
        <f>[1]flow_freeway!D118</f>
        <v>21650.863281000002</v>
      </c>
    </row>
    <row r="119" spans="4:7" x14ac:dyDescent="0.25">
      <c r="D119">
        <f>[1]flow_freeway!A119</f>
        <v>753</v>
      </c>
      <c r="E119" s="137">
        <f>[1]flow_freeway!B119</f>
        <v>116691.20898400001</v>
      </c>
      <c r="F119" s="137">
        <f>[1]flow_freeway!C119</f>
        <v>31584.695312</v>
      </c>
      <c r="G119" s="137">
        <f>[1]flow_freeway!D119</f>
        <v>22740.085938</v>
      </c>
    </row>
    <row r="120" spans="4:7" x14ac:dyDescent="0.25">
      <c r="D120">
        <f>[1]flow_freeway!A120</f>
        <v>754</v>
      </c>
      <c r="E120" s="137">
        <f>[1]flow_freeway!B120</f>
        <v>104067.132812</v>
      </c>
      <c r="F120" s="137">
        <f>[1]flow_freeway!C120</f>
        <v>28499.257812</v>
      </c>
      <c r="G120" s="137">
        <f>[1]flow_freeway!D120</f>
        <v>20242.072265999999</v>
      </c>
    </row>
    <row r="121" spans="4:7" x14ac:dyDescent="0.25">
      <c r="D121">
        <f>[1]flow_freeway!A121</f>
        <v>755</v>
      </c>
      <c r="E121" s="137">
        <f>[1]flow_freeway!B121</f>
        <v>83091.062988000005</v>
      </c>
      <c r="F121" s="137">
        <f>[1]flow_freeway!C121</f>
        <v>21892.751952999999</v>
      </c>
      <c r="G121" s="137">
        <f>[1]flow_freeway!D121</f>
        <v>16646.431640999999</v>
      </c>
    </row>
    <row r="122" spans="4:7" x14ac:dyDescent="0.25">
      <c r="D122">
        <f>[1]flow_freeway!A122</f>
        <v>756</v>
      </c>
      <c r="E122" s="137">
        <f>[1]flow_freeway!B122</f>
        <v>116742.639649</v>
      </c>
      <c r="F122" s="137">
        <f>[1]flow_freeway!C122</f>
        <v>29080.607422000001</v>
      </c>
      <c r="G122" s="137">
        <f>[1]flow_freeway!D122</f>
        <v>24933.210938</v>
      </c>
    </row>
    <row r="123" spans="4:7" x14ac:dyDescent="0.25">
      <c r="D123">
        <f>[1]flow_freeway!A123</f>
        <v>757</v>
      </c>
      <c r="E123" s="137">
        <f>[1]flow_freeway!B123</f>
        <v>97408.075194999998</v>
      </c>
      <c r="F123" s="137">
        <f>[1]flow_freeway!C123</f>
        <v>24631.470702999999</v>
      </c>
      <c r="G123" s="137">
        <f>[1]flow_freeway!D123</f>
        <v>20545.136718999998</v>
      </c>
    </row>
    <row r="124" spans="4:7" x14ac:dyDescent="0.25">
      <c r="D124">
        <f>[1]flow_freeway!A124</f>
        <v>758</v>
      </c>
      <c r="E124" s="137">
        <f>[1]flow_freeway!B124</f>
        <v>114198.53320199999</v>
      </c>
      <c r="F124" s="137">
        <f>[1]flow_freeway!C124</f>
        <v>27044.609375</v>
      </c>
      <c r="G124" s="137">
        <f>[1]flow_freeway!D124</f>
        <v>24778.857422000001</v>
      </c>
    </row>
    <row r="125" spans="4:7" x14ac:dyDescent="0.25">
      <c r="D125">
        <f>[1]flow_freeway!A125</f>
        <v>759</v>
      </c>
      <c r="E125" s="137">
        <f>[1]flow_freeway!B125</f>
        <v>95275.635741999999</v>
      </c>
      <c r="F125" s="137">
        <f>[1]flow_freeway!C125</f>
        <v>22637.242188</v>
      </c>
      <c r="G125" s="137">
        <f>[1]flow_freeway!D125</f>
        <v>20713.410156000002</v>
      </c>
    </row>
    <row r="126" spans="4:7" x14ac:dyDescent="0.25">
      <c r="D126">
        <f>[1]flow_freeway!A126</f>
        <v>760</v>
      </c>
      <c r="E126" s="137">
        <f>[1]flow_freeway!B126</f>
        <v>111958.31836</v>
      </c>
      <c r="F126" s="137">
        <f>[1]flow_freeway!C126</f>
        <v>24905.785156000002</v>
      </c>
      <c r="G126" s="137">
        <f>[1]flow_freeway!D126</f>
        <v>24893.716797000001</v>
      </c>
    </row>
    <row r="127" spans="4:7" x14ac:dyDescent="0.25">
      <c r="D127">
        <f>[1]flow_freeway!A127</f>
        <v>762</v>
      </c>
      <c r="E127" s="137">
        <f>[1]flow_freeway!B127</f>
        <v>95514.772461</v>
      </c>
      <c r="F127" s="137">
        <f>[1]flow_freeway!C127</f>
        <v>21888.533202999999</v>
      </c>
      <c r="G127" s="137">
        <f>[1]flow_freeway!D127</f>
        <v>20602.693359000001</v>
      </c>
    </row>
    <row r="128" spans="4:7" x14ac:dyDescent="0.25">
      <c r="D128">
        <f>[1]flow_freeway!A128</f>
        <v>763</v>
      </c>
      <c r="E128" s="137">
        <f>[1]flow_freeway!B128</f>
        <v>88099.647947999998</v>
      </c>
      <c r="F128" s="137">
        <f>[1]flow_freeway!C128</f>
        <v>19920.380859000001</v>
      </c>
      <c r="G128" s="137">
        <f>[1]flow_freeway!D128</f>
        <v>18223.599609000001</v>
      </c>
    </row>
    <row r="129" spans="4:7" x14ac:dyDescent="0.25">
      <c r="D129">
        <f>[1]flow_freeway!A129</f>
        <v>764</v>
      </c>
      <c r="E129" s="137">
        <f>[1]flow_freeway!B129</f>
        <v>125625.186524</v>
      </c>
      <c r="F129" s="137">
        <f>[1]flow_freeway!C129</f>
        <v>28915.431640999999</v>
      </c>
      <c r="G129" s="137">
        <f>[1]flow_freeway!D129</f>
        <v>27586.587890999999</v>
      </c>
    </row>
    <row r="130" spans="4:7" x14ac:dyDescent="0.25">
      <c r="D130">
        <f>[1]flow_freeway!A130</f>
        <v>768</v>
      </c>
      <c r="E130" s="137">
        <f>[1]flow_freeway!B130</f>
        <v>126861.50683500001</v>
      </c>
      <c r="F130" s="137">
        <f>[1]flow_freeway!C130</f>
        <v>22785.910156000002</v>
      </c>
      <c r="G130" s="137">
        <f>[1]flow_freeway!D130</f>
        <v>33589.320312000003</v>
      </c>
    </row>
    <row r="131" spans="4:7" x14ac:dyDescent="0.25">
      <c r="D131">
        <f>[1]flow_freeway!A131</f>
        <v>769</v>
      </c>
      <c r="E131" s="137">
        <f>[1]flow_freeway!B131</f>
        <v>96437.245116999999</v>
      </c>
      <c r="F131" s="137">
        <f>[1]flow_freeway!C131</f>
        <v>17502.212890999999</v>
      </c>
      <c r="G131" s="137">
        <f>[1]flow_freeway!D131</f>
        <v>26556.988281000002</v>
      </c>
    </row>
    <row r="132" spans="4:7" x14ac:dyDescent="0.25">
      <c r="D132">
        <f>[1]flow_freeway!A132</f>
        <v>770</v>
      </c>
      <c r="E132" s="137">
        <f>[1]flow_freeway!B132</f>
        <v>97499.236327999999</v>
      </c>
      <c r="F132" s="137">
        <f>[1]flow_freeway!C132</f>
        <v>17808.039062</v>
      </c>
      <c r="G132" s="137">
        <f>[1]flow_freeway!D132</f>
        <v>26809.523438</v>
      </c>
    </row>
    <row r="133" spans="4:7" x14ac:dyDescent="0.25">
      <c r="D133">
        <f>[1]flow_freeway!A133</f>
        <v>771</v>
      </c>
      <c r="E133" s="137">
        <f>[1]flow_freeway!B133</f>
        <v>112154.85449300001</v>
      </c>
      <c r="F133" s="137">
        <f>[1]flow_freeway!C133</f>
        <v>21553.492188</v>
      </c>
      <c r="G133" s="137">
        <f>[1]flow_freeway!D133</f>
        <v>30883.025390999999</v>
      </c>
    </row>
    <row r="134" spans="4:7" x14ac:dyDescent="0.25">
      <c r="D134">
        <f>[1]flow_freeway!A134</f>
        <v>772</v>
      </c>
      <c r="E134" s="137">
        <f>[1]flow_freeway!B134</f>
        <v>94202.918944999998</v>
      </c>
      <c r="F134" s="137">
        <f>[1]flow_freeway!C134</f>
        <v>17586.265625</v>
      </c>
      <c r="G134" s="137">
        <f>[1]flow_freeway!D134</f>
        <v>26490.0625</v>
      </c>
    </row>
    <row r="135" spans="4:7" x14ac:dyDescent="0.25">
      <c r="D135">
        <f>[1]flow_freeway!A135</f>
        <v>773</v>
      </c>
      <c r="E135" s="137">
        <f>[1]flow_freeway!B135</f>
        <v>102559.578125</v>
      </c>
      <c r="F135" s="137">
        <f>[1]flow_freeway!C135</f>
        <v>18451.607422000001</v>
      </c>
      <c r="G135" s="137">
        <f>[1]flow_freeway!D135</f>
        <v>29421.699218999998</v>
      </c>
    </row>
    <row r="136" spans="4:7" x14ac:dyDescent="0.25">
      <c r="D136">
        <f>[1]flow_freeway!A136</f>
        <v>774</v>
      </c>
      <c r="E136" s="137">
        <f>[1]flow_freeway!B136</f>
        <v>109818.71826199999</v>
      </c>
      <c r="F136" s="137">
        <f>[1]flow_freeway!C136</f>
        <v>20028.228515999999</v>
      </c>
      <c r="G136" s="137">
        <f>[1]flow_freeway!D136</f>
        <v>31196.792968999998</v>
      </c>
    </row>
    <row r="137" spans="4:7" x14ac:dyDescent="0.25">
      <c r="D137">
        <f>[1]flow_freeway!A137</f>
        <v>776</v>
      </c>
      <c r="E137" s="137">
        <f>[1]flow_freeway!B137</f>
        <v>92231.538573999991</v>
      </c>
      <c r="F137" s="137">
        <f>[1]flow_freeway!C137</f>
        <v>16336.040039</v>
      </c>
      <c r="G137" s="137">
        <f>[1]flow_freeway!D137</f>
        <v>27089.724609000001</v>
      </c>
    </row>
    <row r="138" spans="4:7" x14ac:dyDescent="0.25">
      <c r="D138">
        <f>[1]flow_freeway!A138</f>
        <v>777</v>
      </c>
      <c r="E138" s="137">
        <f>[1]flow_freeway!B138</f>
        <v>106646.81054599999</v>
      </c>
      <c r="F138" s="137">
        <f>[1]flow_freeway!C138</f>
        <v>18775.753906000002</v>
      </c>
      <c r="G138" s="137">
        <f>[1]flow_freeway!D138</f>
        <v>31576.833984000001</v>
      </c>
    </row>
    <row r="139" spans="4:7" x14ac:dyDescent="0.25">
      <c r="D139">
        <f>[1]flow_freeway!A139</f>
        <v>778</v>
      </c>
      <c r="E139" s="137">
        <f>[1]flow_freeway!B139</f>
        <v>81576.473876999997</v>
      </c>
      <c r="F139" s="137">
        <f>[1]flow_freeway!C139</f>
        <v>14596.849609000001</v>
      </c>
      <c r="G139" s="137">
        <f>[1]flow_freeway!D139</f>
        <v>24890.080077999999</v>
      </c>
    </row>
    <row r="140" spans="4:7" x14ac:dyDescent="0.25">
      <c r="D140">
        <f>[1]flow_freeway!A140</f>
        <v>779</v>
      </c>
      <c r="E140" s="137">
        <f>[1]flow_freeway!B140</f>
        <v>108331.272705</v>
      </c>
      <c r="F140" s="137">
        <f>[1]flow_freeway!C140</f>
        <v>17860.134765999999</v>
      </c>
      <c r="G140" s="137">
        <f>[1]flow_freeway!D140</f>
        <v>34519.601562000003</v>
      </c>
    </row>
    <row r="141" spans="4:7" x14ac:dyDescent="0.25">
      <c r="D141">
        <f>[1]flow_freeway!A141</f>
        <v>782</v>
      </c>
      <c r="E141" s="137">
        <f>[1]flow_freeway!B141</f>
        <v>101773.36230400001</v>
      </c>
      <c r="F141" s="137">
        <f>[1]flow_freeway!C141</f>
        <v>25506.035156000002</v>
      </c>
      <c r="G141" s="137">
        <f>[1]flow_freeway!D141</f>
        <v>19468.365234000001</v>
      </c>
    </row>
    <row r="142" spans="4:7" x14ac:dyDescent="0.25">
      <c r="D142">
        <f>[1]flow_freeway!A142</f>
        <v>783</v>
      </c>
      <c r="E142" s="137">
        <f>[1]flow_freeway!B142</f>
        <v>105390.141602</v>
      </c>
      <c r="F142" s="137">
        <f>[1]flow_freeway!C142</f>
        <v>16789.910156000002</v>
      </c>
      <c r="G142" s="137">
        <f>[1]flow_freeway!D142</f>
        <v>30935.710938</v>
      </c>
    </row>
    <row r="143" spans="4:7" x14ac:dyDescent="0.25">
      <c r="D143">
        <f>[1]flow_freeway!A143</f>
        <v>786</v>
      </c>
      <c r="E143" s="137">
        <f>[1]flow_freeway!B143</f>
        <v>121847.098877</v>
      </c>
      <c r="F143" s="137">
        <f>[1]flow_freeway!C143</f>
        <v>19621.992188</v>
      </c>
      <c r="G143" s="137">
        <f>[1]flow_freeway!D143</f>
        <v>37906.003905999998</v>
      </c>
    </row>
    <row r="144" spans="4:7" x14ac:dyDescent="0.25">
      <c r="D144">
        <f>[1]flow_freeway!A144</f>
        <v>787</v>
      </c>
      <c r="E144" s="137">
        <f>[1]flow_freeway!B144</f>
        <v>115547.582031</v>
      </c>
      <c r="F144" s="137">
        <f>[1]flow_freeway!C144</f>
        <v>18382.679688</v>
      </c>
      <c r="G144" s="137">
        <f>[1]flow_freeway!D144</f>
        <v>36127.359375</v>
      </c>
    </row>
    <row r="145" spans="4:7" x14ac:dyDescent="0.25">
      <c r="D145">
        <f>[1]flow_freeway!A145</f>
        <v>788</v>
      </c>
      <c r="E145" s="137">
        <f>[1]flow_freeway!B145</f>
        <v>122057.172118</v>
      </c>
      <c r="F145" s="137">
        <f>[1]flow_freeway!C145</f>
        <v>19689.6875</v>
      </c>
      <c r="G145" s="137">
        <f>[1]flow_freeway!D145</f>
        <v>37786.039062000003</v>
      </c>
    </row>
    <row r="146" spans="4:7" x14ac:dyDescent="0.25">
      <c r="D146">
        <f>[1]flow_freeway!A146</f>
        <v>789</v>
      </c>
      <c r="E146" s="137">
        <f>[1]flow_freeway!B146</f>
        <v>128234.360352</v>
      </c>
      <c r="F146" s="137">
        <f>[1]flow_freeway!C146</f>
        <v>32495.228515999999</v>
      </c>
      <c r="G146" s="137">
        <f>[1]flow_freeway!D146</f>
        <v>24104.873047000001</v>
      </c>
    </row>
    <row r="147" spans="4:7" x14ac:dyDescent="0.25">
      <c r="D147">
        <f>[1]flow_freeway!A147</f>
        <v>790</v>
      </c>
      <c r="E147" s="137">
        <f>[1]flow_freeway!B147</f>
        <v>43799.091675999996</v>
      </c>
      <c r="F147" s="137">
        <f>[1]flow_freeway!C147</f>
        <v>8894.9541019999997</v>
      </c>
      <c r="G147" s="137">
        <f>[1]flow_freeway!D147</f>
        <v>10731.844727</v>
      </c>
    </row>
    <row r="148" spans="4:7" x14ac:dyDescent="0.25">
      <c r="D148">
        <f>[1]flow_freeway!A148</f>
        <v>791</v>
      </c>
      <c r="E148" s="137">
        <f>[1]flow_freeway!B148</f>
        <v>120636.20727500001</v>
      </c>
      <c r="F148" s="137">
        <f>[1]flow_freeway!C148</f>
        <v>18536.287109000001</v>
      </c>
      <c r="G148" s="137">
        <f>[1]flow_freeway!D148</f>
        <v>37799.289062000003</v>
      </c>
    </row>
    <row r="149" spans="4:7" x14ac:dyDescent="0.25">
      <c r="D149">
        <f>[1]flow_freeway!A149</f>
        <v>792</v>
      </c>
      <c r="E149" s="137">
        <f>[1]flow_freeway!B149</f>
        <v>104902.76000899999</v>
      </c>
      <c r="F149" s="137">
        <f>[1]flow_freeway!C149</f>
        <v>16032.149414</v>
      </c>
      <c r="G149" s="137">
        <f>[1]flow_freeway!D149</f>
        <v>33287.972655999998</v>
      </c>
    </row>
    <row r="150" spans="4:7" x14ac:dyDescent="0.25">
      <c r="D150">
        <f>[1]flow_freeway!A150</f>
        <v>797</v>
      </c>
      <c r="E150" s="137">
        <f>[1]flow_freeway!B150</f>
        <v>106299.744385</v>
      </c>
      <c r="F150" s="137">
        <f>[1]flow_freeway!C150</f>
        <v>16881.984375</v>
      </c>
      <c r="G150" s="137">
        <f>[1]flow_freeway!D150</f>
        <v>33477.5625</v>
      </c>
    </row>
    <row r="151" spans="4:7" x14ac:dyDescent="0.25">
      <c r="D151">
        <f>[1]flow_freeway!A151</f>
        <v>799</v>
      </c>
      <c r="E151" s="137">
        <f>[1]flow_freeway!B151</f>
        <v>92201.893311000007</v>
      </c>
      <c r="F151" s="137">
        <f>[1]flow_freeway!C151</f>
        <v>14703.21875</v>
      </c>
      <c r="G151" s="137">
        <f>[1]flow_freeway!D151</f>
        <v>29248.326172000001</v>
      </c>
    </row>
    <row r="152" spans="4:7" x14ac:dyDescent="0.25">
      <c r="D152">
        <f>[1]flow_freeway!A152</f>
        <v>800</v>
      </c>
      <c r="E152" s="137">
        <f>[1]flow_freeway!B152</f>
        <v>104952.443359</v>
      </c>
      <c r="F152" s="137">
        <f>[1]flow_freeway!C152</f>
        <v>17157.705077999999</v>
      </c>
      <c r="G152" s="137">
        <f>[1]flow_freeway!D152</f>
        <v>32599.818359000001</v>
      </c>
    </row>
    <row r="153" spans="4:7" x14ac:dyDescent="0.25">
      <c r="D153">
        <f>[1]flow_freeway!A153</f>
        <v>801</v>
      </c>
      <c r="E153" s="137">
        <f>[1]flow_freeway!B153</f>
        <v>81186.712159000002</v>
      </c>
      <c r="F153" s="137">
        <f>[1]flow_freeway!C153</f>
        <v>12701.025390999999</v>
      </c>
      <c r="G153" s="137">
        <f>[1]flow_freeway!D153</f>
        <v>26420.966797000001</v>
      </c>
    </row>
    <row r="154" spans="4:7" x14ac:dyDescent="0.25">
      <c r="D154">
        <f>[1]flow_freeway!A154</f>
        <v>802</v>
      </c>
      <c r="E154" s="137">
        <f>[1]flow_freeway!B154</f>
        <v>131299.13964899999</v>
      </c>
      <c r="F154" s="137">
        <f>[1]flow_freeway!C154</f>
        <v>21410.978515999999</v>
      </c>
      <c r="G154" s="137">
        <f>[1]flow_freeway!D154</f>
        <v>39846.75</v>
      </c>
    </row>
    <row r="155" spans="4:7" x14ac:dyDescent="0.25">
      <c r="D155">
        <f>[1]flow_freeway!A155</f>
        <v>803</v>
      </c>
      <c r="E155" s="137">
        <f>[1]flow_freeway!B155</f>
        <v>122836.62841800001</v>
      </c>
      <c r="F155" s="137">
        <f>[1]flow_freeway!C155</f>
        <v>20137.78125</v>
      </c>
      <c r="G155" s="137">
        <f>[1]flow_freeway!D155</f>
        <v>37249.140625</v>
      </c>
    </row>
    <row r="156" spans="4:7" x14ac:dyDescent="0.25">
      <c r="D156">
        <f>[1]flow_freeway!A156</f>
        <v>804</v>
      </c>
      <c r="E156" s="137">
        <f>[1]flow_freeway!B156</f>
        <v>93997.247803000006</v>
      </c>
      <c r="F156" s="137">
        <f>[1]flow_freeway!C156</f>
        <v>15284.921875</v>
      </c>
      <c r="G156" s="137">
        <f>[1]flow_freeway!D156</f>
        <v>28762.302734000001</v>
      </c>
    </row>
    <row r="157" spans="4:7" x14ac:dyDescent="0.25">
      <c r="D157">
        <f>[1]flow_freeway!A157</f>
        <v>805</v>
      </c>
      <c r="E157" s="137">
        <f>[1]flow_freeway!B157</f>
        <v>103215.400391</v>
      </c>
      <c r="F157" s="137">
        <f>[1]flow_freeway!C157</f>
        <v>17413.46875</v>
      </c>
      <c r="G157" s="137">
        <f>[1]flow_freeway!D157</f>
        <v>31090.238281000002</v>
      </c>
    </row>
    <row r="158" spans="4:7" x14ac:dyDescent="0.25">
      <c r="D158">
        <f>[1]flow_freeway!A158</f>
        <v>806</v>
      </c>
      <c r="E158" s="137">
        <f>[1]flow_freeway!B158</f>
        <v>95917.024414000014</v>
      </c>
      <c r="F158" s="137">
        <f>[1]flow_freeway!C158</f>
        <v>16669.412109000001</v>
      </c>
      <c r="G158" s="137">
        <f>[1]flow_freeway!D158</f>
        <v>26552.71875</v>
      </c>
    </row>
    <row r="159" spans="4:7" x14ac:dyDescent="0.25">
      <c r="D159">
        <f>[1]flow_freeway!A159</f>
        <v>807</v>
      </c>
      <c r="E159" s="137">
        <f>[1]flow_freeway!B159</f>
        <v>129147.26025399999</v>
      </c>
      <c r="F159" s="137">
        <f>[1]flow_freeway!C159</f>
        <v>21549.878906000002</v>
      </c>
      <c r="G159" s="137">
        <f>[1]flow_freeway!D159</f>
        <v>35267.824219000002</v>
      </c>
    </row>
    <row r="160" spans="4:7" x14ac:dyDescent="0.25">
      <c r="D160">
        <f>[1]flow_freeway!A160</f>
        <v>808</v>
      </c>
      <c r="E160" s="137">
        <f>[1]flow_freeway!B160</f>
        <v>132819.86474600001</v>
      </c>
      <c r="F160" s="137">
        <f>[1]flow_freeway!C160</f>
        <v>22178.316406000002</v>
      </c>
      <c r="G160" s="137">
        <f>[1]flow_freeway!D160</f>
        <v>36391.429687999997</v>
      </c>
    </row>
    <row r="161" spans="4:7" x14ac:dyDescent="0.25">
      <c r="D161">
        <f>[1]flow_freeway!A161</f>
        <v>809</v>
      </c>
      <c r="E161" s="137">
        <f>[1]flow_freeway!B161</f>
        <v>119549.29785199999</v>
      </c>
      <c r="F161" s="137">
        <f>[1]flow_freeway!C161</f>
        <v>19792.839843999998</v>
      </c>
      <c r="G161" s="137">
        <f>[1]flow_freeway!D161</f>
        <v>32912.25</v>
      </c>
    </row>
    <row r="162" spans="4:7" x14ac:dyDescent="0.25">
      <c r="D162">
        <f>[1]flow_freeway!A162</f>
        <v>810</v>
      </c>
      <c r="E162" s="137">
        <f>[1]flow_freeway!B162</f>
        <v>125614.05566300001</v>
      </c>
      <c r="F162" s="137">
        <f>[1]flow_freeway!C162</f>
        <v>20907.789062</v>
      </c>
      <c r="G162" s="137">
        <f>[1]flow_freeway!D162</f>
        <v>34276.605469000002</v>
      </c>
    </row>
    <row r="163" spans="4:7" x14ac:dyDescent="0.25">
      <c r="D163">
        <f>[1]flow_freeway!A163</f>
        <v>811</v>
      </c>
      <c r="E163" s="137">
        <f>[1]flow_freeway!B163</f>
        <v>119523.67334000001</v>
      </c>
      <c r="F163" s="137">
        <f>[1]flow_freeway!C163</f>
        <v>19871.679688</v>
      </c>
      <c r="G163" s="137">
        <f>[1]flow_freeway!D163</f>
        <v>32680.595702999999</v>
      </c>
    </row>
    <row r="164" spans="4:7" x14ac:dyDescent="0.25">
      <c r="D164">
        <f>[1]flow_freeway!A164</f>
        <v>813</v>
      </c>
      <c r="E164" s="137">
        <f>[1]flow_freeway!B164</f>
        <v>113904.539063</v>
      </c>
      <c r="F164" s="137">
        <f>[1]flow_freeway!C164</f>
        <v>19907.708984000001</v>
      </c>
      <c r="G164" s="137">
        <f>[1]flow_freeway!D164</f>
        <v>30525.400390999999</v>
      </c>
    </row>
    <row r="165" spans="4:7" x14ac:dyDescent="0.25">
      <c r="D165">
        <f>[1]flow_freeway!A165</f>
        <v>815</v>
      </c>
      <c r="E165" s="137">
        <f>[1]flow_freeway!B165</f>
        <v>119839.133789</v>
      </c>
      <c r="F165" s="137">
        <f>[1]flow_freeway!C165</f>
        <v>20805.080077999999</v>
      </c>
      <c r="G165" s="137">
        <f>[1]flow_freeway!D165</f>
        <v>32409.998047000001</v>
      </c>
    </row>
    <row r="166" spans="4:7" x14ac:dyDescent="0.25">
      <c r="D166">
        <f>[1]flow_freeway!A166</f>
        <v>822</v>
      </c>
      <c r="E166" s="137">
        <f>[1]flow_freeway!B166</f>
        <v>94245.072753999993</v>
      </c>
      <c r="F166" s="137">
        <f>[1]flow_freeway!C166</f>
        <v>16219.098633</v>
      </c>
      <c r="G166" s="137">
        <f>[1]flow_freeway!D166</f>
        <v>24685.96875</v>
      </c>
    </row>
    <row r="167" spans="4:7" x14ac:dyDescent="0.25">
      <c r="D167">
        <f>[1]flow_freeway!A167</f>
        <v>823</v>
      </c>
      <c r="E167" s="137">
        <f>[1]flow_freeway!B167</f>
        <v>85805.521485000005</v>
      </c>
      <c r="F167" s="137">
        <f>[1]flow_freeway!C167</f>
        <v>14661.107421999999</v>
      </c>
      <c r="G167" s="137">
        <f>[1]flow_freeway!D167</f>
        <v>23281.326172000001</v>
      </c>
    </row>
    <row r="168" spans="4:7" x14ac:dyDescent="0.25">
      <c r="D168">
        <f>[1]flow_freeway!A168</f>
        <v>824</v>
      </c>
      <c r="E168" s="137">
        <f>[1]flow_freeway!B168</f>
        <v>90166.799561000007</v>
      </c>
      <c r="F168" s="137">
        <f>[1]flow_freeway!C168</f>
        <v>15815.986328000001</v>
      </c>
      <c r="G168" s="137">
        <f>[1]flow_freeway!D168</f>
        <v>24414.035156000002</v>
      </c>
    </row>
    <row r="169" spans="4:7" x14ac:dyDescent="0.25">
      <c r="D169">
        <f>[1]flow_freeway!A169</f>
        <v>834</v>
      </c>
      <c r="E169" s="137">
        <f>[1]flow_freeway!B169</f>
        <v>109408.791748</v>
      </c>
      <c r="F169" s="137">
        <f>[1]flow_freeway!C169</f>
        <v>18701.6875</v>
      </c>
      <c r="G169" s="137">
        <f>[1]flow_freeway!D169</f>
        <v>29568.019531000002</v>
      </c>
    </row>
    <row r="170" spans="4:7" x14ac:dyDescent="0.25">
      <c r="D170">
        <f>[1]flow_freeway!A170</f>
        <v>835</v>
      </c>
      <c r="E170" s="137">
        <f>[1]flow_freeway!B170</f>
        <v>127883.344727</v>
      </c>
      <c r="F170" s="137">
        <f>[1]flow_freeway!C170</f>
        <v>21501.013672000001</v>
      </c>
      <c r="G170" s="137">
        <f>[1]flow_freeway!D170</f>
        <v>32834.386719000002</v>
      </c>
    </row>
    <row r="171" spans="4:7" x14ac:dyDescent="0.25">
      <c r="D171">
        <f>[1]flow_freeway!A171</f>
        <v>836</v>
      </c>
      <c r="E171" s="137">
        <f>[1]flow_freeway!B171</f>
        <v>117957.67431599999</v>
      </c>
      <c r="F171" s="137">
        <f>[1]flow_freeway!C171</f>
        <v>19784.089843999998</v>
      </c>
      <c r="G171" s="137">
        <f>[1]flow_freeway!D171</f>
        <v>30056.591797000001</v>
      </c>
    </row>
    <row r="172" spans="4:7" x14ac:dyDescent="0.25">
      <c r="D172">
        <f>[1]flow_freeway!A172</f>
        <v>837</v>
      </c>
      <c r="E172" s="137">
        <f>[1]flow_freeway!B172</f>
        <v>127127.756348</v>
      </c>
      <c r="F172" s="137">
        <f>[1]flow_freeway!C172</f>
        <v>21514.535156000002</v>
      </c>
      <c r="G172" s="137">
        <f>[1]flow_freeway!D172</f>
        <v>32335.419922000001</v>
      </c>
    </row>
    <row r="173" spans="4:7" x14ac:dyDescent="0.25">
      <c r="D173">
        <f>[1]flow_freeway!A173</f>
        <v>839</v>
      </c>
      <c r="E173" s="137">
        <f>[1]flow_freeway!B173</f>
        <v>95676.079590000008</v>
      </c>
      <c r="F173" s="137">
        <f>[1]flow_freeway!C173</f>
        <v>16672.796875</v>
      </c>
      <c r="G173" s="137">
        <f>[1]flow_freeway!D173</f>
        <v>23564.941406000002</v>
      </c>
    </row>
    <row r="174" spans="4:7" x14ac:dyDescent="0.25">
      <c r="D174">
        <f>[1]flow_freeway!A174</f>
        <v>841</v>
      </c>
      <c r="E174" s="137">
        <f>[1]flow_freeway!B174</f>
        <v>103119.029786</v>
      </c>
      <c r="F174" s="137">
        <f>[1]flow_freeway!C174</f>
        <v>17891.28125</v>
      </c>
      <c r="G174" s="137">
        <f>[1]flow_freeway!D174</f>
        <v>25396.898438</v>
      </c>
    </row>
    <row r="175" spans="4:7" x14ac:dyDescent="0.25">
      <c r="D175">
        <f>[1]flow_freeway!A175</f>
        <v>842</v>
      </c>
      <c r="E175" s="137">
        <f>[1]flow_freeway!B175</f>
        <v>68941.083008000001</v>
      </c>
      <c r="F175" s="137">
        <f>[1]flow_freeway!C175</f>
        <v>12997.71875</v>
      </c>
      <c r="G175" s="137">
        <f>[1]flow_freeway!D175</f>
        <v>14929.143555000001</v>
      </c>
    </row>
    <row r="176" spans="4:7" x14ac:dyDescent="0.25">
      <c r="D176">
        <f>[1]flow_freeway!A176</f>
        <v>843</v>
      </c>
      <c r="E176" s="137">
        <f>[1]flow_freeway!B176</f>
        <v>76493.030272999997</v>
      </c>
      <c r="F176" s="137">
        <f>[1]flow_freeway!C176</f>
        <v>14593.205078000001</v>
      </c>
      <c r="G176" s="137">
        <f>[1]flow_freeway!D176</f>
        <v>16984.791015999999</v>
      </c>
    </row>
    <row r="177" spans="4:7" x14ac:dyDescent="0.25">
      <c r="D177">
        <f>[1]flow_freeway!A177</f>
        <v>844</v>
      </c>
      <c r="E177" s="137">
        <f>[1]flow_freeway!B177</f>
        <v>67255.425048000005</v>
      </c>
      <c r="F177" s="137">
        <f>[1]flow_freeway!C177</f>
        <v>12757.259765999999</v>
      </c>
      <c r="G177" s="137">
        <f>[1]flow_freeway!D177</f>
        <v>15513.582031</v>
      </c>
    </row>
    <row r="178" spans="4:7" x14ac:dyDescent="0.25">
      <c r="D178">
        <f>[1]flow_freeway!A178</f>
        <v>845</v>
      </c>
      <c r="E178" s="137">
        <f>[1]flow_freeway!B178</f>
        <v>86751.959717000005</v>
      </c>
      <c r="F178" s="137">
        <f>[1]flow_freeway!C178</f>
        <v>16287.920898</v>
      </c>
      <c r="G178" s="137">
        <f>[1]flow_freeway!D178</f>
        <v>20136.125</v>
      </c>
    </row>
    <row r="179" spans="4:7" x14ac:dyDescent="0.25">
      <c r="D179">
        <f>[1]flow_freeway!A179</f>
        <v>851</v>
      </c>
      <c r="E179" s="137">
        <f>[1]flow_freeway!B179</f>
        <v>76713.596678000002</v>
      </c>
      <c r="F179" s="137">
        <f>[1]flow_freeway!C179</f>
        <v>14281.243164</v>
      </c>
      <c r="G179" s="137">
        <f>[1]flow_freeway!D179</f>
        <v>17630.005859000001</v>
      </c>
    </row>
    <row r="180" spans="4:7" x14ac:dyDescent="0.25">
      <c r="D180">
        <f>[1]flow_freeway!A180</f>
        <v>852</v>
      </c>
      <c r="E180" s="137">
        <f>[1]flow_freeway!B180</f>
        <v>89821.580566000004</v>
      </c>
      <c r="F180" s="137">
        <f>[1]flow_freeway!C180</f>
        <v>15926.335938</v>
      </c>
      <c r="G180" s="137">
        <f>[1]flow_freeway!D180</f>
        <v>21175.144531000002</v>
      </c>
    </row>
    <row r="181" spans="4:7" x14ac:dyDescent="0.25">
      <c r="D181">
        <f>[1]flow_freeway!A181</f>
        <v>853</v>
      </c>
      <c r="E181" s="137">
        <f>[1]flow_freeway!B181</f>
        <v>68732.042237000001</v>
      </c>
      <c r="F181" s="137">
        <f>[1]flow_freeway!C181</f>
        <v>12390.503906</v>
      </c>
      <c r="G181" s="137">
        <f>[1]flow_freeway!D181</f>
        <v>15539.817383</v>
      </c>
    </row>
    <row r="182" spans="4:7" x14ac:dyDescent="0.25">
      <c r="D182">
        <f>[1]flow_freeway!A182</f>
        <v>854</v>
      </c>
      <c r="E182" s="137">
        <f>[1]flow_freeway!B182</f>
        <v>76451.837159000002</v>
      </c>
      <c r="F182" s="137">
        <f>[1]flow_freeway!C182</f>
        <v>13231.265625</v>
      </c>
      <c r="G182" s="137">
        <f>[1]flow_freeway!D182</f>
        <v>18086.373047000001</v>
      </c>
    </row>
    <row r="183" spans="4:7" x14ac:dyDescent="0.25">
      <c r="D183">
        <f>[1]flow_freeway!A183</f>
        <v>855</v>
      </c>
      <c r="E183" s="137">
        <f>[1]flow_freeway!B183</f>
        <v>30902.489135</v>
      </c>
      <c r="F183" s="137">
        <f>[1]flow_freeway!C183</f>
        <v>4783.8789059999999</v>
      </c>
      <c r="G183" s="137">
        <f>[1]flow_freeway!D183</f>
        <v>7642.4145509999998</v>
      </c>
    </row>
    <row r="184" spans="4:7" x14ac:dyDescent="0.25">
      <c r="D184">
        <f>[1]flow_freeway!A184</f>
        <v>856</v>
      </c>
      <c r="E184" s="137">
        <f>[1]flow_freeway!B184</f>
        <v>34162.993407999995</v>
      </c>
      <c r="F184" s="137">
        <f>[1]flow_freeway!C184</f>
        <v>5271.6020509999998</v>
      </c>
      <c r="G184" s="137">
        <f>[1]flow_freeway!D184</f>
        <v>8276.1669920000004</v>
      </c>
    </row>
    <row r="185" spans="4:7" x14ac:dyDescent="0.25">
      <c r="D185">
        <f>[1]flow_freeway!A185</f>
        <v>857</v>
      </c>
      <c r="E185" s="137">
        <f>[1]flow_freeway!B185</f>
        <v>35198.173095999999</v>
      </c>
      <c r="F185" s="137">
        <f>[1]flow_freeway!C185</f>
        <v>5413.3652339999999</v>
      </c>
      <c r="G185" s="137">
        <f>[1]flow_freeway!D185</f>
        <v>8546.2949219999991</v>
      </c>
    </row>
    <row r="186" spans="4:7" x14ac:dyDescent="0.25">
      <c r="D186">
        <f>[1]flow_freeway!A186</f>
        <v>858</v>
      </c>
      <c r="E186" s="137">
        <f>[1]flow_freeway!B186</f>
        <v>27291.640380000001</v>
      </c>
      <c r="F186" s="137">
        <f>[1]flow_freeway!C186</f>
        <v>3841.623779</v>
      </c>
      <c r="G186" s="137">
        <f>[1]flow_freeway!D186</f>
        <v>6825.9545900000003</v>
      </c>
    </row>
    <row r="187" spans="4:7" x14ac:dyDescent="0.25">
      <c r="D187">
        <f>[1]flow_freeway!A187</f>
        <v>859</v>
      </c>
      <c r="E187" s="137">
        <f>[1]flow_freeway!B187</f>
        <v>28468.246948</v>
      </c>
      <c r="F187" s="137">
        <f>[1]flow_freeway!C187</f>
        <v>3847.5661620000001</v>
      </c>
      <c r="G187" s="137">
        <f>[1]flow_freeway!D187</f>
        <v>7290.8911129999997</v>
      </c>
    </row>
    <row r="188" spans="4:7" x14ac:dyDescent="0.25">
      <c r="D188">
        <f>[1]flow_freeway!A188</f>
        <v>860</v>
      </c>
      <c r="E188" s="137">
        <f>[1]flow_freeway!B188</f>
        <v>19377.807496000001</v>
      </c>
      <c r="F188" s="137">
        <f>[1]flow_freeway!C188</f>
        <v>2031.8001710000001</v>
      </c>
      <c r="G188" s="137">
        <f>[1]flow_freeway!D188</f>
        <v>5472.2651370000003</v>
      </c>
    </row>
    <row r="189" spans="4:7" x14ac:dyDescent="0.25">
      <c r="D189">
        <f>[1]flow_freeway!A189</f>
        <v>1042</v>
      </c>
      <c r="E189" s="137">
        <f>[1]flow_freeway!B189</f>
        <v>24323.662841999998</v>
      </c>
      <c r="F189" s="137">
        <f>[1]flow_freeway!C189</f>
        <v>3750.8657229999999</v>
      </c>
      <c r="G189" s="137">
        <f>[1]flow_freeway!D189</f>
        <v>8373.4824219999991</v>
      </c>
    </row>
    <row r="190" spans="4:7" x14ac:dyDescent="0.25">
      <c r="D190">
        <f>[1]flow_freeway!A190</f>
        <v>1173</v>
      </c>
      <c r="E190" s="137">
        <f>[1]flow_freeway!B190</f>
        <v>72059.512207000007</v>
      </c>
      <c r="F190" s="137">
        <f>[1]flow_freeway!C190</f>
        <v>16344.940430000001</v>
      </c>
      <c r="G190" s="137">
        <f>[1]flow_freeway!D190</f>
        <v>17153.404297000001</v>
      </c>
    </row>
    <row r="191" spans="4:7" x14ac:dyDescent="0.25">
      <c r="D191">
        <f>[1]flow_freeway!A191</f>
        <v>1250</v>
      </c>
      <c r="E191" s="137">
        <f>[1]flow_freeway!B191</f>
        <v>102188.646484</v>
      </c>
      <c r="F191" s="137">
        <f>[1]flow_freeway!C191</f>
        <v>24362.726562</v>
      </c>
      <c r="G191" s="137">
        <f>[1]flow_freeway!D191</f>
        <v>19867.166015999999</v>
      </c>
    </row>
    <row r="192" spans="4:7" x14ac:dyDescent="0.25">
      <c r="D192">
        <f>[1]flow_freeway!A192</f>
        <v>1549</v>
      </c>
      <c r="E192" s="137">
        <f>[1]flow_freeway!B192</f>
        <v>11064.571824000001</v>
      </c>
      <c r="F192" s="137">
        <f>[1]flow_freeway!C192</f>
        <v>1810.005249</v>
      </c>
      <c r="G192" s="137">
        <f>[1]flow_freeway!D192</f>
        <v>4525.5776370000003</v>
      </c>
    </row>
    <row r="193" spans="4:7" x14ac:dyDescent="0.25">
      <c r="D193">
        <f>[1]flow_freeway!A193</f>
        <v>1580</v>
      </c>
      <c r="E193" s="137">
        <f>[1]flow_freeway!B193</f>
        <v>13970.035644999998</v>
      </c>
      <c r="F193" s="137">
        <f>[1]flow_freeway!C193</f>
        <v>3800.5976559999999</v>
      </c>
      <c r="G193" s="137">
        <f>[1]flow_freeway!D193</f>
        <v>2560.2475589999999</v>
      </c>
    </row>
    <row r="194" spans="4:7" x14ac:dyDescent="0.25">
      <c r="D194">
        <f>[1]flow_freeway!A194</f>
        <v>1768</v>
      </c>
      <c r="E194" s="137">
        <f>[1]flow_freeway!B194</f>
        <v>8215.4687200000008</v>
      </c>
      <c r="F194" s="137">
        <f>[1]flow_freeway!C194</f>
        <v>1414.8396</v>
      </c>
      <c r="G194" s="137">
        <f>[1]flow_freeway!D194</f>
        <v>2501.0090329999998</v>
      </c>
    </row>
    <row r="195" spans="4:7" x14ac:dyDescent="0.25">
      <c r="D195">
        <f>[1]flow_freeway!A195</f>
        <v>3010</v>
      </c>
      <c r="E195" s="137">
        <f>[1]flow_freeway!B195</f>
        <v>1523.445923</v>
      </c>
      <c r="F195" s="137">
        <f>[1]flow_freeway!C195</f>
        <v>1523.445923</v>
      </c>
      <c r="G195" s="137">
        <f>[1]flow_freeway!D195</f>
        <v>0</v>
      </c>
    </row>
    <row r="196" spans="4:7" x14ac:dyDescent="0.25">
      <c r="D196">
        <f>[1]flow_freeway!A196</f>
        <v>3012</v>
      </c>
      <c r="E196" s="137">
        <f>[1]flow_freeway!B196</f>
        <v>1828.7254640000001</v>
      </c>
      <c r="F196" s="137">
        <f>[1]flow_freeway!C196</f>
        <v>1828.7254640000001</v>
      </c>
      <c r="G196" s="137">
        <f>[1]flow_freeway!D196</f>
        <v>0</v>
      </c>
    </row>
    <row r="197" spans="4:7" x14ac:dyDescent="0.25">
      <c r="D197">
        <f>[1]flow_freeway!A197</f>
        <v>3098</v>
      </c>
      <c r="E197" s="137">
        <f>[1]flow_freeway!B197</f>
        <v>2347.6059570000002</v>
      </c>
      <c r="F197" s="137">
        <f>[1]flow_freeway!C197</f>
        <v>2347.6059570000002</v>
      </c>
      <c r="G197" s="137">
        <f>[1]flow_freeway!D197</f>
        <v>0</v>
      </c>
    </row>
    <row r="198" spans="4:7" x14ac:dyDescent="0.25">
      <c r="D198">
        <f>[1]flow_freeway!A198</f>
        <v>3115</v>
      </c>
      <c r="E198" s="137">
        <f>[1]flow_freeway!B198</f>
        <v>2192.3159179999998</v>
      </c>
      <c r="F198" s="137">
        <f>[1]flow_freeway!C198</f>
        <v>2192.3159179999998</v>
      </c>
      <c r="G198" s="137">
        <f>[1]flow_freeway!D198</f>
        <v>0</v>
      </c>
    </row>
    <row r="199" spans="4:7" x14ac:dyDescent="0.25">
      <c r="D199">
        <f>[1]flow_freeway!A199</f>
        <v>3122</v>
      </c>
      <c r="E199" s="137">
        <f>[1]flow_freeway!B199</f>
        <v>1985.8908690000001</v>
      </c>
      <c r="F199" s="137">
        <f>[1]flow_freeway!C199</f>
        <v>0</v>
      </c>
      <c r="G199" s="137">
        <f>[1]flow_freeway!D199</f>
        <v>1985.8908690000001</v>
      </c>
    </row>
    <row r="200" spans="4:7" x14ac:dyDescent="0.25">
      <c r="D200">
        <f>[1]flow_freeway!A200</f>
        <v>3125</v>
      </c>
      <c r="E200" s="137">
        <f>[1]flow_freeway!B200</f>
        <v>94260.331054999988</v>
      </c>
      <c r="F200" s="137">
        <f>[1]flow_freeway!C200</f>
        <v>18093.748047000001</v>
      </c>
      <c r="G200" s="137">
        <f>[1]flow_freeway!D200</f>
        <v>20226.599609000001</v>
      </c>
    </row>
    <row r="201" spans="4:7" x14ac:dyDescent="0.25">
      <c r="D201">
        <f>[1]flow_freeway!A201</f>
        <v>3145</v>
      </c>
      <c r="E201" s="137">
        <f>[1]flow_freeway!B201</f>
        <v>79864.221191000004</v>
      </c>
      <c r="F201" s="137">
        <f>[1]flow_freeway!C201</f>
        <v>17242.894531000002</v>
      </c>
      <c r="G201" s="137">
        <f>[1]flow_freeway!D201</f>
        <v>17164.515625</v>
      </c>
    </row>
    <row r="202" spans="4:7" x14ac:dyDescent="0.25">
      <c r="D202">
        <f>[1]flow_freeway!A202</f>
        <v>3192</v>
      </c>
      <c r="E202" s="137">
        <f>[1]flow_freeway!B202</f>
        <v>79864.221191000004</v>
      </c>
      <c r="F202" s="137">
        <f>[1]flow_freeway!C202</f>
        <v>17242.894531000002</v>
      </c>
      <c r="G202" s="137">
        <f>[1]flow_freeway!D202</f>
        <v>17164.515625</v>
      </c>
    </row>
    <row r="203" spans="4:7" x14ac:dyDescent="0.25">
      <c r="D203">
        <f>[1]flow_freeway!A203</f>
        <v>3197</v>
      </c>
      <c r="E203" s="137">
        <f>[1]flow_freeway!B203</f>
        <v>81468.671386000002</v>
      </c>
      <c r="F203" s="137">
        <f>[1]flow_freeway!C203</f>
        <v>15661.618164</v>
      </c>
      <c r="G203" s="137">
        <f>[1]flow_freeway!D203</f>
        <v>17710.476562</v>
      </c>
    </row>
    <row r="204" spans="4:7" x14ac:dyDescent="0.25">
      <c r="D204">
        <f>[1]flow_freeway!A204</f>
        <v>3204</v>
      </c>
      <c r="E204" s="137">
        <f>[1]flow_freeway!B204</f>
        <v>77130.300292</v>
      </c>
      <c r="F204" s="137">
        <f>[1]flow_freeway!C204</f>
        <v>16656.080077999999</v>
      </c>
      <c r="G204" s="137">
        <f>[1]flow_freeway!D204</f>
        <v>15648.295898</v>
      </c>
    </row>
    <row r="205" spans="4:7" x14ac:dyDescent="0.25">
      <c r="D205">
        <f>[1]flow_freeway!A205</f>
        <v>3205</v>
      </c>
      <c r="E205" s="137">
        <f>[1]flow_freeway!B205</f>
        <v>104036.78320299998</v>
      </c>
      <c r="F205" s="137">
        <f>[1]flow_freeway!C205</f>
        <v>24800.935547000001</v>
      </c>
      <c r="G205" s="137">
        <f>[1]flow_freeway!D205</f>
        <v>20713.548827999999</v>
      </c>
    </row>
    <row r="206" spans="4:7" x14ac:dyDescent="0.25">
      <c r="D206">
        <f>[1]flow_freeway!A206</f>
        <v>3206</v>
      </c>
      <c r="E206" s="137">
        <f>[1]flow_freeway!B206</f>
        <v>91091.12255900001</v>
      </c>
      <c r="F206" s="137">
        <f>[1]flow_freeway!C206</f>
        <v>23350.964843999998</v>
      </c>
      <c r="G206" s="137">
        <f>[1]flow_freeway!D206</f>
        <v>18735.220702999999</v>
      </c>
    </row>
    <row r="207" spans="4:7" x14ac:dyDescent="0.25">
      <c r="D207">
        <f>[1]flow_freeway!A207</f>
        <v>3207</v>
      </c>
      <c r="E207" s="137">
        <f>[1]flow_freeway!B207</f>
        <v>79684.667235999994</v>
      </c>
      <c r="F207" s="137">
        <f>[1]flow_freeway!C207</f>
        <v>14384.403319999999</v>
      </c>
      <c r="G207" s="137">
        <f>[1]flow_freeway!D207</f>
        <v>21085.214843999998</v>
      </c>
    </row>
    <row r="208" spans="4:7" x14ac:dyDescent="0.25">
      <c r="D208">
        <f>[1]flow_freeway!A208</f>
        <v>3212</v>
      </c>
      <c r="E208" s="137">
        <f>[1]flow_freeway!B208</f>
        <v>79684.667235999994</v>
      </c>
      <c r="F208" s="137">
        <f>[1]flow_freeway!C208</f>
        <v>14384.403319999999</v>
      </c>
      <c r="G208" s="137">
        <f>[1]flow_freeway!D208</f>
        <v>21085.214843999998</v>
      </c>
    </row>
    <row r="209" spans="4:7" x14ac:dyDescent="0.25">
      <c r="D209">
        <f>[1]flow_freeway!A209</f>
        <v>3221</v>
      </c>
      <c r="E209" s="137">
        <f>[1]flow_freeway!B209</f>
        <v>98831.56347600001</v>
      </c>
      <c r="F209" s="137">
        <f>[1]flow_freeway!C209</f>
        <v>16669.412109000001</v>
      </c>
      <c r="G209" s="137">
        <f>[1]flow_freeway!D209</f>
        <v>29467.257812</v>
      </c>
    </row>
    <row r="210" spans="4:7" x14ac:dyDescent="0.25">
      <c r="D210">
        <f>[1]flow_freeway!A210</f>
        <v>3222</v>
      </c>
      <c r="E210" s="137">
        <f>[1]flow_freeway!B210</f>
        <v>108289.97461100001</v>
      </c>
      <c r="F210" s="137">
        <f>[1]flow_freeway!C210</f>
        <v>18152.304688</v>
      </c>
      <c r="G210" s="137">
        <f>[1]flow_freeway!D210</f>
        <v>29358.111327999999</v>
      </c>
    </row>
    <row r="211" spans="4:7" x14ac:dyDescent="0.25">
      <c r="D211">
        <f>[1]flow_freeway!A211</f>
        <v>3223</v>
      </c>
      <c r="E211" s="137">
        <f>[1]flow_freeway!B211</f>
        <v>84471.310547000001</v>
      </c>
      <c r="F211" s="137">
        <f>[1]flow_freeway!C211</f>
        <v>14661.107421999999</v>
      </c>
      <c r="G211" s="137">
        <f>[1]flow_freeway!D211</f>
        <v>21947.115234000001</v>
      </c>
    </row>
    <row r="212" spans="4:7" x14ac:dyDescent="0.25">
      <c r="D212">
        <f>[1]flow_freeway!A212</f>
        <v>3419</v>
      </c>
      <c r="E212" s="137">
        <f>[1]flow_freeway!B212</f>
        <v>24390.560792</v>
      </c>
      <c r="F212" s="137">
        <f>[1]flow_freeway!C212</f>
        <v>8755.6875</v>
      </c>
      <c r="G212" s="137">
        <f>[1]flow_freeway!D212</f>
        <v>4471.3974609999996</v>
      </c>
    </row>
    <row r="213" spans="4:7" x14ac:dyDescent="0.25">
      <c r="D213">
        <f>[1]flow_freeway!A213</f>
        <v>3968</v>
      </c>
      <c r="E213" s="137">
        <f>[1]flow_freeway!B213</f>
        <v>103154.953125</v>
      </c>
      <c r="F213" s="137">
        <f>[1]flow_freeway!C213</f>
        <v>15992.952148</v>
      </c>
      <c r="G213" s="137">
        <f>[1]flow_freeway!D213</f>
        <v>30967.765625</v>
      </c>
    </row>
    <row r="214" spans="4:7" x14ac:dyDescent="0.25">
      <c r="D214">
        <f>[1]flow_freeway!A214</f>
        <v>4887</v>
      </c>
      <c r="E214" s="137">
        <f>[1]flow_freeway!B214</f>
        <v>110480.172852</v>
      </c>
      <c r="F214" s="137">
        <f>[1]flow_freeway!C214</f>
        <v>17225.052734000001</v>
      </c>
      <c r="G214" s="137">
        <f>[1]flow_freeway!D214</f>
        <v>33521.027344000002</v>
      </c>
    </row>
    <row r="215" spans="4:7" x14ac:dyDescent="0.25">
      <c r="D215">
        <f>[1]flow_freeway!A215</f>
        <v>5127</v>
      </c>
      <c r="E215" s="137">
        <f>[1]flow_freeway!B215</f>
        <v>64212.193727000005</v>
      </c>
      <c r="F215" s="137">
        <f>[1]flow_freeway!C215</f>
        <v>9837.4755860000005</v>
      </c>
      <c r="G215" s="137">
        <f>[1]flow_freeway!D215</f>
        <v>18721.648438</v>
      </c>
    </row>
    <row r="216" spans="4:7" x14ac:dyDescent="0.25">
      <c r="D216">
        <f>[1]flow_freeway!A216</f>
        <v>6664</v>
      </c>
      <c r="E216" s="137">
        <f>[1]flow_freeway!B216</f>
        <v>1828.7254640000001</v>
      </c>
      <c r="F216" s="137">
        <f>[1]flow_freeway!C216</f>
        <v>1828.7254640000001</v>
      </c>
      <c r="G216" s="137">
        <f>[1]flow_freeway!D216</f>
        <v>0</v>
      </c>
    </row>
    <row r="217" spans="4:7" x14ac:dyDescent="0.25">
      <c r="D217">
        <f>[1]flow_freeway!A217</f>
        <v>6666</v>
      </c>
      <c r="E217" s="137">
        <f>[1]flow_freeway!B217</f>
        <v>2347.6059570000002</v>
      </c>
      <c r="F217" s="137">
        <f>[1]flow_freeway!C217</f>
        <v>2347.6059570000002</v>
      </c>
      <c r="G217" s="137">
        <f>[1]flow_freeway!D217</f>
        <v>0</v>
      </c>
    </row>
    <row r="218" spans="4:7" x14ac:dyDescent="0.25">
      <c r="D218">
        <f>[1]flow_freeway!A218</f>
        <v>6852</v>
      </c>
      <c r="E218" s="137">
        <f>[1]flow_freeway!B218</f>
        <v>73773.267579000007</v>
      </c>
      <c r="F218" s="137">
        <f>[1]flow_freeway!C218</f>
        <v>18636.103515999999</v>
      </c>
      <c r="G218" s="137">
        <f>[1]flow_freeway!D218</f>
        <v>16837.259765999999</v>
      </c>
    </row>
    <row r="219" spans="4:7" x14ac:dyDescent="0.25">
      <c r="D219">
        <f>[1]flow_freeway!A219</f>
        <v>7073</v>
      </c>
      <c r="E219" s="137">
        <f>[1]flow_freeway!B219</f>
        <v>5886.5153499999997</v>
      </c>
      <c r="F219" s="137">
        <f>[1]flow_freeway!C219</f>
        <v>2154.2236330000001</v>
      </c>
      <c r="G219" s="137">
        <f>[1]flow_freeway!D219</f>
        <v>1349.2703859999999</v>
      </c>
    </row>
    <row r="220" spans="4:7" x14ac:dyDescent="0.25">
      <c r="D220">
        <f>[1]flow_freeway!A220</f>
        <v>7074</v>
      </c>
      <c r="E220" s="137">
        <f>[1]flow_freeway!B220</f>
        <v>6279.3351739999998</v>
      </c>
      <c r="F220" s="137">
        <f>[1]flow_freeway!C220</f>
        <v>2547.0434570000002</v>
      </c>
      <c r="G220" s="137">
        <f>[1]flow_freeway!D220</f>
        <v>1349.2703859999999</v>
      </c>
    </row>
    <row r="221" spans="4:7" x14ac:dyDescent="0.25">
      <c r="D221">
        <f>[1]flow_freeway!A221</f>
        <v>7132</v>
      </c>
      <c r="E221" s="137">
        <f>[1]flow_freeway!B221</f>
        <v>14132.415283999999</v>
      </c>
      <c r="F221" s="137">
        <f>[1]flow_freeway!C221</f>
        <v>5493.8710940000001</v>
      </c>
      <c r="G221" s="137">
        <f>[1]flow_freeway!D221</f>
        <v>2716.0551759999998</v>
      </c>
    </row>
    <row r="222" spans="4:7" x14ac:dyDescent="0.25">
      <c r="D222">
        <f>[1]flow_freeway!A222</f>
        <v>7190</v>
      </c>
      <c r="E222" s="137">
        <f>[1]flow_freeway!B222</f>
        <v>56192.870849999999</v>
      </c>
      <c r="F222" s="137">
        <f>[1]flow_freeway!C222</f>
        <v>12339.791015999999</v>
      </c>
      <c r="G222" s="137">
        <f>[1]flow_freeway!D222</f>
        <v>14145.576171999999</v>
      </c>
    </row>
    <row r="223" spans="4:7" x14ac:dyDescent="0.25">
      <c r="D223">
        <f>[1]flow_freeway!A223</f>
        <v>7215</v>
      </c>
      <c r="E223" s="137">
        <f>[1]flow_freeway!B223</f>
        <v>47331.456787999996</v>
      </c>
      <c r="F223" s="137">
        <f>[1]flow_freeway!C223</f>
        <v>10959.639648</v>
      </c>
      <c r="G223" s="137">
        <f>[1]flow_freeway!D223</f>
        <v>11759.694336</v>
      </c>
    </row>
    <row r="224" spans="4:7" x14ac:dyDescent="0.25">
      <c r="D224">
        <f>[1]flow_freeway!A224</f>
        <v>7216</v>
      </c>
      <c r="E224" s="137">
        <f>[1]flow_freeway!B224</f>
        <v>53717.212891000003</v>
      </c>
      <c r="F224" s="137">
        <f>[1]flow_freeway!C224</f>
        <v>12652.784180000001</v>
      </c>
      <c r="G224" s="137">
        <f>[1]flow_freeway!D224</f>
        <v>12936.941406</v>
      </c>
    </row>
    <row r="225" spans="4:7" x14ac:dyDescent="0.25">
      <c r="D225">
        <f>[1]flow_freeway!A225</f>
        <v>7222</v>
      </c>
      <c r="E225" s="137">
        <f>[1]flow_freeway!B225</f>
        <v>46543.025634999998</v>
      </c>
      <c r="F225" s="137">
        <f>[1]flow_freeway!C225</f>
        <v>11475.038086</v>
      </c>
      <c r="G225" s="137">
        <f>[1]flow_freeway!D225</f>
        <v>10858.965819999999</v>
      </c>
    </row>
    <row r="226" spans="4:7" x14ac:dyDescent="0.25">
      <c r="D226">
        <f>[1]flow_freeway!A226</f>
        <v>7223</v>
      </c>
      <c r="E226" s="137">
        <f>[1]flow_freeway!B226</f>
        <v>47953.514893</v>
      </c>
      <c r="F226" s="137">
        <f>[1]flow_freeway!C226</f>
        <v>9242.1347659999992</v>
      </c>
      <c r="G226" s="137">
        <f>[1]flow_freeway!D226</f>
        <v>13660.701171999999</v>
      </c>
    </row>
    <row r="227" spans="4:7" x14ac:dyDescent="0.25">
      <c r="D227">
        <f>[1]flow_freeway!A227</f>
        <v>7258</v>
      </c>
      <c r="E227" s="137">
        <f>[1]flow_freeway!B227</f>
        <v>55118.654296000001</v>
      </c>
      <c r="F227" s="137">
        <f>[1]flow_freeway!C227</f>
        <v>11041.202148</v>
      </c>
      <c r="G227" s="137">
        <f>[1]flow_freeway!D227</f>
        <v>15151.928711</v>
      </c>
    </row>
    <row r="228" spans="4:7" x14ac:dyDescent="0.25">
      <c r="D228">
        <f>[1]flow_freeway!A228</f>
        <v>7259</v>
      </c>
      <c r="E228" s="137">
        <f>[1]flow_freeway!B228</f>
        <v>46980.354613999996</v>
      </c>
      <c r="F228" s="137">
        <f>[1]flow_freeway!C228</f>
        <v>9983.4785159999992</v>
      </c>
      <c r="G228" s="137">
        <f>[1]flow_freeway!D228</f>
        <v>12828.628906</v>
      </c>
    </row>
    <row r="229" spans="4:7" x14ac:dyDescent="0.25">
      <c r="D229">
        <f>[1]flow_freeway!A229</f>
        <v>7260</v>
      </c>
      <c r="E229" s="137">
        <f>[1]flow_freeway!B229</f>
        <v>57186.149414</v>
      </c>
      <c r="F229" s="137">
        <f>[1]flow_freeway!C229</f>
        <v>12088.728515999999</v>
      </c>
      <c r="G229" s="137">
        <f>[1]flow_freeway!D229</f>
        <v>14822.973633</v>
      </c>
    </row>
    <row r="230" spans="4:7" x14ac:dyDescent="0.25">
      <c r="D230">
        <f>[1]flow_freeway!A230</f>
        <v>7303</v>
      </c>
      <c r="E230" s="137">
        <f>[1]flow_freeway!B230</f>
        <v>16023.942765</v>
      </c>
      <c r="F230" s="137">
        <f>[1]flow_freeway!C230</f>
        <v>2561.4858399999998</v>
      </c>
      <c r="G230" s="137">
        <f>[1]flow_freeway!D230</f>
        <v>5855.5986329999996</v>
      </c>
    </row>
    <row r="231" spans="4:7" x14ac:dyDescent="0.25">
      <c r="D231">
        <f>[1]flow_freeway!A231</f>
        <v>7310</v>
      </c>
      <c r="E231" s="137">
        <f>[1]flow_freeway!B231</f>
        <v>6979.8714290000007</v>
      </c>
      <c r="F231" s="137">
        <f>[1]flow_freeway!C231</f>
        <v>1397.292236</v>
      </c>
      <c r="G231" s="137">
        <f>[1]flow_freeway!D231</f>
        <v>2420.904297</v>
      </c>
    </row>
    <row r="232" spans="4:7" x14ac:dyDescent="0.25">
      <c r="D232">
        <f>[1]flow_freeway!A232</f>
        <v>7373</v>
      </c>
      <c r="E232" s="137">
        <f>[1]flow_freeway!B232</f>
        <v>92732.102539</v>
      </c>
      <c r="F232" s="137">
        <f>[1]flow_freeway!C232</f>
        <v>19576.726562</v>
      </c>
      <c r="G232" s="137">
        <f>[1]flow_freeway!D232</f>
        <v>24468.796875</v>
      </c>
    </row>
    <row r="233" spans="4:7" x14ac:dyDescent="0.25">
      <c r="D233">
        <f>[1]flow_freeway!A233</f>
        <v>7374</v>
      </c>
      <c r="E233" s="137">
        <f>[1]flow_freeway!B233</f>
        <v>73536.651856000011</v>
      </c>
      <c r="F233" s="137">
        <f>[1]flow_freeway!C233</f>
        <v>18029.929688</v>
      </c>
      <c r="G233" s="137">
        <f>[1]flow_freeway!D233</f>
        <v>13165.798828000001</v>
      </c>
    </row>
    <row r="234" spans="4:7" x14ac:dyDescent="0.25">
      <c r="D234">
        <f>[1]flow_freeway!A234</f>
        <v>7375</v>
      </c>
      <c r="E234" s="137">
        <f>[1]flow_freeway!B234</f>
        <v>61621.090087999997</v>
      </c>
      <c r="F234" s="137">
        <f>[1]flow_freeway!C234</f>
        <v>9511.3574219999991</v>
      </c>
      <c r="G234" s="137">
        <f>[1]flow_freeway!D234</f>
        <v>20860.212890999999</v>
      </c>
    </row>
    <row r="235" spans="4:7" x14ac:dyDescent="0.25">
      <c r="D235">
        <f>[1]flow_freeway!A235</f>
        <v>7376</v>
      </c>
      <c r="E235" s="137">
        <f>[1]flow_freeway!B235</f>
        <v>46791.821291</v>
      </c>
      <c r="F235" s="137">
        <f>[1]flow_freeway!C235</f>
        <v>7928.7387699999999</v>
      </c>
      <c r="G235" s="137">
        <f>[1]flow_freeway!D235</f>
        <v>14298.478515999999</v>
      </c>
    </row>
    <row r="236" spans="4:7" x14ac:dyDescent="0.25">
      <c r="D236">
        <f>[1]flow_freeway!A236</f>
        <v>7377</v>
      </c>
      <c r="E236" s="137">
        <f>[1]flow_freeway!B236</f>
        <v>51353.289552000002</v>
      </c>
      <c r="F236" s="137">
        <f>[1]flow_freeway!C236</f>
        <v>8865.2236329999996</v>
      </c>
      <c r="G236" s="137">
        <f>[1]flow_freeway!D236</f>
        <v>15300.839844</v>
      </c>
    </row>
    <row r="237" spans="4:7" x14ac:dyDescent="0.25">
      <c r="D237">
        <f>[1]flow_freeway!A237</f>
        <v>7380</v>
      </c>
      <c r="E237" s="137">
        <f>[1]flow_freeway!B237</f>
        <v>57768.855712999997</v>
      </c>
      <c r="F237" s="137">
        <f>[1]flow_freeway!C237</f>
        <v>8693.3359380000002</v>
      </c>
      <c r="G237" s="137">
        <f>[1]flow_freeway!D237</f>
        <v>19443.099609000001</v>
      </c>
    </row>
    <row r="238" spans="4:7" x14ac:dyDescent="0.25">
      <c r="D238">
        <f>[1]flow_freeway!A238</f>
        <v>7430</v>
      </c>
      <c r="E238" s="137">
        <f>[1]flow_freeway!B238</f>
        <v>63308.564207999996</v>
      </c>
      <c r="F238" s="137">
        <f>[1]flow_freeway!C238</f>
        <v>13070.166015999999</v>
      </c>
      <c r="G238" s="137">
        <f>[1]flow_freeway!D238</f>
        <v>17831.539062</v>
      </c>
    </row>
    <row r="239" spans="4:7" x14ac:dyDescent="0.25">
      <c r="D239">
        <f>[1]flow_freeway!A239</f>
        <v>7442</v>
      </c>
      <c r="E239" s="137">
        <f>[1]flow_freeway!B239</f>
        <v>62471.842284999999</v>
      </c>
      <c r="F239" s="137">
        <f>[1]flow_freeway!C239</f>
        <v>18047.353515999999</v>
      </c>
      <c r="G239" s="137">
        <f>[1]flow_freeway!D239</f>
        <v>12401.376953000001</v>
      </c>
    </row>
    <row r="240" spans="4:7" x14ac:dyDescent="0.25">
      <c r="D240">
        <f>[1]flow_freeway!A240</f>
        <v>7470</v>
      </c>
      <c r="E240" s="137">
        <f>[1]flow_freeway!B240</f>
        <v>57768.855712999997</v>
      </c>
      <c r="F240" s="137">
        <f>[1]flow_freeway!C240</f>
        <v>8693.3359380000002</v>
      </c>
      <c r="G240" s="137">
        <f>[1]flow_freeway!D240</f>
        <v>19443.099609000001</v>
      </c>
    </row>
    <row r="241" spans="4:7" x14ac:dyDescent="0.25">
      <c r="D241">
        <f>[1]flow_freeway!A241</f>
        <v>7492</v>
      </c>
      <c r="E241" s="137">
        <f>[1]flow_freeway!B241</f>
        <v>44287.284912000003</v>
      </c>
      <c r="F241" s="137">
        <f>[1]flow_freeway!C241</f>
        <v>9607.9228519999997</v>
      </c>
      <c r="G241" s="137">
        <f>[1]flow_freeway!D241</f>
        <v>10643.773438</v>
      </c>
    </row>
    <row r="242" spans="4:7" x14ac:dyDescent="0.25">
      <c r="D242">
        <f>[1]flow_freeway!A242</f>
        <v>7497</v>
      </c>
      <c r="E242" s="137">
        <f>[1]flow_freeway!B242</f>
        <v>63308.564207999996</v>
      </c>
      <c r="F242" s="137">
        <f>[1]flow_freeway!C242</f>
        <v>13070.166015999999</v>
      </c>
      <c r="G242" s="137">
        <f>[1]flow_freeway!D242</f>
        <v>17831.539062</v>
      </c>
    </row>
    <row r="243" spans="4:7" x14ac:dyDescent="0.25">
      <c r="D243">
        <f>[1]flow_freeway!A243</f>
        <v>7499</v>
      </c>
      <c r="E243" s="137">
        <f>[1]flow_freeway!B243</f>
        <v>42307.007079999996</v>
      </c>
      <c r="F243" s="137">
        <f>[1]flow_freeway!C243</f>
        <v>10978.864258</v>
      </c>
      <c r="G243" s="137">
        <f>[1]flow_freeway!D243</f>
        <v>8386.4189449999994</v>
      </c>
    </row>
    <row r="244" spans="4:7" x14ac:dyDescent="0.25">
      <c r="D244">
        <f>[1]flow_freeway!A244</f>
        <v>7501</v>
      </c>
      <c r="E244" s="137">
        <f>[1]flow_freeway!B244</f>
        <v>53140.517088999994</v>
      </c>
      <c r="F244" s="137">
        <f>[1]flow_freeway!C244</f>
        <v>14564.931640999999</v>
      </c>
      <c r="G244" s="137">
        <f>[1]flow_freeway!D244</f>
        <v>11044.945312</v>
      </c>
    </row>
    <row r="245" spans="4:7" x14ac:dyDescent="0.25">
      <c r="D245">
        <f>[1]flow_freeway!A245</f>
        <v>7505</v>
      </c>
      <c r="E245" s="137">
        <f>[1]flow_freeway!B245</f>
        <v>27903.319947000004</v>
      </c>
      <c r="F245" s="137">
        <f>[1]flow_freeway!C245</f>
        <v>4365.3535160000001</v>
      </c>
      <c r="G245" s="137">
        <f>[1]flow_freeway!D245</f>
        <v>9485.6591800000006</v>
      </c>
    </row>
    <row r="246" spans="4:7" x14ac:dyDescent="0.25">
      <c r="D246">
        <f>[1]flow_freeway!A246</f>
        <v>7506</v>
      </c>
      <c r="E246" s="137">
        <f>[1]flow_freeway!B246</f>
        <v>44767.994139999995</v>
      </c>
      <c r="F246" s="137">
        <f>[1]flow_freeway!C246</f>
        <v>10723.099609000001</v>
      </c>
      <c r="G246" s="137">
        <f>[1]flow_freeway!D246</f>
        <v>11308.866211</v>
      </c>
    </row>
    <row r="247" spans="4:7" x14ac:dyDescent="0.25">
      <c r="D247">
        <f>[1]flow_freeway!A247</f>
        <v>7514</v>
      </c>
      <c r="E247" s="137">
        <f>[1]flow_freeway!B247</f>
        <v>43192.355591</v>
      </c>
      <c r="F247" s="137">
        <f>[1]flow_freeway!C247</f>
        <v>7924.3056640000004</v>
      </c>
      <c r="G247" s="137">
        <f>[1]flow_freeway!D247</f>
        <v>12700.825194999999</v>
      </c>
    </row>
    <row r="248" spans="4:7" x14ac:dyDescent="0.25">
      <c r="D248">
        <f>[1]flow_freeway!A248</f>
        <v>7525</v>
      </c>
      <c r="E248" s="137">
        <f>[1]flow_freeway!B248</f>
        <v>53131.356688999993</v>
      </c>
      <c r="F248" s="137">
        <f>[1]flow_freeway!C248</f>
        <v>9873.8339840000008</v>
      </c>
      <c r="G248" s="137">
        <f>[1]flow_freeway!D248</f>
        <v>14583.092773</v>
      </c>
    </row>
    <row r="249" spans="4:7" x14ac:dyDescent="0.25">
      <c r="D249">
        <f>[1]flow_freeway!A249</f>
        <v>7526</v>
      </c>
      <c r="E249" s="137">
        <f>[1]flow_freeway!B249</f>
        <v>46797.504881999994</v>
      </c>
      <c r="F249" s="137">
        <f>[1]flow_freeway!C249</f>
        <v>9137.3056639999995</v>
      </c>
      <c r="G249" s="137">
        <f>[1]flow_freeway!D249</f>
        <v>12043.131836</v>
      </c>
    </row>
    <row r="250" spans="4:7" x14ac:dyDescent="0.25">
      <c r="D250">
        <f>[1]flow_freeway!A250</f>
        <v>7545</v>
      </c>
      <c r="E250" s="137">
        <f>[1]flow_freeway!B250</f>
        <v>42016.145384999996</v>
      </c>
      <c r="F250" s="137">
        <f>[1]flow_freeway!C250</f>
        <v>8651.3369139999995</v>
      </c>
      <c r="G250" s="137">
        <f>[1]flow_freeway!D250</f>
        <v>11272.927734000001</v>
      </c>
    </row>
    <row r="251" spans="4:7" x14ac:dyDescent="0.25">
      <c r="D251">
        <f>[1]flow_freeway!A251</f>
        <v>7630</v>
      </c>
      <c r="E251" s="137">
        <f>[1]flow_freeway!B251</f>
        <v>46309.335449999999</v>
      </c>
      <c r="F251" s="137">
        <f>[1]flow_freeway!C251</f>
        <v>10158.123046999999</v>
      </c>
      <c r="G251" s="137">
        <f>[1]flow_freeway!D251</f>
        <v>11005.991211</v>
      </c>
    </row>
    <row r="252" spans="4:7" x14ac:dyDescent="0.25">
      <c r="D252">
        <f>[1]flow_freeway!A252</f>
        <v>7636</v>
      </c>
      <c r="E252" s="137">
        <f>[1]flow_freeway!B252</f>
        <v>26328.084778</v>
      </c>
      <c r="F252" s="137">
        <f>[1]flow_freeway!C252</f>
        <v>3053.6577149999998</v>
      </c>
      <c r="G252" s="137">
        <f>[1]flow_freeway!D252</f>
        <v>9782.2451170000004</v>
      </c>
    </row>
    <row r="253" spans="4:7" x14ac:dyDescent="0.25">
      <c r="D253">
        <f>[1]flow_freeway!A253</f>
        <v>7664</v>
      </c>
      <c r="E253" s="137">
        <f>[1]flow_freeway!B253</f>
        <v>37509.911375999996</v>
      </c>
      <c r="F253" s="137">
        <f>[1]flow_freeway!C253</f>
        <v>9599.0927730000003</v>
      </c>
      <c r="G253" s="137">
        <f>[1]flow_freeway!D253</f>
        <v>9277.9501949999994</v>
      </c>
    </row>
    <row r="254" spans="4:7" x14ac:dyDescent="0.25">
      <c r="D254">
        <f>[1]flow_freeway!A254</f>
        <v>7665</v>
      </c>
      <c r="E254" s="137">
        <f>[1]flow_freeway!B254</f>
        <v>31383.527466</v>
      </c>
      <c r="F254" s="137">
        <f>[1]flow_freeway!C254</f>
        <v>8493.9472659999992</v>
      </c>
      <c r="G254" s="137">
        <f>[1]flow_freeway!D254</f>
        <v>7423.748047</v>
      </c>
    </row>
    <row r="255" spans="4:7" x14ac:dyDescent="0.25">
      <c r="D255">
        <f>[1]flow_freeway!A255</f>
        <v>7666</v>
      </c>
      <c r="E255" s="137">
        <f>[1]flow_freeway!B255</f>
        <v>45716.105224999999</v>
      </c>
      <c r="F255" s="137">
        <f>[1]flow_freeway!C255</f>
        <v>14148.621094</v>
      </c>
      <c r="G255" s="137">
        <f>[1]flow_freeway!D255</f>
        <v>8740.6875</v>
      </c>
    </row>
    <row r="256" spans="4:7" x14ac:dyDescent="0.25">
      <c r="D256">
        <f>[1]flow_freeway!A256</f>
        <v>7699</v>
      </c>
      <c r="E256" s="137">
        <f>[1]flow_freeway!B256</f>
        <v>22334.152464999999</v>
      </c>
      <c r="F256" s="137">
        <f>[1]flow_freeway!C256</f>
        <v>6285.7124020000001</v>
      </c>
      <c r="G256" s="137">
        <f>[1]flow_freeway!D256</f>
        <v>6446.4047849999997</v>
      </c>
    </row>
    <row r="257" spans="4:7" x14ac:dyDescent="0.25">
      <c r="D257">
        <f>[1]flow_freeway!A257</f>
        <v>7716</v>
      </c>
      <c r="E257" s="137">
        <f>[1]flow_freeway!B257</f>
        <v>27216.033691000001</v>
      </c>
      <c r="F257" s="137">
        <f>[1]flow_freeway!C257</f>
        <v>6413.9599609999996</v>
      </c>
      <c r="G257" s="137">
        <f>[1]flow_freeway!D257</f>
        <v>6404.9365230000003</v>
      </c>
    </row>
    <row r="258" spans="4:7" x14ac:dyDescent="0.25">
      <c r="D258">
        <f>[1]flow_freeway!A258</f>
        <v>7723</v>
      </c>
      <c r="E258" s="137">
        <f>[1]flow_freeway!B258</f>
        <v>43266.001952999999</v>
      </c>
      <c r="F258" s="137">
        <f>[1]flow_freeway!C258</f>
        <v>10581.104492</v>
      </c>
      <c r="G258" s="137">
        <f>[1]flow_freeway!D258</f>
        <v>9954.9609380000002</v>
      </c>
    </row>
    <row r="259" spans="4:7" x14ac:dyDescent="0.25">
      <c r="D259">
        <f>[1]flow_freeway!A259</f>
        <v>7724</v>
      </c>
      <c r="E259" s="137">
        <f>[1]flow_freeway!B259</f>
        <v>43799.091675999996</v>
      </c>
      <c r="F259" s="137">
        <f>[1]flow_freeway!C259</f>
        <v>8894.9541019999997</v>
      </c>
      <c r="G259" s="137">
        <f>[1]flow_freeway!D259</f>
        <v>10731.844727</v>
      </c>
    </row>
    <row r="260" spans="4:7" x14ac:dyDescent="0.25">
      <c r="D260">
        <f>[1]flow_freeway!A260</f>
        <v>7725</v>
      </c>
      <c r="E260" s="137">
        <f>[1]flow_freeway!B260</f>
        <v>43799.091675999996</v>
      </c>
      <c r="F260" s="137">
        <f>[1]flow_freeway!C260</f>
        <v>8894.9541019999997</v>
      </c>
      <c r="G260" s="137">
        <f>[1]flow_freeway!D260</f>
        <v>10731.844727</v>
      </c>
    </row>
    <row r="261" spans="4:7" x14ac:dyDescent="0.25">
      <c r="D261">
        <f>[1]flow_freeway!A261</f>
        <v>7772</v>
      </c>
      <c r="E261" s="137">
        <f>[1]flow_freeway!B261</f>
        <v>61621.090087999997</v>
      </c>
      <c r="F261" s="137">
        <f>[1]flow_freeway!C261</f>
        <v>9511.3574219999991</v>
      </c>
      <c r="G261" s="137">
        <f>[1]flow_freeway!D261</f>
        <v>20860.212890999999</v>
      </c>
    </row>
    <row r="262" spans="4:7" x14ac:dyDescent="0.25">
      <c r="D262">
        <f>[1]flow_freeway!A262</f>
        <v>7872</v>
      </c>
      <c r="E262" s="137">
        <f>[1]flow_freeway!B262</f>
        <v>53251.890138000002</v>
      </c>
      <c r="F262" s="137">
        <f>[1]flow_freeway!C262</f>
        <v>11002.429688</v>
      </c>
      <c r="G262" s="137">
        <f>[1]flow_freeway!D262</f>
        <v>12476.134765999999</v>
      </c>
    </row>
    <row r="263" spans="4:7" x14ac:dyDescent="0.25">
      <c r="D263">
        <f>[1]flow_freeway!A263</f>
        <v>7873</v>
      </c>
      <c r="E263" s="137">
        <f>[1]flow_freeway!B263</f>
        <v>66143.333495999992</v>
      </c>
      <c r="F263" s="137">
        <f>[1]flow_freeway!C263</f>
        <v>14606.060546999999</v>
      </c>
      <c r="G263" s="137">
        <f>[1]flow_freeway!D263</f>
        <v>14044.342773</v>
      </c>
    </row>
    <row r="264" spans="4:7" x14ac:dyDescent="0.25">
      <c r="D264">
        <f>[1]flow_freeway!A264</f>
        <v>7874</v>
      </c>
      <c r="E264" s="137">
        <f>[1]flow_freeway!B264</f>
        <v>73745.183349999992</v>
      </c>
      <c r="F264" s="137">
        <f>[1]flow_freeway!C264</f>
        <v>13727.182617</v>
      </c>
      <c r="G264" s="137">
        <f>[1]flow_freeway!D264</f>
        <v>19930.167968999998</v>
      </c>
    </row>
    <row r="265" spans="4:7" x14ac:dyDescent="0.25">
      <c r="D265">
        <f>[1]flow_freeway!A265</f>
        <v>7963</v>
      </c>
      <c r="E265" s="137">
        <f>[1]flow_freeway!B265</f>
        <v>89242.548340000008</v>
      </c>
      <c r="F265" s="137">
        <f>[1]flow_freeway!C265</f>
        <v>17775.066406000002</v>
      </c>
      <c r="G265" s="137">
        <f>[1]flow_freeway!D265</f>
        <v>20939.974609000001</v>
      </c>
    </row>
    <row r="266" spans="4:7" x14ac:dyDescent="0.25">
      <c r="D266">
        <f>[1]flow_freeway!A266</f>
        <v>8022</v>
      </c>
      <c r="E266" s="137">
        <f>[1]flow_freeway!B266</f>
        <v>97760.468262000009</v>
      </c>
      <c r="F266" s="137">
        <f>[1]flow_freeway!C266</f>
        <v>19176.570312</v>
      </c>
      <c r="G266" s="137">
        <f>[1]flow_freeway!D266</f>
        <v>22982.4375</v>
      </c>
    </row>
    <row r="267" spans="4:7" x14ac:dyDescent="0.25">
      <c r="D267">
        <f>[1]flow_freeway!A267</f>
        <v>8042</v>
      </c>
      <c r="E267" s="137">
        <f>[1]flow_freeway!B267</f>
        <v>84515.330077999999</v>
      </c>
      <c r="F267" s="137">
        <f>[1]flow_freeway!C267</f>
        <v>16591.615234000001</v>
      </c>
      <c r="G267" s="137">
        <f>[1]flow_freeway!D267</f>
        <v>20493.337890999999</v>
      </c>
    </row>
    <row r="268" spans="4:7" x14ac:dyDescent="0.25">
      <c r="D268">
        <f>[1]flow_freeway!A268</f>
        <v>8054</v>
      </c>
      <c r="E268" s="137">
        <f>[1]flow_freeway!B268</f>
        <v>82144.660644999996</v>
      </c>
      <c r="F268" s="137">
        <f>[1]flow_freeway!C268</f>
        <v>17295.207031000002</v>
      </c>
      <c r="G268" s="137">
        <f>[1]flow_freeway!D268</f>
        <v>20062.041015999999</v>
      </c>
    </row>
    <row r="269" spans="4:7" x14ac:dyDescent="0.25">
      <c r="D269">
        <f>[1]flow_freeway!A269</f>
        <v>8056</v>
      </c>
      <c r="E269" s="137">
        <f>[1]flow_freeway!B269</f>
        <v>87905.460449999999</v>
      </c>
      <c r="F269" s="137">
        <f>[1]flow_freeway!C269</f>
        <v>17116.117188</v>
      </c>
      <c r="G269" s="137">
        <f>[1]flow_freeway!D269</f>
        <v>21649.298827999999</v>
      </c>
    </row>
    <row r="270" spans="4:7" x14ac:dyDescent="0.25">
      <c r="D270">
        <f>[1]flow_freeway!A270</f>
        <v>8057</v>
      </c>
      <c r="E270" s="137">
        <f>[1]flow_freeway!B270</f>
        <v>78937.121094000002</v>
      </c>
      <c r="F270" s="137">
        <f>[1]flow_freeway!C270</f>
        <v>15726.028319999999</v>
      </c>
      <c r="G270" s="137">
        <f>[1]flow_freeway!D270</f>
        <v>20437.679688</v>
      </c>
    </row>
    <row r="271" spans="4:7" x14ac:dyDescent="0.25">
      <c r="D271">
        <f>[1]flow_freeway!A271</f>
        <v>8058</v>
      </c>
      <c r="E271" s="137">
        <f>[1]flow_freeway!B271</f>
        <v>67753.282472000006</v>
      </c>
      <c r="F271" s="137">
        <f>[1]flow_freeway!C271</f>
        <v>12143.449219</v>
      </c>
      <c r="G271" s="137">
        <f>[1]flow_freeway!D271</f>
        <v>18103.460938</v>
      </c>
    </row>
    <row r="272" spans="4:7" x14ac:dyDescent="0.25">
      <c r="D272">
        <f>[1]flow_freeway!A272</f>
        <v>8059</v>
      </c>
      <c r="E272" s="137">
        <f>[1]flow_freeway!B272</f>
        <v>58894.033933999992</v>
      </c>
      <c r="F272" s="137">
        <f>[1]flow_freeway!C272</f>
        <v>11328.378906</v>
      </c>
      <c r="G272" s="137">
        <f>[1]flow_freeway!D272</f>
        <v>15585.291992</v>
      </c>
    </row>
    <row r="273" spans="4:7" x14ac:dyDescent="0.25">
      <c r="D273">
        <f>[1]flow_freeway!A273</f>
        <v>8060</v>
      </c>
      <c r="E273" s="137">
        <f>[1]flow_freeway!B273</f>
        <v>64289.620848999999</v>
      </c>
      <c r="F273" s="137">
        <f>[1]flow_freeway!C273</f>
        <v>14209.038086</v>
      </c>
      <c r="G273" s="137">
        <f>[1]flow_freeway!D273</f>
        <v>14225.608398</v>
      </c>
    </row>
    <row r="274" spans="4:7" x14ac:dyDescent="0.25">
      <c r="D274">
        <f>[1]flow_freeway!A274</f>
        <v>8102</v>
      </c>
      <c r="E274" s="137">
        <f>[1]flow_freeway!B274</f>
        <v>22239.767532999998</v>
      </c>
      <c r="F274" s="137">
        <f>[1]flow_freeway!C274</f>
        <v>599.65142800000001</v>
      </c>
      <c r="G274" s="137">
        <f>[1]flow_freeway!D274</f>
        <v>7471.1591799999997</v>
      </c>
    </row>
    <row r="275" spans="4:7" x14ac:dyDescent="0.25">
      <c r="D275">
        <f>[1]flow_freeway!A275</f>
        <v>8103</v>
      </c>
      <c r="E275" s="137">
        <f>[1]flow_freeway!B275</f>
        <v>66244.214842999994</v>
      </c>
      <c r="F275" s="137">
        <f>[1]flow_freeway!C275</f>
        <v>19373.535156000002</v>
      </c>
      <c r="G275" s="137">
        <f>[1]flow_freeway!D275</f>
        <v>13229.370117</v>
      </c>
    </row>
    <row r="276" spans="4:7" x14ac:dyDescent="0.25">
      <c r="D276">
        <f>[1]flow_freeway!A276</f>
        <v>8185</v>
      </c>
      <c r="E276" s="137">
        <f>[1]flow_freeway!B276</f>
        <v>21419.794281000002</v>
      </c>
      <c r="F276" s="137">
        <f>[1]flow_freeway!C276</f>
        <v>5726.7402339999999</v>
      </c>
      <c r="G276" s="137">
        <f>[1]flow_freeway!D276</f>
        <v>1783.061279</v>
      </c>
    </row>
    <row r="277" spans="4:7" x14ac:dyDescent="0.25">
      <c r="D277">
        <f>[1]flow_freeway!A277</f>
        <v>8218</v>
      </c>
      <c r="E277" s="137">
        <f>[1]flow_freeway!B277</f>
        <v>34545.354980999997</v>
      </c>
      <c r="F277" s="137">
        <f>[1]flow_freeway!C277</f>
        <v>6694.3994140000004</v>
      </c>
      <c r="G277" s="137">
        <f>[1]flow_freeway!D277</f>
        <v>6309.5698240000002</v>
      </c>
    </row>
    <row r="278" spans="4:7" x14ac:dyDescent="0.25">
      <c r="D278">
        <f>[1]flow_freeway!A278</f>
        <v>8353</v>
      </c>
      <c r="E278" s="137">
        <f>[1]flow_freeway!B278</f>
        <v>8286.731597</v>
      </c>
      <c r="F278" s="137">
        <f>[1]flow_freeway!C278</f>
        <v>1529.044189</v>
      </c>
      <c r="G278" s="137">
        <f>[1]flow_freeway!D278</f>
        <v>2006.8110349999999</v>
      </c>
    </row>
    <row r="279" spans="4:7" x14ac:dyDescent="0.25">
      <c r="D279">
        <f>[1]flow_freeway!A279</f>
        <v>8647</v>
      </c>
      <c r="E279" s="137">
        <f>[1]flow_freeway!B279</f>
        <v>41651.864746000007</v>
      </c>
      <c r="F279" s="137">
        <f>[1]flow_freeway!C279</f>
        <v>13203.755859000001</v>
      </c>
      <c r="G279" s="137">
        <f>[1]flow_freeway!D279</f>
        <v>7865.9296880000002</v>
      </c>
    </row>
    <row r="280" spans="4:7" x14ac:dyDescent="0.25">
      <c r="D280">
        <f>[1]flow_freeway!A280</f>
        <v>8720</v>
      </c>
      <c r="E280" s="137">
        <f>[1]flow_freeway!B280</f>
        <v>13109.784408</v>
      </c>
      <c r="F280" s="137">
        <f>[1]flow_freeway!C280</f>
        <v>2016.7387699999999</v>
      </c>
      <c r="G280" s="137">
        <f>[1]flow_freeway!D280</f>
        <v>5462.951172</v>
      </c>
    </row>
    <row r="281" spans="4:7" x14ac:dyDescent="0.25">
      <c r="D281">
        <f>[1]flow_freeway!A281</f>
        <v>8768</v>
      </c>
      <c r="E281" s="137">
        <f>[1]flow_freeway!B281</f>
        <v>102279.754395</v>
      </c>
      <c r="F281" s="137">
        <f>[1]flow_freeway!C281</f>
        <v>15527.270508</v>
      </c>
      <c r="G281" s="137">
        <f>[1]flow_freeway!D281</f>
        <v>29920.449218999998</v>
      </c>
    </row>
    <row r="282" spans="4:7" x14ac:dyDescent="0.25">
      <c r="D282">
        <f>[1]flow_freeway!A282</f>
        <v>8769</v>
      </c>
      <c r="E282" s="137">
        <f>[1]flow_freeway!B282</f>
        <v>100017.032227</v>
      </c>
      <c r="F282" s="137">
        <f>[1]flow_freeway!C282</f>
        <v>24045.232422000001</v>
      </c>
      <c r="G282" s="137">
        <f>[1]flow_freeway!D282</f>
        <v>18510.580077999999</v>
      </c>
    </row>
    <row r="283" spans="4:7" x14ac:dyDescent="0.25">
      <c r="D283">
        <f>[1]flow_freeway!A283</f>
        <v>8770</v>
      </c>
      <c r="E283" s="137">
        <f>[1]flow_freeway!B283</f>
        <v>101223.592284</v>
      </c>
      <c r="F283" s="137">
        <f>[1]flow_freeway!C283</f>
        <v>16879.253906000002</v>
      </c>
      <c r="G283" s="137">
        <f>[1]flow_freeway!D283</f>
        <v>29446.910156000002</v>
      </c>
    </row>
    <row r="284" spans="4:7" x14ac:dyDescent="0.25">
      <c r="D284">
        <f>[1]flow_freeway!A284</f>
        <v>8771</v>
      </c>
      <c r="E284" s="137">
        <f>[1]flow_freeway!B284</f>
        <v>101676.856445</v>
      </c>
      <c r="F284" s="137">
        <f>[1]flow_freeway!C284</f>
        <v>23516.480468999998</v>
      </c>
      <c r="G284" s="137">
        <f>[1]flow_freeway!D284</f>
        <v>20268.236327999999</v>
      </c>
    </row>
    <row r="285" spans="4:7" x14ac:dyDescent="0.25">
      <c r="D285">
        <f>[1]flow_freeway!A285</f>
        <v>8772</v>
      </c>
      <c r="E285" s="137">
        <f>[1]flow_freeway!B285</f>
        <v>102188.646484</v>
      </c>
      <c r="F285" s="137">
        <f>[1]flow_freeway!C285</f>
        <v>24362.726562</v>
      </c>
      <c r="G285" s="137">
        <f>[1]flow_freeway!D285</f>
        <v>19867.166015999999</v>
      </c>
    </row>
    <row r="286" spans="4:7" x14ac:dyDescent="0.25">
      <c r="D286">
        <f>[1]flow_freeway!A286</f>
        <v>8773</v>
      </c>
      <c r="E286" s="137">
        <f>[1]flow_freeway!B286</f>
        <v>96908.57714899999</v>
      </c>
      <c r="F286" s="137">
        <f>[1]flow_freeway!C286</f>
        <v>23392.494140999999</v>
      </c>
      <c r="G286" s="137">
        <f>[1]flow_freeway!D286</f>
        <v>18653.888672000001</v>
      </c>
    </row>
    <row r="287" spans="4:7" x14ac:dyDescent="0.25">
      <c r="D287">
        <f>[1]flow_freeway!A287</f>
        <v>8774</v>
      </c>
      <c r="E287" s="137">
        <f>[1]flow_freeway!B287</f>
        <v>105421.25</v>
      </c>
      <c r="F287" s="137">
        <f>[1]flow_freeway!C287</f>
        <v>26803.294922000001</v>
      </c>
      <c r="G287" s="137">
        <f>[1]flow_freeway!D287</f>
        <v>20102.951172000001</v>
      </c>
    </row>
    <row r="288" spans="4:7" x14ac:dyDescent="0.25">
      <c r="D288">
        <f>[1]flow_freeway!A288</f>
        <v>8775</v>
      </c>
      <c r="E288" s="137">
        <f>[1]flow_freeway!B288</f>
        <v>110206.46484299999</v>
      </c>
      <c r="F288" s="137">
        <f>[1]flow_freeway!C288</f>
        <v>28290.503906000002</v>
      </c>
      <c r="G288" s="137">
        <f>[1]flow_freeway!D288</f>
        <v>21631.863281000002</v>
      </c>
    </row>
    <row r="289" spans="4:7" x14ac:dyDescent="0.25">
      <c r="D289">
        <f>[1]flow_freeway!A289</f>
        <v>8776</v>
      </c>
      <c r="E289" s="137">
        <f>[1]flow_freeway!B289</f>
        <v>119859.068359</v>
      </c>
      <c r="F289" s="137">
        <f>[1]flow_freeway!C289</f>
        <v>19060.839843999998</v>
      </c>
      <c r="G289" s="137">
        <f>[1]flow_freeway!D289</f>
        <v>34381.339844000002</v>
      </c>
    </row>
    <row r="290" spans="4:7" x14ac:dyDescent="0.25">
      <c r="D290">
        <f>[1]flow_freeway!A290</f>
        <v>8777</v>
      </c>
      <c r="E290" s="137">
        <f>[1]flow_freeway!B290</f>
        <v>74459.50024400001</v>
      </c>
      <c r="F290" s="137">
        <f>[1]flow_freeway!C290</f>
        <v>16681.9375</v>
      </c>
      <c r="G290" s="137">
        <f>[1]flow_freeway!D290</f>
        <v>22955.121093999998</v>
      </c>
    </row>
    <row r="291" spans="4:7" x14ac:dyDescent="0.25">
      <c r="D291">
        <f>[1]flow_freeway!A291</f>
        <v>8778</v>
      </c>
      <c r="E291" s="137">
        <f>[1]flow_freeway!B291</f>
        <v>87272.972657000006</v>
      </c>
      <c r="F291" s="137">
        <f>[1]flow_freeway!C291</f>
        <v>18712.582031000002</v>
      </c>
      <c r="G291" s="137">
        <f>[1]flow_freeway!D291</f>
        <v>26026.408202999999</v>
      </c>
    </row>
    <row r="292" spans="4:7" x14ac:dyDescent="0.25">
      <c r="D292">
        <f>[1]flow_freeway!A292</f>
        <v>8780</v>
      </c>
      <c r="E292" s="137">
        <f>[1]flow_freeway!B292</f>
        <v>70417.758789</v>
      </c>
      <c r="F292" s="137">
        <f>[1]flow_freeway!C292</f>
        <v>15979.651367</v>
      </c>
      <c r="G292" s="137">
        <f>[1]flow_freeway!D292</f>
        <v>20347.445312</v>
      </c>
    </row>
    <row r="293" spans="4:7" x14ac:dyDescent="0.25">
      <c r="D293">
        <f>[1]flow_freeway!A293</f>
        <v>8781</v>
      </c>
      <c r="E293" s="137">
        <f>[1]flow_freeway!B293</f>
        <v>68909.008300999994</v>
      </c>
      <c r="F293" s="137">
        <f>[1]flow_freeway!C293</f>
        <v>16937.730468999998</v>
      </c>
      <c r="G293" s="137">
        <f>[1]flow_freeway!D293</f>
        <v>17086.748047000001</v>
      </c>
    </row>
    <row r="294" spans="4:7" x14ac:dyDescent="0.25">
      <c r="D294">
        <f>[1]flow_freeway!A294</f>
        <v>8784</v>
      </c>
      <c r="E294" s="137">
        <f>[1]flow_freeway!B294</f>
        <v>100403.31982400001</v>
      </c>
      <c r="F294" s="137">
        <f>[1]flow_freeway!C294</f>
        <v>22332.222656000002</v>
      </c>
      <c r="G294" s="137">
        <f>[1]flow_freeway!D294</f>
        <v>24965.744140999999</v>
      </c>
    </row>
    <row r="295" spans="4:7" x14ac:dyDescent="0.25">
      <c r="D295">
        <f>[1]flow_freeway!A295</f>
        <v>8785</v>
      </c>
      <c r="E295" s="137">
        <f>[1]flow_freeway!B295</f>
        <v>106036.52392600001</v>
      </c>
      <c r="F295" s="137">
        <f>[1]flow_freeway!C295</f>
        <v>23705.296875</v>
      </c>
      <c r="G295" s="137">
        <f>[1]flow_freeway!D295</f>
        <v>26279.021484000001</v>
      </c>
    </row>
    <row r="296" spans="4:7" x14ac:dyDescent="0.25">
      <c r="D296">
        <f>[1]flow_freeway!A296</f>
        <v>8786</v>
      </c>
      <c r="E296" s="137">
        <f>[1]flow_freeway!B296</f>
        <v>99216.624024000004</v>
      </c>
      <c r="F296" s="137">
        <f>[1]flow_freeway!C296</f>
        <v>21211.513672000001</v>
      </c>
      <c r="G296" s="137">
        <f>[1]flow_freeway!D296</f>
        <v>25910.574218999998</v>
      </c>
    </row>
    <row r="297" spans="4:7" x14ac:dyDescent="0.25">
      <c r="D297">
        <f>[1]flow_freeway!A297</f>
        <v>8787</v>
      </c>
      <c r="E297" s="137">
        <f>[1]flow_freeway!B297</f>
        <v>92216.070800000001</v>
      </c>
      <c r="F297" s="137">
        <f>[1]flow_freeway!C297</f>
        <v>19603.257812</v>
      </c>
      <c r="G297" s="137">
        <f>[1]flow_freeway!D297</f>
        <v>24334.28125</v>
      </c>
    </row>
    <row r="298" spans="4:7" x14ac:dyDescent="0.25">
      <c r="D298">
        <f>[1]flow_freeway!A298</f>
        <v>8788</v>
      </c>
      <c r="E298" s="137">
        <f>[1]flow_freeway!B298</f>
        <v>96966.145019999996</v>
      </c>
      <c r="F298" s="137">
        <f>[1]flow_freeway!C298</f>
        <v>20562.337890999999</v>
      </c>
      <c r="G298" s="137">
        <f>[1]flow_freeway!D298</f>
        <v>25858.851562</v>
      </c>
    </row>
    <row r="299" spans="4:7" x14ac:dyDescent="0.25">
      <c r="D299">
        <f>[1]flow_freeway!A299</f>
        <v>8789</v>
      </c>
      <c r="E299" s="137">
        <f>[1]flow_freeway!B299</f>
        <v>101326.182128</v>
      </c>
      <c r="F299" s="137">
        <f>[1]flow_freeway!C299</f>
        <v>22150.912109000001</v>
      </c>
      <c r="G299" s="137">
        <f>[1]flow_freeway!D299</f>
        <v>26810.771484000001</v>
      </c>
    </row>
    <row r="300" spans="4:7" x14ac:dyDescent="0.25">
      <c r="D300">
        <f>[1]flow_freeway!A300</f>
        <v>8790</v>
      </c>
      <c r="E300" s="137">
        <f>[1]flow_freeway!B300</f>
        <v>108557.426758</v>
      </c>
      <c r="F300" s="137">
        <f>[1]flow_freeway!C300</f>
        <v>23754.277343999998</v>
      </c>
      <c r="G300" s="137">
        <f>[1]flow_freeway!D300</f>
        <v>27119.654297000001</v>
      </c>
    </row>
    <row r="301" spans="4:7" x14ac:dyDescent="0.25">
      <c r="D301">
        <f>[1]flow_freeway!A301</f>
        <v>8791</v>
      </c>
      <c r="E301" s="137">
        <f>[1]flow_freeway!B301</f>
        <v>91428.67822300001</v>
      </c>
      <c r="F301" s="137">
        <f>[1]flow_freeway!C301</f>
        <v>20253.021484000001</v>
      </c>
      <c r="G301" s="137">
        <f>[1]flow_freeway!D301</f>
        <v>24434.988281000002</v>
      </c>
    </row>
    <row r="302" spans="4:7" x14ac:dyDescent="0.25">
      <c r="D302">
        <f>[1]flow_freeway!A302</f>
        <v>8792</v>
      </c>
      <c r="E302" s="137">
        <f>[1]flow_freeway!B302</f>
        <v>95449.440430000002</v>
      </c>
      <c r="F302" s="137">
        <f>[1]flow_freeway!C302</f>
        <v>21675.144531000002</v>
      </c>
      <c r="G302" s="137">
        <f>[1]flow_freeway!D302</f>
        <v>24569.109375</v>
      </c>
    </row>
    <row r="303" spans="4:7" x14ac:dyDescent="0.25">
      <c r="D303">
        <f>[1]flow_freeway!A303</f>
        <v>8793</v>
      </c>
      <c r="E303" s="137">
        <f>[1]flow_freeway!B303</f>
        <v>100269.041505</v>
      </c>
      <c r="F303" s="137">
        <f>[1]flow_freeway!C303</f>
        <v>21586.8125</v>
      </c>
      <c r="G303" s="137">
        <f>[1]flow_freeway!D303</f>
        <v>26718.636718999998</v>
      </c>
    </row>
    <row r="304" spans="4:7" x14ac:dyDescent="0.25">
      <c r="D304">
        <f>[1]flow_freeway!A304</f>
        <v>8794</v>
      </c>
      <c r="E304" s="137">
        <f>[1]flow_freeway!B304</f>
        <v>103039.417724</v>
      </c>
      <c r="F304" s="137">
        <f>[1]flow_freeway!C304</f>
        <v>23244.925781000002</v>
      </c>
      <c r="G304" s="137">
        <f>[1]flow_freeway!D304</f>
        <v>26332.072265999999</v>
      </c>
    </row>
    <row r="305" spans="4:7" x14ac:dyDescent="0.25">
      <c r="D305">
        <f>[1]flow_freeway!A305</f>
        <v>8797</v>
      </c>
      <c r="E305" s="137">
        <f>[1]flow_freeway!B305</f>
        <v>95929.704345000006</v>
      </c>
      <c r="F305" s="137">
        <f>[1]flow_freeway!C305</f>
        <v>19333.738281000002</v>
      </c>
      <c r="G305" s="137">
        <f>[1]flow_freeway!D305</f>
        <v>23451.589843999998</v>
      </c>
    </row>
    <row r="306" spans="4:7" x14ac:dyDescent="0.25">
      <c r="D306">
        <f>[1]flow_freeway!A306</f>
        <v>8802</v>
      </c>
      <c r="E306" s="137">
        <f>[1]flow_freeway!B306</f>
        <v>82819.527832000007</v>
      </c>
      <c r="F306" s="137">
        <f>[1]flow_freeway!C306</f>
        <v>19017.287109000001</v>
      </c>
      <c r="G306" s="137">
        <f>[1]flow_freeway!D306</f>
        <v>19336.683593999998</v>
      </c>
    </row>
    <row r="307" spans="4:7" x14ac:dyDescent="0.25">
      <c r="D307">
        <f>[1]flow_freeway!A307</f>
        <v>8803</v>
      </c>
      <c r="E307" s="137">
        <f>[1]flow_freeway!B307</f>
        <v>87838.524902999998</v>
      </c>
      <c r="F307" s="137">
        <f>[1]flow_freeway!C307</f>
        <v>19202.208984000001</v>
      </c>
      <c r="G307" s="137">
        <f>[1]flow_freeway!D307</f>
        <v>21227.716797000001</v>
      </c>
    </row>
    <row r="308" spans="4:7" x14ac:dyDescent="0.25">
      <c r="D308">
        <f>[1]flow_freeway!A308</f>
        <v>8804</v>
      </c>
      <c r="E308" s="137">
        <f>[1]flow_freeway!B308</f>
        <v>123116.76709000001</v>
      </c>
      <c r="F308" s="137">
        <f>[1]flow_freeway!C308</f>
        <v>22371.076172000001</v>
      </c>
      <c r="G308" s="137">
        <f>[1]flow_freeway!D308</f>
        <v>32405.609375</v>
      </c>
    </row>
    <row r="309" spans="4:7" x14ac:dyDescent="0.25">
      <c r="D309">
        <f>[1]flow_freeway!A309</f>
        <v>8807</v>
      </c>
      <c r="E309" s="137">
        <f>[1]flow_freeway!B309</f>
        <v>125671.129395</v>
      </c>
      <c r="F309" s="137">
        <f>[1]flow_freeway!C309</f>
        <v>20884.636718999998</v>
      </c>
      <c r="G309" s="137">
        <f>[1]flow_freeway!D309</f>
        <v>36329.992187999997</v>
      </c>
    </row>
    <row r="310" spans="4:7" x14ac:dyDescent="0.25">
      <c r="D310">
        <f>[1]flow_freeway!A310</f>
        <v>8808</v>
      </c>
      <c r="E310" s="137">
        <f>[1]flow_freeway!B310</f>
        <v>133302.59863200001</v>
      </c>
      <c r="F310" s="137">
        <f>[1]flow_freeway!C310</f>
        <v>30715.230468999998</v>
      </c>
      <c r="G310" s="137">
        <f>[1]flow_freeway!D310</f>
        <v>26946.195312</v>
      </c>
    </row>
    <row r="311" spans="4:7" x14ac:dyDescent="0.25">
      <c r="D311">
        <f>[1]flow_freeway!A311</f>
        <v>8809</v>
      </c>
      <c r="E311" s="137">
        <f>[1]flow_freeway!B311</f>
        <v>113130.807128</v>
      </c>
      <c r="F311" s="137">
        <f>[1]flow_freeway!C311</f>
        <v>18789.052734000001</v>
      </c>
      <c r="G311" s="137">
        <f>[1]flow_freeway!D311</f>
        <v>33639.695312000003</v>
      </c>
    </row>
    <row r="312" spans="4:7" x14ac:dyDescent="0.25">
      <c r="D312">
        <f>[1]flow_freeway!A312</f>
        <v>8810</v>
      </c>
      <c r="E312" s="137">
        <f>[1]flow_freeway!B312</f>
        <v>113927.64648500002</v>
      </c>
      <c r="F312" s="137">
        <f>[1]flow_freeway!C312</f>
        <v>27261.082031000002</v>
      </c>
      <c r="G312" s="137">
        <f>[1]flow_freeway!D312</f>
        <v>21752.992188</v>
      </c>
    </row>
    <row r="313" spans="4:7" x14ac:dyDescent="0.25">
      <c r="D313">
        <f>[1]flow_freeway!A313</f>
        <v>8811</v>
      </c>
      <c r="E313" s="137">
        <f>[1]flow_freeway!B313</f>
        <v>117692.44921799999</v>
      </c>
      <c r="F313" s="137">
        <f>[1]flow_freeway!C313</f>
        <v>28940.333984000001</v>
      </c>
      <c r="G313" s="137">
        <f>[1]flow_freeway!D313</f>
        <v>22720.474609000001</v>
      </c>
    </row>
    <row r="314" spans="4:7" x14ac:dyDescent="0.25">
      <c r="D314">
        <f>[1]flow_freeway!A314</f>
        <v>8812</v>
      </c>
      <c r="E314" s="137">
        <f>[1]flow_freeway!B314</f>
        <v>110701.911133</v>
      </c>
      <c r="F314" s="137">
        <f>[1]flow_freeway!C314</f>
        <v>16962.626952999999</v>
      </c>
      <c r="G314" s="137">
        <f>[1]flow_freeway!D314</f>
        <v>33344.175780999998</v>
      </c>
    </row>
    <row r="315" spans="4:7" x14ac:dyDescent="0.25">
      <c r="D315">
        <f>[1]flow_freeway!A315</f>
        <v>8813</v>
      </c>
      <c r="E315" s="137">
        <f>[1]flow_freeway!B315</f>
        <v>137698.05029399999</v>
      </c>
      <c r="F315" s="137">
        <f>[1]flow_freeway!C315</f>
        <v>20571.277343999998</v>
      </c>
      <c r="G315" s="137">
        <f>[1]flow_freeway!D315</f>
        <v>40837.5625</v>
      </c>
    </row>
    <row r="316" spans="4:7" x14ac:dyDescent="0.25">
      <c r="D316">
        <f>[1]flow_freeway!A316</f>
        <v>8814</v>
      </c>
      <c r="E316" s="137">
        <f>[1]flow_freeway!B316</f>
        <v>148360.76660100001</v>
      </c>
      <c r="F316" s="137">
        <f>[1]flow_freeway!C316</f>
        <v>36948.140625</v>
      </c>
      <c r="G316" s="137">
        <f>[1]flow_freeway!D316</f>
        <v>29478.955077999999</v>
      </c>
    </row>
    <row r="317" spans="4:7" x14ac:dyDescent="0.25">
      <c r="D317">
        <f>[1]flow_freeway!A317</f>
        <v>8815</v>
      </c>
      <c r="E317" s="137">
        <f>[1]flow_freeway!B317</f>
        <v>91085.697753</v>
      </c>
      <c r="F317" s="137">
        <f>[1]flow_freeway!C317</f>
        <v>18802.486327999999</v>
      </c>
      <c r="G317" s="137">
        <f>[1]flow_freeway!D317</f>
        <v>20942.931640999999</v>
      </c>
    </row>
    <row r="318" spans="4:7" x14ac:dyDescent="0.25">
      <c r="D318">
        <f>[1]flow_freeway!A318</f>
        <v>8816</v>
      </c>
      <c r="E318" s="137">
        <f>[1]flow_freeway!B318</f>
        <v>105065.45361400001</v>
      </c>
      <c r="F318" s="137">
        <f>[1]flow_freeway!C318</f>
        <v>23984.861327999999</v>
      </c>
      <c r="G318" s="137">
        <f>[1]flow_freeway!D318</f>
        <v>24601.699218999998</v>
      </c>
    </row>
    <row r="319" spans="4:7" x14ac:dyDescent="0.25">
      <c r="D319">
        <f>[1]flow_freeway!A319</f>
        <v>8817</v>
      </c>
      <c r="E319" s="137">
        <f>[1]flow_freeway!B319</f>
        <v>92708.025879000008</v>
      </c>
      <c r="F319" s="137">
        <f>[1]flow_freeway!C319</f>
        <v>20608.318359000001</v>
      </c>
      <c r="G319" s="137">
        <f>[1]flow_freeway!D319</f>
        <v>23117.041015999999</v>
      </c>
    </row>
    <row r="320" spans="4:7" x14ac:dyDescent="0.25">
      <c r="D320">
        <f>[1]flow_freeway!A320</f>
        <v>8820</v>
      </c>
      <c r="E320" s="137">
        <f>[1]flow_freeway!B320</f>
        <v>84191.245116999999</v>
      </c>
      <c r="F320" s="137">
        <f>[1]flow_freeway!C320</f>
        <v>21004.320312</v>
      </c>
      <c r="G320" s="137">
        <f>[1]flow_freeway!D320</f>
        <v>19762.931640999999</v>
      </c>
    </row>
    <row r="321" spans="4:7" x14ac:dyDescent="0.25">
      <c r="D321">
        <f>[1]flow_freeway!A321</f>
        <v>8821</v>
      </c>
      <c r="E321" s="137">
        <f>[1]flow_freeway!B321</f>
        <v>89780.255858999997</v>
      </c>
      <c r="F321" s="137">
        <f>[1]flow_freeway!C321</f>
        <v>17865.484375</v>
      </c>
      <c r="G321" s="137">
        <f>[1]flow_freeway!D321</f>
        <v>25375.207031000002</v>
      </c>
    </row>
    <row r="322" spans="4:7" x14ac:dyDescent="0.25">
      <c r="D322">
        <f>[1]flow_freeway!A322</f>
        <v>8822</v>
      </c>
      <c r="E322" s="137">
        <f>[1]flow_freeway!B322</f>
        <v>66281.707274999993</v>
      </c>
      <c r="F322" s="137">
        <f>[1]flow_freeway!C322</f>
        <v>14660.785156</v>
      </c>
      <c r="G322" s="137">
        <f>[1]flow_freeway!D322</f>
        <v>18504.326172000001</v>
      </c>
    </row>
    <row r="323" spans="4:7" x14ac:dyDescent="0.25">
      <c r="D323">
        <f>[1]flow_freeway!A323</f>
        <v>8823</v>
      </c>
      <c r="E323" s="137">
        <f>[1]flow_freeway!B323</f>
        <v>62414.257811999996</v>
      </c>
      <c r="F323" s="137">
        <f>[1]flow_freeway!C323</f>
        <v>15757.351562</v>
      </c>
      <c r="G323" s="137">
        <f>[1]flow_freeway!D323</f>
        <v>15473.75</v>
      </c>
    </row>
    <row r="324" spans="4:7" x14ac:dyDescent="0.25">
      <c r="D324">
        <f>[1]flow_freeway!A324</f>
        <v>8824</v>
      </c>
      <c r="E324" s="137">
        <f>[1]flow_freeway!B324</f>
        <v>69576.584961</v>
      </c>
      <c r="F324" s="137">
        <f>[1]flow_freeway!C324</f>
        <v>19221.158202999999</v>
      </c>
      <c r="G324" s="137">
        <f>[1]flow_freeway!D324</f>
        <v>14135.079102</v>
      </c>
    </row>
    <row r="325" spans="4:7" x14ac:dyDescent="0.25">
      <c r="D325">
        <f>[1]flow_freeway!A325</f>
        <v>8825</v>
      </c>
      <c r="E325" s="137">
        <f>[1]flow_freeway!B325</f>
        <v>71079.908934999999</v>
      </c>
      <c r="F325" s="137">
        <f>[1]flow_freeway!C325</f>
        <v>11544.405273</v>
      </c>
      <c r="G325" s="137">
        <f>[1]flow_freeway!D325</f>
        <v>22534.066406000002</v>
      </c>
    </row>
    <row r="326" spans="4:7" x14ac:dyDescent="0.25">
      <c r="D326">
        <f>[1]flow_freeway!A326</f>
        <v>8826</v>
      </c>
      <c r="E326" s="137">
        <f>[1]flow_freeway!B326</f>
        <v>86075.540772000008</v>
      </c>
      <c r="F326" s="137">
        <f>[1]flow_freeway!C326</f>
        <v>20081.494140999999</v>
      </c>
      <c r="G326" s="137">
        <f>[1]flow_freeway!D326</f>
        <v>22054.371093999998</v>
      </c>
    </row>
    <row r="327" spans="4:7" x14ac:dyDescent="0.25">
      <c r="D327">
        <f>[1]flow_freeway!A327</f>
        <v>8827</v>
      </c>
      <c r="E327" s="137">
        <f>[1]flow_freeway!B327</f>
        <v>115088.69042899999</v>
      </c>
      <c r="F327" s="137">
        <f>[1]flow_freeway!C327</f>
        <v>24433.640625</v>
      </c>
      <c r="G327" s="137">
        <f>[1]flow_freeway!D327</f>
        <v>30003.625</v>
      </c>
    </row>
    <row r="328" spans="4:7" x14ac:dyDescent="0.25">
      <c r="D328">
        <f>[1]flow_freeway!A328</f>
        <v>8828</v>
      </c>
      <c r="E328" s="137">
        <f>[1]flow_freeway!B328</f>
        <v>77224.376952999999</v>
      </c>
      <c r="F328" s="137">
        <f>[1]flow_freeway!C328</f>
        <v>16337.680664</v>
      </c>
      <c r="G328" s="137">
        <f>[1]flow_freeway!D328</f>
        <v>20422.271484000001</v>
      </c>
    </row>
    <row r="329" spans="4:7" x14ac:dyDescent="0.25">
      <c r="D329">
        <f>[1]flow_freeway!A329</f>
        <v>8829</v>
      </c>
      <c r="E329" s="137">
        <f>[1]flow_freeway!B329</f>
        <v>63573.535155999998</v>
      </c>
      <c r="F329" s="137">
        <f>[1]flow_freeway!C329</f>
        <v>10878.098633</v>
      </c>
      <c r="G329" s="137">
        <f>[1]flow_freeway!D329</f>
        <v>16805.021484000001</v>
      </c>
    </row>
    <row r="330" spans="4:7" x14ac:dyDescent="0.25">
      <c r="D330">
        <f>[1]flow_freeway!A330</f>
        <v>8830</v>
      </c>
      <c r="E330" s="137">
        <f>[1]flow_freeway!B330</f>
        <v>49913.253905999998</v>
      </c>
      <c r="F330" s="137">
        <f>[1]flow_freeway!C330</f>
        <v>8834.6074219999991</v>
      </c>
      <c r="G330" s="137">
        <f>[1]flow_freeway!D330</f>
        <v>13243.988281</v>
      </c>
    </row>
    <row r="331" spans="4:7" x14ac:dyDescent="0.25">
      <c r="D331">
        <f>[1]flow_freeway!A331</f>
        <v>8831</v>
      </c>
      <c r="E331" s="137">
        <f>[1]flow_freeway!B331</f>
        <v>56250.961427000002</v>
      </c>
      <c r="F331" s="137">
        <f>[1]flow_freeway!C331</f>
        <v>9894.9492190000001</v>
      </c>
      <c r="G331" s="137">
        <f>[1]flow_freeway!D331</f>
        <v>15029.502930000001</v>
      </c>
    </row>
    <row r="332" spans="4:7" x14ac:dyDescent="0.25">
      <c r="D332">
        <f>[1]flow_freeway!A332</f>
        <v>8832</v>
      </c>
      <c r="E332" s="137">
        <f>[1]flow_freeway!B332</f>
        <v>58983.599121000007</v>
      </c>
      <c r="F332" s="137">
        <f>[1]flow_freeway!C332</f>
        <v>10647.640625</v>
      </c>
      <c r="G332" s="137">
        <f>[1]flow_freeway!D332</f>
        <v>15299.515625</v>
      </c>
    </row>
    <row r="333" spans="4:7" x14ac:dyDescent="0.25">
      <c r="D333">
        <f>[1]flow_freeway!A333</f>
        <v>8833</v>
      </c>
      <c r="E333" s="137">
        <f>[1]flow_freeway!B333</f>
        <v>60739.717772999997</v>
      </c>
      <c r="F333" s="137">
        <f>[1]flow_freeway!C333</f>
        <v>13390.013671999999</v>
      </c>
      <c r="G333" s="137">
        <f>[1]flow_freeway!D333</f>
        <v>14229.916015999999</v>
      </c>
    </row>
    <row r="334" spans="4:7" x14ac:dyDescent="0.25">
      <c r="D334">
        <f>[1]flow_freeway!A334</f>
        <v>8834</v>
      </c>
      <c r="E334" s="137">
        <f>[1]flow_freeway!B334</f>
        <v>53608.726562999997</v>
      </c>
      <c r="F334" s="137">
        <f>[1]flow_freeway!C334</f>
        <v>10938.902344</v>
      </c>
      <c r="G334" s="137">
        <f>[1]flow_freeway!D334</f>
        <v>13471.100586</v>
      </c>
    </row>
    <row r="335" spans="4:7" x14ac:dyDescent="0.25">
      <c r="D335">
        <f>[1]flow_freeway!A335</f>
        <v>8835</v>
      </c>
      <c r="E335" s="137">
        <f>[1]flow_freeway!B335</f>
        <v>72256.445313000004</v>
      </c>
      <c r="F335" s="137">
        <f>[1]flow_freeway!C335</f>
        <v>13098.657227</v>
      </c>
      <c r="G335" s="137">
        <f>[1]flow_freeway!D335</f>
        <v>18987.861327999999</v>
      </c>
    </row>
    <row r="336" spans="4:7" x14ac:dyDescent="0.25">
      <c r="D336">
        <f>[1]flow_freeway!A336</f>
        <v>8836</v>
      </c>
      <c r="E336" s="137">
        <f>[1]flow_freeway!B336</f>
        <v>70885.084472000002</v>
      </c>
      <c r="F336" s="137">
        <f>[1]flow_freeway!C336</f>
        <v>15132.082031</v>
      </c>
      <c r="G336" s="137">
        <f>[1]flow_freeway!D336</f>
        <v>15166.128906</v>
      </c>
    </row>
    <row r="337" spans="4:7" x14ac:dyDescent="0.25">
      <c r="D337">
        <f>[1]flow_freeway!A337</f>
        <v>8837</v>
      </c>
      <c r="E337" s="137">
        <f>[1]flow_freeway!B337</f>
        <v>73015.226072999998</v>
      </c>
      <c r="F337" s="137">
        <f>[1]flow_freeway!C337</f>
        <v>12872.918944999999</v>
      </c>
      <c r="G337" s="137">
        <f>[1]flow_freeway!D337</f>
        <v>19751.580077999999</v>
      </c>
    </row>
    <row r="338" spans="4:7" x14ac:dyDescent="0.25">
      <c r="D338">
        <f>[1]flow_freeway!A338</f>
        <v>8838</v>
      </c>
      <c r="E338" s="137">
        <f>[1]flow_freeway!B338</f>
        <v>70930.23193400001</v>
      </c>
      <c r="F338" s="137">
        <f>[1]flow_freeway!C338</f>
        <v>16180.402344</v>
      </c>
      <c r="G338" s="137">
        <f>[1]flow_freeway!D338</f>
        <v>15220.743164</v>
      </c>
    </row>
    <row r="339" spans="4:7" x14ac:dyDescent="0.25">
      <c r="D339">
        <f>[1]flow_freeway!A339</f>
        <v>8839</v>
      </c>
      <c r="E339" s="137">
        <f>[1]flow_freeway!B339</f>
        <v>64342.757568000001</v>
      </c>
      <c r="F339" s="137">
        <f>[1]flow_freeway!C339</f>
        <v>11684.490234000001</v>
      </c>
      <c r="G339" s="137">
        <f>[1]flow_freeway!D339</f>
        <v>17853.105468999998</v>
      </c>
    </row>
    <row r="340" spans="4:7" x14ac:dyDescent="0.25">
      <c r="D340">
        <f>[1]flow_freeway!A340</f>
        <v>8840</v>
      </c>
      <c r="E340" s="137">
        <f>[1]flow_freeway!B340</f>
        <v>62684.971191999997</v>
      </c>
      <c r="F340" s="137">
        <f>[1]flow_freeway!C340</f>
        <v>14797.895508</v>
      </c>
      <c r="G340" s="137">
        <f>[1]flow_freeway!D340</f>
        <v>13894.675781</v>
      </c>
    </row>
    <row r="341" spans="4:7" x14ac:dyDescent="0.25">
      <c r="D341">
        <f>[1]flow_freeway!A341</f>
        <v>8841</v>
      </c>
      <c r="E341" s="137">
        <f>[1]flow_freeway!B341</f>
        <v>79864.221191000004</v>
      </c>
      <c r="F341" s="137">
        <f>[1]flow_freeway!C341</f>
        <v>17242.894531000002</v>
      </c>
      <c r="G341" s="137">
        <f>[1]flow_freeway!D341</f>
        <v>17164.515625</v>
      </c>
    </row>
    <row r="342" spans="4:7" x14ac:dyDescent="0.25">
      <c r="D342">
        <f>[1]flow_freeway!A342</f>
        <v>8842</v>
      </c>
      <c r="E342" s="137">
        <f>[1]flow_freeway!B342</f>
        <v>80770.915039</v>
      </c>
      <c r="F342" s="137">
        <f>[1]flow_freeway!C342</f>
        <v>17114.818359000001</v>
      </c>
      <c r="G342" s="137">
        <f>[1]flow_freeway!D342</f>
        <v>18810.824218999998</v>
      </c>
    </row>
    <row r="343" spans="4:7" x14ac:dyDescent="0.25">
      <c r="D343">
        <f>[1]flow_freeway!A343</f>
        <v>8843</v>
      </c>
      <c r="E343" s="137">
        <f>[1]flow_freeway!B343</f>
        <v>92616.338378999993</v>
      </c>
      <c r="F343" s="137">
        <f>[1]flow_freeway!C343</f>
        <v>18289.027343999998</v>
      </c>
      <c r="G343" s="137">
        <f>[1]flow_freeway!D343</f>
        <v>22947.34375</v>
      </c>
    </row>
    <row r="344" spans="4:7" x14ac:dyDescent="0.25">
      <c r="D344">
        <f>[1]flow_freeway!A344</f>
        <v>8844</v>
      </c>
      <c r="E344" s="137">
        <f>[1]flow_freeway!B344</f>
        <v>89487.826660000006</v>
      </c>
      <c r="F344" s="137">
        <f>[1]flow_freeway!C344</f>
        <v>18048.880859000001</v>
      </c>
      <c r="G344" s="137">
        <f>[1]flow_freeway!D344</f>
        <v>20836.681640999999</v>
      </c>
    </row>
    <row r="345" spans="4:7" x14ac:dyDescent="0.25">
      <c r="D345">
        <f>[1]flow_freeway!A345</f>
        <v>8845</v>
      </c>
      <c r="E345" s="137">
        <f>[1]flow_freeway!B345</f>
        <v>95475.370604999989</v>
      </c>
      <c r="F345" s="137">
        <f>[1]flow_freeway!C345</f>
        <v>18862.144531000002</v>
      </c>
      <c r="G345" s="137">
        <f>[1]flow_freeway!D345</f>
        <v>22982.552734000001</v>
      </c>
    </row>
    <row r="346" spans="4:7" x14ac:dyDescent="0.25">
      <c r="D346">
        <f>[1]flow_freeway!A346</f>
        <v>8846</v>
      </c>
      <c r="E346" s="137">
        <f>[1]flow_freeway!B346</f>
        <v>89242.548340000008</v>
      </c>
      <c r="F346" s="137">
        <f>[1]flow_freeway!C346</f>
        <v>17775.066406000002</v>
      </c>
      <c r="G346" s="137">
        <f>[1]flow_freeway!D346</f>
        <v>20939.974609000001</v>
      </c>
    </row>
    <row r="347" spans="4:7" x14ac:dyDescent="0.25">
      <c r="D347">
        <f>[1]flow_freeway!A347</f>
        <v>8879</v>
      </c>
      <c r="E347" s="137">
        <f>[1]flow_freeway!B347</f>
        <v>76045.499511999995</v>
      </c>
      <c r="F347" s="137">
        <f>[1]flow_freeway!C347</f>
        <v>15966.409180000001</v>
      </c>
      <c r="G347" s="137">
        <f>[1]flow_freeway!D347</f>
        <v>19626.640625</v>
      </c>
    </row>
    <row r="348" spans="4:7" x14ac:dyDescent="0.25">
      <c r="D348">
        <f>[1]flow_freeway!A348</f>
        <v>8887</v>
      </c>
      <c r="E348" s="137">
        <f>[1]flow_freeway!B348</f>
        <v>93662.934083</v>
      </c>
      <c r="F348" s="137">
        <f>[1]flow_freeway!C348</f>
        <v>19397.626952999999</v>
      </c>
      <c r="G348" s="137">
        <f>[1]flow_freeway!D348</f>
        <v>22699.681640999999</v>
      </c>
    </row>
    <row r="349" spans="4:7" x14ac:dyDescent="0.25">
      <c r="D349">
        <f>[1]flow_freeway!A349</f>
        <v>8896</v>
      </c>
      <c r="E349" s="137">
        <f>[1]flow_freeway!B349</f>
        <v>72069.465576000002</v>
      </c>
      <c r="F349" s="137">
        <f>[1]flow_freeway!C349</f>
        <v>11035.251953000001</v>
      </c>
      <c r="G349" s="137">
        <f>[1]flow_freeway!D349</f>
        <v>23667.734375</v>
      </c>
    </row>
    <row r="350" spans="4:7" x14ac:dyDescent="0.25">
      <c r="D350">
        <f>[1]flow_freeway!A350</f>
        <v>8899</v>
      </c>
      <c r="E350" s="137">
        <f>[1]flow_freeway!B350</f>
        <v>119408.774414</v>
      </c>
      <c r="F350" s="137">
        <f>[1]flow_freeway!C350</f>
        <v>29975.330077999999</v>
      </c>
      <c r="G350" s="137">
        <f>[1]flow_freeway!D350</f>
        <v>23445.865234000001</v>
      </c>
    </row>
    <row r="351" spans="4:7" x14ac:dyDescent="0.25">
      <c r="D351">
        <f>[1]flow_freeway!A351</f>
        <v>8900</v>
      </c>
      <c r="E351" s="137">
        <f>[1]flow_freeway!B351</f>
        <v>110196.681641</v>
      </c>
      <c r="F351" s="137">
        <f>[1]flow_freeway!C351</f>
        <v>28093.357422000001</v>
      </c>
      <c r="G351" s="137">
        <f>[1]flow_freeway!D351</f>
        <v>21315.5</v>
      </c>
    </row>
    <row r="352" spans="4:7" x14ac:dyDescent="0.25">
      <c r="D352">
        <f>[1]flow_freeway!A352</f>
        <v>8902</v>
      </c>
      <c r="E352" s="137">
        <f>[1]flow_freeway!B352</f>
        <v>56993.288819000009</v>
      </c>
      <c r="F352" s="137">
        <f>[1]flow_freeway!C352</f>
        <v>13603.088867</v>
      </c>
      <c r="G352" s="137">
        <f>[1]flow_freeway!D352</f>
        <v>14046.538086</v>
      </c>
    </row>
    <row r="353" spans="4:7" x14ac:dyDescent="0.25">
      <c r="D353">
        <f>[1]flow_freeway!A353</f>
        <v>8921</v>
      </c>
      <c r="E353" s="137">
        <f>[1]flow_freeway!B353</f>
        <v>75729.483886999995</v>
      </c>
      <c r="F353" s="137">
        <f>[1]flow_freeway!C353</f>
        <v>16770.921875</v>
      </c>
      <c r="G353" s="137">
        <f>[1]flow_freeway!D353</f>
        <v>18744.759765999999</v>
      </c>
    </row>
    <row r="354" spans="4:7" x14ac:dyDescent="0.25">
      <c r="D354">
        <f>[1]flow_freeway!A354</f>
        <v>8930</v>
      </c>
      <c r="E354" s="137">
        <f>[1]flow_freeway!B354</f>
        <v>52826.163086</v>
      </c>
      <c r="F354" s="137">
        <f>[1]flow_freeway!C354</f>
        <v>11868.574219</v>
      </c>
      <c r="G354" s="137">
        <f>[1]flow_freeway!D354</f>
        <v>13999.235352</v>
      </c>
    </row>
    <row r="355" spans="4:7" x14ac:dyDescent="0.25">
      <c r="D355">
        <f>[1]flow_freeway!A355</f>
        <v>8933</v>
      </c>
      <c r="E355" s="137">
        <f>[1]flow_freeway!B355</f>
        <v>106104.312256</v>
      </c>
      <c r="F355" s="137">
        <f>[1]flow_freeway!C355</f>
        <v>18819.46875</v>
      </c>
      <c r="G355" s="137">
        <f>[1]flow_freeway!D355</f>
        <v>30509.046875</v>
      </c>
    </row>
    <row r="356" spans="4:7" x14ac:dyDescent="0.25">
      <c r="D356">
        <f>[1]flow_freeway!A356</f>
        <v>8938</v>
      </c>
      <c r="E356" s="137">
        <f>[1]flow_freeway!B356</f>
        <v>94485.972167</v>
      </c>
      <c r="F356" s="137">
        <f>[1]flow_freeway!C356</f>
        <v>18186.787109000001</v>
      </c>
      <c r="G356" s="137">
        <f>[1]flow_freeway!D356</f>
        <v>23700.261718999998</v>
      </c>
    </row>
    <row r="357" spans="4:7" x14ac:dyDescent="0.25">
      <c r="D357">
        <f>[1]flow_freeway!A357</f>
        <v>8939</v>
      </c>
      <c r="E357" s="137">
        <f>[1]flow_freeway!B357</f>
        <v>103680.882813</v>
      </c>
      <c r="F357" s="137">
        <f>[1]flow_freeway!C357</f>
        <v>23432.255859000001</v>
      </c>
      <c r="G357" s="137">
        <f>[1]flow_freeway!D357</f>
        <v>24511.71875</v>
      </c>
    </row>
    <row r="358" spans="4:7" x14ac:dyDescent="0.25">
      <c r="D358">
        <f>[1]flow_freeway!A358</f>
        <v>8944</v>
      </c>
      <c r="E358" s="137">
        <f>[1]flow_freeway!B358</f>
        <v>94485.972167</v>
      </c>
      <c r="F358" s="137">
        <f>[1]flow_freeway!C358</f>
        <v>18186.787109000001</v>
      </c>
      <c r="G358" s="137">
        <f>[1]flow_freeway!D358</f>
        <v>23700.261718999998</v>
      </c>
    </row>
    <row r="359" spans="4:7" x14ac:dyDescent="0.25">
      <c r="D359">
        <f>[1]flow_freeway!A359</f>
        <v>8954</v>
      </c>
      <c r="E359" s="137">
        <f>[1]flow_freeway!B359</f>
        <v>93270.085447999998</v>
      </c>
      <c r="F359" s="137">
        <f>[1]flow_freeway!C359</f>
        <v>21613.234375</v>
      </c>
      <c r="G359" s="137">
        <f>[1]flow_freeway!D359</f>
        <v>21918.537109000001</v>
      </c>
    </row>
    <row r="360" spans="4:7" x14ac:dyDescent="0.25">
      <c r="D360">
        <f>[1]flow_freeway!A360</f>
        <v>8955</v>
      </c>
      <c r="E360" s="137">
        <f>[1]flow_freeway!B360</f>
        <v>85512.690430999995</v>
      </c>
      <c r="F360" s="137">
        <f>[1]flow_freeway!C360</f>
        <v>16634.027343999998</v>
      </c>
      <c r="G360" s="137">
        <f>[1]flow_freeway!D360</f>
        <v>22213.375</v>
      </c>
    </row>
    <row r="361" spans="4:7" x14ac:dyDescent="0.25">
      <c r="D361">
        <f>[1]flow_freeway!A361</f>
        <v>8966</v>
      </c>
      <c r="E361" s="137">
        <f>[1]flow_freeway!B361</f>
        <v>103680.882813</v>
      </c>
      <c r="F361" s="137">
        <f>[1]flow_freeway!C361</f>
        <v>23432.255859000001</v>
      </c>
      <c r="G361" s="137">
        <f>[1]flow_freeway!D361</f>
        <v>24511.71875</v>
      </c>
    </row>
    <row r="362" spans="4:7" x14ac:dyDescent="0.25">
      <c r="D362">
        <f>[1]flow_freeway!A362</f>
        <v>8968</v>
      </c>
      <c r="E362" s="137">
        <f>[1]flow_freeway!B362</f>
        <v>91987.979980999997</v>
      </c>
      <c r="F362" s="137">
        <f>[1]flow_freeway!C362</f>
        <v>17000.605468999998</v>
      </c>
      <c r="G362" s="137">
        <f>[1]flow_freeway!D362</f>
        <v>25798.265625</v>
      </c>
    </row>
    <row r="363" spans="4:7" x14ac:dyDescent="0.25">
      <c r="D363">
        <f>[1]flow_freeway!A363</f>
        <v>8972</v>
      </c>
      <c r="E363" s="137">
        <f>[1]flow_freeway!B363</f>
        <v>102835.35644399999</v>
      </c>
      <c r="F363" s="137">
        <f>[1]flow_freeway!C363</f>
        <v>24709.345702999999</v>
      </c>
      <c r="G363" s="137">
        <f>[1]flow_freeway!D363</f>
        <v>23166.601562</v>
      </c>
    </row>
    <row r="364" spans="4:7" x14ac:dyDescent="0.25">
      <c r="D364">
        <f>[1]flow_freeway!A364</f>
        <v>8973</v>
      </c>
      <c r="E364" s="137">
        <f>[1]flow_freeway!B364</f>
        <v>96918.370850000007</v>
      </c>
      <c r="F364" s="137">
        <f>[1]flow_freeway!C364</f>
        <v>18120.933593999998</v>
      </c>
      <c r="G364" s="137">
        <f>[1]flow_freeway!D364</f>
        <v>26788.880859000001</v>
      </c>
    </row>
    <row r="365" spans="4:7" x14ac:dyDescent="0.25">
      <c r="D365">
        <f>[1]flow_freeway!A365</f>
        <v>8976</v>
      </c>
      <c r="E365" s="137">
        <f>[1]flow_freeway!B365</f>
        <v>106281.87011599999</v>
      </c>
      <c r="F365" s="137">
        <f>[1]flow_freeway!C365</f>
        <v>25975.570312</v>
      </c>
      <c r="G365" s="137">
        <f>[1]flow_freeway!D365</f>
        <v>23285.703125</v>
      </c>
    </row>
    <row r="366" spans="4:7" x14ac:dyDescent="0.25">
      <c r="D366">
        <f>[1]flow_freeway!A366</f>
        <v>8977</v>
      </c>
      <c r="E366" s="137">
        <f>[1]flow_freeway!B366</f>
        <v>96828.778810000003</v>
      </c>
      <c r="F366" s="137">
        <f>[1]flow_freeway!C366</f>
        <v>23868.322265999999</v>
      </c>
      <c r="G366" s="137">
        <f>[1]flow_freeway!D366</f>
        <v>21536.648438</v>
      </c>
    </row>
    <row r="367" spans="4:7" x14ac:dyDescent="0.25">
      <c r="D367">
        <f>[1]flow_freeway!A367</f>
        <v>8982</v>
      </c>
      <c r="E367" s="137">
        <f>[1]flow_freeway!B367</f>
        <v>98270.107910000006</v>
      </c>
      <c r="F367" s="137">
        <f>[1]flow_freeway!C367</f>
        <v>21236.132812</v>
      </c>
      <c r="G367" s="137">
        <f>[1]flow_freeway!D367</f>
        <v>23732.277343999998</v>
      </c>
    </row>
    <row r="368" spans="4:7" x14ac:dyDescent="0.25">
      <c r="D368">
        <f>[1]flow_freeway!A368</f>
        <v>9012</v>
      </c>
      <c r="E368" s="137">
        <f>[1]flow_freeway!B368</f>
        <v>17210.658797999997</v>
      </c>
      <c r="F368" s="137">
        <f>[1]flow_freeway!C368</f>
        <v>2667.1308589999999</v>
      </c>
      <c r="G368" s="137">
        <f>[1]flow_freeway!D368</f>
        <v>6356.9423829999996</v>
      </c>
    </row>
    <row r="369" spans="4:7" x14ac:dyDescent="0.25">
      <c r="D369">
        <f>[1]flow_freeway!A369</f>
        <v>9022</v>
      </c>
      <c r="E369" s="137">
        <f>[1]flow_freeway!B369</f>
        <v>105421.25</v>
      </c>
      <c r="F369" s="137">
        <f>[1]flow_freeway!C369</f>
        <v>26803.294922000001</v>
      </c>
      <c r="G369" s="137">
        <f>[1]flow_freeway!D369</f>
        <v>20102.951172000001</v>
      </c>
    </row>
    <row r="370" spans="4:7" x14ac:dyDescent="0.25">
      <c r="D370">
        <f>[1]flow_freeway!A370</f>
        <v>9025</v>
      </c>
      <c r="E370" s="137">
        <f>[1]flow_freeway!B370</f>
        <v>101285.988281</v>
      </c>
      <c r="F370" s="137">
        <f>[1]flow_freeway!C370</f>
        <v>21936.003906000002</v>
      </c>
      <c r="G370" s="137">
        <f>[1]flow_freeway!D370</f>
        <v>20324.855468999998</v>
      </c>
    </row>
    <row r="371" spans="4:7" x14ac:dyDescent="0.25">
      <c r="D371">
        <f>[1]flow_freeway!A371</f>
        <v>9027</v>
      </c>
      <c r="E371" s="137">
        <f>[1]flow_freeway!B371</f>
        <v>57245.228026999997</v>
      </c>
      <c r="F371" s="137">
        <f>[1]flow_freeway!C371</f>
        <v>13665.970703000001</v>
      </c>
      <c r="G371" s="137">
        <f>[1]flow_freeway!D371</f>
        <v>14073.924805000001</v>
      </c>
    </row>
    <row r="372" spans="4:7" x14ac:dyDescent="0.25">
      <c r="D372">
        <f>[1]flow_freeway!A372</f>
        <v>9028</v>
      </c>
      <c r="E372" s="137">
        <f>[1]flow_freeway!B372</f>
        <v>64177.479491999991</v>
      </c>
      <c r="F372" s="137">
        <f>[1]flow_freeway!C372</f>
        <v>10234.153319999999</v>
      </c>
      <c r="G372" s="137">
        <f>[1]flow_freeway!D372</f>
        <v>21258.558593999998</v>
      </c>
    </row>
    <row r="373" spans="4:7" x14ac:dyDescent="0.25">
      <c r="D373">
        <f>[1]flow_freeway!A373</f>
        <v>9029</v>
      </c>
      <c r="E373" s="137">
        <f>[1]flow_freeway!B373</f>
        <v>68804.772949999999</v>
      </c>
      <c r="F373" s="137">
        <f>[1]flow_freeway!C373</f>
        <v>20099.703125</v>
      </c>
      <c r="G373" s="137">
        <f>[1]flow_freeway!D373</f>
        <v>14314.711914</v>
      </c>
    </row>
    <row r="374" spans="4:7" x14ac:dyDescent="0.25">
      <c r="D374">
        <f>[1]flow_freeway!A374</f>
        <v>9031</v>
      </c>
      <c r="E374" s="137">
        <f>[1]flow_freeway!B374</f>
        <v>5469.1513050000003</v>
      </c>
      <c r="F374" s="137">
        <f>[1]flow_freeway!C374</f>
        <v>1479.186279</v>
      </c>
      <c r="G374" s="137">
        <f>[1]flow_freeway!D374</f>
        <v>611.59057600000006</v>
      </c>
    </row>
    <row r="375" spans="4:7" x14ac:dyDescent="0.25">
      <c r="D375">
        <f>[1]flow_freeway!A375</f>
        <v>9032</v>
      </c>
      <c r="E375" s="137">
        <f>[1]flow_freeway!B375</f>
        <v>5624.6988220000003</v>
      </c>
      <c r="F375" s="137">
        <f>[1]flow_freeway!C375</f>
        <v>781.32128899999998</v>
      </c>
      <c r="G375" s="137">
        <f>[1]flow_freeway!D375</f>
        <v>1743.1448969999999</v>
      </c>
    </row>
    <row r="376" spans="4:7" x14ac:dyDescent="0.25">
      <c r="D376">
        <f>[1]flow_freeway!A376</f>
        <v>9033</v>
      </c>
      <c r="E376" s="137">
        <f>[1]flow_freeway!B376</f>
        <v>38902.456787000003</v>
      </c>
      <c r="F376" s="137">
        <f>[1]flow_freeway!C376</f>
        <v>9644.5107420000004</v>
      </c>
      <c r="G376" s="137">
        <f>[1]flow_freeway!D376</f>
        <v>8746.6435550000006</v>
      </c>
    </row>
    <row r="377" spans="4:7" x14ac:dyDescent="0.25">
      <c r="D377">
        <f>[1]flow_freeway!A377</f>
        <v>9034</v>
      </c>
      <c r="E377" s="137">
        <f>[1]flow_freeway!B377</f>
        <v>27803.682982999999</v>
      </c>
      <c r="F377" s="137">
        <f>[1]flow_freeway!C377</f>
        <v>7093.8002930000002</v>
      </c>
      <c r="G377" s="137">
        <f>[1]flow_freeway!D377</f>
        <v>6926.6811520000001</v>
      </c>
    </row>
    <row r="378" spans="4:7" x14ac:dyDescent="0.25">
      <c r="D378">
        <f>[1]flow_freeway!A378</f>
        <v>9035</v>
      </c>
      <c r="E378" s="137">
        <f>[1]flow_freeway!B378</f>
        <v>25264.198241999999</v>
      </c>
      <c r="F378" s="137">
        <f>[1]flow_freeway!C378</f>
        <v>4640.4926759999998</v>
      </c>
      <c r="G378" s="137">
        <f>[1]flow_freeway!D378</f>
        <v>6406.8867190000001</v>
      </c>
    </row>
    <row r="379" spans="4:7" x14ac:dyDescent="0.25">
      <c r="D379">
        <f>[1]flow_freeway!A379</f>
        <v>9036</v>
      </c>
      <c r="E379" s="137">
        <f>[1]flow_freeway!B379</f>
        <v>40873.199219000002</v>
      </c>
      <c r="F379" s="137">
        <f>[1]flow_freeway!C379</f>
        <v>6951.5849609999996</v>
      </c>
      <c r="G379" s="137">
        <f>[1]flow_freeway!D379</f>
        <v>11192.773438</v>
      </c>
    </row>
    <row r="380" spans="4:7" x14ac:dyDescent="0.25">
      <c r="D380">
        <f>[1]flow_freeway!A380</f>
        <v>9037</v>
      </c>
      <c r="E380" s="137">
        <f>[1]flow_freeway!B380</f>
        <v>43965.185181000001</v>
      </c>
      <c r="F380" s="137">
        <f>[1]flow_freeway!C380</f>
        <v>7316.3339839999999</v>
      </c>
      <c r="G380" s="137">
        <f>[1]flow_freeway!D380</f>
        <v>12141.176758</v>
      </c>
    </row>
    <row r="381" spans="4:7" x14ac:dyDescent="0.25">
      <c r="D381">
        <f>[1]flow_freeway!A381</f>
        <v>9039</v>
      </c>
      <c r="E381" s="137">
        <f>[1]flow_freeway!B381</f>
        <v>72595.742677000002</v>
      </c>
      <c r="F381" s="137">
        <f>[1]flow_freeway!C381</f>
        <v>15505.157227</v>
      </c>
      <c r="G381" s="137">
        <f>[1]flow_freeway!D381</f>
        <v>16209.459961</v>
      </c>
    </row>
    <row r="382" spans="4:7" x14ac:dyDescent="0.25">
      <c r="D382">
        <f>[1]flow_freeway!A382</f>
        <v>9041</v>
      </c>
      <c r="E382" s="137">
        <f>[1]flow_freeway!B382</f>
        <v>43338.114502999997</v>
      </c>
      <c r="F382" s="137">
        <f>[1]flow_freeway!C382</f>
        <v>10852.548828000001</v>
      </c>
      <c r="G382" s="137">
        <f>[1]flow_freeway!D382</f>
        <v>9656.4921880000002</v>
      </c>
    </row>
    <row r="383" spans="4:7" x14ac:dyDescent="0.25">
      <c r="D383">
        <f>[1]flow_freeway!A383</f>
        <v>9042</v>
      </c>
      <c r="E383" s="137">
        <f>[1]flow_freeway!B383</f>
        <v>91707.798340999987</v>
      </c>
      <c r="F383" s="137">
        <f>[1]flow_freeway!C383</f>
        <v>18637.072265999999</v>
      </c>
      <c r="G383" s="137">
        <f>[1]flow_freeway!D383</f>
        <v>23503.652343999998</v>
      </c>
    </row>
    <row r="384" spans="4:7" x14ac:dyDescent="0.25">
      <c r="D384">
        <f>[1]flow_freeway!A384</f>
        <v>9043</v>
      </c>
      <c r="E384" s="137">
        <f>[1]flow_freeway!B384</f>
        <v>83782.305664</v>
      </c>
      <c r="F384" s="137">
        <f>[1]flow_freeway!C384</f>
        <v>17758.839843999998</v>
      </c>
      <c r="G384" s="137">
        <f>[1]flow_freeway!D384</f>
        <v>21269.275390999999</v>
      </c>
    </row>
    <row r="385" spans="4:7" x14ac:dyDescent="0.25">
      <c r="D385">
        <f>[1]flow_freeway!A385</f>
        <v>9054</v>
      </c>
      <c r="E385" s="137">
        <f>[1]flow_freeway!B385</f>
        <v>72595.742677000002</v>
      </c>
      <c r="F385" s="137">
        <f>[1]flow_freeway!C385</f>
        <v>15505.157227</v>
      </c>
      <c r="G385" s="137">
        <f>[1]flow_freeway!D385</f>
        <v>16209.459961</v>
      </c>
    </row>
    <row r="386" spans="4:7" x14ac:dyDescent="0.25">
      <c r="D386">
        <f>[1]flow_freeway!A386</f>
        <v>9132</v>
      </c>
      <c r="E386" s="137">
        <f>[1]flow_freeway!B386</f>
        <v>6614.3624569999993</v>
      </c>
      <c r="F386" s="137">
        <f>[1]flow_freeway!C386</f>
        <v>1872.9426269999999</v>
      </c>
      <c r="G386" s="137">
        <f>[1]flow_freeway!D386</f>
        <v>1442.9079589999999</v>
      </c>
    </row>
    <row r="387" spans="4:7" x14ac:dyDescent="0.25">
      <c r="D387">
        <f>[1]flow_freeway!A387</f>
        <v>9136</v>
      </c>
      <c r="E387" s="137">
        <f>[1]flow_freeway!B387</f>
        <v>11562.204605000001</v>
      </c>
      <c r="F387" s="137">
        <f>[1]flow_freeway!C387</f>
        <v>1964.1599120000001</v>
      </c>
      <c r="G387" s="137">
        <f>[1]flow_freeway!D387</f>
        <v>4056.467529</v>
      </c>
    </row>
    <row r="388" spans="4:7" x14ac:dyDescent="0.25">
      <c r="D388">
        <f>[1]flow_freeway!A388</f>
        <v>9142</v>
      </c>
      <c r="E388" s="137">
        <f>[1]flow_freeway!B388</f>
        <v>12533.752121</v>
      </c>
      <c r="F388" s="137">
        <f>[1]flow_freeway!C388</f>
        <v>2333.2504880000001</v>
      </c>
      <c r="G388" s="137">
        <f>[1]flow_freeway!D388</f>
        <v>4199.8891599999997</v>
      </c>
    </row>
    <row r="389" spans="4:7" x14ac:dyDescent="0.25">
      <c r="D389">
        <f>[1]flow_freeway!A389</f>
        <v>9143</v>
      </c>
      <c r="E389" s="137">
        <f>[1]flow_freeway!B389</f>
        <v>12226.755187000001</v>
      </c>
      <c r="F389" s="137">
        <f>[1]flow_freeway!C389</f>
        <v>4459.2172849999997</v>
      </c>
      <c r="G389" s="137">
        <f>[1]flow_freeway!D389</f>
        <v>2621.8789059999999</v>
      </c>
    </row>
    <row r="390" spans="4:7" x14ac:dyDescent="0.25">
      <c r="D390">
        <f>[1]flow_freeway!A390</f>
        <v>9144</v>
      </c>
      <c r="E390" s="137">
        <f>[1]flow_freeway!B390</f>
        <v>12226.755187000001</v>
      </c>
      <c r="F390" s="137">
        <f>[1]flow_freeway!C390</f>
        <v>4459.2172849999997</v>
      </c>
      <c r="G390" s="137">
        <f>[1]flow_freeway!D390</f>
        <v>2621.8789059999999</v>
      </c>
    </row>
    <row r="391" spans="4:7" x14ac:dyDescent="0.25">
      <c r="D391">
        <f>[1]flow_freeway!A391</f>
        <v>9146</v>
      </c>
      <c r="E391" s="137">
        <f>[1]flow_freeway!B391</f>
        <v>14129.869874</v>
      </c>
      <c r="F391" s="137">
        <f>[1]flow_freeway!C391</f>
        <v>5491.3256840000004</v>
      </c>
      <c r="G391" s="137">
        <f>[1]flow_freeway!D391</f>
        <v>2716.0551759999998</v>
      </c>
    </row>
    <row r="392" spans="4:7" x14ac:dyDescent="0.25">
      <c r="D392">
        <f>[1]flow_freeway!A392</f>
        <v>9241</v>
      </c>
      <c r="E392" s="137">
        <f>[1]flow_freeway!B392</f>
        <v>75544.631347999995</v>
      </c>
      <c r="F392" s="137">
        <f>[1]flow_freeway!C392</f>
        <v>17946.044922000001</v>
      </c>
      <c r="G392" s="137">
        <f>[1]flow_freeway!D392</f>
        <v>20407.46875</v>
      </c>
    </row>
    <row r="393" spans="4:7" x14ac:dyDescent="0.25">
      <c r="D393">
        <f>[1]flow_freeway!A393</f>
        <v>9249</v>
      </c>
      <c r="E393" s="137">
        <f>[1]flow_freeway!B393</f>
        <v>80208.755126000004</v>
      </c>
      <c r="F393" s="137">
        <f>[1]flow_freeway!C393</f>
        <v>16815.263672000001</v>
      </c>
      <c r="G393" s="137">
        <f>[1]flow_freeway!D393</f>
        <v>21237.671875</v>
      </c>
    </row>
    <row r="394" spans="4:7" x14ac:dyDescent="0.25">
      <c r="D394">
        <f>[1]flow_freeway!A394</f>
        <v>9250</v>
      </c>
      <c r="E394" s="137">
        <f>[1]flow_freeway!B394</f>
        <v>71879.795654000001</v>
      </c>
      <c r="F394" s="137">
        <f>[1]flow_freeway!C394</f>
        <v>15393.334961</v>
      </c>
      <c r="G394" s="137">
        <f>[1]flow_freeway!D394</f>
        <v>18935.894531000002</v>
      </c>
    </row>
    <row r="395" spans="4:7" x14ac:dyDescent="0.25">
      <c r="D395">
        <f>[1]flow_freeway!A395</f>
        <v>9251</v>
      </c>
      <c r="E395" s="137">
        <f>[1]flow_freeway!B395</f>
        <v>75544.631347999995</v>
      </c>
      <c r="F395" s="137">
        <f>[1]flow_freeway!C395</f>
        <v>17946.044922000001</v>
      </c>
      <c r="G395" s="137">
        <f>[1]flow_freeway!D395</f>
        <v>20407.46875</v>
      </c>
    </row>
    <row r="396" spans="4:7" x14ac:dyDescent="0.25">
      <c r="D396">
        <f>[1]flow_freeway!A396</f>
        <v>9252</v>
      </c>
      <c r="E396" s="137">
        <f>[1]flow_freeway!B396</f>
        <v>60085.470459999997</v>
      </c>
      <c r="F396" s="137">
        <f>[1]flow_freeway!C396</f>
        <v>14411.221680000001</v>
      </c>
      <c r="G396" s="137">
        <f>[1]flow_freeway!D396</f>
        <v>17301.013672000001</v>
      </c>
    </row>
    <row r="397" spans="4:7" x14ac:dyDescent="0.25">
      <c r="D397">
        <f>[1]flow_freeway!A397</f>
        <v>9300</v>
      </c>
      <c r="E397" s="137">
        <f>[1]flow_freeway!B397</f>
        <v>62471.842284999999</v>
      </c>
      <c r="F397" s="137">
        <f>[1]flow_freeway!C397</f>
        <v>18047.353515999999</v>
      </c>
      <c r="G397" s="137">
        <f>[1]flow_freeway!D397</f>
        <v>12401.376953000001</v>
      </c>
    </row>
    <row r="398" spans="4:7" x14ac:dyDescent="0.25">
      <c r="D398">
        <f>[1]flow_freeway!A398</f>
        <v>9328</v>
      </c>
      <c r="E398" s="137">
        <f>[1]flow_freeway!B398</f>
        <v>125018.224609</v>
      </c>
      <c r="F398" s="137">
        <f>[1]flow_freeway!C398</f>
        <v>30713.458984000001</v>
      </c>
      <c r="G398" s="137">
        <f>[1]flow_freeway!D398</f>
        <v>27071.931640999999</v>
      </c>
    </row>
    <row r="399" spans="4:7" x14ac:dyDescent="0.25">
      <c r="D399">
        <f>[1]flow_freeway!A399</f>
        <v>9330</v>
      </c>
      <c r="E399" s="137">
        <f>[1]flow_freeway!B399</f>
        <v>129512.195313</v>
      </c>
      <c r="F399" s="137">
        <f>[1]flow_freeway!C399</f>
        <v>23973.412109000001</v>
      </c>
      <c r="G399" s="137">
        <f>[1]flow_freeway!D399</f>
        <v>35017.234375</v>
      </c>
    </row>
    <row r="400" spans="4:7" x14ac:dyDescent="0.25">
      <c r="D400">
        <f>[1]flow_freeway!A400</f>
        <v>9333</v>
      </c>
      <c r="E400" s="137">
        <f>[1]flow_freeway!B400</f>
        <v>108129.165039</v>
      </c>
      <c r="F400" s="137">
        <f>[1]flow_freeway!C400</f>
        <v>27236.501952999999</v>
      </c>
      <c r="G400" s="137">
        <f>[1]flow_freeway!D400</f>
        <v>23501.767577999999</v>
      </c>
    </row>
    <row r="401" spans="4:7" x14ac:dyDescent="0.25">
      <c r="D401">
        <f>[1]flow_freeway!A401</f>
        <v>9335</v>
      </c>
      <c r="E401" s="137">
        <f>[1]flow_freeway!B401</f>
        <v>114010.627442</v>
      </c>
      <c r="F401" s="137">
        <f>[1]flow_freeway!C401</f>
        <v>21683.126952999999</v>
      </c>
      <c r="G401" s="137">
        <f>[1]flow_freeway!D401</f>
        <v>30784.339843999998</v>
      </c>
    </row>
    <row r="402" spans="4:7" x14ac:dyDescent="0.25">
      <c r="D402">
        <f>[1]flow_freeway!A402</f>
        <v>9336</v>
      </c>
      <c r="E402" s="137">
        <f>[1]flow_freeway!B402</f>
        <v>114796.592773</v>
      </c>
      <c r="F402" s="137">
        <f>[1]flow_freeway!C402</f>
        <v>28417.34375</v>
      </c>
      <c r="G402" s="137">
        <f>[1]flow_freeway!D402</f>
        <v>25353</v>
      </c>
    </row>
    <row r="403" spans="4:7" x14ac:dyDescent="0.25">
      <c r="D403">
        <f>[1]flow_freeway!A403</f>
        <v>9337</v>
      </c>
      <c r="E403" s="137">
        <f>[1]flow_freeway!B403</f>
        <v>88902.955077999999</v>
      </c>
      <c r="F403" s="137">
        <f>[1]flow_freeway!C403</f>
        <v>20149.603515999999</v>
      </c>
      <c r="G403" s="137">
        <f>[1]flow_freeway!D403</f>
        <v>21240.037109000001</v>
      </c>
    </row>
    <row r="404" spans="4:7" x14ac:dyDescent="0.25">
      <c r="D404">
        <f>[1]flow_freeway!A404</f>
        <v>9338</v>
      </c>
      <c r="E404" s="137">
        <f>[1]flow_freeway!B404</f>
        <v>122764.02832</v>
      </c>
      <c r="F404" s="137">
        <f>[1]flow_freeway!C404</f>
        <v>23797.835938</v>
      </c>
      <c r="G404" s="137">
        <f>[1]flow_freeway!D404</f>
        <v>32959.472655999998</v>
      </c>
    </row>
    <row r="405" spans="4:7" x14ac:dyDescent="0.25">
      <c r="D405">
        <f>[1]flow_freeway!A405</f>
        <v>9339</v>
      </c>
      <c r="E405" s="137">
        <f>[1]flow_freeway!B405</f>
        <v>111696.537109</v>
      </c>
      <c r="F405" s="137">
        <f>[1]flow_freeway!C405</f>
        <v>22564.828125</v>
      </c>
      <c r="G405" s="137">
        <f>[1]flow_freeway!D405</f>
        <v>29776.359375</v>
      </c>
    </row>
    <row r="406" spans="4:7" x14ac:dyDescent="0.25">
      <c r="D406">
        <f>[1]flow_freeway!A406</f>
        <v>9342</v>
      </c>
      <c r="E406" s="137">
        <f>[1]flow_freeway!B406</f>
        <v>95951.9375</v>
      </c>
      <c r="F406" s="137">
        <f>[1]flow_freeway!C406</f>
        <v>21580.09375</v>
      </c>
      <c r="G406" s="137">
        <f>[1]flow_freeway!D406</f>
        <v>23909.515625</v>
      </c>
    </row>
    <row r="407" spans="4:7" x14ac:dyDescent="0.25">
      <c r="D407">
        <f>[1]flow_freeway!A407</f>
        <v>9343</v>
      </c>
      <c r="E407" s="137">
        <f>[1]flow_freeway!B407</f>
        <v>102461.188476</v>
      </c>
      <c r="F407" s="137">
        <f>[1]flow_freeway!C407</f>
        <v>20596.480468999998</v>
      </c>
      <c r="G407" s="137">
        <f>[1]flow_freeway!D407</f>
        <v>26859.587890999999</v>
      </c>
    </row>
    <row r="408" spans="4:7" x14ac:dyDescent="0.25">
      <c r="D408">
        <f>[1]flow_freeway!A408</f>
        <v>9468</v>
      </c>
      <c r="E408" s="137">
        <f>[1]flow_freeway!B408</f>
        <v>6891.1660460000003</v>
      </c>
      <c r="F408" s="137">
        <f>[1]flow_freeway!C408</f>
        <v>1061.383789</v>
      </c>
      <c r="G408" s="137">
        <f>[1]flow_freeway!D408</f>
        <v>1920.259155</v>
      </c>
    </row>
    <row r="409" spans="4:7" x14ac:dyDescent="0.25">
      <c r="D409">
        <f>[1]flow_freeway!A409</f>
        <v>9472</v>
      </c>
      <c r="E409" s="137">
        <f>[1]flow_freeway!B409</f>
        <v>6891.1660460000003</v>
      </c>
      <c r="F409" s="137">
        <f>[1]flow_freeway!C409</f>
        <v>1061.383789</v>
      </c>
      <c r="G409" s="137">
        <f>[1]flow_freeway!D409</f>
        <v>1920.259155</v>
      </c>
    </row>
    <row r="410" spans="4:7" x14ac:dyDescent="0.25">
      <c r="D410">
        <f>[1]flow_freeway!A410</f>
        <v>9473</v>
      </c>
      <c r="E410" s="137">
        <f>[1]flow_freeway!B410</f>
        <v>5249.9406740000004</v>
      </c>
      <c r="F410" s="137">
        <f>[1]flow_freeway!C410</f>
        <v>1738.9960940000001</v>
      </c>
      <c r="G410" s="137">
        <f>[1]flow_freeway!D410</f>
        <v>1180.147461</v>
      </c>
    </row>
    <row r="411" spans="4:7" x14ac:dyDescent="0.25">
      <c r="D411">
        <f>[1]flow_freeway!A411</f>
        <v>9474</v>
      </c>
      <c r="E411" s="137">
        <f>[1]flow_freeway!B411</f>
        <v>5249.9406740000004</v>
      </c>
      <c r="F411" s="137">
        <f>[1]flow_freeway!C411</f>
        <v>1738.9960940000001</v>
      </c>
      <c r="G411" s="137">
        <f>[1]flow_freeway!D411</f>
        <v>1180.147461</v>
      </c>
    </row>
    <row r="412" spans="4:7" x14ac:dyDescent="0.25">
      <c r="D412">
        <f>[1]flow_freeway!A412</f>
        <v>9477</v>
      </c>
      <c r="E412" s="137">
        <f>[1]flow_freeway!B412</f>
        <v>5249.9406740000004</v>
      </c>
      <c r="F412" s="137">
        <f>[1]flow_freeway!C412</f>
        <v>1738.9960940000001</v>
      </c>
      <c r="G412" s="137">
        <f>[1]flow_freeway!D412</f>
        <v>1180.147461</v>
      </c>
    </row>
    <row r="413" spans="4:7" x14ac:dyDescent="0.25">
      <c r="D413">
        <f>[1]flow_freeway!A413</f>
        <v>9483</v>
      </c>
      <c r="E413" s="137">
        <f>[1]flow_freeway!B413</f>
        <v>6891.1660460000003</v>
      </c>
      <c r="F413" s="137">
        <f>[1]flow_freeway!C413</f>
        <v>1061.383789</v>
      </c>
      <c r="G413" s="137">
        <f>[1]flow_freeway!D413</f>
        <v>1920.259155</v>
      </c>
    </row>
    <row r="414" spans="4:7" x14ac:dyDescent="0.25">
      <c r="D414">
        <f>[1]flow_freeway!A414</f>
        <v>9484</v>
      </c>
      <c r="E414" s="137">
        <f>[1]flow_freeway!B414</f>
        <v>5056.3964229999992</v>
      </c>
      <c r="F414" s="137">
        <f>[1]flow_freeway!C414</f>
        <v>881.43341099999998</v>
      </c>
      <c r="G414" s="137">
        <f>[1]flow_freeway!D414</f>
        <v>1176.3942870000001</v>
      </c>
    </row>
    <row r="415" spans="4:7" x14ac:dyDescent="0.25">
      <c r="D415">
        <f>[1]flow_freeway!A415</f>
        <v>9485</v>
      </c>
      <c r="E415" s="137">
        <f>[1]flow_freeway!B415</f>
        <v>5056.3964229999992</v>
      </c>
      <c r="F415" s="137">
        <f>[1]flow_freeway!C415</f>
        <v>881.43341099999998</v>
      </c>
      <c r="G415" s="137">
        <f>[1]flow_freeway!D415</f>
        <v>1176.3942870000001</v>
      </c>
    </row>
    <row r="416" spans="4:7" x14ac:dyDescent="0.25">
      <c r="D416">
        <f>[1]flow_freeway!A416</f>
        <v>9488</v>
      </c>
      <c r="E416" s="137">
        <f>[1]flow_freeway!B416</f>
        <v>5249.9406740000004</v>
      </c>
      <c r="F416" s="137">
        <f>[1]flow_freeway!C416</f>
        <v>1738.9960940000001</v>
      </c>
      <c r="G416" s="137">
        <f>[1]flow_freeway!D416</f>
        <v>1180.147461</v>
      </c>
    </row>
    <row r="417" spans="4:7" x14ac:dyDescent="0.25">
      <c r="D417">
        <f>[1]flow_freeway!A417</f>
        <v>9489</v>
      </c>
      <c r="E417" s="137">
        <f>[1]flow_freeway!B417</f>
        <v>3826.9251719999997</v>
      </c>
      <c r="F417" s="137">
        <f>[1]flow_freeway!C417</f>
        <v>1112.0307620000001</v>
      </c>
      <c r="G417" s="137">
        <f>[1]flow_freeway!D417</f>
        <v>1018.633789</v>
      </c>
    </row>
    <row r="418" spans="4:7" x14ac:dyDescent="0.25">
      <c r="D418">
        <f>[1]flow_freeway!A418</f>
        <v>9490</v>
      </c>
      <c r="E418" s="137">
        <f>[1]flow_freeway!B418</f>
        <v>3826.9251719999997</v>
      </c>
      <c r="F418" s="137">
        <f>[1]flow_freeway!C418</f>
        <v>1112.0307620000001</v>
      </c>
      <c r="G418" s="137">
        <f>[1]flow_freeway!D418</f>
        <v>1018.633789</v>
      </c>
    </row>
    <row r="419" spans="4:7" x14ac:dyDescent="0.25">
      <c r="D419">
        <f>[1]flow_freeway!A419</f>
        <v>9509</v>
      </c>
      <c r="E419" s="137">
        <f>[1]flow_freeway!B419</f>
        <v>7365.8328850000007</v>
      </c>
      <c r="F419" s="137">
        <f>[1]flow_freeway!C419</f>
        <v>1988.4956050000001</v>
      </c>
      <c r="G419" s="137">
        <f>[1]flow_freeway!D419</f>
        <v>1609.3594969999999</v>
      </c>
    </row>
    <row r="420" spans="4:7" x14ac:dyDescent="0.25">
      <c r="D420">
        <f>[1]flow_freeway!A420</f>
        <v>9510</v>
      </c>
      <c r="E420" s="137">
        <f>[1]flow_freeway!B420</f>
        <v>5929.4661559999995</v>
      </c>
      <c r="F420" s="137">
        <f>[1]flow_freeway!C420</f>
        <v>1487.314453</v>
      </c>
      <c r="G420" s="137">
        <f>[1]flow_freeway!D420</f>
        <v>1915.2257079999999</v>
      </c>
    </row>
    <row r="421" spans="4:7" x14ac:dyDescent="0.25">
      <c r="D421">
        <f>[1]flow_freeway!A421</f>
        <v>9512</v>
      </c>
      <c r="E421" s="137">
        <f>[1]flow_freeway!B421</f>
        <v>5595.648072</v>
      </c>
      <c r="F421" s="137">
        <f>[1]flow_freeway!C421</f>
        <v>1333.414307</v>
      </c>
      <c r="G421" s="137">
        <f>[1]flow_freeway!D421</f>
        <v>1878.0354</v>
      </c>
    </row>
    <row r="422" spans="4:7" x14ac:dyDescent="0.25">
      <c r="D422">
        <f>[1]flow_freeway!A422</f>
        <v>9513</v>
      </c>
      <c r="E422" s="137">
        <f>[1]flow_freeway!B422</f>
        <v>5595.648072</v>
      </c>
      <c r="F422" s="137">
        <f>[1]flow_freeway!C422</f>
        <v>1333.414307</v>
      </c>
      <c r="G422" s="137">
        <f>[1]flow_freeway!D422</f>
        <v>1878.0354</v>
      </c>
    </row>
    <row r="423" spans="4:7" x14ac:dyDescent="0.25">
      <c r="D423">
        <f>[1]flow_freeway!A423</f>
        <v>9516</v>
      </c>
      <c r="E423" s="137">
        <f>[1]flow_freeway!B423</f>
        <v>8747.2023919999992</v>
      </c>
      <c r="F423" s="137">
        <f>[1]flow_freeway!C423</f>
        <v>1735.5146480000001</v>
      </c>
      <c r="G423" s="137">
        <f>[1]flow_freeway!D423</f>
        <v>3155.4753420000002</v>
      </c>
    </row>
    <row r="424" spans="4:7" x14ac:dyDescent="0.25">
      <c r="D424">
        <f>[1]flow_freeway!A424</f>
        <v>9517</v>
      </c>
      <c r="E424" s="137">
        <f>[1]flow_freeway!B424</f>
        <v>70303.766114000013</v>
      </c>
      <c r="F424" s="137">
        <f>[1]flow_freeway!C424</f>
        <v>13892.773438</v>
      </c>
      <c r="G424" s="137">
        <f>[1]flow_freeway!D424</f>
        <v>18836.291015999999</v>
      </c>
    </row>
    <row r="425" spans="4:7" x14ac:dyDescent="0.25">
      <c r="D425">
        <f>[1]flow_freeway!A425</f>
        <v>9518</v>
      </c>
      <c r="E425" s="137">
        <f>[1]flow_freeway!B425</f>
        <v>70303.766114000013</v>
      </c>
      <c r="F425" s="137">
        <f>[1]flow_freeway!C425</f>
        <v>13892.773438</v>
      </c>
      <c r="G425" s="137">
        <f>[1]flow_freeway!D425</f>
        <v>18836.291015999999</v>
      </c>
    </row>
    <row r="426" spans="4:7" x14ac:dyDescent="0.25">
      <c r="D426">
        <f>[1]flow_freeway!A426</f>
        <v>9519</v>
      </c>
      <c r="E426" s="137">
        <f>[1]flow_freeway!B426</f>
        <v>8935.8795170000012</v>
      </c>
      <c r="F426" s="137">
        <f>[1]flow_freeway!C426</f>
        <v>2816.3698730000001</v>
      </c>
      <c r="G426" s="137">
        <f>[1]flow_freeway!D426</f>
        <v>1899.404419</v>
      </c>
    </row>
    <row r="427" spans="4:7" x14ac:dyDescent="0.25">
      <c r="D427">
        <f>[1]flow_freeway!A427</f>
        <v>9540</v>
      </c>
      <c r="E427" s="137">
        <f>[1]flow_freeway!B427</f>
        <v>7113.7226549999996</v>
      </c>
      <c r="F427" s="137">
        <f>[1]flow_freeway!C427</f>
        <v>2076.9790039999998</v>
      </c>
      <c r="G427" s="137">
        <f>[1]flow_freeway!D427</f>
        <v>1528.517822</v>
      </c>
    </row>
    <row r="428" spans="4:7" x14ac:dyDescent="0.25">
      <c r="D428">
        <f>[1]flow_freeway!A428</f>
        <v>9808</v>
      </c>
      <c r="E428" s="137">
        <f>[1]flow_freeway!B428</f>
        <v>13109.784408</v>
      </c>
      <c r="F428" s="137">
        <f>[1]flow_freeway!C428</f>
        <v>2016.7387699999999</v>
      </c>
      <c r="G428" s="137">
        <f>[1]flow_freeway!D428</f>
        <v>5462.951172</v>
      </c>
    </row>
    <row r="429" spans="4:7" x14ac:dyDescent="0.25">
      <c r="D429">
        <f>[1]flow_freeway!A429</f>
        <v>9872</v>
      </c>
      <c r="E429" s="137">
        <f>[1]flow_freeway!B429</f>
        <v>124591.485839</v>
      </c>
      <c r="F429" s="137">
        <f>[1]flow_freeway!C429</f>
        <v>19773.238281000002</v>
      </c>
      <c r="G429" s="137">
        <f>[1]flow_freeway!D429</f>
        <v>37820.757812000003</v>
      </c>
    </row>
    <row r="430" spans="4:7" x14ac:dyDescent="0.25">
      <c r="D430">
        <f>[1]flow_freeway!A430</f>
        <v>9873</v>
      </c>
      <c r="E430" s="137">
        <f>[1]flow_freeway!B430</f>
        <v>122521.512694</v>
      </c>
      <c r="F430" s="137">
        <f>[1]flow_freeway!C430</f>
        <v>30686.132812</v>
      </c>
      <c r="G430" s="137">
        <f>[1]flow_freeway!D430</f>
        <v>23280.683593999998</v>
      </c>
    </row>
    <row r="431" spans="4:7" x14ac:dyDescent="0.25">
      <c r="D431">
        <f>[1]flow_freeway!A431</f>
        <v>9903</v>
      </c>
      <c r="E431" s="137">
        <f>[1]flow_freeway!B431</f>
        <v>53012.694581000003</v>
      </c>
      <c r="F431" s="137">
        <f>[1]flow_freeway!C431</f>
        <v>9755.2548829999996</v>
      </c>
      <c r="G431" s="137">
        <f>[1]flow_freeway!D431</f>
        <v>11025.977539</v>
      </c>
    </row>
    <row r="432" spans="4:7" x14ac:dyDescent="0.25">
      <c r="D432">
        <f>[1]flow_freeway!A432</f>
        <v>9904</v>
      </c>
      <c r="E432" s="137">
        <f>[1]flow_freeway!B432</f>
        <v>48282.488770000004</v>
      </c>
      <c r="F432" s="137">
        <f>[1]flow_freeway!C432</f>
        <v>8270.0830079999996</v>
      </c>
      <c r="G432" s="137">
        <f>[1]flow_freeway!D432</f>
        <v>10515.410156</v>
      </c>
    </row>
    <row r="433" spans="4:7" x14ac:dyDescent="0.25">
      <c r="D433">
        <f>[1]flow_freeway!A433</f>
        <v>9910</v>
      </c>
      <c r="E433" s="137">
        <f>[1]flow_freeway!B433</f>
        <v>19625.186523</v>
      </c>
      <c r="F433" s="137">
        <f>[1]flow_freeway!C433</f>
        <v>3375.2629390000002</v>
      </c>
      <c r="G433" s="137">
        <f>[1]flow_freeway!D433</f>
        <v>4169.2407229999999</v>
      </c>
    </row>
    <row r="434" spans="4:7" x14ac:dyDescent="0.25">
      <c r="D434">
        <f>[1]flow_freeway!A434</f>
        <v>9914</v>
      </c>
      <c r="E434" s="137">
        <f>[1]flow_freeway!B434</f>
        <v>19265.899047999999</v>
      </c>
      <c r="F434" s="137">
        <f>[1]flow_freeway!C434</f>
        <v>3798.6584469999998</v>
      </c>
      <c r="G434" s="137">
        <f>[1]flow_freeway!D434</f>
        <v>4057.8901369999999</v>
      </c>
    </row>
    <row r="435" spans="4:7" x14ac:dyDescent="0.25">
      <c r="D435">
        <f>[1]flow_freeway!A435</f>
        <v>9915</v>
      </c>
      <c r="E435" s="137">
        <f>[1]flow_freeway!B435</f>
        <v>19296.787599000003</v>
      </c>
      <c r="F435" s="137">
        <f>[1]flow_freeway!C435</f>
        <v>3320.9116210000002</v>
      </c>
      <c r="G435" s="137">
        <f>[1]flow_freeway!D435</f>
        <v>4115.3291019999997</v>
      </c>
    </row>
    <row r="436" spans="4:7" x14ac:dyDescent="0.25">
      <c r="D436">
        <f>[1]flow_freeway!A436</f>
        <v>9919</v>
      </c>
      <c r="E436" s="137">
        <f>[1]flow_freeway!B436</f>
        <v>37854.897461</v>
      </c>
      <c r="F436" s="137">
        <f>[1]flow_freeway!C436</f>
        <v>9297.2861329999996</v>
      </c>
      <c r="G436" s="137">
        <f>[1]flow_freeway!D436</f>
        <v>3575.4819339999999</v>
      </c>
    </row>
    <row r="437" spans="4:7" x14ac:dyDescent="0.25">
      <c r="D437">
        <f>[1]flow_freeway!A437</f>
        <v>9930</v>
      </c>
      <c r="E437" s="137">
        <f>[1]flow_freeway!B437</f>
        <v>48341.449462999997</v>
      </c>
      <c r="F437" s="137">
        <f>[1]flow_freeway!C437</f>
        <v>8353.1425780000009</v>
      </c>
      <c r="G437" s="137">
        <f>[1]flow_freeway!D437</f>
        <v>9806.2080079999996</v>
      </c>
    </row>
    <row r="438" spans="4:7" x14ac:dyDescent="0.25">
      <c r="D438">
        <f>[1]flow_freeway!A438</f>
        <v>9931</v>
      </c>
      <c r="E438" s="137">
        <f>[1]flow_freeway!B438</f>
        <v>22250.267532999998</v>
      </c>
      <c r="F438" s="137">
        <f>[1]flow_freeway!C438</f>
        <v>599.65142800000001</v>
      </c>
      <c r="G438" s="137">
        <f>[1]flow_freeway!D438</f>
        <v>7481.6591799999997</v>
      </c>
    </row>
    <row r="439" spans="4:7" x14ac:dyDescent="0.25">
      <c r="D439">
        <f>[1]flow_freeway!A439</f>
        <v>9953</v>
      </c>
      <c r="E439" s="137">
        <f>[1]flow_freeway!B439</f>
        <v>34610.914427999996</v>
      </c>
      <c r="F439" s="137">
        <f>[1]flow_freeway!C439</f>
        <v>4421.3164059999999</v>
      </c>
      <c r="G439" s="137">
        <f>[1]flow_freeway!D439</f>
        <v>8493.9511719999991</v>
      </c>
    </row>
    <row r="440" spans="4:7" x14ac:dyDescent="0.25">
      <c r="D440">
        <f>[1]flow_freeway!A440</f>
        <v>10002</v>
      </c>
      <c r="E440" s="137">
        <f>[1]flow_freeway!B440</f>
        <v>30916.601562</v>
      </c>
      <c r="F440" s="137">
        <f>[1]flow_freeway!C440</f>
        <v>6401.8901370000003</v>
      </c>
      <c r="G440" s="137">
        <f>[1]flow_freeway!D440</f>
        <v>3780.9726559999999</v>
      </c>
    </row>
    <row r="441" spans="4:7" x14ac:dyDescent="0.25">
      <c r="D441">
        <f>[1]flow_freeway!A441</f>
        <v>10003</v>
      </c>
      <c r="E441" s="137">
        <f>[1]flow_freeway!B441</f>
        <v>31981.162841999998</v>
      </c>
      <c r="F441" s="137">
        <f>[1]flow_freeway!C441</f>
        <v>3098.4965820000002</v>
      </c>
      <c r="G441" s="137">
        <f>[1]flow_freeway!D441</f>
        <v>8648.0517579999996</v>
      </c>
    </row>
    <row r="442" spans="4:7" x14ac:dyDescent="0.25">
      <c r="D442">
        <f>[1]flow_freeway!A442</f>
        <v>10013</v>
      </c>
      <c r="E442" s="137">
        <f>[1]flow_freeway!B442</f>
        <v>22239.767532999998</v>
      </c>
      <c r="F442" s="137">
        <f>[1]flow_freeway!C442</f>
        <v>599.65142800000001</v>
      </c>
      <c r="G442" s="137">
        <f>[1]flow_freeway!D442</f>
        <v>7471.1591799999997</v>
      </c>
    </row>
    <row r="443" spans="4:7" x14ac:dyDescent="0.25">
      <c r="D443">
        <f>[1]flow_freeway!A443</f>
        <v>10015</v>
      </c>
      <c r="E443" s="137">
        <f>[1]flow_freeway!B443</f>
        <v>29188.676605000001</v>
      </c>
      <c r="F443" s="137">
        <f>[1]flow_freeway!C443</f>
        <v>7993.7490230000003</v>
      </c>
      <c r="G443" s="137">
        <f>[1]flow_freeway!D443</f>
        <v>1967.7967530000001</v>
      </c>
    </row>
    <row r="444" spans="4:7" x14ac:dyDescent="0.25">
      <c r="D444">
        <f>[1]flow_freeway!A444</f>
        <v>10016</v>
      </c>
      <c r="E444" s="137">
        <f>[1]flow_freeway!B444</f>
        <v>29656.561524000001</v>
      </c>
      <c r="F444" s="137">
        <f>[1]flow_freeway!C444</f>
        <v>731.03772000000004</v>
      </c>
      <c r="G444" s="137">
        <f>[1]flow_freeway!D444</f>
        <v>11046.689453000001</v>
      </c>
    </row>
    <row r="445" spans="4:7" x14ac:dyDescent="0.25">
      <c r="D445">
        <f>[1]flow_freeway!A445</f>
        <v>10044</v>
      </c>
      <c r="E445" s="137">
        <f>[1]flow_freeway!B445</f>
        <v>34610.914427999996</v>
      </c>
      <c r="F445" s="137">
        <f>[1]flow_freeway!C445</f>
        <v>4421.3164059999999</v>
      </c>
      <c r="G445" s="137">
        <f>[1]flow_freeway!D445</f>
        <v>8493.9511719999991</v>
      </c>
    </row>
    <row r="446" spans="4:7" x14ac:dyDescent="0.25">
      <c r="D446">
        <f>[1]flow_freeway!A446</f>
        <v>10056</v>
      </c>
      <c r="E446" s="137">
        <f>[1]flow_freeway!B446</f>
        <v>53012.694581000003</v>
      </c>
      <c r="F446" s="137">
        <f>[1]flow_freeway!C446</f>
        <v>9755.2548829999996</v>
      </c>
      <c r="G446" s="137">
        <f>[1]flow_freeway!D446</f>
        <v>11025.977539</v>
      </c>
    </row>
    <row r="447" spans="4:7" x14ac:dyDescent="0.25">
      <c r="D447">
        <f>[1]flow_freeway!A447</f>
        <v>10057</v>
      </c>
      <c r="E447" s="137">
        <f>[1]flow_freeway!B447</f>
        <v>48282.488770000004</v>
      </c>
      <c r="F447" s="137">
        <f>[1]flow_freeway!C447</f>
        <v>8270.0830079999996</v>
      </c>
      <c r="G447" s="137">
        <f>[1]flow_freeway!D447</f>
        <v>10515.410156</v>
      </c>
    </row>
    <row r="448" spans="4:7" x14ac:dyDescent="0.25">
      <c r="D448">
        <f>[1]flow_freeway!A448</f>
        <v>10067</v>
      </c>
      <c r="E448" s="137">
        <f>[1]flow_freeway!B448</f>
        <v>35634.716675000003</v>
      </c>
      <c r="F448" s="137">
        <f>[1]flow_freeway!C448</f>
        <v>4436.8168949999999</v>
      </c>
      <c r="G448" s="137">
        <f>[1]flow_freeway!D448</f>
        <v>8890.0214840000008</v>
      </c>
    </row>
    <row r="449" spans="4:7" x14ac:dyDescent="0.25">
      <c r="D449">
        <f>[1]flow_freeway!A449</f>
        <v>10158</v>
      </c>
      <c r="E449" s="137">
        <f>[1]flow_freeway!B449</f>
        <v>73767.939209000004</v>
      </c>
      <c r="F449" s="137">
        <f>[1]flow_freeway!C449</f>
        <v>14969.420898</v>
      </c>
      <c r="G449" s="137">
        <f>[1]flow_freeway!D449</f>
        <v>18448.203125</v>
      </c>
    </row>
    <row r="450" spans="4:7" x14ac:dyDescent="0.25">
      <c r="D450">
        <f>[1]flow_freeway!A450</f>
        <v>10159</v>
      </c>
      <c r="E450" s="137">
        <f>[1]flow_freeway!B450</f>
        <v>36970.429687000003</v>
      </c>
      <c r="F450" s="137">
        <f>[1]flow_freeway!C450</f>
        <v>6277.7402339999999</v>
      </c>
      <c r="G450" s="137">
        <f>[1]flow_freeway!D450</f>
        <v>10117.319336</v>
      </c>
    </row>
    <row r="451" spans="4:7" x14ac:dyDescent="0.25">
      <c r="D451">
        <f>[1]flow_freeway!A451</f>
        <v>10177</v>
      </c>
      <c r="E451" s="137">
        <f>[1]flow_freeway!B451</f>
        <v>83782.305664</v>
      </c>
      <c r="F451" s="137">
        <f>[1]flow_freeway!C451</f>
        <v>17758.839843999998</v>
      </c>
      <c r="G451" s="137">
        <f>[1]flow_freeway!D451</f>
        <v>21269.275390999999</v>
      </c>
    </row>
    <row r="452" spans="4:7" x14ac:dyDescent="0.25">
      <c r="D452">
        <f>[1]flow_freeway!A452</f>
        <v>10238</v>
      </c>
      <c r="E452" s="137">
        <f>[1]flow_freeway!B452</f>
        <v>5249.9406740000004</v>
      </c>
      <c r="F452" s="137">
        <f>[1]flow_freeway!C452</f>
        <v>1738.9960940000001</v>
      </c>
      <c r="G452" s="137">
        <f>[1]flow_freeway!D452</f>
        <v>1180.147461</v>
      </c>
    </row>
    <row r="453" spans="4:7" x14ac:dyDescent="0.25">
      <c r="D453">
        <f>[1]flow_freeway!A453</f>
        <v>10241</v>
      </c>
      <c r="E453" s="137">
        <f>[1]flow_freeway!B453</f>
        <v>5249.9406740000004</v>
      </c>
      <c r="F453" s="137">
        <f>[1]flow_freeway!C453</f>
        <v>1738.9960940000001</v>
      </c>
      <c r="G453" s="137">
        <f>[1]flow_freeway!D453</f>
        <v>1180.147461</v>
      </c>
    </row>
    <row r="454" spans="4:7" x14ac:dyDescent="0.25">
      <c r="D454">
        <f>[1]flow_freeway!A454</f>
        <v>10243</v>
      </c>
      <c r="E454" s="137">
        <f>[1]flow_freeway!B454</f>
        <v>6891.1660460000003</v>
      </c>
      <c r="F454" s="137">
        <f>[1]flow_freeway!C454</f>
        <v>1061.383789</v>
      </c>
      <c r="G454" s="137">
        <f>[1]flow_freeway!D454</f>
        <v>1920.259155</v>
      </c>
    </row>
    <row r="455" spans="4:7" x14ac:dyDescent="0.25">
      <c r="D455">
        <f>[1]flow_freeway!A455</f>
        <v>10248</v>
      </c>
      <c r="E455" s="137">
        <f>[1]flow_freeway!B455</f>
        <v>6891.1660460000003</v>
      </c>
      <c r="F455" s="137">
        <f>[1]flow_freeway!C455</f>
        <v>1061.383789</v>
      </c>
      <c r="G455" s="137">
        <f>[1]flow_freeway!D455</f>
        <v>1920.259155</v>
      </c>
    </row>
    <row r="456" spans="4:7" x14ac:dyDescent="0.25">
      <c r="D456">
        <f>[1]flow_freeway!A456</f>
        <v>10252</v>
      </c>
      <c r="E456" s="137">
        <f>[1]flow_freeway!B456</f>
        <v>65157.327027000007</v>
      </c>
      <c r="F456" s="137">
        <f>[1]flow_freeway!C456</f>
        <v>9580.9189449999994</v>
      </c>
      <c r="G456" s="137">
        <f>[1]flow_freeway!D456</f>
        <v>19733.259765999999</v>
      </c>
    </row>
    <row r="457" spans="4:7" x14ac:dyDescent="0.25">
      <c r="D457">
        <f>[1]flow_freeway!A457</f>
        <v>10255</v>
      </c>
      <c r="E457" s="137">
        <f>[1]flow_freeway!B457</f>
        <v>14132.415283999999</v>
      </c>
      <c r="F457" s="137">
        <f>[1]flow_freeway!C457</f>
        <v>5493.8710940000001</v>
      </c>
      <c r="G457" s="137">
        <f>[1]flow_freeway!D457</f>
        <v>2716.0551759999998</v>
      </c>
    </row>
    <row r="458" spans="4:7" x14ac:dyDescent="0.25">
      <c r="D458">
        <f>[1]flow_freeway!A458</f>
        <v>10257</v>
      </c>
      <c r="E458" s="137">
        <f>[1]flow_freeway!B458</f>
        <v>17268.315063000002</v>
      </c>
      <c r="F458" s="137">
        <f>[1]flow_freeway!C458</f>
        <v>7185.1240230000003</v>
      </c>
      <c r="G458" s="137">
        <f>[1]flow_freeway!D458</f>
        <v>3221.8562010000001</v>
      </c>
    </row>
    <row r="459" spans="4:7" x14ac:dyDescent="0.25">
      <c r="D459">
        <f>[1]flow_freeway!A459</f>
        <v>10389</v>
      </c>
      <c r="E459" s="137">
        <f>[1]flow_freeway!B459</f>
        <v>25875.315032999999</v>
      </c>
      <c r="F459" s="137">
        <f>[1]flow_freeway!C459</f>
        <v>3201.5664059999999</v>
      </c>
      <c r="G459" s="137">
        <f>[1]flow_freeway!D459</f>
        <v>10448.829102</v>
      </c>
    </row>
    <row r="460" spans="4:7" x14ac:dyDescent="0.25">
      <c r="D460">
        <f>[1]flow_freeway!A460</f>
        <v>10390</v>
      </c>
      <c r="E460" s="137">
        <f>[1]flow_freeway!B460</f>
        <v>30960.349579000002</v>
      </c>
      <c r="F460" s="137">
        <f>[1]flow_freeway!C460</f>
        <v>3432.2790530000002</v>
      </c>
      <c r="G460" s="137">
        <f>[1]flow_freeway!D460</f>
        <v>10981.469727</v>
      </c>
    </row>
    <row r="461" spans="4:7" x14ac:dyDescent="0.25">
      <c r="D461">
        <f>[1]flow_freeway!A461</f>
        <v>10486</v>
      </c>
      <c r="E461" s="137">
        <f>[1]flow_freeway!B461</f>
        <v>102678.1167</v>
      </c>
      <c r="F461" s="137">
        <f>[1]flow_freeway!C461</f>
        <v>17771.003906000002</v>
      </c>
      <c r="G461" s="137">
        <f>[1]flow_freeway!D461</f>
        <v>26307.041015999999</v>
      </c>
    </row>
    <row r="462" spans="4:7" x14ac:dyDescent="0.25">
      <c r="D462">
        <f>[1]flow_freeway!A462</f>
        <v>10572</v>
      </c>
      <c r="E462" s="137">
        <f>[1]flow_freeway!B462</f>
        <v>78478.922850999996</v>
      </c>
      <c r="F462" s="137">
        <f>[1]flow_freeway!C462</f>
        <v>14593.205078000001</v>
      </c>
      <c r="G462" s="137">
        <f>[1]flow_freeway!D462</f>
        <v>18970.683593999998</v>
      </c>
    </row>
    <row r="463" spans="4:7" x14ac:dyDescent="0.25">
      <c r="D463">
        <f>[1]flow_freeway!A463</f>
        <v>10575</v>
      </c>
      <c r="E463" s="137">
        <f>[1]flow_freeway!B463</f>
        <v>1523.445923</v>
      </c>
      <c r="F463" s="137">
        <f>[1]flow_freeway!C463</f>
        <v>1523.445923</v>
      </c>
      <c r="G463" s="137">
        <f>[1]flow_freeway!D463</f>
        <v>0</v>
      </c>
    </row>
    <row r="464" spans="4:7" x14ac:dyDescent="0.25">
      <c r="D464">
        <f>[1]flow_freeway!A464</f>
        <v>10633</v>
      </c>
      <c r="E464" s="137">
        <f>[1]flow_freeway!B464</f>
        <v>68941.083008000001</v>
      </c>
      <c r="F464" s="137">
        <f>[1]flow_freeway!C464</f>
        <v>12997.71875</v>
      </c>
      <c r="G464" s="137">
        <f>[1]flow_freeway!D464</f>
        <v>14929.143555000001</v>
      </c>
    </row>
    <row r="465" spans="4:7" x14ac:dyDescent="0.25">
      <c r="D465">
        <f>[1]flow_freeway!A465</f>
        <v>10658</v>
      </c>
      <c r="E465" s="137">
        <f>[1]flow_freeway!B465</f>
        <v>1985.8908690000001</v>
      </c>
      <c r="F465" s="137">
        <f>[1]flow_freeway!C465</f>
        <v>0</v>
      </c>
      <c r="G465" s="137">
        <f>[1]flow_freeway!D465</f>
        <v>1985.8908690000001</v>
      </c>
    </row>
    <row r="466" spans="4:7" x14ac:dyDescent="0.25">
      <c r="D466">
        <f>[1]flow_freeway!A466</f>
        <v>10790</v>
      </c>
      <c r="E466" s="137">
        <f>[1]flow_freeway!B466</f>
        <v>62771.333251999997</v>
      </c>
      <c r="F466" s="137">
        <f>[1]flow_freeway!C466</f>
        <v>11219.791015999999</v>
      </c>
      <c r="G466" s="137">
        <f>[1]flow_freeway!D466</f>
        <v>17562.330077999999</v>
      </c>
    </row>
    <row r="467" spans="4:7" x14ac:dyDescent="0.25">
      <c r="D467">
        <f>[1]flow_freeway!A467</f>
        <v>10791</v>
      </c>
      <c r="E467" s="137">
        <f>[1]flow_freeway!B467</f>
        <v>62771.333251999997</v>
      </c>
      <c r="F467" s="137">
        <f>[1]flow_freeway!C467</f>
        <v>11219.791015999999</v>
      </c>
      <c r="G467" s="137">
        <f>[1]flow_freeway!D467</f>
        <v>17562.330077999999</v>
      </c>
    </row>
    <row r="468" spans="4:7" x14ac:dyDescent="0.25">
      <c r="D468">
        <f>[1]flow_freeway!A468</f>
        <v>10792</v>
      </c>
      <c r="E468" s="137">
        <f>[1]flow_freeway!B468</f>
        <v>60128.536376999997</v>
      </c>
      <c r="F468" s="137">
        <f>[1]flow_freeway!C468</f>
        <v>13799.072265999999</v>
      </c>
      <c r="G468" s="137">
        <f>[1]flow_freeway!D468</f>
        <v>13115.177734000001</v>
      </c>
    </row>
    <row r="469" spans="4:7" x14ac:dyDescent="0.25">
      <c r="D469">
        <f>[1]flow_freeway!A469</f>
        <v>10793</v>
      </c>
      <c r="E469" s="137">
        <f>[1]flow_freeway!B469</f>
        <v>60128.536376999997</v>
      </c>
      <c r="F469" s="137">
        <f>[1]flow_freeway!C469</f>
        <v>13799.072265999999</v>
      </c>
      <c r="G469" s="137">
        <f>[1]flow_freeway!D469</f>
        <v>13115.177734000001</v>
      </c>
    </row>
    <row r="470" spans="4:7" x14ac:dyDescent="0.25">
      <c r="D470">
        <f>[1]flow_freeway!A470</f>
        <v>10859</v>
      </c>
      <c r="E470" s="137">
        <f>[1]flow_freeway!B470</f>
        <v>109574.31689500001</v>
      </c>
      <c r="F470" s="137">
        <f>[1]flow_freeway!C470</f>
        <v>16726.292968999998</v>
      </c>
      <c r="G470" s="137">
        <f>[1]flow_freeway!D470</f>
        <v>33039.964844000002</v>
      </c>
    </row>
    <row r="471" spans="4:7" x14ac:dyDescent="0.25">
      <c r="D471">
        <f>[1]flow_freeway!A471</f>
        <v>10913</v>
      </c>
      <c r="E471" s="137">
        <f>[1]flow_freeway!B471</f>
        <v>83796.097167</v>
      </c>
      <c r="F471" s="137">
        <f>[1]flow_freeway!C471</f>
        <v>17005.582031000002</v>
      </c>
      <c r="G471" s="137">
        <f>[1]flow_freeway!D471</f>
        <v>23263.601562</v>
      </c>
    </row>
    <row r="472" spans="4:7" x14ac:dyDescent="0.25">
      <c r="D472">
        <f>[1]flow_freeway!A472</f>
        <v>10963</v>
      </c>
      <c r="E472" s="137">
        <f>[1]flow_freeway!B472</f>
        <v>77126.366211</v>
      </c>
      <c r="F472" s="137">
        <f>[1]flow_freeway!C472</f>
        <v>14522.558594</v>
      </c>
      <c r="G472" s="137">
        <f>[1]flow_freeway!D472</f>
        <v>22867.796875</v>
      </c>
    </row>
    <row r="473" spans="4:7" x14ac:dyDescent="0.25">
      <c r="D473">
        <f>[1]flow_freeway!A473</f>
        <v>10965</v>
      </c>
      <c r="E473" s="137">
        <f>[1]flow_freeway!B473</f>
        <v>86249.348631999994</v>
      </c>
      <c r="F473" s="137">
        <f>[1]flow_freeway!C473</f>
        <v>19292.994140999999</v>
      </c>
      <c r="G473" s="137">
        <f>[1]flow_freeway!D473</f>
        <v>22186.445312</v>
      </c>
    </row>
    <row r="474" spans="4:7" x14ac:dyDescent="0.25">
      <c r="D474">
        <f>[1]flow_freeway!A474</f>
        <v>10966</v>
      </c>
      <c r="E474" s="137">
        <f>[1]flow_freeway!B474</f>
        <v>85314.962159000002</v>
      </c>
      <c r="F474" s="137">
        <f>[1]flow_freeway!C474</f>
        <v>17964.173827999999</v>
      </c>
      <c r="G474" s="137">
        <f>[1]flow_freeway!D474</f>
        <v>20985.71875</v>
      </c>
    </row>
    <row r="475" spans="4:7" x14ac:dyDescent="0.25">
      <c r="D475">
        <f>[1]flow_freeway!A475</f>
        <v>10967</v>
      </c>
      <c r="E475" s="137">
        <f>[1]flow_freeway!B475</f>
        <v>92445.914795000004</v>
      </c>
      <c r="F475" s="137">
        <f>[1]flow_freeway!C475</f>
        <v>19977.818359000001</v>
      </c>
      <c r="G475" s="137">
        <f>[1]flow_freeway!D475</f>
        <v>23959.0625</v>
      </c>
    </row>
    <row r="476" spans="4:7" x14ac:dyDescent="0.25">
      <c r="D476">
        <f>[1]flow_freeway!A476</f>
        <v>10968</v>
      </c>
      <c r="E476" s="137">
        <f>[1]flow_freeway!B476</f>
        <v>86918.596191000004</v>
      </c>
      <c r="F476" s="137">
        <f>[1]flow_freeway!C476</f>
        <v>18654.705077999999</v>
      </c>
      <c r="G476" s="137">
        <f>[1]flow_freeway!D476</f>
        <v>22514.90625</v>
      </c>
    </row>
    <row r="477" spans="4:7" x14ac:dyDescent="0.25">
      <c r="D477">
        <f>[1]flow_freeway!A477</f>
        <v>10969</v>
      </c>
      <c r="E477" s="137">
        <f>[1]flow_freeway!B477</f>
        <v>81159.642090000008</v>
      </c>
      <c r="F477" s="137">
        <f>[1]flow_freeway!C477</f>
        <v>17817.130859000001</v>
      </c>
      <c r="G477" s="137">
        <f>[1]flow_freeway!D477</f>
        <v>20273.744140999999</v>
      </c>
    </row>
    <row r="478" spans="4:7" x14ac:dyDescent="0.25">
      <c r="D478">
        <f>[1]flow_freeway!A478</f>
        <v>10970</v>
      </c>
      <c r="E478" s="137">
        <f>[1]flow_freeway!B478</f>
        <v>90718.994384999998</v>
      </c>
      <c r="F478" s="137">
        <f>[1]flow_freeway!C478</f>
        <v>19093.224609000001</v>
      </c>
      <c r="G478" s="137">
        <f>[1]flow_freeway!D478</f>
        <v>22313.994140999999</v>
      </c>
    </row>
    <row r="479" spans="4:7" x14ac:dyDescent="0.25">
      <c r="D479">
        <f>[1]flow_freeway!A479</f>
        <v>10979</v>
      </c>
      <c r="E479" s="137">
        <f>[1]flow_freeway!B479</f>
        <v>77841.061035999999</v>
      </c>
      <c r="F479" s="137">
        <f>[1]flow_freeway!C479</f>
        <v>19950.466797000001</v>
      </c>
      <c r="G479" s="137">
        <f>[1]flow_freeway!D479</f>
        <v>16957.322265999999</v>
      </c>
    </row>
    <row r="480" spans="4:7" x14ac:dyDescent="0.25">
      <c r="D480">
        <f>[1]flow_freeway!A480</f>
        <v>10981</v>
      </c>
      <c r="E480" s="137">
        <f>[1]flow_freeway!B480</f>
        <v>102396.30419900001</v>
      </c>
      <c r="F480" s="137">
        <f>[1]flow_freeway!C480</f>
        <v>26174.771484000001</v>
      </c>
      <c r="G480" s="137">
        <f>[1]flow_freeway!D480</f>
        <v>22095.4375</v>
      </c>
    </row>
    <row r="481" spans="4:7" x14ac:dyDescent="0.25">
      <c r="D481">
        <f>[1]flow_freeway!A481</f>
        <v>10982</v>
      </c>
      <c r="E481" s="137">
        <f>[1]flow_freeway!B481</f>
        <v>91655.474610000005</v>
      </c>
      <c r="F481" s="137">
        <f>[1]flow_freeway!C481</f>
        <v>24285.4375</v>
      </c>
      <c r="G481" s="137">
        <f>[1]flow_freeway!D481</f>
        <v>19137.306640999999</v>
      </c>
    </row>
    <row r="482" spans="4:7" x14ac:dyDescent="0.25">
      <c r="D482">
        <f>[1]flow_freeway!A482</f>
        <v>10991</v>
      </c>
      <c r="E482" s="137">
        <f>[1]flow_freeway!B482</f>
        <v>66487.554686000003</v>
      </c>
      <c r="F482" s="137">
        <f>[1]flow_freeway!C482</f>
        <v>18436.318359000001</v>
      </c>
      <c r="G482" s="137">
        <f>[1]flow_freeway!D482</f>
        <v>13016.474609000001</v>
      </c>
    </row>
    <row r="483" spans="4:7" x14ac:dyDescent="0.25">
      <c r="D483">
        <f>[1]flow_freeway!A483</f>
        <v>10994</v>
      </c>
      <c r="E483" s="137">
        <f>[1]flow_freeway!B483</f>
        <v>78573.751464000001</v>
      </c>
      <c r="F483" s="137">
        <f>[1]flow_freeway!C483</f>
        <v>21250.988281000002</v>
      </c>
      <c r="G483" s="137">
        <f>[1]flow_freeway!D483</f>
        <v>15905.451171999999</v>
      </c>
    </row>
    <row r="484" spans="4:7" x14ac:dyDescent="0.25">
      <c r="D484">
        <f>[1]flow_freeway!A484</f>
        <v>10996</v>
      </c>
      <c r="E484" s="137">
        <f>[1]flow_freeway!B484</f>
        <v>115821.92187399999</v>
      </c>
      <c r="F484" s="137">
        <f>[1]flow_freeway!C484</f>
        <v>18598.175781000002</v>
      </c>
      <c r="G484" s="137">
        <f>[1]flow_freeway!D484</f>
        <v>35032.519530999998</v>
      </c>
    </row>
    <row r="485" spans="4:7" x14ac:dyDescent="0.25">
      <c r="D485">
        <f>[1]flow_freeway!A485</f>
        <v>10998</v>
      </c>
      <c r="E485" s="137">
        <f>[1]flow_freeway!B485</f>
        <v>125515.99804800001</v>
      </c>
      <c r="F485" s="137">
        <f>[1]flow_freeway!C485</f>
        <v>31121.064452999999</v>
      </c>
      <c r="G485" s="137">
        <f>[1]flow_freeway!D485</f>
        <v>27040.994140999999</v>
      </c>
    </row>
    <row r="486" spans="4:7" x14ac:dyDescent="0.25">
      <c r="D486">
        <f>[1]flow_freeway!A486</f>
        <v>11035</v>
      </c>
      <c r="E486" s="137">
        <f>[1]flow_freeway!B486</f>
        <v>109716.44311600001</v>
      </c>
      <c r="F486" s="137">
        <f>[1]flow_freeway!C486</f>
        <v>16887.619140999999</v>
      </c>
      <c r="G486" s="137">
        <f>[1]flow_freeway!D486</f>
        <v>32062.892577999999</v>
      </c>
    </row>
    <row r="487" spans="4:7" x14ac:dyDescent="0.25">
      <c r="D487">
        <f>[1]flow_freeway!A487</f>
        <v>11050</v>
      </c>
      <c r="E487" s="137">
        <f>[1]flow_freeway!B487</f>
        <v>40109.136962999997</v>
      </c>
      <c r="F487" s="137">
        <f>[1]flow_freeway!C487</f>
        <v>9755.9042969999991</v>
      </c>
      <c r="G487" s="137">
        <f>[1]flow_freeway!D487</f>
        <v>9114.9042969999991</v>
      </c>
    </row>
    <row r="488" spans="4:7" x14ac:dyDescent="0.25">
      <c r="D488">
        <f>[1]flow_freeway!A488</f>
        <v>11054</v>
      </c>
      <c r="E488" s="137">
        <f>[1]flow_freeway!B488</f>
        <v>83458.795897999997</v>
      </c>
      <c r="F488" s="137">
        <f>[1]flow_freeway!C488</f>
        <v>14888.864258</v>
      </c>
      <c r="G488" s="137">
        <f>[1]flow_freeway!D488</f>
        <v>23383.609375</v>
      </c>
    </row>
    <row r="489" spans="4:7" x14ac:dyDescent="0.25">
      <c r="D489">
        <f>[1]flow_freeway!A489</f>
        <v>11055</v>
      </c>
      <c r="E489" s="137">
        <f>[1]flow_freeway!B489</f>
        <v>76902.867675999994</v>
      </c>
      <c r="F489" s="137">
        <f>[1]flow_freeway!C489</f>
        <v>13569.3125</v>
      </c>
      <c r="G489" s="137">
        <f>[1]flow_freeway!D489</f>
        <v>21720.689452999999</v>
      </c>
    </row>
    <row r="490" spans="4:7" x14ac:dyDescent="0.25">
      <c r="D490">
        <f>[1]flow_freeway!A490</f>
        <v>11056</v>
      </c>
      <c r="E490" s="137">
        <f>[1]flow_freeway!B490</f>
        <v>84432.899902000005</v>
      </c>
      <c r="F490" s="137">
        <f>[1]flow_freeway!C490</f>
        <v>20796.472656000002</v>
      </c>
      <c r="G490" s="137">
        <f>[1]flow_freeway!D490</f>
        <v>19057.802734000001</v>
      </c>
    </row>
    <row r="491" spans="4:7" x14ac:dyDescent="0.25">
      <c r="D491">
        <f>[1]flow_freeway!A491</f>
        <v>11057</v>
      </c>
      <c r="E491" s="137">
        <f>[1]flow_freeway!B491</f>
        <v>89603.861816999997</v>
      </c>
      <c r="F491" s="137">
        <f>[1]flow_freeway!C491</f>
        <v>21749.462890999999</v>
      </c>
      <c r="G491" s="137">
        <f>[1]flow_freeway!D491</f>
        <v>20140.886718999998</v>
      </c>
    </row>
    <row r="492" spans="4:7" x14ac:dyDescent="0.25">
      <c r="D492">
        <f>[1]flow_freeway!A492</f>
        <v>11058</v>
      </c>
      <c r="E492" s="137">
        <f>[1]flow_freeway!B492</f>
        <v>81957.134032999995</v>
      </c>
      <c r="F492" s="137">
        <f>[1]flow_freeway!C492</f>
        <v>14411.744140999999</v>
      </c>
      <c r="G492" s="137">
        <f>[1]flow_freeway!D492</f>
        <v>23035.083984000001</v>
      </c>
    </row>
    <row r="493" spans="4:7" x14ac:dyDescent="0.25">
      <c r="D493">
        <f>[1]flow_freeway!A493</f>
        <v>11095</v>
      </c>
      <c r="E493" s="137">
        <f>[1]flow_freeway!B493</f>
        <v>48597.989867999997</v>
      </c>
      <c r="F493" s="137">
        <f>[1]flow_freeway!C493</f>
        <v>11598.720703000001</v>
      </c>
      <c r="G493" s="137">
        <f>[1]flow_freeway!D493</f>
        <v>14191.337890999999</v>
      </c>
    </row>
    <row r="494" spans="4:7" x14ac:dyDescent="0.25">
      <c r="D494">
        <f>[1]flow_freeway!A494</f>
        <v>11097</v>
      </c>
      <c r="E494" s="137">
        <f>[1]flow_freeway!B494</f>
        <v>30377.574951000002</v>
      </c>
      <c r="F494" s="137">
        <f>[1]flow_freeway!C494</f>
        <v>6941.7377930000002</v>
      </c>
      <c r="G494" s="137">
        <f>[1]flow_freeway!D494</f>
        <v>9390.0566409999992</v>
      </c>
    </row>
    <row r="495" spans="4:7" x14ac:dyDescent="0.25">
      <c r="D495">
        <f>[1]flow_freeway!A495</f>
        <v>11100</v>
      </c>
      <c r="E495" s="137">
        <f>[1]flow_freeway!B495</f>
        <v>29674.674072000005</v>
      </c>
      <c r="F495" s="137">
        <f>[1]flow_freeway!C495</f>
        <v>7877.6342770000001</v>
      </c>
      <c r="G495" s="137">
        <f>[1]flow_freeway!D495</f>
        <v>7475.0463870000003</v>
      </c>
    </row>
    <row r="496" spans="4:7" x14ac:dyDescent="0.25">
      <c r="D496">
        <f>[1]flow_freeway!A496</f>
        <v>11101</v>
      </c>
      <c r="E496" s="137">
        <f>[1]flow_freeway!B496</f>
        <v>68947.416259000005</v>
      </c>
      <c r="F496" s="137">
        <f>[1]flow_freeway!C496</f>
        <v>14573.889648</v>
      </c>
      <c r="G496" s="137">
        <f>[1]flow_freeway!D496</f>
        <v>18900.074218999998</v>
      </c>
    </row>
    <row r="497" spans="4:7" x14ac:dyDescent="0.25">
      <c r="D497">
        <f>[1]flow_freeway!A497</f>
        <v>11102</v>
      </c>
      <c r="E497" s="137">
        <f>[1]flow_freeway!B497</f>
        <v>68262.208008000001</v>
      </c>
      <c r="F497" s="137">
        <f>[1]flow_freeway!C497</f>
        <v>17178.513672000001</v>
      </c>
      <c r="G497" s="137">
        <f>[1]flow_freeway!D497</f>
        <v>17090.572265999999</v>
      </c>
    </row>
    <row r="498" spans="4:7" x14ac:dyDescent="0.25">
      <c r="D498">
        <f>[1]flow_freeway!A498</f>
        <v>11103</v>
      </c>
      <c r="E498" s="137">
        <f>[1]flow_freeway!B498</f>
        <v>70297.652344999995</v>
      </c>
      <c r="F498" s="137">
        <f>[1]flow_freeway!C498</f>
        <v>14745.679688</v>
      </c>
      <c r="G498" s="137">
        <f>[1]flow_freeway!D498</f>
        <v>19357.279297000001</v>
      </c>
    </row>
    <row r="499" spans="4:7" x14ac:dyDescent="0.25">
      <c r="D499">
        <f>[1]flow_freeway!A499</f>
        <v>11106</v>
      </c>
      <c r="E499" s="137">
        <f>[1]flow_freeway!B499</f>
        <v>61263.683593000002</v>
      </c>
      <c r="F499" s="137">
        <f>[1]flow_freeway!C499</f>
        <v>16006.320312</v>
      </c>
      <c r="G499" s="137">
        <f>[1]flow_freeway!D499</f>
        <v>13876.410156</v>
      </c>
    </row>
    <row r="500" spans="4:7" x14ac:dyDescent="0.25">
      <c r="D500">
        <f>[1]flow_freeway!A500</f>
        <v>11107</v>
      </c>
      <c r="E500" s="137">
        <f>[1]flow_freeway!B500</f>
        <v>40157.910155999998</v>
      </c>
      <c r="F500" s="137">
        <f>[1]flow_freeway!C500</f>
        <v>12770.491211</v>
      </c>
      <c r="G500" s="137">
        <f>[1]flow_freeway!D500</f>
        <v>7529.5283200000003</v>
      </c>
    </row>
    <row r="501" spans="4:7" x14ac:dyDescent="0.25">
      <c r="D501">
        <f>[1]flow_freeway!A501</f>
        <v>11109</v>
      </c>
      <c r="E501" s="137">
        <f>[1]flow_freeway!B501</f>
        <v>72477.599122</v>
      </c>
      <c r="F501" s="137">
        <f>[1]flow_freeway!C501</f>
        <v>19013.25</v>
      </c>
      <c r="G501" s="137">
        <f>[1]flow_freeway!D501</f>
        <v>15909.641602</v>
      </c>
    </row>
    <row r="502" spans="4:7" x14ac:dyDescent="0.25">
      <c r="D502">
        <f>[1]flow_freeway!A502</f>
        <v>11110</v>
      </c>
      <c r="E502" s="137">
        <f>[1]flow_freeway!B502</f>
        <v>54584.378418</v>
      </c>
      <c r="F502" s="137">
        <f>[1]flow_freeway!C502</f>
        <v>14783.674805000001</v>
      </c>
      <c r="G502" s="137">
        <f>[1]flow_freeway!D502</f>
        <v>12702.263671999999</v>
      </c>
    </row>
    <row r="503" spans="4:7" x14ac:dyDescent="0.25">
      <c r="D503">
        <f>[1]flow_freeway!A503</f>
        <v>11112</v>
      </c>
      <c r="E503" s="137">
        <f>[1]flow_freeway!B503</f>
        <v>46216.018312</v>
      </c>
      <c r="F503" s="137">
        <f>[1]flow_freeway!C503</f>
        <v>7033.4941410000001</v>
      </c>
      <c r="G503" s="137">
        <f>[1]flow_freeway!D503</f>
        <v>17137.078125</v>
      </c>
    </row>
    <row r="504" spans="4:7" x14ac:dyDescent="0.25">
      <c r="D504">
        <f>[1]flow_freeway!A504</f>
        <v>11113</v>
      </c>
      <c r="E504" s="137">
        <f>[1]flow_freeway!B504</f>
        <v>59922.313475999996</v>
      </c>
      <c r="F504" s="137">
        <f>[1]flow_freeway!C504</f>
        <v>9687.3583980000003</v>
      </c>
      <c r="G504" s="137">
        <f>[1]flow_freeway!D504</f>
        <v>20184.587890999999</v>
      </c>
    </row>
    <row r="505" spans="4:7" x14ac:dyDescent="0.25">
      <c r="D505">
        <f>[1]flow_freeway!A505</f>
        <v>11120</v>
      </c>
      <c r="E505" s="137">
        <f>[1]flow_freeway!B505</f>
        <v>57768.855712999997</v>
      </c>
      <c r="F505" s="137">
        <f>[1]flow_freeway!C505</f>
        <v>8693.3359380000002</v>
      </c>
      <c r="G505" s="137">
        <f>[1]flow_freeway!D505</f>
        <v>19443.099609000001</v>
      </c>
    </row>
    <row r="506" spans="4:7" x14ac:dyDescent="0.25">
      <c r="D506">
        <f>[1]flow_freeway!A506</f>
        <v>11123</v>
      </c>
      <c r="E506" s="137">
        <f>[1]flow_freeway!B506</f>
        <v>54889.263184000003</v>
      </c>
      <c r="F506" s="137">
        <f>[1]flow_freeway!C506</f>
        <v>15009.778319999999</v>
      </c>
      <c r="G506" s="137">
        <f>[1]flow_freeway!D506</f>
        <v>11403.620117</v>
      </c>
    </row>
    <row r="507" spans="4:7" x14ac:dyDescent="0.25">
      <c r="D507">
        <f>[1]flow_freeway!A507</f>
        <v>11124</v>
      </c>
      <c r="E507" s="137">
        <f>[1]flow_freeway!B507</f>
        <v>53542.108643000007</v>
      </c>
      <c r="F507" s="137">
        <f>[1]flow_freeway!C507</f>
        <v>8872.7929690000001</v>
      </c>
      <c r="G507" s="137">
        <f>[1]flow_freeway!D507</f>
        <v>17693.544922000001</v>
      </c>
    </row>
    <row r="508" spans="4:7" x14ac:dyDescent="0.25">
      <c r="D508">
        <f>[1]flow_freeway!A508</f>
        <v>11125</v>
      </c>
      <c r="E508" s="137">
        <f>[1]flow_freeway!B508</f>
        <v>1985.8908690000001</v>
      </c>
      <c r="F508" s="137">
        <f>[1]flow_freeway!C508</f>
        <v>0</v>
      </c>
      <c r="G508" s="137">
        <f>[1]flow_freeway!D508</f>
        <v>1985.8908690000001</v>
      </c>
    </row>
    <row r="509" spans="4:7" x14ac:dyDescent="0.25">
      <c r="D509">
        <f>[1]flow_freeway!A509</f>
        <v>11245</v>
      </c>
      <c r="E509" s="137">
        <f>[1]flow_freeway!B509</f>
        <v>55042.769044000001</v>
      </c>
      <c r="F509" s="137">
        <f>[1]flow_freeway!C509</f>
        <v>8390.3554690000001</v>
      </c>
      <c r="G509" s="137">
        <f>[1]flow_freeway!D509</f>
        <v>16510.029297000001</v>
      </c>
    </row>
    <row r="510" spans="4:7" x14ac:dyDescent="0.25">
      <c r="D510">
        <f>[1]flow_freeway!A510</f>
        <v>11263</v>
      </c>
      <c r="E510" s="137">
        <f>[1]flow_freeway!B510</f>
        <v>93544.090821000005</v>
      </c>
      <c r="F510" s="137">
        <f>[1]flow_freeway!C510</f>
        <v>22750.673827999999</v>
      </c>
      <c r="G510" s="137">
        <f>[1]flow_freeway!D510</f>
        <v>21119.693359000001</v>
      </c>
    </row>
    <row r="511" spans="4:7" x14ac:dyDescent="0.25">
      <c r="D511">
        <f>[1]flow_freeway!A511</f>
        <v>11266</v>
      </c>
      <c r="E511" s="137">
        <f>[1]flow_freeway!B511</f>
        <v>112818.246094</v>
      </c>
      <c r="F511" s="137">
        <f>[1]flow_freeway!C511</f>
        <v>25919.021484000001</v>
      </c>
      <c r="G511" s="137">
        <f>[1]flow_freeway!D511</f>
        <v>24171.101562</v>
      </c>
    </row>
    <row r="512" spans="4:7" x14ac:dyDescent="0.25">
      <c r="D512">
        <f>[1]flow_freeway!A512</f>
        <v>11268</v>
      </c>
      <c r="E512" s="137">
        <f>[1]flow_freeway!B512</f>
        <v>115377.34496999999</v>
      </c>
      <c r="F512" s="137">
        <f>[1]flow_freeway!C512</f>
        <v>19859.449218999998</v>
      </c>
      <c r="G512" s="137">
        <f>[1]flow_freeway!D512</f>
        <v>32211.630859000001</v>
      </c>
    </row>
    <row r="513" spans="4:7" x14ac:dyDescent="0.25">
      <c r="D513">
        <f>[1]flow_freeway!A513</f>
        <v>11271</v>
      </c>
      <c r="E513" s="137">
        <f>[1]flow_freeway!B513</f>
        <v>109588.44433599999</v>
      </c>
      <c r="F513" s="137">
        <f>[1]flow_freeway!C513</f>
        <v>19042.371093999998</v>
      </c>
      <c r="G513" s="137">
        <f>[1]flow_freeway!D513</f>
        <v>30557.748047000001</v>
      </c>
    </row>
    <row r="514" spans="4:7" x14ac:dyDescent="0.25">
      <c r="D514">
        <f>[1]flow_freeway!A514</f>
        <v>11275</v>
      </c>
      <c r="E514" s="137">
        <f>[1]flow_freeway!B514</f>
        <v>32123.406981999997</v>
      </c>
      <c r="F514" s="137">
        <f>[1]flow_freeway!C514</f>
        <v>7639.236328</v>
      </c>
      <c r="G514" s="137">
        <f>[1]flow_freeway!D514</f>
        <v>7623.7744140000004</v>
      </c>
    </row>
    <row r="515" spans="4:7" x14ac:dyDescent="0.25">
      <c r="D515">
        <f>[1]flow_freeway!A515</f>
        <v>11278</v>
      </c>
      <c r="E515" s="137">
        <f>[1]flow_freeway!B515</f>
        <v>83740.163331000003</v>
      </c>
      <c r="F515" s="137">
        <f>[1]flow_freeway!C515</f>
        <v>12936.449219</v>
      </c>
      <c r="G515" s="137">
        <f>[1]flow_freeway!D515</f>
        <v>24746.496093999998</v>
      </c>
    </row>
    <row r="516" spans="4:7" x14ac:dyDescent="0.25">
      <c r="D516">
        <f>[1]flow_freeway!A516</f>
        <v>11280</v>
      </c>
      <c r="E516" s="137">
        <f>[1]flow_freeway!B516</f>
        <v>68973.774902999998</v>
      </c>
      <c r="F516" s="137">
        <f>[1]flow_freeway!C516</f>
        <v>18306.150390999999</v>
      </c>
      <c r="G516" s="137">
        <f>[1]flow_freeway!D516</f>
        <v>13810.814453000001</v>
      </c>
    </row>
    <row r="517" spans="4:7" x14ac:dyDescent="0.25">
      <c r="D517">
        <f>[1]flow_freeway!A517</f>
        <v>11282</v>
      </c>
      <c r="E517" s="137">
        <f>[1]flow_freeway!B517</f>
        <v>84785.055664999993</v>
      </c>
      <c r="F517" s="137">
        <f>[1]flow_freeway!C517</f>
        <v>21540.402343999998</v>
      </c>
      <c r="G517" s="137">
        <f>[1]flow_freeway!D517</f>
        <v>17259.384765999999</v>
      </c>
    </row>
    <row r="518" spans="4:7" x14ac:dyDescent="0.25">
      <c r="D518">
        <f>[1]flow_freeway!A518</f>
        <v>11284</v>
      </c>
      <c r="E518" s="137">
        <f>[1]flow_freeway!B518</f>
        <v>29189.227661000001</v>
      </c>
      <c r="F518" s="137">
        <f>[1]flow_freeway!C518</f>
        <v>6354.21875</v>
      </c>
      <c r="G518" s="137">
        <f>[1]flow_freeway!D518</f>
        <v>8346.3701170000004</v>
      </c>
    </row>
    <row r="519" spans="4:7" x14ac:dyDescent="0.25">
      <c r="D519">
        <f>[1]flow_freeway!A519</f>
        <v>11285</v>
      </c>
      <c r="E519" s="137">
        <f>[1]flow_freeway!B519</f>
        <v>24059.237304000002</v>
      </c>
      <c r="F519" s="137">
        <f>[1]flow_freeway!C519</f>
        <v>5499.3154299999997</v>
      </c>
      <c r="G519" s="137">
        <f>[1]flow_freeway!D519</f>
        <v>6708.1098629999997</v>
      </c>
    </row>
    <row r="520" spans="4:7" x14ac:dyDescent="0.25">
      <c r="D520">
        <f>[1]flow_freeway!A520</f>
        <v>11287</v>
      </c>
      <c r="E520" s="137">
        <f>[1]flow_freeway!B520</f>
        <v>52329.284546000003</v>
      </c>
      <c r="F520" s="137">
        <f>[1]flow_freeway!C520</f>
        <v>7985.4418949999999</v>
      </c>
      <c r="G520" s="137">
        <f>[1]flow_freeway!D520</f>
        <v>15660.980469</v>
      </c>
    </row>
    <row r="521" spans="4:7" x14ac:dyDescent="0.25">
      <c r="D521">
        <f>[1]flow_freeway!A521</f>
        <v>11288</v>
      </c>
      <c r="E521" s="137">
        <f>[1]flow_freeway!B521</f>
        <v>59592.463256999996</v>
      </c>
      <c r="F521" s="137">
        <f>[1]flow_freeway!C521</f>
        <v>9096.890625</v>
      </c>
      <c r="G521" s="137">
        <f>[1]flow_freeway!D521</f>
        <v>17927.300781000002</v>
      </c>
    </row>
    <row r="522" spans="4:7" x14ac:dyDescent="0.25">
      <c r="D522">
        <f>[1]flow_freeway!A522</f>
        <v>11289</v>
      </c>
      <c r="E522" s="137">
        <f>[1]flow_freeway!B522</f>
        <v>106890.3125</v>
      </c>
      <c r="F522" s="137">
        <f>[1]flow_freeway!C522</f>
        <v>24904.076172000001</v>
      </c>
      <c r="G522" s="137">
        <f>[1]flow_freeway!D522</f>
        <v>22829.388672000001</v>
      </c>
    </row>
    <row r="523" spans="4:7" x14ac:dyDescent="0.25">
      <c r="D523">
        <f>[1]flow_freeway!A523</f>
        <v>11290</v>
      </c>
      <c r="E523" s="137">
        <f>[1]flow_freeway!B523</f>
        <v>58213.771727999992</v>
      </c>
      <c r="F523" s="137">
        <f>[1]flow_freeway!C523</f>
        <v>14851.255859000001</v>
      </c>
      <c r="G523" s="137">
        <f>[1]flow_freeway!D523</f>
        <v>11659.515625</v>
      </c>
    </row>
    <row r="524" spans="4:7" x14ac:dyDescent="0.25">
      <c r="D524">
        <f>[1]flow_freeway!A524</f>
        <v>11291</v>
      </c>
      <c r="E524" s="137">
        <f>[1]flow_freeway!B524</f>
        <v>37996.839598999999</v>
      </c>
      <c r="F524" s="137">
        <f>[1]flow_freeway!C524</f>
        <v>9309.5507809999999</v>
      </c>
      <c r="G524" s="137">
        <f>[1]flow_freeway!D524</f>
        <v>8672.8232420000004</v>
      </c>
    </row>
    <row r="525" spans="4:7" x14ac:dyDescent="0.25">
      <c r="D525">
        <f>[1]flow_freeway!A525</f>
        <v>11293</v>
      </c>
      <c r="E525" s="137">
        <f>[1]flow_freeway!B525</f>
        <v>86055.356690000001</v>
      </c>
      <c r="F525" s="137">
        <f>[1]flow_freeway!C525</f>
        <v>18983.015625</v>
      </c>
      <c r="G525" s="137">
        <f>[1]flow_freeway!D525</f>
        <v>20763.099609000001</v>
      </c>
    </row>
    <row r="526" spans="4:7" x14ac:dyDescent="0.25">
      <c r="D526">
        <f>[1]flow_freeway!A526</f>
        <v>11294</v>
      </c>
      <c r="E526" s="137">
        <f>[1]flow_freeway!B526</f>
        <v>80126.821533000009</v>
      </c>
      <c r="F526" s="137">
        <f>[1]flow_freeway!C526</f>
        <v>16418.175781000002</v>
      </c>
      <c r="G526" s="137">
        <f>[1]flow_freeway!D526</f>
        <v>20634.964843999998</v>
      </c>
    </row>
    <row r="527" spans="4:7" x14ac:dyDescent="0.25">
      <c r="D527">
        <f>[1]flow_freeway!A527</f>
        <v>11296</v>
      </c>
      <c r="E527" s="137">
        <f>[1]flow_freeway!B527</f>
        <v>98270.107910000006</v>
      </c>
      <c r="F527" s="137">
        <f>[1]flow_freeway!C527</f>
        <v>21236.132812</v>
      </c>
      <c r="G527" s="137">
        <f>[1]flow_freeway!D527</f>
        <v>23732.277343999998</v>
      </c>
    </row>
    <row r="528" spans="4:7" x14ac:dyDescent="0.25">
      <c r="D528">
        <f>[1]flow_freeway!A528</f>
        <v>11297</v>
      </c>
      <c r="E528" s="137">
        <f>[1]flow_freeway!B528</f>
        <v>91707.798340999987</v>
      </c>
      <c r="F528" s="137">
        <f>[1]flow_freeway!C528</f>
        <v>18637.072265999999</v>
      </c>
      <c r="G528" s="137">
        <f>[1]flow_freeway!D528</f>
        <v>23503.652343999998</v>
      </c>
    </row>
    <row r="529" spans="4:7" x14ac:dyDescent="0.25">
      <c r="D529">
        <f>[1]flow_freeway!A529</f>
        <v>11311</v>
      </c>
      <c r="E529" s="137">
        <f>[1]flow_freeway!B529</f>
        <v>36807.967895000002</v>
      </c>
      <c r="F529" s="137">
        <f>[1]flow_freeway!C529</f>
        <v>6277.1025390000004</v>
      </c>
      <c r="G529" s="137">
        <f>[1]flow_freeway!D529</f>
        <v>10175.048828000001</v>
      </c>
    </row>
    <row r="530" spans="4:7" x14ac:dyDescent="0.25">
      <c r="D530">
        <f>[1]flow_freeway!A530</f>
        <v>11312</v>
      </c>
      <c r="E530" s="137">
        <f>[1]flow_freeway!B530</f>
        <v>35687.241821000003</v>
      </c>
      <c r="F530" s="137">
        <f>[1]flow_freeway!C530</f>
        <v>6014.0834960000002</v>
      </c>
      <c r="G530" s="137">
        <f>[1]flow_freeway!D530</f>
        <v>9911.4345699999994</v>
      </c>
    </row>
    <row r="531" spans="4:7" x14ac:dyDescent="0.25">
      <c r="D531">
        <f>[1]flow_freeway!A531</f>
        <v>11326</v>
      </c>
      <c r="E531" s="137">
        <f>[1]flow_freeway!B531</f>
        <v>52826.163086</v>
      </c>
      <c r="F531" s="137">
        <f>[1]flow_freeway!C531</f>
        <v>11868.574219</v>
      </c>
      <c r="G531" s="137">
        <f>[1]flow_freeway!D531</f>
        <v>13999.235352</v>
      </c>
    </row>
    <row r="532" spans="4:7" x14ac:dyDescent="0.25">
      <c r="D532">
        <f>[1]flow_freeway!A532</f>
        <v>11327</v>
      </c>
      <c r="E532" s="137">
        <f>[1]flow_freeway!B532</f>
        <v>75592.974121000007</v>
      </c>
      <c r="F532" s="137">
        <f>[1]flow_freeway!C532</f>
        <v>15831.673828000001</v>
      </c>
      <c r="G532" s="137">
        <f>[1]flow_freeway!D532</f>
        <v>19397.427734000001</v>
      </c>
    </row>
    <row r="533" spans="4:7" x14ac:dyDescent="0.25">
      <c r="D533">
        <f>[1]flow_freeway!A533</f>
        <v>11329</v>
      </c>
      <c r="E533" s="137">
        <f>[1]flow_freeway!B533</f>
        <v>70309.541259999998</v>
      </c>
      <c r="F533" s="137">
        <f>[1]flow_freeway!C533</f>
        <v>14746.330078000001</v>
      </c>
      <c r="G533" s="137">
        <f>[1]flow_freeway!D533</f>
        <v>18245.25</v>
      </c>
    </row>
    <row r="534" spans="4:7" x14ac:dyDescent="0.25">
      <c r="D534">
        <f>[1]flow_freeway!A534</f>
        <v>11370</v>
      </c>
      <c r="E534" s="137">
        <f>[1]flow_freeway!B534</f>
        <v>30377.574951000002</v>
      </c>
      <c r="F534" s="137">
        <f>[1]flow_freeway!C534</f>
        <v>6941.7377930000002</v>
      </c>
      <c r="G534" s="137">
        <f>[1]flow_freeway!D534</f>
        <v>9390.0566409999992</v>
      </c>
    </row>
    <row r="535" spans="4:7" x14ac:dyDescent="0.25">
      <c r="D535">
        <f>[1]flow_freeway!A535</f>
        <v>11371</v>
      </c>
      <c r="E535" s="137">
        <f>[1]flow_freeway!B535</f>
        <v>66244.214842999994</v>
      </c>
      <c r="F535" s="137">
        <f>[1]flow_freeway!C535</f>
        <v>19373.535156000002</v>
      </c>
      <c r="G535" s="137">
        <f>[1]flow_freeway!D535</f>
        <v>13229.370117</v>
      </c>
    </row>
    <row r="536" spans="4:7" x14ac:dyDescent="0.25">
      <c r="D536">
        <f>[1]flow_freeway!A536</f>
        <v>11379</v>
      </c>
      <c r="E536" s="137">
        <f>[1]flow_freeway!B536</f>
        <v>28646.955994000004</v>
      </c>
      <c r="F536" s="137">
        <f>[1]flow_freeway!C536</f>
        <v>5354.7338870000003</v>
      </c>
      <c r="G536" s="137">
        <f>[1]flow_freeway!D536</f>
        <v>8538.0449219999991</v>
      </c>
    </row>
    <row r="537" spans="4:7" x14ac:dyDescent="0.25">
      <c r="D537">
        <f>[1]flow_freeway!A537</f>
        <v>11382</v>
      </c>
      <c r="E537" s="137">
        <f>[1]flow_freeway!B537</f>
        <v>37115.869628</v>
      </c>
      <c r="F537" s="137">
        <f>[1]flow_freeway!C537</f>
        <v>10164.479492</v>
      </c>
      <c r="G537" s="137">
        <f>[1]flow_freeway!D537</f>
        <v>8477.9013670000004</v>
      </c>
    </row>
    <row r="538" spans="4:7" x14ac:dyDescent="0.25">
      <c r="D538">
        <f>[1]flow_freeway!A538</f>
        <v>11481</v>
      </c>
      <c r="E538" s="137">
        <f>[1]flow_freeway!B538</f>
        <v>64551.978757999997</v>
      </c>
      <c r="F538" s="137">
        <f>[1]flow_freeway!C538</f>
        <v>9440.6025389999995</v>
      </c>
      <c r="G538" s="137">
        <f>[1]flow_freeway!D538</f>
        <v>20151.021484000001</v>
      </c>
    </row>
    <row r="539" spans="4:7" x14ac:dyDescent="0.25">
      <c r="D539">
        <f>[1]flow_freeway!A539</f>
        <v>11483</v>
      </c>
      <c r="E539" s="137">
        <f>[1]flow_freeway!B539</f>
        <v>72327.478027999998</v>
      </c>
      <c r="F539" s="137">
        <f>[1]flow_freeway!C539</f>
        <v>10480.032227</v>
      </c>
      <c r="G539" s="137">
        <f>[1]flow_freeway!D539</f>
        <v>23833.796875</v>
      </c>
    </row>
    <row r="540" spans="4:7" x14ac:dyDescent="0.25">
      <c r="D540">
        <f>[1]flow_freeway!A540</f>
        <v>12007</v>
      </c>
      <c r="E540" s="137">
        <f>[1]flow_freeway!B540</f>
        <v>70536.924316000004</v>
      </c>
      <c r="F540" s="137">
        <f>[1]flow_freeway!C540</f>
        <v>16515.789062</v>
      </c>
      <c r="G540" s="137">
        <f>[1]flow_freeway!D540</f>
        <v>17324.595702999999</v>
      </c>
    </row>
    <row r="541" spans="4:7" x14ac:dyDescent="0.25">
      <c r="D541">
        <f>[1]flow_freeway!A541</f>
        <v>12009</v>
      </c>
      <c r="E541" s="137">
        <f>[1]flow_freeway!B541</f>
        <v>72450.113770000011</v>
      </c>
      <c r="F541" s="137">
        <f>[1]flow_freeway!C541</f>
        <v>16000.425781</v>
      </c>
      <c r="G541" s="137">
        <f>[1]flow_freeway!D541</f>
        <v>21101.384765999999</v>
      </c>
    </row>
    <row r="542" spans="4:7" x14ac:dyDescent="0.25">
      <c r="D542">
        <f>[1]flow_freeway!A542</f>
        <v>12010</v>
      </c>
      <c r="E542" s="137">
        <f>[1]flow_freeway!B542</f>
        <v>77742.973633000001</v>
      </c>
      <c r="F542" s="137">
        <f>[1]flow_freeway!C542</f>
        <v>17543.939452999999</v>
      </c>
      <c r="G542" s="137">
        <f>[1]flow_freeway!D542</f>
        <v>18711.841797000001</v>
      </c>
    </row>
    <row r="543" spans="4:7" x14ac:dyDescent="0.25">
      <c r="D543">
        <f>[1]flow_freeway!A543</f>
        <v>12065</v>
      </c>
      <c r="E543" s="137">
        <f>[1]flow_freeway!B543</f>
        <v>27327.619750000002</v>
      </c>
      <c r="F543" s="137">
        <f>[1]flow_freeway!C543</f>
        <v>4899.388672</v>
      </c>
      <c r="G543" s="137">
        <f>[1]flow_freeway!D543</f>
        <v>7908.3774409999996</v>
      </c>
    </row>
    <row r="544" spans="4:7" x14ac:dyDescent="0.25">
      <c r="D544">
        <f>[1]flow_freeway!A544</f>
        <v>12193</v>
      </c>
      <c r="E544" s="137">
        <f>[1]flow_freeway!B544</f>
        <v>10309.898341</v>
      </c>
      <c r="F544" s="137">
        <f>[1]flow_freeway!C544</f>
        <v>4466.4716799999997</v>
      </c>
      <c r="G544" s="137">
        <f>[1]flow_freeway!D544</f>
        <v>1132.622803</v>
      </c>
    </row>
    <row r="545" spans="4:7" x14ac:dyDescent="0.25">
      <c r="D545">
        <f>[1]flow_freeway!A545</f>
        <v>12238</v>
      </c>
      <c r="E545" s="137">
        <f>[1]flow_freeway!B545</f>
        <v>94625.680664</v>
      </c>
      <c r="F545" s="137">
        <f>[1]flow_freeway!C545</f>
        <v>20056.074218999998</v>
      </c>
      <c r="G545" s="137">
        <f>[1]flow_freeway!D545</f>
        <v>19654.570312</v>
      </c>
    </row>
    <row r="546" spans="4:7" x14ac:dyDescent="0.25">
      <c r="D546">
        <f>[1]flow_freeway!A546</f>
        <v>12239</v>
      </c>
      <c r="E546" s="137">
        <f>[1]flow_freeway!B546</f>
        <v>96909.632813000004</v>
      </c>
      <c r="F546" s="137">
        <f>[1]flow_freeway!C546</f>
        <v>17843.978515999999</v>
      </c>
      <c r="G546" s="137">
        <f>[1]flow_freeway!D546</f>
        <v>25367.148438</v>
      </c>
    </row>
    <row r="547" spans="4:7" x14ac:dyDescent="0.25">
      <c r="D547">
        <f>[1]flow_freeway!A547</f>
        <v>12241</v>
      </c>
      <c r="E547" s="137">
        <f>[1]flow_freeway!B547</f>
        <v>91075.8125</v>
      </c>
      <c r="F547" s="137">
        <f>[1]flow_freeway!C547</f>
        <v>19530.878906000002</v>
      </c>
      <c r="G547" s="137">
        <f>[1]flow_freeway!D547</f>
        <v>18670.767577999999</v>
      </c>
    </row>
    <row r="548" spans="4:7" x14ac:dyDescent="0.25">
      <c r="D548">
        <f>[1]flow_freeway!A548</f>
        <v>12242</v>
      </c>
      <c r="E548" s="137">
        <f>[1]flow_freeway!B548</f>
        <v>94547.620117999992</v>
      </c>
      <c r="F548" s="137">
        <f>[1]flow_freeway!C548</f>
        <v>17322.166015999999</v>
      </c>
      <c r="G548" s="137">
        <f>[1]flow_freeway!D548</f>
        <v>24837.267577999999</v>
      </c>
    </row>
    <row r="549" spans="4:7" x14ac:dyDescent="0.25">
      <c r="D549">
        <f>[1]flow_freeway!A549</f>
        <v>12245</v>
      </c>
      <c r="E549" s="137">
        <f>[1]flow_freeway!B549</f>
        <v>102974.18408199999</v>
      </c>
      <c r="F549" s="137">
        <f>[1]flow_freeway!C549</f>
        <v>18384.480468999998</v>
      </c>
      <c r="G549" s="137">
        <f>[1]flow_freeway!D549</f>
        <v>27485.919922000001</v>
      </c>
    </row>
    <row r="550" spans="4:7" x14ac:dyDescent="0.25">
      <c r="D550">
        <f>[1]flow_freeway!A550</f>
        <v>12247</v>
      </c>
      <c r="E550" s="137">
        <f>[1]flow_freeway!B550</f>
        <v>97054.380858999997</v>
      </c>
      <c r="F550" s="137">
        <f>[1]flow_freeway!C550</f>
        <v>20823.876952999999</v>
      </c>
      <c r="G550" s="137">
        <f>[1]flow_freeway!D550</f>
        <v>19640.533202999999</v>
      </c>
    </row>
    <row r="551" spans="4:7" x14ac:dyDescent="0.25">
      <c r="D551">
        <f>[1]flow_freeway!A551</f>
        <v>12253</v>
      </c>
      <c r="E551" s="137">
        <f>[1]flow_freeway!B551</f>
        <v>100722.992186</v>
      </c>
      <c r="F551" s="137">
        <f>[1]flow_freeway!C551</f>
        <v>18003.660156000002</v>
      </c>
      <c r="G551" s="137">
        <f>[1]flow_freeway!D551</f>
        <v>26965.445312</v>
      </c>
    </row>
    <row r="552" spans="4:7" x14ac:dyDescent="0.25">
      <c r="D552">
        <f>[1]flow_freeway!A552</f>
        <v>12267</v>
      </c>
      <c r="E552" s="137">
        <f>[1]flow_freeway!B552</f>
        <v>75866.817871000007</v>
      </c>
      <c r="F552" s="137">
        <f>[1]flow_freeway!C552</f>
        <v>15284.499023</v>
      </c>
      <c r="G552" s="137">
        <f>[1]flow_freeway!D552</f>
        <v>18465.181640999999</v>
      </c>
    </row>
    <row r="553" spans="4:7" x14ac:dyDescent="0.25">
      <c r="D553">
        <f>[1]flow_freeway!A553</f>
        <v>12268</v>
      </c>
      <c r="E553" s="137">
        <f>[1]flow_freeway!B553</f>
        <v>59105.393311</v>
      </c>
      <c r="F553" s="137">
        <f>[1]flow_freeway!C553</f>
        <v>12334.335938</v>
      </c>
      <c r="G553" s="137">
        <f>[1]flow_freeway!D553</f>
        <v>14461.248046999999</v>
      </c>
    </row>
    <row r="554" spans="4:7" x14ac:dyDescent="0.25">
      <c r="D554">
        <f>[1]flow_freeway!A554</f>
        <v>12270</v>
      </c>
      <c r="E554" s="137">
        <f>[1]flow_freeway!B554</f>
        <v>78630.277344000002</v>
      </c>
      <c r="F554" s="137">
        <f>[1]flow_freeway!C554</f>
        <v>15366.870117</v>
      </c>
      <c r="G554" s="137">
        <f>[1]flow_freeway!D554</f>
        <v>17113.328125</v>
      </c>
    </row>
    <row r="555" spans="4:7" x14ac:dyDescent="0.25">
      <c r="D555">
        <f>[1]flow_freeway!A555</f>
        <v>12547</v>
      </c>
      <c r="E555" s="137">
        <f>[1]flow_freeway!B555</f>
        <v>56855.946776999997</v>
      </c>
      <c r="F555" s="137">
        <f>[1]flow_freeway!C555</f>
        <v>12685.331055000001</v>
      </c>
      <c r="G555" s="137">
        <f>[1]flow_freeway!D555</f>
        <v>12113.695312</v>
      </c>
    </row>
    <row r="556" spans="4:7" x14ac:dyDescent="0.25">
      <c r="D556">
        <f>[1]flow_freeway!A556</f>
        <v>12571</v>
      </c>
      <c r="E556" s="137">
        <f>[1]flow_freeway!B556</f>
        <v>64289.620848999999</v>
      </c>
      <c r="F556" s="137">
        <f>[1]flow_freeway!C556</f>
        <v>14209.038086</v>
      </c>
      <c r="G556" s="137">
        <f>[1]flow_freeway!D556</f>
        <v>14225.608398</v>
      </c>
    </row>
    <row r="557" spans="4:7" x14ac:dyDescent="0.25">
      <c r="D557">
        <f>[1]flow_freeway!A557</f>
        <v>12572</v>
      </c>
      <c r="E557" s="137">
        <f>[1]flow_freeway!B557</f>
        <v>64289.620848999999</v>
      </c>
      <c r="F557" s="137">
        <f>[1]flow_freeway!C557</f>
        <v>14209.038086</v>
      </c>
      <c r="G557" s="137">
        <f>[1]flow_freeway!D557</f>
        <v>14225.608398</v>
      </c>
    </row>
    <row r="558" spans="4:7" x14ac:dyDescent="0.25">
      <c r="D558">
        <f>[1]flow_freeway!A558</f>
        <v>12573</v>
      </c>
      <c r="E558" s="137">
        <f>[1]flow_freeway!B558</f>
        <v>63573.535155999998</v>
      </c>
      <c r="F558" s="137">
        <f>[1]flow_freeway!C558</f>
        <v>10878.098633</v>
      </c>
      <c r="G558" s="137">
        <f>[1]flow_freeway!D558</f>
        <v>16805.021484000001</v>
      </c>
    </row>
    <row r="559" spans="4:7" x14ac:dyDescent="0.25">
      <c r="D559">
        <f>[1]flow_freeway!A559</f>
        <v>12574</v>
      </c>
      <c r="E559" s="137">
        <f>[1]flow_freeway!B559</f>
        <v>63573.535155999998</v>
      </c>
      <c r="F559" s="137">
        <f>[1]flow_freeway!C559</f>
        <v>10878.098633</v>
      </c>
      <c r="G559" s="137">
        <f>[1]flow_freeway!D559</f>
        <v>16805.021484000001</v>
      </c>
    </row>
    <row r="560" spans="4:7" x14ac:dyDescent="0.25">
      <c r="D560">
        <f>[1]flow_freeway!A560</f>
        <v>12578</v>
      </c>
      <c r="E560" s="137">
        <f>[1]flow_freeway!B560</f>
        <v>50143.667969000002</v>
      </c>
      <c r="F560" s="137">
        <f>[1]flow_freeway!C560</f>
        <v>11617.752930000001</v>
      </c>
      <c r="G560" s="137">
        <f>[1]flow_freeway!D560</f>
        <v>11507.895508</v>
      </c>
    </row>
    <row r="561" spans="4:7" x14ac:dyDescent="0.25">
      <c r="D561">
        <f>[1]flow_freeway!A561</f>
        <v>12579</v>
      </c>
      <c r="E561" s="137">
        <f>[1]flow_freeway!B561</f>
        <v>55336.939940999997</v>
      </c>
      <c r="F561" s="137">
        <f>[1]flow_freeway!C561</f>
        <v>12633.308594</v>
      </c>
      <c r="G561" s="137">
        <f>[1]flow_freeway!D561</f>
        <v>12686.825194999999</v>
      </c>
    </row>
    <row r="562" spans="4:7" x14ac:dyDescent="0.25">
      <c r="D562">
        <f>[1]flow_freeway!A562</f>
        <v>12582</v>
      </c>
      <c r="E562" s="137">
        <f>[1]flow_freeway!B562</f>
        <v>98463.736327000006</v>
      </c>
      <c r="F562" s="137">
        <f>[1]flow_freeway!C562</f>
        <v>23230.130859000001</v>
      </c>
      <c r="G562" s="137">
        <f>[1]flow_freeway!D562</f>
        <v>18480.890625</v>
      </c>
    </row>
    <row r="563" spans="4:7" x14ac:dyDescent="0.25">
      <c r="D563">
        <f>[1]flow_freeway!A563</f>
        <v>12583</v>
      </c>
      <c r="E563" s="137">
        <f>[1]flow_freeway!B563</f>
        <v>92882.272950000013</v>
      </c>
      <c r="F563" s="137">
        <f>[1]flow_freeway!C563</f>
        <v>22251.259765999999</v>
      </c>
      <c r="G563" s="137">
        <f>[1]flow_freeway!D563</f>
        <v>17223.634765999999</v>
      </c>
    </row>
    <row r="564" spans="4:7" x14ac:dyDescent="0.25">
      <c r="D564">
        <f>[1]flow_freeway!A564</f>
        <v>12584</v>
      </c>
      <c r="E564" s="137">
        <f>[1]flow_freeway!B564</f>
        <v>93827.263182999988</v>
      </c>
      <c r="F564" s="137">
        <f>[1]flow_freeway!C564</f>
        <v>14679.879883</v>
      </c>
      <c r="G564" s="137">
        <f>[1]flow_freeway!D564</f>
        <v>27545.283202999999</v>
      </c>
    </row>
    <row r="565" spans="4:7" x14ac:dyDescent="0.25">
      <c r="D565">
        <f>[1]flow_freeway!A565</f>
        <v>12585</v>
      </c>
      <c r="E565" s="137">
        <f>[1]flow_freeway!B565</f>
        <v>102189.707518</v>
      </c>
      <c r="F565" s="137">
        <f>[1]flow_freeway!C565</f>
        <v>16192.010742</v>
      </c>
      <c r="G565" s="137">
        <f>[1]flow_freeway!D565</f>
        <v>29846.333984000001</v>
      </c>
    </row>
    <row r="566" spans="4:7" x14ac:dyDescent="0.25">
      <c r="D566">
        <f>[1]flow_freeway!A566</f>
        <v>12586</v>
      </c>
      <c r="E566" s="137">
        <f>[1]flow_freeway!B566</f>
        <v>99561.201172000001</v>
      </c>
      <c r="F566" s="137">
        <f>[1]flow_freeway!C566</f>
        <v>23332.591797000001</v>
      </c>
      <c r="G566" s="137">
        <f>[1]flow_freeway!D566</f>
        <v>18752.53125</v>
      </c>
    </row>
    <row r="567" spans="4:7" x14ac:dyDescent="0.25">
      <c r="D567">
        <f>[1]flow_freeway!A567</f>
        <v>12589</v>
      </c>
      <c r="E567" s="137">
        <f>[1]flow_freeway!B567</f>
        <v>96212.436522999997</v>
      </c>
      <c r="F567" s="137">
        <f>[1]flow_freeway!C567</f>
        <v>22549.060547000001</v>
      </c>
      <c r="G567" s="137">
        <f>[1]flow_freeway!D567</f>
        <v>18015.130859000001</v>
      </c>
    </row>
    <row r="568" spans="4:7" x14ac:dyDescent="0.25">
      <c r="D568">
        <f>[1]flow_freeway!A568</f>
        <v>12591</v>
      </c>
      <c r="E568" s="137">
        <f>[1]flow_freeway!B568</f>
        <v>101315.645019</v>
      </c>
      <c r="F568" s="137">
        <f>[1]flow_freeway!C568</f>
        <v>16100.813477</v>
      </c>
      <c r="G568" s="137">
        <f>[1]flow_freeway!D568</f>
        <v>29602.607422000001</v>
      </c>
    </row>
    <row r="569" spans="4:7" x14ac:dyDescent="0.25">
      <c r="D569">
        <f>[1]flow_freeway!A569</f>
        <v>12592</v>
      </c>
      <c r="E569" s="137">
        <f>[1]flow_freeway!B569</f>
        <v>95558.247558999996</v>
      </c>
      <c r="F569" s="137">
        <f>[1]flow_freeway!C569</f>
        <v>14813.873046999999</v>
      </c>
      <c r="G569" s="137">
        <f>[1]flow_freeway!D569</f>
        <v>27735.917968999998</v>
      </c>
    </row>
    <row r="570" spans="4:7" x14ac:dyDescent="0.25">
      <c r="D570">
        <f>[1]flow_freeway!A570</f>
        <v>12593</v>
      </c>
      <c r="E570" s="137">
        <f>[1]flow_freeway!B570</f>
        <v>100002.846192</v>
      </c>
      <c r="F570" s="137">
        <f>[1]flow_freeway!C570</f>
        <v>15797.801758</v>
      </c>
      <c r="G570" s="137">
        <f>[1]flow_freeway!D570</f>
        <v>29019.921875</v>
      </c>
    </row>
    <row r="571" spans="4:7" x14ac:dyDescent="0.25">
      <c r="D571">
        <f>[1]flow_freeway!A571</f>
        <v>12749</v>
      </c>
      <c r="E571" s="137">
        <f>[1]flow_freeway!B571</f>
        <v>94714.805664</v>
      </c>
      <c r="F571" s="137">
        <f>[1]flow_freeway!C571</f>
        <v>16685.503906000002</v>
      </c>
      <c r="G571" s="137">
        <f>[1]flow_freeway!D571</f>
        <v>26809.587890999999</v>
      </c>
    </row>
    <row r="572" spans="4:7" x14ac:dyDescent="0.25">
      <c r="D572">
        <f>[1]flow_freeway!A572</f>
        <v>12750</v>
      </c>
      <c r="E572" s="137">
        <f>[1]flow_freeway!B572</f>
        <v>59986.001464999994</v>
      </c>
      <c r="F572" s="137">
        <f>[1]flow_freeway!C572</f>
        <v>11551.797852</v>
      </c>
      <c r="G572" s="137">
        <f>[1]flow_freeway!D572</f>
        <v>13022.711914</v>
      </c>
    </row>
    <row r="573" spans="4:7" x14ac:dyDescent="0.25">
      <c r="D573">
        <f>[1]flow_freeway!A573</f>
        <v>12753</v>
      </c>
      <c r="E573" s="137">
        <f>[1]flow_freeway!B573</f>
        <v>59330.226561999996</v>
      </c>
      <c r="F573" s="137">
        <f>[1]flow_freeway!C573</f>
        <v>11453.200194999999</v>
      </c>
      <c r="G573" s="137">
        <f>[1]flow_freeway!D573</f>
        <v>12721.300781</v>
      </c>
    </row>
    <row r="574" spans="4:7" x14ac:dyDescent="0.25">
      <c r="D574">
        <f>[1]flow_freeway!A574</f>
        <v>12758</v>
      </c>
      <c r="E574" s="137">
        <f>[1]flow_freeway!B574</f>
        <v>59286.931641000003</v>
      </c>
      <c r="F574" s="137">
        <f>[1]flow_freeway!C574</f>
        <v>11434.401367</v>
      </c>
      <c r="G574" s="137">
        <f>[1]flow_freeway!D574</f>
        <v>12716.701171999999</v>
      </c>
    </row>
    <row r="575" spans="4:7" x14ac:dyDescent="0.25">
      <c r="D575">
        <f>[1]flow_freeway!A575</f>
        <v>12759</v>
      </c>
      <c r="E575" s="137">
        <f>[1]flow_freeway!B575</f>
        <v>57944.099853</v>
      </c>
      <c r="F575" s="137">
        <f>[1]flow_freeway!C575</f>
        <v>12632.448242</v>
      </c>
      <c r="G575" s="137">
        <f>[1]flow_freeway!D575</f>
        <v>13906.3125</v>
      </c>
    </row>
    <row r="576" spans="4:7" x14ac:dyDescent="0.25">
      <c r="D576">
        <f>[1]flow_freeway!A576</f>
        <v>12761</v>
      </c>
      <c r="E576" s="137">
        <f>[1]flow_freeway!B576</f>
        <v>57994.660400000001</v>
      </c>
      <c r="F576" s="137">
        <f>[1]flow_freeway!C576</f>
        <v>12637.748046999999</v>
      </c>
      <c r="G576" s="137">
        <f>[1]flow_freeway!D576</f>
        <v>13924.809569999999</v>
      </c>
    </row>
    <row r="577" spans="4:7" x14ac:dyDescent="0.25">
      <c r="D577">
        <f>[1]flow_freeway!A577</f>
        <v>12767</v>
      </c>
      <c r="E577" s="137">
        <f>[1]flow_freeway!B577</f>
        <v>67661.430053999997</v>
      </c>
      <c r="F577" s="137">
        <f>[1]flow_freeway!C577</f>
        <v>14524.577148</v>
      </c>
      <c r="G577" s="137">
        <f>[1]flow_freeway!D577</f>
        <v>17537.328125</v>
      </c>
    </row>
    <row r="578" spans="4:7" x14ac:dyDescent="0.25">
      <c r="D578">
        <f>[1]flow_freeway!A578</f>
        <v>12768</v>
      </c>
      <c r="E578" s="137">
        <f>[1]flow_freeway!B578</f>
        <v>68332.135252000007</v>
      </c>
      <c r="F578" s="137">
        <f>[1]flow_freeway!C578</f>
        <v>12941.224609000001</v>
      </c>
      <c r="G578" s="137">
        <f>[1]flow_freeway!D578</f>
        <v>14852.045898</v>
      </c>
    </row>
    <row r="579" spans="4:7" x14ac:dyDescent="0.25">
      <c r="D579">
        <f>[1]flow_freeway!A579</f>
        <v>12823</v>
      </c>
      <c r="E579" s="137">
        <f>[1]flow_freeway!B579</f>
        <v>42594.265380000004</v>
      </c>
      <c r="F579" s="137">
        <f>[1]flow_freeway!C579</f>
        <v>10891.842773</v>
      </c>
      <c r="G579" s="137">
        <f>[1]flow_freeway!D579</f>
        <v>9939.8212889999995</v>
      </c>
    </row>
    <row r="580" spans="4:7" x14ac:dyDescent="0.25">
      <c r="D580">
        <f>[1]flow_freeway!A580</f>
        <v>12830</v>
      </c>
      <c r="E580" s="137">
        <f>[1]flow_freeway!B580</f>
        <v>37321.340330999999</v>
      </c>
      <c r="F580" s="137">
        <f>[1]flow_freeway!C580</f>
        <v>9759.0644530000009</v>
      </c>
      <c r="G580" s="137">
        <f>[1]flow_freeway!D580</f>
        <v>8341.484375</v>
      </c>
    </row>
    <row r="581" spans="4:7" x14ac:dyDescent="0.25">
      <c r="D581">
        <f>[1]flow_freeway!A581</f>
        <v>12833</v>
      </c>
      <c r="E581" s="137">
        <f>[1]flow_freeway!B581</f>
        <v>50684.825561999998</v>
      </c>
      <c r="F581" s="137">
        <f>[1]flow_freeway!C581</f>
        <v>7991.2041019999997</v>
      </c>
      <c r="G581" s="137">
        <f>[1]flow_freeway!D581</f>
        <v>13138.708984000001</v>
      </c>
    </row>
    <row r="582" spans="4:7" x14ac:dyDescent="0.25">
      <c r="D582">
        <f>[1]flow_freeway!A582</f>
        <v>12834</v>
      </c>
      <c r="E582" s="137">
        <f>[1]flow_freeway!B582</f>
        <v>47183.153808999996</v>
      </c>
      <c r="F582" s="137">
        <f>[1]flow_freeway!C582</f>
        <v>12050.674805000001</v>
      </c>
      <c r="G582" s="137">
        <f>[1]flow_freeway!D582</f>
        <v>10890.09375</v>
      </c>
    </row>
    <row r="583" spans="4:7" x14ac:dyDescent="0.25">
      <c r="D583">
        <f>[1]flow_freeway!A583</f>
        <v>12836</v>
      </c>
      <c r="E583" s="137">
        <f>[1]flow_freeway!B583</f>
        <v>37048.966187000005</v>
      </c>
      <c r="F583" s="137">
        <f>[1]flow_freeway!C583</f>
        <v>6104.8212890000004</v>
      </c>
      <c r="G583" s="137">
        <f>[1]flow_freeway!D583</f>
        <v>9007.8154300000006</v>
      </c>
    </row>
    <row r="584" spans="4:7" x14ac:dyDescent="0.25">
      <c r="D584">
        <f>[1]flow_freeway!A584</f>
        <v>12837</v>
      </c>
      <c r="E584" s="137">
        <f>[1]flow_freeway!B584</f>
        <v>92878.752928999995</v>
      </c>
      <c r="F584" s="137">
        <f>[1]flow_freeway!C584</f>
        <v>19054.685547000001</v>
      </c>
      <c r="G584" s="137">
        <f>[1]flow_freeway!D584</f>
        <v>22530.097656000002</v>
      </c>
    </row>
    <row r="585" spans="4:7" x14ac:dyDescent="0.25">
      <c r="D585">
        <f>[1]flow_freeway!A585</f>
        <v>12838</v>
      </c>
      <c r="E585" s="137">
        <f>[1]flow_freeway!B585</f>
        <v>95406.507812000011</v>
      </c>
      <c r="F585" s="137">
        <f>[1]flow_freeway!C585</f>
        <v>18074.189452999999</v>
      </c>
      <c r="G585" s="137">
        <f>[1]flow_freeway!D585</f>
        <v>22969.519531000002</v>
      </c>
    </row>
    <row r="586" spans="4:7" x14ac:dyDescent="0.25">
      <c r="D586">
        <f>[1]flow_freeway!A586</f>
        <v>12841</v>
      </c>
      <c r="E586" s="137">
        <f>[1]flow_freeway!B586</f>
        <v>41508.326173000001</v>
      </c>
      <c r="F586" s="137">
        <f>[1]flow_freeway!C586</f>
        <v>6657.2929690000001</v>
      </c>
      <c r="G586" s="137">
        <f>[1]flow_freeway!D586</f>
        <v>10515.212890999999</v>
      </c>
    </row>
    <row r="587" spans="4:7" x14ac:dyDescent="0.25">
      <c r="D587">
        <f>[1]flow_freeway!A587</f>
        <v>12929</v>
      </c>
      <c r="E587" s="137">
        <f>[1]flow_freeway!B587</f>
        <v>101768.646485</v>
      </c>
      <c r="F587" s="137">
        <f>[1]flow_freeway!C587</f>
        <v>17545.470702999999</v>
      </c>
      <c r="G587" s="137">
        <f>[1]flow_freeway!D587</f>
        <v>29044.328125</v>
      </c>
    </row>
    <row r="588" spans="4:7" x14ac:dyDescent="0.25">
      <c r="D588">
        <f>[1]flow_freeway!A588</f>
        <v>12932</v>
      </c>
      <c r="E588" s="137">
        <f>[1]flow_freeway!B588</f>
        <v>113677.74316300001</v>
      </c>
      <c r="F588" s="137">
        <f>[1]flow_freeway!C588</f>
        <v>25795.355468999998</v>
      </c>
      <c r="G588" s="137">
        <f>[1]flow_freeway!D588</f>
        <v>23927.894531000002</v>
      </c>
    </row>
    <row r="589" spans="4:7" x14ac:dyDescent="0.25">
      <c r="D589">
        <f>[1]flow_freeway!A589</f>
        <v>12935</v>
      </c>
      <c r="E589" s="137">
        <f>[1]flow_freeway!B589</f>
        <v>107539.45849600001</v>
      </c>
      <c r="F589" s="137">
        <f>[1]flow_freeway!C589</f>
        <v>17357.521484000001</v>
      </c>
      <c r="G589" s="137">
        <f>[1]flow_freeway!D589</f>
        <v>29328.707031000002</v>
      </c>
    </row>
    <row r="590" spans="4:7" x14ac:dyDescent="0.25">
      <c r="D590">
        <f>[1]flow_freeway!A590</f>
        <v>12943</v>
      </c>
      <c r="E590" s="137">
        <f>[1]flow_freeway!B590</f>
        <v>107482.219727</v>
      </c>
      <c r="F590" s="137">
        <f>[1]flow_freeway!C590</f>
        <v>24823.419922000001</v>
      </c>
      <c r="G590" s="137">
        <f>[1]flow_freeway!D590</f>
        <v>22804.449218999998</v>
      </c>
    </row>
    <row r="591" spans="4:7" x14ac:dyDescent="0.25">
      <c r="D591">
        <f>[1]flow_freeway!A591</f>
        <v>12944</v>
      </c>
      <c r="E591" s="137">
        <f>[1]flow_freeway!B591</f>
        <v>102463.02636799999</v>
      </c>
      <c r="F591" s="137">
        <f>[1]flow_freeway!C591</f>
        <v>24061.494140999999</v>
      </c>
      <c r="G591" s="137">
        <f>[1]flow_freeway!D591</f>
        <v>21718.832031000002</v>
      </c>
    </row>
    <row r="592" spans="4:7" x14ac:dyDescent="0.25">
      <c r="D592">
        <f>[1]flow_freeway!A592</f>
        <v>12945</v>
      </c>
      <c r="E592" s="137">
        <f>[1]flow_freeway!B592</f>
        <v>104888.98535100001</v>
      </c>
      <c r="F592" s="137">
        <f>[1]flow_freeway!C592</f>
        <v>24644.240234000001</v>
      </c>
      <c r="G592" s="137">
        <f>[1]flow_freeway!D592</f>
        <v>21780.533202999999</v>
      </c>
    </row>
    <row r="593" spans="4:7" x14ac:dyDescent="0.25">
      <c r="D593">
        <f>[1]flow_freeway!A593</f>
        <v>12946</v>
      </c>
      <c r="E593" s="137">
        <f>[1]flow_freeway!B593</f>
        <v>102674.81054599999</v>
      </c>
      <c r="F593" s="137">
        <f>[1]flow_freeway!C593</f>
        <v>23820.419922000001</v>
      </c>
      <c r="G593" s="137">
        <f>[1]flow_freeway!D593</f>
        <v>21684.171875</v>
      </c>
    </row>
    <row r="594" spans="4:7" x14ac:dyDescent="0.25">
      <c r="D594">
        <f>[1]flow_freeway!A594</f>
        <v>12949</v>
      </c>
      <c r="E594" s="137">
        <f>[1]flow_freeway!B594</f>
        <v>115601.652831</v>
      </c>
      <c r="F594" s="137">
        <f>[1]flow_freeway!C594</f>
        <v>19781.630859000001</v>
      </c>
      <c r="G594" s="137">
        <f>[1]flow_freeway!D594</f>
        <v>33448.988280999998</v>
      </c>
    </row>
    <row r="595" spans="4:7" x14ac:dyDescent="0.25">
      <c r="D595">
        <f>[1]flow_freeway!A595</f>
        <v>12950</v>
      </c>
      <c r="E595" s="137">
        <f>[1]flow_freeway!B595</f>
        <v>122361.115234</v>
      </c>
      <c r="F595" s="137">
        <f>[1]flow_freeway!C595</f>
        <v>28362.517577999999</v>
      </c>
      <c r="G595" s="137">
        <f>[1]flow_freeway!D595</f>
        <v>25555.226562</v>
      </c>
    </row>
    <row r="596" spans="4:7" x14ac:dyDescent="0.25">
      <c r="D596">
        <f>[1]flow_freeway!A596</f>
        <v>12952</v>
      </c>
      <c r="E596" s="137">
        <f>[1]flow_freeway!B596</f>
        <v>104296.42773499999</v>
      </c>
      <c r="F596" s="137">
        <f>[1]flow_freeway!C596</f>
        <v>24323.759765999999</v>
      </c>
      <c r="G596" s="137">
        <f>[1]flow_freeway!D596</f>
        <v>22115.740234000001</v>
      </c>
    </row>
    <row r="597" spans="4:7" x14ac:dyDescent="0.25">
      <c r="D597">
        <f>[1]flow_freeway!A597</f>
        <v>12955</v>
      </c>
      <c r="E597" s="137">
        <f>[1]flow_freeway!B597</f>
        <v>94714.805664</v>
      </c>
      <c r="F597" s="137">
        <f>[1]flow_freeway!C597</f>
        <v>16685.503906000002</v>
      </c>
      <c r="G597" s="137">
        <f>[1]flow_freeway!D597</f>
        <v>26809.587890999999</v>
      </c>
    </row>
    <row r="598" spans="4:7" x14ac:dyDescent="0.25">
      <c r="D598">
        <f>[1]flow_freeway!A598</f>
        <v>12957</v>
      </c>
      <c r="E598" s="137">
        <f>[1]flow_freeway!B598</f>
        <v>99640.453125</v>
      </c>
      <c r="F598" s="137">
        <f>[1]flow_freeway!C598</f>
        <v>17665.701172000001</v>
      </c>
      <c r="G598" s="137">
        <f>[1]flow_freeway!D598</f>
        <v>29579.943359000001</v>
      </c>
    </row>
    <row r="599" spans="4:7" x14ac:dyDescent="0.25">
      <c r="D599">
        <f>[1]flow_freeway!A599</f>
        <v>13034</v>
      </c>
      <c r="E599" s="137">
        <f>[1]flow_freeway!B599</f>
        <v>38825.861572000002</v>
      </c>
      <c r="F599" s="137">
        <f>[1]flow_freeway!C599</f>
        <v>9487.5</v>
      </c>
      <c r="G599" s="137">
        <f>[1]flow_freeway!D599</f>
        <v>9639.2617190000001</v>
      </c>
    </row>
    <row r="600" spans="4:7" x14ac:dyDescent="0.25">
      <c r="D600">
        <f>[1]flow_freeway!A600</f>
        <v>13035</v>
      </c>
      <c r="E600" s="137">
        <f>[1]flow_freeway!B600</f>
        <v>64972.508055999999</v>
      </c>
      <c r="F600" s="137">
        <f>[1]flow_freeway!C600</f>
        <v>13560.695312</v>
      </c>
      <c r="G600" s="137">
        <f>[1]flow_freeway!D600</f>
        <v>17803.623047000001</v>
      </c>
    </row>
    <row r="601" spans="4:7" x14ac:dyDescent="0.25">
      <c r="D601">
        <f>[1]flow_freeway!A601</f>
        <v>13036</v>
      </c>
      <c r="E601" s="137">
        <f>[1]flow_freeway!B601</f>
        <v>57423.339111000001</v>
      </c>
      <c r="F601" s="137">
        <f>[1]flow_freeway!C601</f>
        <v>12152.282227</v>
      </c>
      <c r="G601" s="137">
        <f>[1]flow_freeway!D601</f>
        <v>15911.983398</v>
      </c>
    </row>
    <row r="602" spans="4:7" x14ac:dyDescent="0.25">
      <c r="D602">
        <f>[1]flow_freeway!A602</f>
        <v>13037</v>
      </c>
      <c r="E602" s="137">
        <f>[1]flow_freeway!B602</f>
        <v>63557.515380000004</v>
      </c>
      <c r="F602" s="137">
        <f>[1]flow_freeway!C602</f>
        <v>13821.153319999999</v>
      </c>
      <c r="G602" s="137">
        <f>[1]flow_freeway!D602</f>
        <v>14824.036133</v>
      </c>
    </row>
    <row r="603" spans="4:7" x14ac:dyDescent="0.25">
      <c r="D603">
        <f>[1]flow_freeway!A603</f>
        <v>13046</v>
      </c>
      <c r="E603" s="137">
        <f>[1]flow_freeway!B603</f>
        <v>52806.280028000001</v>
      </c>
      <c r="F603" s="137">
        <f>[1]flow_freeway!C603</f>
        <v>11312.724609000001</v>
      </c>
      <c r="G603" s="137">
        <f>[1]flow_freeway!D603</f>
        <v>12374.019531</v>
      </c>
    </row>
    <row r="604" spans="4:7" x14ac:dyDescent="0.25">
      <c r="D604">
        <f>[1]flow_freeway!A604</f>
        <v>13051</v>
      </c>
      <c r="E604" s="137">
        <f>[1]flow_freeway!B604</f>
        <v>59972.597413000003</v>
      </c>
      <c r="F604" s="137">
        <f>[1]flow_freeway!C604</f>
        <v>12613.921875</v>
      </c>
      <c r="G604" s="137">
        <f>[1]flow_freeway!D604</f>
        <v>13995.181640999999</v>
      </c>
    </row>
    <row r="605" spans="4:7" x14ac:dyDescent="0.25">
      <c r="D605">
        <f>[1]flow_freeway!A605</f>
        <v>13052</v>
      </c>
      <c r="E605" s="137">
        <f>[1]flow_freeway!B605</f>
        <v>65073.629884000009</v>
      </c>
      <c r="F605" s="137">
        <f>[1]flow_freeway!C605</f>
        <v>13928.250977</v>
      </c>
      <c r="G605" s="137">
        <f>[1]flow_freeway!D605</f>
        <v>17999.335938</v>
      </c>
    </row>
    <row r="606" spans="4:7" x14ac:dyDescent="0.25">
      <c r="D606">
        <f>[1]flow_freeway!A606</f>
        <v>13053</v>
      </c>
      <c r="E606" s="137">
        <f>[1]flow_freeway!B606</f>
        <v>27888.634886999997</v>
      </c>
      <c r="F606" s="137">
        <f>[1]flow_freeway!C606</f>
        <v>7205.5004879999997</v>
      </c>
      <c r="G606" s="137">
        <f>[1]flow_freeway!D606</f>
        <v>7129.5629879999997</v>
      </c>
    </row>
    <row r="607" spans="4:7" x14ac:dyDescent="0.25">
      <c r="D607">
        <f>[1]flow_freeway!A607</f>
        <v>13056</v>
      </c>
      <c r="E607" s="137">
        <f>[1]flow_freeway!B607</f>
        <v>53754.617677000002</v>
      </c>
      <c r="F607" s="137">
        <f>[1]flow_freeway!C607</f>
        <v>11764.704102</v>
      </c>
      <c r="G607" s="137">
        <f>[1]flow_freeway!D607</f>
        <v>14541.053711</v>
      </c>
    </row>
    <row r="608" spans="4:7" x14ac:dyDescent="0.25">
      <c r="D608">
        <f>[1]flow_freeway!A608</f>
        <v>13099</v>
      </c>
      <c r="E608" s="137">
        <f>[1]flow_freeway!B608</f>
        <v>88369.321777999998</v>
      </c>
      <c r="F608" s="137">
        <f>[1]flow_freeway!C608</f>
        <v>17593.75</v>
      </c>
      <c r="G608" s="137">
        <f>[1]flow_freeway!D608</f>
        <v>22679.404297000001</v>
      </c>
    </row>
    <row r="609" spans="4:7" x14ac:dyDescent="0.25">
      <c r="D609">
        <f>[1]flow_freeway!A609</f>
        <v>13100</v>
      </c>
      <c r="E609" s="137">
        <f>[1]flow_freeway!B609</f>
        <v>94113.780763000002</v>
      </c>
      <c r="F609" s="137">
        <f>[1]flow_freeway!C609</f>
        <v>20825.554688</v>
      </c>
      <c r="G609" s="137">
        <f>[1]flow_freeway!D609</f>
        <v>22651.033202999999</v>
      </c>
    </row>
    <row r="610" spans="4:7" x14ac:dyDescent="0.25">
      <c r="D610">
        <f>[1]flow_freeway!A610</f>
        <v>13115</v>
      </c>
      <c r="E610" s="137">
        <f>[1]flow_freeway!B610</f>
        <v>39420.285094999999</v>
      </c>
      <c r="F610" s="137">
        <f>[1]flow_freeway!C610</f>
        <v>5739.9975590000004</v>
      </c>
      <c r="G610" s="137">
        <f>[1]flow_freeway!D610</f>
        <v>12007.851562</v>
      </c>
    </row>
    <row r="611" spans="4:7" x14ac:dyDescent="0.25">
      <c r="D611">
        <f>[1]flow_freeway!A611</f>
        <v>13116</v>
      </c>
      <c r="E611" s="137">
        <f>[1]flow_freeway!B611</f>
        <v>36140.441284</v>
      </c>
      <c r="F611" s="137">
        <f>[1]flow_freeway!C611</f>
        <v>5248.7978519999997</v>
      </c>
      <c r="G611" s="137">
        <f>[1]flow_freeway!D611</f>
        <v>10999.694336</v>
      </c>
    </row>
    <row r="612" spans="4:7" x14ac:dyDescent="0.25">
      <c r="D612">
        <f>[1]flow_freeway!A612</f>
        <v>13117</v>
      </c>
      <c r="E612" s="137">
        <f>[1]flow_freeway!B612</f>
        <v>46885.750975999996</v>
      </c>
      <c r="F612" s="137">
        <f>[1]flow_freeway!C612</f>
        <v>11521.599609000001</v>
      </c>
      <c r="G612" s="137">
        <f>[1]flow_freeway!D612</f>
        <v>9357.0136719999991</v>
      </c>
    </row>
    <row r="613" spans="4:7" x14ac:dyDescent="0.25">
      <c r="D613">
        <f>[1]flow_freeway!A613</f>
        <v>13118</v>
      </c>
      <c r="E613" s="137">
        <f>[1]flow_freeway!B613</f>
        <v>40614.454589999994</v>
      </c>
      <c r="F613" s="137">
        <f>[1]flow_freeway!C613</f>
        <v>10105.431640999999</v>
      </c>
      <c r="G613" s="137">
        <f>[1]flow_freeway!D613</f>
        <v>8165.951172</v>
      </c>
    </row>
    <row r="614" spans="4:7" x14ac:dyDescent="0.25">
      <c r="D614">
        <f>[1]flow_freeway!A614</f>
        <v>13123</v>
      </c>
      <c r="E614" s="137">
        <f>[1]flow_freeway!B614</f>
        <v>39374.789917000002</v>
      </c>
      <c r="F614" s="137">
        <f>[1]flow_freeway!C614</f>
        <v>5876.1826170000004</v>
      </c>
      <c r="G614" s="137">
        <f>[1]flow_freeway!D614</f>
        <v>11807.069336</v>
      </c>
    </row>
    <row r="615" spans="4:7" x14ac:dyDescent="0.25">
      <c r="D615">
        <f>[1]flow_freeway!A615</f>
        <v>13124</v>
      </c>
      <c r="E615" s="137">
        <f>[1]flow_freeway!B615</f>
        <v>42653.839599999992</v>
      </c>
      <c r="F615" s="137">
        <f>[1]flow_freeway!C615</f>
        <v>10622.259765999999</v>
      </c>
      <c r="G615" s="137">
        <f>[1]flow_freeway!D615</f>
        <v>8775.3291019999997</v>
      </c>
    </row>
    <row r="616" spans="4:7" x14ac:dyDescent="0.25">
      <c r="D616">
        <f>[1]flow_freeway!A616</f>
        <v>13128</v>
      </c>
      <c r="E616" s="137">
        <f>[1]flow_freeway!B616</f>
        <v>36284.544677999998</v>
      </c>
      <c r="F616" s="137">
        <f>[1]flow_freeway!C616</f>
        <v>9357.2109380000002</v>
      </c>
      <c r="G616" s="137">
        <f>[1]flow_freeway!D616</f>
        <v>7484.3544920000004</v>
      </c>
    </row>
    <row r="617" spans="4:7" x14ac:dyDescent="0.25">
      <c r="D617">
        <f>[1]flow_freeway!A617</f>
        <v>13135</v>
      </c>
      <c r="E617" s="137">
        <f>[1]flow_freeway!B617</f>
        <v>39188.494751000006</v>
      </c>
      <c r="F617" s="137">
        <f>[1]flow_freeway!C617</f>
        <v>10076.329102</v>
      </c>
      <c r="G617" s="137">
        <f>[1]flow_freeway!D617</f>
        <v>8243.4296880000002</v>
      </c>
    </row>
    <row r="618" spans="4:7" x14ac:dyDescent="0.25">
      <c r="D618">
        <f>[1]flow_freeway!A618</f>
        <v>13141</v>
      </c>
      <c r="E618" s="137">
        <f>[1]flow_freeway!B618</f>
        <v>29196.496095000002</v>
      </c>
      <c r="F618" s="137">
        <f>[1]flow_freeway!C618</f>
        <v>7357.3623049999997</v>
      </c>
      <c r="G618" s="137">
        <f>[1]flow_freeway!D618</f>
        <v>6298.9892579999996</v>
      </c>
    </row>
    <row r="619" spans="4:7" x14ac:dyDescent="0.25">
      <c r="D619">
        <f>[1]flow_freeway!A619</f>
        <v>13149</v>
      </c>
      <c r="E619" s="137">
        <f>[1]flow_freeway!B619</f>
        <v>29599.663086</v>
      </c>
      <c r="F619" s="137">
        <f>[1]flow_freeway!C619</f>
        <v>7424.9213870000003</v>
      </c>
      <c r="G619" s="137">
        <f>[1]flow_freeway!D619</f>
        <v>6400.1777339999999</v>
      </c>
    </row>
    <row r="620" spans="4:7" x14ac:dyDescent="0.25">
      <c r="D620">
        <f>[1]flow_freeway!A620</f>
        <v>13153</v>
      </c>
      <c r="E620" s="137">
        <f>[1]flow_freeway!B620</f>
        <v>23520.254029000003</v>
      </c>
      <c r="F620" s="137">
        <f>[1]flow_freeway!C620</f>
        <v>5695.328125</v>
      </c>
      <c r="G620" s="137">
        <f>[1]flow_freeway!D620</f>
        <v>5018.7978519999997</v>
      </c>
    </row>
    <row r="621" spans="4:7" x14ac:dyDescent="0.25">
      <c r="D621">
        <f>[1]flow_freeway!A621</f>
        <v>13263</v>
      </c>
      <c r="E621" s="137">
        <f>[1]flow_freeway!B621</f>
        <v>65350.618164000007</v>
      </c>
      <c r="F621" s="137">
        <f>[1]flow_freeway!C621</f>
        <v>14722.316406</v>
      </c>
      <c r="G621" s="137">
        <f>[1]flow_freeway!D621</f>
        <v>15481.395508</v>
      </c>
    </row>
    <row r="622" spans="4:7" x14ac:dyDescent="0.25">
      <c r="D622">
        <f>[1]flow_freeway!A622</f>
        <v>13273</v>
      </c>
      <c r="E622" s="137">
        <f>[1]flow_freeway!B622</f>
        <v>86057.715821000005</v>
      </c>
      <c r="F622" s="137">
        <f>[1]flow_freeway!C622</f>
        <v>20730.048827999999</v>
      </c>
      <c r="G622" s="137">
        <f>[1]flow_freeway!D622</f>
        <v>16280.399414</v>
      </c>
    </row>
    <row r="623" spans="4:7" x14ac:dyDescent="0.25">
      <c r="D623">
        <f>[1]flow_freeway!A623</f>
        <v>13274</v>
      </c>
      <c r="E623" s="137">
        <f>[1]flow_freeway!B623</f>
        <v>93996.571289</v>
      </c>
      <c r="F623" s="137">
        <f>[1]flow_freeway!C623</f>
        <v>22453.443359000001</v>
      </c>
      <c r="G623" s="137">
        <f>[1]flow_freeway!D623</f>
        <v>17840.519531000002</v>
      </c>
    </row>
    <row r="624" spans="4:7" x14ac:dyDescent="0.25">
      <c r="D624">
        <f>[1]flow_freeway!A624</f>
        <v>13275</v>
      </c>
      <c r="E624" s="137">
        <f>[1]flow_freeway!B624</f>
        <v>93280.563964999994</v>
      </c>
      <c r="F624" s="137">
        <f>[1]flow_freeway!C624</f>
        <v>15272.649414</v>
      </c>
      <c r="G624" s="137">
        <f>[1]flow_freeway!D624</f>
        <v>27713.517577999999</v>
      </c>
    </row>
    <row r="625" spans="4:7" x14ac:dyDescent="0.25">
      <c r="D625">
        <f>[1]flow_freeway!A625</f>
        <v>13277</v>
      </c>
      <c r="E625" s="137">
        <f>[1]flow_freeway!B625</f>
        <v>84636.968261999995</v>
      </c>
      <c r="F625" s="137">
        <f>[1]flow_freeway!C625</f>
        <v>14139.898438</v>
      </c>
      <c r="G625" s="137">
        <f>[1]flow_freeway!D625</f>
        <v>25315.132812</v>
      </c>
    </row>
    <row r="626" spans="4:7" x14ac:dyDescent="0.25">
      <c r="D626">
        <f>[1]flow_freeway!A626</f>
        <v>13279</v>
      </c>
      <c r="E626" s="137">
        <f>[1]flow_freeway!B626</f>
        <v>95912.235840000008</v>
      </c>
      <c r="F626" s="137">
        <f>[1]flow_freeway!C626</f>
        <v>16198.105469</v>
      </c>
      <c r="G626" s="137">
        <f>[1]flow_freeway!D626</f>
        <v>27984.470702999999</v>
      </c>
    </row>
    <row r="627" spans="4:7" x14ac:dyDescent="0.25">
      <c r="D627">
        <f>[1]flow_freeway!A627</f>
        <v>13281</v>
      </c>
      <c r="E627" s="137">
        <f>[1]flow_freeway!B627</f>
        <v>92815.700194999998</v>
      </c>
      <c r="F627" s="137">
        <f>[1]flow_freeway!C627</f>
        <v>21556.613281000002</v>
      </c>
      <c r="G627" s="137">
        <f>[1]flow_freeway!D627</f>
        <v>17845.003906000002</v>
      </c>
    </row>
    <row r="628" spans="4:7" x14ac:dyDescent="0.25">
      <c r="D628">
        <f>[1]flow_freeway!A628</f>
        <v>13282</v>
      </c>
      <c r="E628" s="137">
        <f>[1]flow_freeway!B628</f>
        <v>95590.143555999995</v>
      </c>
      <c r="F628" s="137">
        <f>[1]flow_freeway!C628</f>
        <v>22422.867188</v>
      </c>
      <c r="G628" s="137">
        <f>[1]flow_freeway!D628</f>
        <v>19295.306640999999</v>
      </c>
    </row>
    <row r="629" spans="4:7" x14ac:dyDescent="0.25">
      <c r="D629">
        <f>[1]flow_freeway!A629</f>
        <v>13438</v>
      </c>
      <c r="E629" s="137">
        <f>[1]flow_freeway!B629</f>
        <v>52177.149414</v>
      </c>
      <c r="F629" s="137">
        <f>[1]flow_freeway!C629</f>
        <v>9407.6162110000005</v>
      </c>
      <c r="G629" s="137">
        <f>[1]flow_freeway!D629</f>
        <v>13124.444336</v>
      </c>
    </row>
    <row r="630" spans="4:7" x14ac:dyDescent="0.25">
      <c r="D630">
        <f>[1]flow_freeway!A630</f>
        <v>13527</v>
      </c>
      <c r="E630" s="137">
        <f>[1]flow_freeway!B630</f>
        <v>109676.666992</v>
      </c>
      <c r="F630" s="137">
        <f>[1]flow_freeway!C630</f>
        <v>17630.037109000001</v>
      </c>
      <c r="G630" s="137">
        <f>[1]flow_freeway!D630</f>
        <v>33316.832030999998</v>
      </c>
    </row>
    <row r="631" spans="4:7" x14ac:dyDescent="0.25">
      <c r="D631">
        <f>[1]flow_freeway!A631</f>
        <v>13579</v>
      </c>
      <c r="E631" s="137">
        <f>[1]flow_freeway!B631</f>
        <v>102997.212403</v>
      </c>
      <c r="F631" s="137">
        <f>[1]flow_freeway!C631</f>
        <v>16758.509765999999</v>
      </c>
      <c r="G631" s="137">
        <f>[1]flow_freeway!D631</f>
        <v>30674.664062</v>
      </c>
    </row>
    <row r="632" spans="4:7" x14ac:dyDescent="0.25">
      <c r="D632">
        <f>[1]flow_freeway!A632</f>
        <v>13580</v>
      </c>
      <c r="E632" s="137">
        <f>[1]flow_freeway!B632</f>
        <v>103291.27441399998</v>
      </c>
      <c r="F632" s="137">
        <f>[1]flow_freeway!C632</f>
        <v>25313.105468999998</v>
      </c>
      <c r="G632" s="137">
        <f>[1]flow_freeway!D632</f>
        <v>19964.664062</v>
      </c>
    </row>
    <row r="633" spans="4:7" x14ac:dyDescent="0.25">
      <c r="D633">
        <f>[1]flow_freeway!A633</f>
        <v>13581</v>
      </c>
      <c r="E633" s="137">
        <f>[1]flow_freeway!B633</f>
        <v>98914.734375</v>
      </c>
      <c r="F633" s="137">
        <f>[1]flow_freeway!C633</f>
        <v>15898.860352</v>
      </c>
      <c r="G633" s="137">
        <f>[1]flow_freeway!D633</f>
        <v>29582.496093999998</v>
      </c>
    </row>
    <row r="634" spans="4:7" x14ac:dyDescent="0.25">
      <c r="D634">
        <f>[1]flow_freeway!A634</f>
        <v>13582</v>
      </c>
      <c r="E634" s="137">
        <f>[1]flow_freeway!B634</f>
        <v>99577.021483999997</v>
      </c>
      <c r="F634" s="137">
        <f>[1]flow_freeway!C634</f>
        <v>24745.205077999999</v>
      </c>
      <c r="G634" s="137">
        <f>[1]flow_freeway!D634</f>
        <v>19064.914062</v>
      </c>
    </row>
    <row r="635" spans="4:7" x14ac:dyDescent="0.25">
      <c r="D635">
        <f>[1]flow_freeway!A635</f>
        <v>13585</v>
      </c>
      <c r="E635" s="137">
        <f>[1]flow_freeway!B635</f>
        <v>106264.166017</v>
      </c>
      <c r="F635" s="137">
        <f>[1]flow_freeway!C635</f>
        <v>26270.416015999999</v>
      </c>
      <c r="G635" s="137">
        <f>[1]flow_freeway!D635</f>
        <v>20606.423827999999</v>
      </c>
    </row>
    <row r="636" spans="4:7" x14ac:dyDescent="0.25">
      <c r="D636">
        <f>[1]flow_freeway!A636</f>
        <v>13586</v>
      </c>
      <c r="E636" s="137">
        <f>[1]flow_freeway!B636</f>
        <v>106076.684569</v>
      </c>
      <c r="F636" s="137">
        <f>[1]flow_freeway!C636</f>
        <v>17162.330077999999</v>
      </c>
      <c r="G636" s="137">
        <f>[1]flow_freeway!D636</f>
        <v>31611.265625</v>
      </c>
    </row>
    <row r="637" spans="4:7" x14ac:dyDescent="0.25">
      <c r="D637">
        <f>[1]flow_freeway!A637</f>
        <v>13588</v>
      </c>
      <c r="E637" s="137">
        <f>[1]flow_freeway!B637</f>
        <v>101788.471191</v>
      </c>
      <c r="F637" s="137">
        <f>[1]flow_freeway!C637</f>
        <v>16423.154297000001</v>
      </c>
      <c r="G637" s="137">
        <f>[1]flow_freeway!D637</f>
        <v>30507.140625</v>
      </c>
    </row>
    <row r="638" spans="4:7" x14ac:dyDescent="0.25">
      <c r="D638">
        <f>[1]flow_freeway!A638</f>
        <v>13589</v>
      </c>
      <c r="E638" s="137">
        <f>[1]flow_freeway!B638</f>
        <v>101499.545899</v>
      </c>
      <c r="F638" s="137">
        <f>[1]flow_freeway!C638</f>
        <v>25633.527343999998</v>
      </c>
      <c r="G638" s="137">
        <f>[1]flow_freeway!D638</f>
        <v>19428.822265999999</v>
      </c>
    </row>
    <row r="639" spans="4:7" x14ac:dyDescent="0.25">
      <c r="D639">
        <f>[1]flow_freeway!A639</f>
        <v>13590</v>
      </c>
      <c r="E639" s="137">
        <f>[1]flow_freeway!B639</f>
        <v>107139.283203</v>
      </c>
      <c r="F639" s="137">
        <f>[1]flow_freeway!C639</f>
        <v>27427.078125</v>
      </c>
      <c r="G639" s="137">
        <f>[1]flow_freeway!D639</f>
        <v>20684.109375</v>
      </c>
    </row>
    <row r="640" spans="4:7" x14ac:dyDescent="0.25">
      <c r="D640">
        <f>[1]flow_freeway!A640</f>
        <v>13593</v>
      </c>
      <c r="E640" s="137">
        <f>[1]flow_freeway!B640</f>
        <v>109816.90332100001</v>
      </c>
      <c r="F640" s="137">
        <f>[1]flow_freeway!C640</f>
        <v>17673.271484000001</v>
      </c>
      <c r="G640" s="137">
        <f>[1]flow_freeway!D640</f>
        <v>33322.902344000002</v>
      </c>
    </row>
    <row r="641" spans="4:7" x14ac:dyDescent="0.25">
      <c r="D641">
        <f>[1]flow_freeway!A641</f>
        <v>13594</v>
      </c>
      <c r="E641" s="137">
        <f>[1]flow_freeway!B641</f>
        <v>122521.512694</v>
      </c>
      <c r="F641" s="137">
        <f>[1]flow_freeway!C641</f>
        <v>30686.132812</v>
      </c>
      <c r="G641" s="137">
        <f>[1]flow_freeway!D641</f>
        <v>23280.683593999998</v>
      </c>
    </row>
    <row r="642" spans="4:7" x14ac:dyDescent="0.25">
      <c r="D642">
        <f>[1]flow_freeway!A642</f>
        <v>13595</v>
      </c>
      <c r="E642" s="137">
        <f>[1]flow_freeway!B642</f>
        <v>124591.485839</v>
      </c>
      <c r="F642" s="137">
        <f>[1]flow_freeway!C642</f>
        <v>19773.238281000002</v>
      </c>
      <c r="G642" s="137">
        <f>[1]flow_freeway!D642</f>
        <v>37820.757812000003</v>
      </c>
    </row>
    <row r="643" spans="4:7" x14ac:dyDescent="0.25">
      <c r="D643">
        <f>[1]flow_freeway!A643</f>
        <v>13597</v>
      </c>
      <c r="E643" s="137">
        <f>[1]flow_freeway!B643</f>
        <v>107730.947267</v>
      </c>
      <c r="F643" s="137">
        <f>[1]flow_freeway!C643</f>
        <v>26166.292968999998</v>
      </c>
      <c r="G643" s="137">
        <f>[1]flow_freeway!D643</f>
        <v>20878.109375</v>
      </c>
    </row>
    <row r="644" spans="4:7" x14ac:dyDescent="0.25">
      <c r="D644">
        <f>[1]flow_freeway!A644</f>
        <v>13598</v>
      </c>
      <c r="E644" s="137">
        <f>[1]flow_freeway!B644</f>
        <v>99697.825194999998</v>
      </c>
      <c r="F644" s="137">
        <f>[1]flow_freeway!C644</f>
        <v>24022.318359000001</v>
      </c>
      <c r="G644" s="137">
        <f>[1]flow_freeway!D644</f>
        <v>18697.166015999999</v>
      </c>
    </row>
    <row r="645" spans="4:7" x14ac:dyDescent="0.25">
      <c r="D645">
        <f>[1]flow_freeway!A645</f>
        <v>13599</v>
      </c>
      <c r="E645" s="137">
        <f>[1]flow_freeway!B645</f>
        <v>115532.406739</v>
      </c>
      <c r="F645" s="137">
        <f>[1]flow_freeway!C645</f>
        <v>18258.955077999999</v>
      </c>
      <c r="G645" s="137">
        <f>[1]flow_freeway!D645</f>
        <v>35768.035155999998</v>
      </c>
    </row>
    <row r="646" spans="4:7" x14ac:dyDescent="0.25">
      <c r="D646">
        <f>[1]flow_freeway!A646</f>
        <v>13600</v>
      </c>
      <c r="E646" s="137">
        <f>[1]flow_freeway!B646</f>
        <v>111052.08642600001</v>
      </c>
      <c r="F646" s="137">
        <f>[1]flow_freeway!C646</f>
        <v>17685.429688</v>
      </c>
      <c r="G646" s="137">
        <f>[1]flow_freeway!D646</f>
        <v>32117.257812</v>
      </c>
    </row>
    <row r="647" spans="4:7" x14ac:dyDescent="0.25">
      <c r="D647">
        <f>[1]flow_freeway!A647</f>
        <v>13637</v>
      </c>
      <c r="E647" s="137">
        <f>[1]flow_freeway!B647</f>
        <v>109877.17871199999</v>
      </c>
      <c r="F647" s="137">
        <f>[1]flow_freeway!C647</f>
        <v>17295.384765999999</v>
      </c>
      <c r="G647" s="137">
        <f>[1]flow_freeway!D647</f>
        <v>32644.353515999999</v>
      </c>
    </row>
    <row r="648" spans="4:7" x14ac:dyDescent="0.25">
      <c r="D648">
        <f>[1]flow_freeway!A648</f>
        <v>13639</v>
      </c>
      <c r="E648" s="137">
        <f>[1]flow_freeway!B648</f>
        <v>99262.482910000006</v>
      </c>
      <c r="F648" s="137">
        <f>[1]flow_freeway!C648</f>
        <v>15938.177734000001</v>
      </c>
      <c r="G648" s="137">
        <f>[1]flow_freeway!D648</f>
        <v>29717.554688</v>
      </c>
    </row>
    <row r="649" spans="4:7" x14ac:dyDescent="0.25">
      <c r="D649">
        <f>[1]flow_freeway!A649</f>
        <v>13640</v>
      </c>
      <c r="E649" s="137">
        <f>[1]flow_freeway!B649</f>
        <v>109334.555177</v>
      </c>
      <c r="F649" s="137">
        <f>[1]flow_freeway!C649</f>
        <v>17410.167968999998</v>
      </c>
      <c r="G649" s="137">
        <f>[1]flow_freeway!D649</f>
        <v>32120.431640999999</v>
      </c>
    </row>
    <row r="650" spans="4:7" x14ac:dyDescent="0.25">
      <c r="D650">
        <f>[1]flow_freeway!A650</f>
        <v>13642</v>
      </c>
      <c r="E650" s="137">
        <f>[1]flow_freeway!B650</f>
        <v>115506.758789</v>
      </c>
      <c r="F650" s="137">
        <f>[1]flow_freeway!C650</f>
        <v>18546.673827999999</v>
      </c>
      <c r="G650" s="137">
        <f>[1]flow_freeway!D650</f>
        <v>33736.074219000002</v>
      </c>
    </row>
    <row r="651" spans="4:7" x14ac:dyDescent="0.25">
      <c r="D651">
        <f>[1]flow_freeway!A651</f>
        <v>13646</v>
      </c>
      <c r="E651" s="137">
        <f>[1]flow_freeway!B651</f>
        <v>116811.021484</v>
      </c>
      <c r="F651" s="137">
        <f>[1]flow_freeway!C651</f>
        <v>28764.388672000001</v>
      </c>
      <c r="G651" s="137">
        <f>[1]flow_freeway!D651</f>
        <v>22404.412109000001</v>
      </c>
    </row>
    <row r="652" spans="4:7" x14ac:dyDescent="0.25">
      <c r="D652">
        <f>[1]flow_freeway!A652</f>
        <v>13648</v>
      </c>
      <c r="E652" s="137">
        <f>[1]flow_freeway!B652</f>
        <v>102612.864747</v>
      </c>
      <c r="F652" s="137">
        <f>[1]flow_freeway!C652</f>
        <v>16196.831055000001</v>
      </c>
      <c r="G652" s="137">
        <f>[1]flow_freeway!D652</f>
        <v>31013.923827999999</v>
      </c>
    </row>
    <row r="653" spans="4:7" x14ac:dyDescent="0.25">
      <c r="D653">
        <f>[1]flow_freeway!A653</f>
        <v>13649</v>
      </c>
      <c r="E653" s="137">
        <f>[1]flow_freeway!B653</f>
        <v>107769.430664</v>
      </c>
      <c r="F653" s="137">
        <f>[1]flow_freeway!C653</f>
        <v>26643.207031000002</v>
      </c>
      <c r="G653" s="137">
        <f>[1]flow_freeway!D653</f>
        <v>20416.167968999998</v>
      </c>
    </row>
    <row r="654" spans="4:7" x14ac:dyDescent="0.25">
      <c r="D654">
        <f>[1]flow_freeway!A654</f>
        <v>13652</v>
      </c>
      <c r="E654" s="137">
        <f>[1]flow_freeway!B654</f>
        <v>105989.027344</v>
      </c>
      <c r="F654" s="137">
        <f>[1]flow_freeway!C654</f>
        <v>26482.472656000002</v>
      </c>
      <c r="G654" s="137">
        <f>[1]flow_freeway!D654</f>
        <v>20131.929688</v>
      </c>
    </row>
    <row r="655" spans="4:7" x14ac:dyDescent="0.25">
      <c r="D655">
        <f>[1]flow_freeway!A655</f>
        <v>13653</v>
      </c>
      <c r="E655" s="137">
        <f>[1]flow_freeway!B655</f>
        <v>114854.942383</v>
      </c>
      <c r="F655" s="137">
        <f>[1]flow_freeway!C655</f>
        <v>27883.5</v>
      </c>
      <c r="G655" s="137">
        <f>[1]flow_freeway!D655</f>
        <v>21767.917968999998</v>
      </c>
    </row>
    <row r="656" spans="4:7" x14ac:dyDescent="0.25">
      <c r="D656">
        <f>[1]flow_freeway!A656</f>
        <v>13658</v>
      </c>
      <c r="E656" s="137">
        <f>[1]flow_freeway!B656</f>
        <v>98467.038572999998</v>
      </c>
      <c r="F656" s="137">
        <f>[1]flow_freeway!C656</f>
        <v>16157.75</v>
      </c>
      <c r="G656" s="137">
        <f>[1]flow_freeway!D656</f>
        <v>31056.007812</v>
      </c>
    </row>
    <row r="657" spans="4:7" x14ac:dyDescent="0.25">
      <c r="D657">
        <f>[1]flow_freeway!A657</f>
        <v>13661</v>
      </c>
      <c r="E657" s="137">
        <f>[1]flow_freeway!B657</f>
        <v>105776.12890699999</v>
      </c>
      <c r="F657" s="137">
        <f>[1]flow_freeway!C657</f>
        <v>27246.892577999999</v>
      </c>
      <c r="G657" s="137">
        <f>[1]flow_freeway!D657</f>
        <v>20548.189452999999</v>
      </c>
    </row>
    <row r="658" spans="4:7" x14ac:dyDescent="0.25">
      <c r="D658">
        <f>[1]flow_freeway!A658</f>
        <v>13662</v>
      </c>
      <c r="E658" s="137">
        <f>[1]flow_freeway!B658</f>
        <v>113713.866211</v>
      </c>
      <c r="F658" s="137">
        <f>[1]flow_freeway!C658</f>
        <v>18434.839843999998</v>
      </c>
      <c r="G658" s="137">
        <f>[1]flow_freeway!D658</f>
        <v>34559.582030999998</v>
      </c>
    </row>
    <row r="659" spans="4:7" x14ac:dyDescent="0.25">
      <c r="D659">
        <f>[1]flow_freeway!A659</f>
        <v>13664</v>
      </c>
      <c r="E659" s="137">
        <f>[1]flow_freeway!B659</f>
        <v>120321.925781</v>
      </c>
      <c r="F659" s="137">
        <f>[1]flow_freeway!C659</f>
        <v>29651.246093999998</v>
      </c>
      <c r="G659" s="137">
        <f>[1]flow_freeway!D659</f>
        <v>23023.044922000001</v>
      </c>
    </row>
    <row r="660" spans="4:7" x14ac:dyDescent="0.25">
      <c r="D660">
        <f>[1]flow_freeway!A660</f>
        <v>13672</v>
      </c>
      <c r="E660" s="137">
        <f>[1]flow_freeway!B660</f>
        <v>104901.986817</v>
      </c>
      <c r="F660" s="137">
        <f>[1]flow_freeway!C660</f>
        <v>17181.804688</v>
      </c>
      <c r="G660" s="137">
        <f>[1]flow_freeway!D660</f>
        <v>32506.59375</v>
      </c>
    </row>
    <row r="661" spans="4:7" x14ac:dyDescent="0.25">
      <c r="D661">
        <f>[1]flow_freeway!A661</f>
        <v>13673</v>
      </c>
      <c r="E661" s="137">
        <f>[1]flow_freeway!B661</f>
        <v>111731.280273</v>
      </c>
      <c r="F661" s="137">
        <f>[1]flow_freeway!C661</f>
        <v>27977.533202999999</v>
      </c>
      <c r="G661" s="137">
        <f>[1]flow_freeway!D661</f>
        <v>20931.857422000001</v>
      </c>
    </row>
    <row r="662" spans="4:7" x14ac:dyDescent="0.25">
      <c r="D662">
        <f>[1]flow_freeway!A662</f>
        <v>13861</v>
      </c>
      <c r="E662" s="137">
        <f>[1]flow_freeway!B662</f>
        <v>105390.141602</v>
      </c>
      <c r="F662" s="137">
        <f>[1]flow_freeway!C662</f>
        <v>16789.910156000002</v>
      </c>
      <c r="G662" s="137">
        <f>[1]flow_freeway!D662</f>
        <v>30935.710938</v>
      </c>
    </row>
    <row r="663" spans="4:7" x14ac:dyDescent="0.25">
      <c r="D663">
        <f>[1]flow_freeway!A663</f>
        <v>13869</v>
      </c>
      <c r="E663" s="137">
        <f>[1]flow_freeway!B663</f>
        <v>104508.120606</v>
      </c>
      <c r="F663" s="137">
        <f>[1]flow_freeway!C663</f>
        <v>16624.234375</v>
      </c>
      <c r="G663" s="137">
        <f>[1]flow_freeway!D663</f>
        <v>30474.693359000001</v>
      </c>
    </row>
    <row r="664" spans="4:7" x14ac:dyDescent="0.25">
      <c r="D664">
        <f>[1]flow_freeway!A664</f>
        <v>13870</v>
      </c>
      <c r="E664" s="137">
        <f>[1]flow_freeway!B664</f>
        <v>107983.348633</v>
      </c>
      <c r="F664" s="137">
        <f>[1]flow_freeway!C664</f>
        <v>17101.193359000001</v>
      </c>
      <c r="G664" s="137">
        <f>[1]flow_freeway!D664</f>
        <v>31341.732422000001</v>
      </c>
    </row>
    <row r="665" spans="4:7" x14ac:dyDescent="0.25">
      <c r="D665">
        <f>[1]flow_freeway!A665</f>
        <v>13974</v>
      </c>
      <c r="E665" s="137">
        <f>[1]flow_freeway!B665</f>
        <v>33230.838134999998</v>
      </c>
      <c r="F665" s="137">
        <f>[1]flow_freeway!C665</f>
        <v>6631.1313479999999</v>
      </c>
      <c r="G665" s="137">
        <f>[1]flow_freeway!D665</f>
        <v>7534.109375</v>
      </c>
    </row>
    <row r="666" spans="4:7" x14ac:dyDescent="0.25">
      <c r="D666">
        <f>[1]flow_freeway!A666</f>
        <v>13975</v>
      </c>
      <c r="E666" s="137">
        <f>[1]flow_freeway!B666</f>
        <v>27484.833801000001</v>
      </c>
      <c r="F666" s="137">
        <f>[1]flow_freeway!C666</f>
        <v>5248.8422849999997</v>
      </c>
      <c r="G666" s="137">
        <f>[1]flow_freeway!D666</f>
        <v>6680.2446289999998</v>
      </c>
    </row>
    <row r="667" spans="4:7" x14ac:dyDescent="0.25">
      <c r="D667">
        <f>[1]flow_freeway!A667</f>
        <v>13991</v>
      </c>
      <c r="E667" s="137">
        <f>[1]flow_freeway!B667</f>
        <v>23825.957947000003</v>
      </c>
      <c r="F667" s="137">
        <f>[1]flow_freeway!C667</f>
        <v>4693.2456050000001</v>
      </c>
      <c r="G667" s="137">
        <f>[1]flow_freeway!D667</f>
        <v>5303.4736329999996</v>
      </c>
    </row>
    <row r="668" spans="4:7" x14ac:dyDescent="0.25">
      <c r="D668">
        <f>[1]flow_freeway!A668</f>
        <v>13992</v>
      </c>
      <c r="E668" s="137">
        <f>[1]flow_freeway!B668</f>
        <v>28807.183348999999</v>
      </c>
      <c r="F668" s="137">
        <f>[1]flow_freeway!C668</f>
        <v>6135.9155270000001</v>
      </c>
      <c r="G668" s="137">
        <f>[1]flow_freeway!D668</f>
        <v>6346.4755859999996</v>
      </c>
    </row>
    <row r="669" spans="4:7" x14ac:dyDescent="0.25">
      <c r="D669">
        <f>[1]flow_freeway!A669</f>
        <v>13993</v>
      </c>
      <c r="E669" s="137">
        <f>[1]flow_freeway!B669</f>
        <v>28691.362426</v>
      </c>
      <c r="F669" s="137">
        <f>[1]flow_freeway!C669</f>
        <v>5309.2329099999997</v>
      </c>
      <c r="G669" s="137">
        <f>[1]flow_freeway!D669</f>
        <v>6742.6552730000003</v>
      </c>
    </row>
    <row r="670" spans="4:7" x14ac:dyDescent="0.25">
      <c r="D670">
        <f>[1]flow_freeway!A670</f>
        <v>13994</v>
      </c>
      <c r="E670" s="137">
        <f>[1]flow_freeway!B670</f>
        <v>35138.218016999999</v>
      </c>
      <c r="F670" s="137">
        <f>[1]flow_freeway!C670</f>
        <v>6409.2641599999997</v>
      </c>
      <c r="G670" s="137">
        <f>[1]flow_freeway!D670</f>
        <v>8418.0605469999991</v>
      </c>
    </row>
    <row r="671" spans="4:7" x14ac:dyDescent="0.25">
      <c r="D671">
        <f>[1]flow_freeway!A671</f>
        <v>14022</v>
      </c>
      <c r="E671" s="137">
        <f>[1]flow_freeway!B671</f>
        <v>6891.1660460000003</v>
      </c>
      <c r="F671" s="137">
        <f>[1]flow_freeway!C671</f>
        <v>1061.383789</v>
      </c>
      <c r="G671" s="137">
        <f>[1]flow_freeway!D671</f>
        <v>1920.259155</v>
      </c>
    </row>
    <row r="672" spans="4:7" x14ac:dyDescent="0.25">
      <c r="D672">
        <f>[1]flow_freeway!A672</f>
        <v>14024</v>
      </c>
      <c r="E672" s="137">
        <f>[1]flow_freeway!B672</f>
        <v>6891.1660460000003</v>
      </c>
      <c r="F672" s="137">
        <f>[1]flow_freeway!C672</f>
        <v>1061.383789</v>
      </c>
      <c r="G672" s="137">
        <f>[1]flow_freeway!D672</f>
        <v>1920.259155</v>
      </c>
    </row>
    <row r="673" spans="4:7" x14ac:dyDescent="0.25">
      <c r="D673">
        <f>[1]flow_freeway!A673</f>
        <v>14025</v>
      </c>
      <c r="E673" s="137">
        <f>[1]flow_freeway!B673</f>
        <v>5249.9406740000004</v>
      </c>
      <c r="F673" s="137">
        <f>[1]flow_freeway!C673</f>
        <v>1738.9960940000001</v>
      </c>
      <c r="G673" s="137">
        <f>[1]flow_freeway!D673</f>
        <v>1180.147461</v>
      </c>
    </row>
    <row r="674" spans="4:7" x14ac:dyDescent="0.25">
      <c r="D674">
        <f>[1]flow_freeway!A674</f>
        <v>14026</v>
      </c>
      <c r="E674" s="137">
        <f>[1]flow_freeway!B674</f>
        <v>5249.9406740000004</v>
      </c>
      <c r="F674" s="137">
        <f>[1]flow_freeway!C674</f>
        <v>1738.9960940000001</v>
      </c>
      <c r="G674" s="137">
        <f>[1]flow_freeway!D674</f>
        <v>1180.147461</v>
      </c>
    </row>
    <row r="675" spans="4:7" x14ac:dyDescent="0.25">
      <c r="D675">
        <f>[1]flow_freeway!A675</f>
        <v>14142</v>
      </c>
      <c r="E675" s="137">
        <f>[1]flow_freeway!B675</f>
        <v>59101.780274000004</v>
      </c>
      <c r="F675" s="137">
        <f>[1]flow_freeway!C675</f>
        <v>16223.854492</v>
      </c>
      <c r="G675" s="137">
        <f>[1]flow_freeway!D675</f>
        <v>11792.741211</v>
      </c>
    </row>
    <row r="676" spans="4:7" x14ac:dyDescent="0.25">
      <c r="D676">
        <f>[1]flow_freeway!A676</f>
        <v>14143</v>
      </c>
      <c r="E676" s="137">
        <f>[1]flow_freeway!B676</f>
        <v>57261.552857000002</v>
      </c>
      <c r="F676" s="137">
        <f>[1]flow_freeway!C676</f>
        <v>9383.3076170000004</v>
      </c>
      <c r="G676" s="137">
        <f>[1]flow_freeway!D676</f>
        <v>17350.5</v>
      </c>
    </row>
    <row r="677" spans="4:7" x14ac:dyDescent="0.25">
      <c r="D677">
        <f>[1]flow_freeway!A677</f>
        <v>14144</v>
      </c>
      <c r="E677" s="137">
        <f>[1]flow_freeway!B677</f>
        <v>51366.133301999995</v>
      </c>
      <c r="F677" s="137">
        <f>[1]flow_freeway!C677</f>
        <v>14375.500977</v>
      </c>
      <c r="G677" s="137">
        <f>[1]flow_freeway!D677</f>
        <v>10434.219727</v>
      </c>
    </row>
    <row r="678" spans="4:7" x14ac:dyDescent="0.25">
      <c r="D678">
        <f>[1]flow_freeway!A678</f>
        <v>14151</v>
      </c>
      <c r="E678" s="137">
        <f>[1]flow_freeway!B678</f>
        <v>49771.000001000008</v>
      </c>
      <c r="F678" s="137">
        <f>[1]flow_freeway!C678</f>
        <v>8215.4628909999992</v>
      </c>
      <c r="G678" s="137">
        <f>[1]flow_freeway!D678</f>
        <v>15216.630859000001</v>
      </c>
    </row>
    <row r="679" spans="4:7" x14ac:dyDescent="0.25">
      <c r="D679">
        <f>[1]flow_freeway!A679</f>
        <v>14153</v>
      </c>
      <c r="E679" s="137">
        <f>[1]flow_freeway!B679</f>
        <v>52088.999147000002</v>
      </c>
      <c r="F679" s="137">
        <f>[1]flow_freeway!C679</f>
        <v>8993.2685550000006</v>
      </c>
      <c r="G679" s="137">
        <f>[1]flow_freeway!D679</f>
        <v>15781.353515999999</v>
      </c>
    </row>
    <row r="680" spans="4:7" x14ac:dyDescent="0.25">
      <c r="D680">
        <f>[1]flow_freeway!A680</f>
        <v>14154</v>
      </c>
      <c r="E680" s="137">
        <f>[1]flow_freeway!B680</f>
        <v>53777.092527999994</v>
      </c>
      <c r="F680" s="137">
        <f>[1]flow_freeway!C680</f>
        <v>14786.738281</v>
      </c>
      <c r="G680" s="137">
        <f>[1]flow_freeway!D680</f>
        <v>11185.122069999999</v>
      </c>
    </row>
    <row r="681" spans="4:7" x14ac:dyDescent="0.25">
      <c r="D681">
        <f>[1]flow_freeway!A681</f>
        <v>14155</v>
      </c>
      <c r="E681" s="137">
        <f>[1]flow_freeway!B681</f>
        <v>46425.361815999997</v>
      </c>
      <c r="F681" s="137">
        <f>[1]flow_freeway!C681</f>
        <v>12824.385742</v>
      </c>
      <c r="G681" s="137">
        <f>[1]flow_freeway!D681</f>
        <v>9904.4990230000003</v>
      </c>
    </row>
    <row r="682" spans="4:7" x14ac:dyDescent="0.25">
      <c r="D682">
        <f>[1]flow_freeway!A682</f>
        <v>14176</v>
      </c>
      <c r="E682" s="137">
        <f>[1]flow_freeway!B682</f>
        <v>54182.286620999999</v>
      </c>
      <c r="F682" s="137">
        <f>[1]flow_freeway!C682</f>
        <v>14140.762694999999</v>
      </c>
      <c r="G682" s="137">
        <f>[1]flow_freeway!D682</f>
        <v>12125.403319999999</v>
      </c>
    </row>
    <row r="683" spans="4:7" x14ac:dyDescent="0.25">
      <c r="D683">
        <f>[1]flow_freeway!A683</f>
        <v>14192</v>
      </c>
      <c r="E683" s="137">
        <f>[1]flow_freeway!B683</f>
        <v>1985.8908690000001</v>
      </c>
      <c r="F683" s="137">
        <f>[1]flow_freeway!C683</f>
        <v>0</v>
      </c>
      <c r="G683" s="137">
        <f>[1]flow_freeway!D683</f>
        <v>1985.8908690000001</v>
      </c>
    </row>
    <row r="684" spans="4:7" x14ac:dyDescent="0.25">
      <c r="D684">
        <f>[1]flow_freeway!A684</f>
        <v>14193</v>
      </c>
      <c r="E684" s="137">
        <f>[1]flow_freeway!B684</f>
        <v>64972.454834999997</v>
      </c>
      <c r="F684" s="137">
        <f>[1]flow_freeway!C684</f>
        <v>10828.248046999999</v>
      </c>
      <c r="G684" s="137">
        <f>[1]flow_freeway!D684</f>
        <v>19877.898438</v>
      </c>
    </row>
    <row r="685" spans="4:7" x14ac:dyDescent="0.25">
      <c r="D685">
        <f>[1]flow_freeway!A685</f>
        <v>14194</v>
      </c>
      <c r="E685" s="137">
        <f>[1]flow_freeway!B685</f>
        <v>2347.6059570000002</v>
      </c>
      <c r="F685" s="137">
        <f>[1]flow_freeway!C685</f>
        <v>2347.6059570000002</v>
      </c>
      <c r="G685" s="137">
        <f>[1]flow_freeway!D685</f>
        <v>0</v>
      </c>
    </row>
    <row r="686" spans="4:7" x14ac:dyDescent="0.25">
      <c r="D686">
        <f>[1]flow_freeway!A686</f>
        <v>14199</v>
      </c>
      <c r="E686" s="137">
        <f>[1]flow_freeway!B686</f>
        <v>3320.1020509999998</v>
      </c>
      <c r="F686" s="137">
        <f>[1]flow_freeway!C686</f>
        <v>0</v>
      </c>
      <c r="G686" s="137">
        <f>[1]flow_freeway!D686</f>
        <v>3320.1020509999998</v>
      </c>
    </row>
    <row r="687" spans="4:7" x14ac:dyDescent="0.25">
      <c r="D687">
        <f>[1]flow_freeway!A687</f>
        <v>14202</v>
      </c>
      <c r="E687" s="137">
        <f>[1]flow_freeway!B687</f>
        <v>3320.1020509999998</v>
      </c>
      <c r="F687" s="137">
        <f>[1]flow_freeway!C687</f>
        <v>0</v>
      </c>
      <c r="G687" s="137">
        <f>[1]flow_freeway!D687</f>
        <v>3320.1020509999998</v>
      </c>
    </row>
    <row r="688" spans="4:7" x14ac:dyDescent="0.25">
      <c r="D688">
        <f>[1]flow_freeway!A688</f>
        <v>14203</v>
      </c>
      <c r="E688" s="137">
        <f>[1]flow_freeway!B688</f>
        <v>2347.6059570000002</v>
      </c>
      <c r="F688" s="137">
        <f>[1]flow_freeway!C688</f>
        <v>2347.6059570000002</v>
      </c>
      <c r="G688" s="137">
        <f>[1]flow_freeway!D688</f>
        <v>0</v>
      </c>
    </row>
    <row r="689" spans="4:7" x14ac:dyDescent="0.25">
      <c r="D689">
        <f>[1]flow_freeway!A689</f>
        <v>14205</v>
      </c>
      <c r="E689" s="137">
        <f>[1]flow_freeway!B689</f>
        <v>2192.3159179999998</v>
      </c>
      <c r="F689" s="137">
        <f>[1]flow_freeway!C689</f>
        <v>2192.3159179999998</v>
      </c>
      <c r="G689" s="137">
        <f>[1]flow_freeway!D689</f>
        <v>0</v>
      </c>
    </row>
    <row r="690" spans="4:7" x14ac:dyDescent="0.25">
      <c r="D690">
        <f>[1]flow_freeway!A690</f>
        <v>14211</v>
      </c>
      <c r="E690" s="137">
        <f>[1]flow_freeway!B690</f>
        <v>3320.1020509999998</v>
      </c>
      <c r="F690" s="137">
        <f>[1]flow_freeway!C690</f>
        <v>0</v>
      </c>
      <c r="G690" s="137">
        <f>[1]flow_freeway!D690</f>
        <v>3320.1020509999998</v>
      </c>
    </row>
    <row r="691" spans="4:7" x14ac:dyDescent="0.25">
      <c r="D691">
        <f>[1]flow_freeway!A691</f>
        <v>14213</v>
      </c>
      <c r="E691" s="137">
        <f>[1]flow_freeway!B691</f>
        <v>64972.454834999997</v>
      </c>
      <c r="F691" s="137">
        <f>[1]flow_freeway!C691</f>
        <v>10828.248046999999</v>
      </c>
      <c r="G691" s="137">
        <f>[1]flow_freeway!D691</f>
        <v>19877.898438</v>
      </c>
    </row>
    <row r="692" spans="4:7" x14ac:dyDescent="0.25">
      <c r="D692">
        <f>[1]flow_freeway!A692</f>
        <v>14232</v>
      </c>
      <c r="E692" s="137">
        <f>[1]flow_freeway!B692</f>
        <v>43026.740722999995</v>
      </c>
      <c r="F692" s="137">
        <f>[1]flow_freeway!C692</f>
        <v>8436.0419920000004</v>
      </c>
      <c r="G692" s="137">
        <f>[1]flow_freeway!D692</f>
        <v>11540.101562</v>
      </c>
    </row>
    <row r="693" spans="4:7" x14ac:dyDescent="0.25">
      <c r="D693">
        <f>[1]flow_freeway!A693</f>
        <v>14246</v>
      </c>
      <c r="E693" s="137">
        <f>[1]flow_freeway!B693</f>
        <v>118191.672852</v>
      </c>
      <c r="F693" s="137">
        <f>[1]flow_freeway!C693</f>
        <v>29021.605468999998</v>
      </c>
      <c r="G693" s="137">
        <f>[1]flow_freeway!D693</f>
        <v>23011.384765999999</v>
      </c>
    </row>
    <row r="694" spans="4:7" x14ac:dyDescent="0.25">
      <c r="D694">
        <f>[1]flow_freeway!A694</f>
        <v>14247</v>
      </c>
      <c r="E694" s="137">
        <f>[1]flow_freeway!B694</f>
        <v>107157.80566500001</v>
      </c>
      <c r="F694" s="137">
        <f>[1]flow_freeway!C694</f>
        <v>26802.228515999999</v>
      </c>
      <c r="G694" s="137">
        <f>[1]flow_freeway!D694</f>
        <v>20670.119140999999</v>
      </c>
    </row>
    <row r="695" spans="4:7" x14ac:dyDescent="0.25">
      <c r="D695">
        <f>[1]flow_freeway!A695</f>
        <v>14248</v>
      </c>
      <c r="E695" s="137">
        <f>[1]flow_freeway!B695</f>
        <v>119226.45703200001</v>
      </c>
      <c r="F695" s="137">
        <f>[1]flow_freeway!C695</f>
        <v>19107.929688</v>
      </c>
      <c r="G695" s="137">
        <f>[1]flow_freeway!D695</f>
        <v>34674.292969000002</v>
      </c>
    </row>
    <row r="696" spans="4:7" x14ac:dyDescent="0.25">
      <c r="D696">
        <f>[1]flow_freeway!A696</f>
        <v>14252</v>
      </c>
      <c r="E696" s="137">
        <f>[1]flow_freeway!B696</f>
        <v>110949.981933</v>
      </c>
      <c r="F696" s="137">
        <f>[1]flow_freeway!C696</f>
        <v>17428.955077999999</v>
      </c>
      <c r="G696" s="137">
        <f>[1]flow_freeway!D696</f>
        <v>32495.892577999999</v>
      </c>
    </row>
    <row r="697" spans="4:7" x14ac:dyDescent="0.25">
      <c r="D697">
        <f>[1]flow_freeway!A697</f>
        <v>14255</v>
      </c>
      <c r="E697" s="137">
        <f>[1]flow_freeway!B697</f>
        <v>97859.224608999997</v>
      </c>
      <c r="F697" s="137">
        <f>[1]flow_freeway!C697</f>
        <v>21808.476562</v>
      </c>
      <c r="G697" s="137">
        <f>[1]flow_freeway!D697</f>
        <v>19650.345702999999</v>
      </c>
    </row>
    <row r="698" spans="4:7" x14ac:dyDescent="0.25">
      <c r="D698">
        <f>[1]flow_freeway!A698</f>
        <v>14256</v>
      </c>
      <c r="E698" s="137">
        <f>[1]flow_freeway!B698</f>
        <v>102734.513184</v>
      </c>
      <c r="F698" s="137">
        <f>[1]flow_freeway!C698</f>
        <v>16014.115234000001</v>
      </c>
      <c r="G698" s="137">
        <f>[1]flow_freeway!D698</f>
        <v>29994.886718999998</v>
      </c>
    </row>
    <row r="699" spans="4:7" x14ac:dyDescent="0.25">
      <c r="D699">
        <f>[1]flow_freeway!A699</f>
        <v>14262</v>
      </c>
      <c r="E699" s="137">
        <f>[1]flow_freeway!B699</f>
        <v>107996.785644</v>
      </c>
      <c r="F699" s="137">
        <f>[1]flow_freeway!C699</f>
        <v>16974.195312</v>
      </c>
      <c r="G699" s="137">
        <f>[1]flow_freeway!D699</f>
        <v>31562.857422000001</v>
      </c>
    </row>
    <row r="700" spans="4:7" x14ac:dyDescent="0.25">
      <c r="D700">
        <f>[1]flow_freeway!A700</f>
        <v>14263</v>
      </c>
      <c r="E700" s="137">
        <f>[1]flow_freeway!B700</f>
        <v>69459.320311999996</v>
      </c>
      <c r="F700" s="137">
        <f>[1]flow_freeway!C700</f>
        <v>19596.189452999999</v>
      </c>
      <c r="G700" s="137">
        <f>[1]flow_freeway!D700</f>
        <v>13394.523438</v>
      </c>
    </row>
    <row r="701" spans="4:7" x14ac:dyDescent="0.25">
      <c r="D701">
        <f>[1]flow_freeway!A701</f>
        <v>14265</v>
      </c>
      <c r="E701" s="137">
        <f>[1]flow_freeway!B701</f>
        <v>47745.805907999995</v>
      </c>
      <c r="F701" s="137">
        <f>[1]flow_freeway!C701</f>
        <v>7284.3852539999998</v>
      </c>
      <c r="G701" s="137">
        <f>[1]flow_freeway!D701</f>
        <v>15294.254883</v>
      </c>
    </row>
    <row r="702" spans="4:7" x14ac:dyDescent="0.25">
      <c r="D702">
        <f>[1]flow_freeway!A702</f>
        <v>14269</v>
      </c>
      <c r="E702" s="137">
        <f>[1]flow_freeway!B702</f>
        <v>98829.285155999998</v>
      </c>
      <c r="F702" s="137">
        <f>[1]flow_freeway!C702</f>
        <v>20569.888672000001</v>
      </c>
      <c r="G702" s="137">
        <f>[1]flow_freeway!D702</f>
        <v>24211.787109000001</v>
      </c>
    </row>
    <row r="703" spans="4:7" x14ac:dyDescent="0.25">
      <c r="D703">
        <f>[1]flow_freeway!A703</f>
        <v>14271</v>
      </c>
      <c r="E703" s="137">
        <f>[1]flow_freeway!B703</f>
        <v>96312.503417999993</v>
      </c>
      <c r="F703" s="137">
        <f>[1]flow_freeway!C703</f>
        <v>20482.992188</v>
      </c>
      <c r="G703" s="137">
        <f>[1]flow_freeway!D703</f>
        <v>23914.396484000001</v>
      </c>
    </row>
    <row r="704" spans="4:7" x14ac:dyDescent="0.25">
      <c r="D704">
        <f>[1]flow_freeway!A704</f>
        <v>14286</v>
      </c>
      <c r="E704" s="137">
        <f>[1]flow_freeway!B704</f>
        <v>64043.228514999995</v>
      </c>
      <c r="F704" s="137">
        <f>[1]flow_freeway!C704</f>
        <v>16775.169922000001</v>
      </c>
      <c r="G704" s="137">
        <f>[1]flow_freeway!D704</f>
        <v>14800.663086</v>
      </c>
    </row>
    <row r="705" spans="4:7" x14ac:dyDescent="0.25">
      <c r="D705">
        <f>[1]flow_freeway!A705</f>
        <v>14288</v>
      </c>
      <c r="E705" s="137">
        <f>[1]flow_freeway!B705</f>
        <v>90446.629394000003</v>
      </c>
      <c r="F705" s="137">
        <f>[1]flow_freeway!C705</f>
        <v>15589.226562</v>
      </c>
      <c r="G705" s="137">
        <f>[1]flow_freeway!D705</f>
        <v>27401.541015999999</v>
      </c>
    </row>
    <row r="706" spans="4:7" x14ac:dyDescent="0.25">
      <c r="D706">
        <f>[1]flow_freeway!A706</f>
        <v>14289</v>
      </c>
      <c r="E706" s="137">
        <f>[1]flow_freeway!B706</f>
        <v>87837.930175999994</v>
      </c>
      <c r="F706" s="137">
        <f>[1]flow_freeway!C706</f>
        <v>23114.003906000002</v>
      </c>
      <c r="G706" s="137">
        <f>[1]flow_freeway!D706</f>
        <v>19516.800781000002</v>
      </c>
    </row>
    <row r="707" spans="4:7" x14ac:dyDescent="0.25">
      <c r="D707">
        <f>[1]flow_freeway!A707</f>
        <v>14290</v>
      </c>
      <c r="E707" s="137">
        <f>[1]flow_freeway!B707</f>
        <v>68282.215576000002</v>
      </c>
      <c r="F707" s="137">
        <f>[1]flow_freeway!C707</f>
        <v>12425.148438</v>
      </c>
      <c r="G707" s="137">
        <f>[1]flow_freeway!D707</f>
        <v>19797.003906000002</v>
      </c>
    </row>
    <row r="708" spans="4:7" x14ac:dyDescent="0.25">
      <c r="D708">
        <f>[1]flow_freeway!A708</f>
        <v>14291</v>
      </c>
      <c r="E708" s="137">
        <f>[1]flow_freeway!B708</f>
        <v>80208.755126000004</v>
      </c>
      <c r="F708" s="137">
        <f>[1]flow_freeway!C708</f>
        <v>16815.263672000001</v>
      </c>
      <c r="G708" s="137">
        <f>[1]flow_freeway!D708</f>
        <v>21237.671875</v>
      </c>
    </row>
    <row r="709" spans="4:7" x14ac:dyDescent="0.25">
      <c r="D709">
        <f>[1]flow_freeway!A709</f>
        <v>14383</v>
      </c>
      <c r="E709" s="137">
        <f>[1]flow_freeway!B709</f>
        <v>141657.884765</v>
      </c>
      <c r="F709" s="137">
        <f>[1]flow_freeway!C709</f>
        <v>34775.171875</v>
      </c>
      <c r="G709" s="137">
        <f>[1]flow_freeway!D709</f>
        <v>26727.076172000001</v>
      </c>
    </row>
    <row r="710" spans="4:7" x14ac:dyDescent="0.25">
      <c r="D710">
        <f>[1]flow_freeway!A710</f>
        <v>14384</v>
      </c>
      <c r="E710" s="137">
        <f>[1]flow_freeway!B710</f>
        <v>144656.63037</v>
      </c>
      <c r="F710" s="137">
        <f>[1]flow_freeway!C710</f>
        <v>22520.003906000002</v>
      </c>
      <c r="G710" s="137">
        <f>[1]flow_freeway!D710</f>
        <v>43489.957030999998</v>
      </c>
    </row>
    <row r="711" spans="4:7" x14ac:dyDescent="0.25">
      <c r="D711">
        <f>[1]flow_freeway!A711</f>
        <v>14386</v>
      </c>
      <c r="E711" s="137">
        <f>[1]flow_freeway!B711</f>
        <v>130197.726563</v>
      </c>
      <c r="F711" s="137">
        <f>[1]flow_freeway!C711</f>
        <v>19745.699218999998</v>
      </c>
      <c r="G711" s="137">
        <f>[1]flow_freeway!D711</f>
        <v>39695.21875</v>
      </c>
    </row>
    <row r="712" spans="4:7" x14ac:dyDescent="0.25">
      <c r="D712">
        <f>[1]flow_freeway!A712</f>
        <v>14391</v>
      </c>
      <c r="E712" s="137">
        <f>[1]flow_freeway!B712</f>
        <v>133660.035156</v>
      </c>
      <c r="F712" s="137">
        <f>[1]flow_freeway!C712</f>
        <v>34101.433594000002</v>
      </c>
      <c r="G712" s="137">
        <f>[1]flow_freeway!D712</f>
        <v>26668.796875</v>
      </c>
    </row>
    <row r="713" spans="4:7" x14ac:dyDescent="0.25">
      <c r="D713">
        <f>[1]flow_freeway!A713</f>
        <v>14392</v>
      </c>
      <c r="E713" s="137">
        <f>[1]flow_freeway!B713</f>
        <v>140532.62646500001</v>
      </c>
      <c r="F713" s="137">
        <f>[1]flow_freeway!C713</f>
        <v>22043.535156000002</v>
      </c>
      <c r="G713" s="137">
        <f>[1]flow_freeway!D713</f>
        <v>42583.085937999997</v>
      </c>
    </row>
    <row r="714" spans="4:7" x14ac:dyDescent="0.25">
      <c r="D714">
        <f>[1]flow_freeway!A714</f>
        <v>14397</v>
      </c>
      <c r="E714" s="137">
        <f>[1]flow_freeway!B714</f>
        <v>140068.11669900001</v>
      </c>
      <c r="F714" s="137">
        <f>[1]flow_freeway!C714</f>
        <v>22464.345702999999</v>
      </c>
      <c r="G714" s="137">
        <f>[1]flow_freeway!D714</f>
        <v>42583.855469000002</v>
      </c>
    </row>
    <row r="715" spans="4:7" x14ac:dyDescent="0.25">
      <c r="D715">
        <f>[1]flow_freeway!A715</f>
        <v>14399</v>
      </c>
      <c r="E715" s="137">
        <f>[1]flow_freeway!B715</f>
        <v>146023.98681599999</v>
      </c>
      <c r="F715" s="137">
        <f>[1]flow_freeway!C715</f>
        <v>24518.380859000001</v>
      </c>
      <c r="G715" s="137">
        <f>[1]flow_freeway!D715</f>
        <v>43987.738280999998</v>
      </c>
    </row>
    <row r="716" spans="4:7" x14ac:dyDescent="0.25">
      <c r="D716">
        <f>[1]flow_freeway!A716</f>
        <v>14400</v>
      </c>
      <c r="E716" s="137">
        <f>[1]flow_freeway!B716</f>
        <v>139475.22753899998</v>
      </c>
      <c r="F716" s="137">
        <f>[1]flow_freeway!C716</f>
        <v>34746.800780999998</v>
      </c>
      <c r="G716" s="137">
        <f>[1]flow_freeway!D716</f>
        <v>27969.427734000001</v>
      </c>
    </row>
    <row r="717" spans="4:7" x14ac:dyDescent="0.25">
      <c r="D717">
        <f>[1]flow_freeway!A717</f>
        <v>14402</v>
      </c>
      <c r="E717" s="137">
        <f>[1]flow_freeway!B717</f>
        <v>133544.388183</v>
      </c>
      <c r="F717" s="137">
        <f>[1]flow_freeway!C717</f>
        <v>21660.480468999998</v>
      </c>
      <c r="G717" s="137">
        <f>[1]flow_freeway!D717</f>
        <v>40934.28125</v>
      </c>
    </row>
    <row r="718" spans="4:7" x14ac:dyDescent="0.25">
      <c r="D718">
        <f>[1]flow_freeway!A718</f>
        <v>14403</v>
      </c>
      <c r="E718" s="137">
        <f>[1]flow_freeway!B718</f>
        <v>150773.695312</v>
      </c>
      <c r="F718" s="137">
        <f>[1]flow_freeway!C718</f>
        <v>36196.941405999998</v>
      </c>
      <c r="G718" s="137">
        <f>[1]flow_freeway!D718</f>
        <v>29777.359375</v>
      </c>
    </row>
    <row r="719" spans="4:7" x14ac:dyDescent="0.25">
      <c r="D719">
        <f>[1]flow_freeway!A719</f>
        <v>14407</v>
      </c>
      <c r="E719" s="137">
        <f>[1]flow_freeway!B719</f>
        <v>140503.24902400002</v>
      </c>
      <c r="F719" s="137">
        <f>[1]flow_freeway!C719</f>
        <v>33749.796875</v>
      </c>
      <c r="G719" s="137">
        <f>[1]flow_freeway!D719</f>
        <v>28587.242188</v>
      </c>
    </row>
    <row r="720" spans="4:7" x14ac:dyDescent="0.25">
      <c r="D720">
        <f>[1]flow_freeway!A720</f>
        <v>14409</v>
      </c>
      <c r="E720" s="137">
        <f>[1]flow_freeway!B720</f>
        <v>135622.93017499999</v>
      </c>
      <c r="F720" s="137">
        <f>[1]flow_freeway!C720</f>
        <v>23632.974609000001</v>
      </c>
      <c r="G720" s="137">
        <f>[1]flow_freeway!D720</f>
        <v>39932.179687999997</v>
      </c>
    </row>
    <row r="721" spans="4:7" x14ac:dyDescent="0.25">
      <c r="D721">
        <f>[1]flow_freeway!A721</f>
        <v>14410</v>
      </c>
      <c r="E721" s="137">
        <f>[1]flow_freeway!B721</f>
        <v>159578.21386600001</v>
      </c>
      <c r="F721" s="137">
        <f>[1]flow_freeway!C721</f>
        <v>28927.302734000001</v>
      </c>
      <c r="G721" s="137">
        <f>[1]flow_freeway!D721</f>
        <v>44996.722655999998</v>
      </c>
    </row>
    <row r="722" spans="4:7" x14ac:dyDescent="0.25">
      <c r="D722">
        <f>[1]flow_freeway!A722</f>
        <v>14411</v>
      </c>
      <c r="E722" s="137">
        <f>[1]flow_freeway!B722</f>
        <v>151004.91796799999</v>
      </c>
      <c r="F722" s="137">
        <f>[1]flow_freeway!C722</f>
        <v>35628.707030999998</v>
      </c>
      <c r="G722" s="137">
        <f>[1]flow_freeway!D722</f>
        <v>30836.078125</v>
      </c>
    </row>
    <row r="723" spans="4:7" x14ac:dyDescent="0.25">
      <c r="D723">
        <f>[1]flow_freeway!A723</f>
        <v>14412</v>
      </c>
      <c r="E723" s="137">
        <f>[1]flow_freeway!B723</f>
        <v>161836.73339800001</v>
      </c>
      <c r="F723" s="137">
        <f>[1]flow_freeway!C723</f>
        <v>36516.914062000003</v>
      </c>
      <c r="G723" s="137">
        <f>[1]flow_freeway!D723</f>
        <v>32198.744140999999</v>
      </c>
    </row>
    <row r="724" spans="4:7" x14ac:dyDescent="0.25">
      <c r="D724">
        <f>[1]flow_freeway!A724</f>
        <v>14413</v>
      </c>
      <c r="E724" s="137">
        <f>[1]flow_freeway!B724</f>
        <v>144925.18603500002</v>
      </c>
      <c r="F724" s="137">
        <f>[1]flow_freeway!C724</f>
        <v>24419.003906000002</v>
      </c>
      <c r="G724" s="137">
        <f>[1]flow_freeway!D724</f>
        <v>43621.199219000002</v>
      </c>
    </row>
    <row r="725" spans="4:7" x14ac:dyDescent="0.25">
      <c r="D725">
        <f>[1]flow_freeway!A725</f>
        <v>14418</v>
      </c>
      <c r="E725" s="137">
        <f>[1]flow_freeway!B725</f>
        <v>163049.44433599999</v>
      </c>
      <c r="F725" s="137">
        <f>[1]flow_freeway!C725</f>
        <v>36568.359375</v>
      </c>
      <c r="G725" s="137">
        <f>[1]flow_freeway!D725</f>
        <v>33734.023437999997</v>
      </c>
    </row>
    <row r="726" spans="4:7" x14ac:dyDescent="0.25">
      <c r="D726">
        <f>[1]flow_freeway!A726</f>
        <v>14419</v>
      </c>
      <c r="E726" s="137">
        <f>[1]flow_freeway!B726</f>
        <v>164622.349609</v>
      </c>
      <c r="F726" s="137">
        <f>[1]flow_freeway!C726</f>
        <v>36832.417969000002</v>
      </c>
      <c r="G726" s="137">
        <f>[1]flow_freeway!D726</f>
        <v>34108.730469000002</v>
      </c>
    </row>
    <row r="727" spans="4:7" x14ac:dyDescent="0.25">
      <c r="D727">
        <f>[1]flow_freeway!A727</f>
        <v>14429</v>
      </c>
      <c r="E727" s="137">
        <f>[1]flow_freeway!B727</f>
        <v>11087.354249</v>
      </c>
      <c r="F727" s="137">
        <f>[1]flow_freeway!C727</f>
        <v>4281.0913090000004</v>
      </c>
      <c r="G727" s="137">
        <f>[1]flow_freeway!D727</f>
        <v>2194.9157709999999</v>
      </c>
    </row>
    <row r="728" spans="4:7" x14ac:dyDescent="0.25">
      <c r="D728">
        <f>[1]flow_freeway!A728</f>
        <v>14515</v>
      </c>
      <c r="E728" s="137">
        <f>[1]flow_freeway!B728</f>
        <v>120533.007813</v>
      </c>
      <c r="F728" s="137">
        <f>[1]flow_freeway!C728</f>
        <v>20022.341797000001</v>
      </c>
      <c r="G728" s="137">
        <f>[1]flow_freeway!D728</f>
        <v>35585.417969000002</v>
      </c>
    </row>
    <row r="729" spans="4:7" x14ac:dyDescent="0.25">
      <c r="D729">
        <f>[1]flow_freeway!A729</f>
        <v>14635</v>
      </c>
      <c r="E729" s="137">
        <f>[1]flow_freeway!B729</f>
        <v>105989.027344</v>
      </c>
      <c r="F729" s="137">
        <f>[1]flow_freeway!C729</f>
        <v>26482.472656000002</v>
      </c>
      <c r="G729" s="137">
        <f>[1]flow_freeway!D729</f>
        <v>20131.929688</v>
      </c>
    </row>
    <row r="730" spans="4:7" x14ac:dyDescent="0.25">
      <c r="D730">
        <f>[1]flow_freeway!A730</f>
        <v>14637</v>
      </c>
      <c r="E730" s="137">
        <f>[1]flow_freeway!B730</f>
        <v>115365.708008</v>
      </c>
      <c r="F730" s="137">
        <f>[1]flow_freeway!C730</f>
        <v>27627.736327999999</v>
      </c>
      <c r="G730" s="137">
        <f>[1]flow_freeway!D730</f>
        <v>21245.775390999999</v>
      </c>
    </row>
    <row r="731" spans="4:7" x14ac:dyDescent="0.25">
      <c r="D731">
        <f>[1]flow_freeway!A731</f>
        <v>14639</v>
      </c>
      <c r="E731" s="137">
        <f>[1]flow_freeway!B731</f>
        <v>113329.181641</v>
      </c>
      <c r="F731" s="137">
        <f>[1]flow_freeway!C731</f>
        <v>17341.175781000002</v>
      </c>
      <c r="G731" s="137">
        <f>[1]flow_freeway!D731</f>
        <v>33945.460937999997</v>
      </c>
    </row>
    <row r="732" spans="4:7" x14ac:dyDescent="0.25">
      <c r="D732">
        <f>[1]flow_freeway!A732</f>
        <v>14644</v>
      </c>
      <c r="E732" s="137">
        <f>[1]flow_freeway!B732</f>
        <v>125285.97265499999</v>
      </c>
      <c r="F732" s="137">
        <f>[1]flow_freeway!C732</f>
        <v>30707.158202999999</v>
      </c>
      <c r="G732" s="137">
        <f>[1]flow_freeway!D732</f>
        <v>23679.675781000002</v>
      </c>
    </row>
    <row r="733" spans="4:7" x14ac:dyDescent="0.25">
      <c r="D733">
        <f>[1]flow_freeway!A733</f>
        <v>14645</v>
      </c>
      <c r="E733" s="137">
        <f>[1]flow_freeway!B733</f>
        <v>105989.027344</v>
      </c>
      <c r="F733" s="137">
        <f>[1]flow_freeway!C733</f>
        <v>26482.472656000002</v>
      </c>
      <c r="G733" s="137">
        <f>[1]flow_freeway!D733</f>
        <v>20131.929688</v>
      </c>
    </row>
    <row r="734" spans="4:7" x14ac:dyDescent="0.25">
      <c r="D734">
        <f>[1]flow_freeway!A734</f>
        <v>14647</v>
      </c>
      <c r="E734" s="137">
        <f>[1]flow_freeway!B734</f>
        <v>117999.827149</v>
      </c>
      <c r="F734" s="137">
        <f>[1]flow_freeway!C734</f>
        <v>19193.759765999999</v>
      </c>
      <c r="G734" s="137">
        <f>[1]flow_freeway!D734</f>
        <v>35983.09375</v>
      </c>
    </row>
    <row r="735" spans="4:7" x14ac:dyDescent="0.25">
      <c r="D735">
        <f>[1]flow_freeway!A735</f>
        <v>14650</v>
      </c>
      <c r="E735" s="137">
        <f>[1]flow_freeway!B735</f>
        <v>103154.953125</v>
      </c>
      <c r="F735" s="137">
        <f>[1]flow_freeway!C735</f>
        <v>15992.952148</v>
      </c>
      <c r="G735" s="137">
        <f>[1]flow_freeway!D735</f>
        <v>30967.765625</v>
      </c>
    </row>
    <row r="736" spans="4:7" x14ac:dyDescent="0.25">
      <c r="D736">
        <f>[1]flow_freeway!A736</f>
        <v>14652</v>
      </c>
      <c r="E736" s="137">
        <f>[1]flow_freeway!B736</f>
        <v>108062.24121000001</v>
      </c>
      <c r="F736" s="137">
        <f>[1]flow_freeway!C736</f>
        <v>18320.689452999999</v>
      </c>
      <c r="G736" s="137">
        <f>[1]flow_freeway!D736</f>
        <v>34676.007812000003</v>
      </c>
    </row>
    <row r="737" spans="4:7" x14ac:dyDescent="0.25">
      <c r="D737">
        <f>[1]flow_freeway!A737</f>
        <v>14658</v>
      </c>
      <c r="E737" s="137">
        <f>[1]flow_freeway!B737</f>
        <v>125375.153319</v>
      </c>
      <c r="F737" s="137">
        <f>[1]flow_freeway!C737</f>
        <v>30219.203125</v>
      </c>
      <c r="G737" s="137">
        <f>[1]flow_freeway!D737</f>
        <v>23392.332031000002</v>
      </c>
    </row>
    <row r="738" spans="4:7" x14ac:dyDescent="0.25">
      <c r="D738">
        <f>[1]flow_freeway!A738</f>
        <v>14660</v>
      </c>
      <c r="E738" s="137">
        <f>[1]flow_freeway!B738</f>
        <v>112659.34668</v>
      </c>
      <c r="F738" s="137">
        <f>[1]flow_freeway!C738</f>
        <v>27307.8125</v>
      </c>
      <c r="G738" s="137">
        <f>[1]flow_freeway!D738</f>
        <v>20698.996093999998</v>
      </c>
    </row>
    <row r="739" spans="4:7" x14ac:dyDescent="0.25">
      <c r="D739">
        <f>[1]flow_freeway!A739</f>
        <v>14666</v>
      </c>
      <c r="E739" s="137">
        <f>[1]flow_freeway!B739</f>
        <v>137543.81347599998</v>
      </c>
      <c r="F739" s="137">
        <f>[1]flow_freeway!C739</f>
        <v>33047.667969000002</v>
      </c>
      <c r="G739" s="137">
        <f>[1]flow_freeway!D739</f>
        <v>25753.644531000002</v>
      </c>
    </row>
    <row r="740" spans="4:7" x14ac:dyDescent="0.25">
      <c r="D740">
        <f>[1]flow_freeway!A740</f>
        <v>14682</v>
      </c>
      <c r="E740" s="137">
        <f>[1]flow_freeway!B740</f>
        <v>157958.20410199999</v>
      </c>
      <c r="F740" s="137">
        <f>[1]flow_freeway!C740</f>
        <v>28733.421875</v>
      </c>
      <c r="G740" s="137">
        <f>[1]flow_freeway!D740</f>
        <v>44456.273437999997</v>
      </c>
    </row>
    <row r="741" spans="4:7" x14ac:dyDescent="0.25">
      <c r="D741">
        <f>[1]flow_freeway!A741</f>
        <v>14715</v>
      </c>
      <c r="E741" s="137">
        <f>[1]flow_freeway!B741</f>
        <v>65675.240967000005</v>
      </c>
      <c r="F741" s="137">
        <f>[1]flow_freeway!C741</f>
        <v>12710.152344</v>
      </c>
      <c r="G741" s="137">
        <f>[1]flow_freeway!D741</f>
        <v>16780.613281000002</v>
      </c>
    </row>
    <row r="742" spans="4:7" x14ac:dyDescent="0.25">
      <c r="D742">
        <f>[1]flow_freeway!A742</f>
        <v>14782</v>
      </c>
      <c r="E742" s="137">
        <f>[1]flow_freeway!B742</f>
        <v>67071.010741999999</v>
      </c>
      <c r="F742" s="137">
        <f>[1]flow_freeway!C742</f>
        <v>16315.949219</v>
      </c>
      <c r="G742" s="137">
        <f>[1]flow_freeway!D742</f>
        <v>12578.014648</v>
      </c>
    </row>
    <row r="743" spans="4:7" x14ac:dyDescent="0.25">
      <c r="D743">
        <f>[1]flow_freeway!A743</f>
        <v>14949</v>
      </c>
      <c r="E743" s="137">
        <f>[1]flow_freeway!B743</f>
        <v>71601.594970999999</v>
      </c>
      <c r="F743" s="137">
        <f>[1]flow_freeway!C743</f>
        <v>12213.869140999999</v>
      </c>
      <c r="G743" s="137">
        <f>[1]flow_freeway!D743</f>
        <v>20818.507812</v>
      </c>
    </row>
    <row r="744" spans="4:7" x14ac:dyDescent="0.25">
      <c r="D744">
        <f>[1]flow_freeway!A744</f>
        <v>14953</v>
      </c>
      <c r="E744" s="137">
        <f>[1]flow_freeway!B744</f>
        <v>125526.35937600001</v>
      </c>
      <c r="F744" s="137">
        <f>[1]flow_freeway!C744</f>
        <v>20338.275390999999</v>
      </c>
      <c r="G744" s="137">
        <f>[1]flow_freeway!D744</f>
        <v>36448.117187999997</v>
      </c>
    </row>
    <row r="745" spans="4:7" x14ac:dyDescent="0.25">
      <c r="D745">
        <f>[1]flow_freeway!A745</f>
        <v>15010</v>
      </c>
      <c r="E745" s="137">
        <f>[1]flow_freeway!B745</f>
        <v>85956.281738999998</v>
      </c>
      <c r="F745" s="137">
        <f>[1]flow_freeway!C745</f>
        <v>20499.169922000001</v>
      </c>
      <c r="G745" s="137">
        <f>[1]flow_freeway!D745</f>
        <v>21137.429688</v>
      </c>
    </row>
    <row r="746" spans="4:7" x14ac:dyDescent="0.25">
      <c r="D746">
        <f>[1]flow_freeway!A746</f>
        <v>15020</v>
      </c>
      <c r="E746" s="137">
        <f>[1]flow_freeway!B746</f>
        <v>74799.414551000009</v>
      </c>
      <c r="F746" s="137">
        <f>[1]flow_freeway!C746</f>
        <v>17783.273438</v>
      </c>
      <c r="G746" s="137">
        <f>[1]flow_freeway!D746</f>
        <v>18539.802734000001</v>
      </c>
    </row>
    <row r="747" spans="4:7" x14ac:dyDescent="0.25">
      <c r="D747">
        <f>[1]flow_freeway!A747</f>
        <v>15035</v>
      </c>
      <c r="E747" s="137">
        <f>[1]flow_freeway!B747</f>
        <v>76633.459229</v>
      </c>
      <c r="F747" s="137">
        <f>[1]flow_freeway!C747</f>
        <v>17709.931640999999</v>
      </c>
      <c r="G747" s="137">
        <f>[1]flow_freeway!D747</f>
        <v>23333.398438</v>
      </c>
    </row>
    <row r="748" spans="4:7" x14ac:dyDescent="0.25">
      <c r="D748">
        <f>[1]flow_freeway!A748</f>
        <v>15036</v>
      </c>
      <c r="E748" s="137">
        <f>[1]flow_freeway!B748</f>
        <v>76085.940185999993</v>
      </c>
      <c r="F748" s="137">
        <f>[1]flow_freeway!C748</f>
        <v>18008.921875</v>
      </c>
      <c r="G748" s="137">
        <f>[1]flow_freeway!D748</f>
        <v>19409.296875</v>
      </c>
    </row>
    <row r="749" spans="4:7" x14ac:dyDescent="0.25">
      <c r="D749">
        <f>[1]flow_freeway!A749</f>
        <v>15037</v>
      </c>
      <c r="E749" s="137">
        <f>[1]flow_freeway!B749</f>
        <v>68101.709472999995</v>
      </c>
      <c r="F749" s="137">
        <f>[1]flow_freeway!C749</f>
        <v>16132.878906</v>
      </c>
      <c r="G749" s="137">
        <f>[1]flow_freeway!D749</f>
        <v>17342.371093999998</v>
      </c>
    </row>
    <row r="750" spans="4:7" x14ac:dyDescent="0.25">
      <c r="D750">
        <f>[1]flow_freeway!A750</f>
        <v>15038</v>
      </c>
      <c r="E750" s="137">
        <f>[1]flow_freeway!B750</f>
        <v>59456.793701000002</v>
      </c>
      <c r="F750" s="137">
        <f>[1]flow_freeway!C750</f>
        <v>13885.3125</v>
      </c>
      <c r="G750" s="137">
        <f>[1]flow_freeway!D750</f>
        <v>15634.189453000001</v>
      </c>
    </row>
    <row r="751" spans="4:7" x14ac:dyDescent="0.25">
      <c r="D751">
        <f>[1]flow_freeway!A751</f>
        <v>15039</v>
      </c>
      <c r="E751" s="137">
        <f>[1]flow_freeway!B751</f>
        <v>70889.292480000004</v>
      </c>
      <c r="F751" s="137">
        <f>[1]flow_freeway!C751</f>
        <v>16315.221680000001</v>
      </c>
      <c r="G751" s="137">
        <f>[1]flow_freeway!D751</f>
        <v>21410.935547000001</v>
      </c>
    </row>
    <row r="752" spans="4:7" x14ac:dyDescent="0.25">
      <c r="D752">
        <f>[1]flow_freeway!A752</f>
        <v>15041</v>
      </c>
      <c r="E752" s="137">
        <f>[1]flow_freeway!B752</f>
        <v>64598.917967999994</v>
      </c>
      <c r="F752" s="137">
        <f>[1]flow_freeway!C752</f>
        <v>15262.159180000001</v>
      </c>
      <c r="G752" s="137">
        <f>[1]flow_freeway!D752</f>
        <v>18916.675781000002</v>
      </c>
    </row>
    <row r="753" spans="4:7" x14ac:dyDescent="0.25">
      <c r="D753">
        <f>[1]flow_freeway!A753</f>
        <v>15064</v>
      </c>
      <c r="E753" s="137">
        <f>[1]flow_freeway!B753</f>
        <v>103811.31933499999</v>
      </c>
      <c r="F753" s="137">
        <f>[1]flow_freeway!C753</f>
        <v>23501.302734000001</v>
      </c>
      <c r="G753" s="137">
        <f>[1]flow_freeway!D753</f>
        <v>22865.240234000001</v>
      </c>
    </row>
    <row r="754" spans="4:7" x14ac:dyDescent="0.25">
      <c r="D754">
        <f>[1]flow_freeway!A754</f>
        <v>15065</v>
      </c>
      <c r="E754" s="137">
        <f>[1]flow_freeway!B754</f>
        <v>99870.664550000001</v>
      </c>
      <c r="F754" s="137">
        <f>[1]flow_freeway!C754</f>
        <v>18966.238281000002</v>
      </c>
      <c r="G754" s="137">
        <f>[1]flow_freeway!D754</f>
        <v>26757.148438</v>
      </c>
    </row>
    <row r="755" spans="4:7" x14ac:dyDescent="0.25">
      <c r="D755">
        <f>[1]flow_freeway!A755</f>
        <v>15081</v>
      </c>
      <c r="E755" s="137">
        <f>[1]flow_freeway!B755</f>
        <v>116859.00683500001</v>
      </c>
      <c r="F755" s="137">
        <f>[1]flow_freeway!C755</f>
        <v>26708.664062</v>
      </c>
      <c r="G755" s="137">
        <f>[1]flow_freeway!D755</f>
        <v>25737.396484000001</v>
      </c>
    </row>
    <row r="756" spans="4:7" x14ac:dyDescent="0.25">
      <c r="D756">
        <f>[1]flow_freeway!A756</f>
        <v>15082</v>
      </c>
      <c r="E756" s="137">
        <f>[1]flow_freeway!B756</f>
        <v>120496.99316299999</v>
      </c>
      <c r="F756" s="137">
        <f>[1]flow_freeway!C756</f>
        <v>27437.066406000002</v>
      </c>
      <c r="G756" s="137">
        <f>[1]flow_freeway!D756</f>
        <v>26741.289062</v>
      </c>
    </row>
    <row r="757" spans="4:7" x14ac:dyDescent="0.25">
      <c r="D757">
        <f>[1]flow_freeway!A757</f>
        <v>15083</v>
      </c>
      <c r="E757" s="137">
        <f>[1]flow_freeway!B757</f>
        <v>118720.908692</v>
      </c>
      <c r="F757" s="137">
        <f>[1]flow_freeway!C757</f>
        <v>21392.876952999999</v>
      </c>
      <c r="G757" s="137">
        <f>[1]flow_freeway!D757</f>
        <v>31391.683593999998</v>
      </c>
    </row>
    <row r="758" spans="4:7" x14ac:dyDescent="0.25">
      <c r="D758">
        <f>[1]flow_freeway!A758</f>
        <v>15157</v>
      </c>
      <c r="E758" s="137">
        <f>[1]flow_freeway!B758</f>
        <v>49271.727293999997</v>
      </c>
      <c r="F758" s="137">
        <f>[1]flow_freeway!C758</f>
        <v>11248.993164</v>
      </c>
      <c r="G758" s="137">
        <f>[1]flow_freeway!D758</f>
        <v>12089.399414</v>
      </c>
    </row>
    <row r="759" spans="4:7" x14ac:dyDescent="0.25">
      <c r="D759">
        <f>[1]flow_freeway!A759</f>
        <v>15187</v>
      </c>
      <c r="E759" s="137">
        <f>[1]flow_freeway!B759</f>
        <v>100920.398436</v>
      </c>
      <c r="F759" s="137">
        <f>[1]flow_freeway!C759</f>
        <v>21740.162109000001</v>
      </c>
      <c r="G759" s="137">
        <f>[1]flow_freeway!D759</f>
        <v>25285.912109000001</v>
      </c>
    </row>
    <row r="760" spans="4:7" x14ac:dyDescent="0.25">
      <c r="D760">
        <f>[1]flow_freeway!A760</f>
        <v>15188</v>
      </c>
      <c r="E760" s="137">
        <f>[1]flow_freeway!B760</f>
        <v>115209.22070199999</v>
      </c>
      <c r="F760" s="137">
        <f>[1]flow_freeway!C760</f>
        <v>24331.222656000002</v>
      </c>
      <c r="G760" s="137">
        <f>[1]flow_freeway!D760</f>
        <v>31245.378906000002</v>
      </c>
    </row>
    <row r="761" spans="4:7" x14ac:dyDescent="0.25">
      <c r="D761">
        <f>[1]flow_freeway!A761</f>
        <v>15191</v>
      </c>
      <c r="E761" s="137">
        <f>[1]flow_freeway!B761</f>
        <v>111298.34228499999</v>
      </c>
      <c r="F761" s="137">
        <f>[1]flow_freeway!C761</f>
        <v>23175.066406000002</v>
      </c>
      <c r="G761" s="137">
        <f>[1]flow_freeway!D761</f>
        <v>28499.787109000001</v>
      </c>
    </row>
    <row r="762" spans="4:7" x14ac:dyDescent="0.25">
      <c r="D762">
        <f>[1]flow_freeway!A762</f>
        <v>15196</v>
      </c>
      <c r="E762" s="137">
        <f>[1]flow_freeway!B762</f>
        <v>96895.338379000008</v>
      </c>
      <c r="F762" s="137">
        <f>[1]flow_freeway!C762</f>
        <v>21199.449218999998</v>
      </c>
      <c r="G762" s="137">
        <f>[1]flow_freeway!D762</f>
        <v>24547.953125</v>
      </c>
    </row>
    <row r="763" spans="4:7" x14ac:dyDescent="0.25">
      <c r="D763">
        <f>[1]flow_freeway!A763</f>
        <v>15206</v>
      </c>
      <c r="E763" s="137">
        <f>[1]flow_freeway!B763</f>
        <v>65203.155273999997</v>
      </c>
      <c r="F763" s="137">
        <f>[1]flow_freeway!C763</f>
        <v>9407.7587889999995</v>
      </c>
      <c r="G763" s="137">
        <f>[1]flow_freeway!D763</f>
        <v>21461.546875</v>
      </c>
    </row>
    <row r="764" spans="4:7" x14ac:dyDescent="0.25">
      <c r="D764">
        <f>[1]flow_freeway!A764</f>
        <v>15207</v>
      </c>
      <c r="E764" s="137">
        <f>[1]flow_freeway!B764</f>
        <v>64373.479003999993</v>
      </c>
      <c r="F764" s="137">
        <f>[1]flow_freeway!C764</f>
        <v>18154.228515999999</v>
      </c>
      <c r="G764" s="137">
        <f>[1]flow_freeway!D764</f>
        <v>12489.604492</v>
      </c>
    </row>
    <row r="765" spans="4:7" x14ac:dyDescent="0.25">
      <c r="D765">
        <f>[1]flow_freeway!A765</f>
        <v>15208</v>
      </c>
      <c r="E765" s="137">
        <f>[1]flow_freeway!B765</f>
        <v>79513.440430000002</v>
      </c>
      <c r="F765" s="137">
        <f>[1]flow_freeway!C765</f>
        <v>21980.800781000002</v>
      </c>
      <c r="G765" s="137">
        <f>[1]flow_freeway!D765</f>
        <v>15954.714844</v>
      </c>
    </row>
    <row r="766" spans="4:7" x14ac:dyDescent="0.25">
      <c r="D766">
        <f>[1]flow_freeway!A766</f>
        <v>15209</v>
      </c>
      <c r="E766" s="137">
        <f>[1]flow_freeway!B766</f>
        <v>83109.330323000002</v>
      </c>
      <c r="F766" s="137">
        <f>[1]flow_freeway!C766</f>
        <v>12489.699219</v>
      </c>
      <c r="G766" s="137">
        <f>[1]flow_freeway!D766</f>
        <v>26945.484375</v>
      </c>
    </row>
    <row r="767" spans="4:7" x14ac:dyDescent="0.25">
      <c r="D767">
        <f>[1]flow_freeway!A767</f>
        <v>15211</v>
      </c>
      <c r="E767" s="137">
        <f>[1]flow_freeway!B767</f>
        <v>72947.916748000003</v>
      </c>
      <c r="F767" s="137">
        <f>[1]flow_freeway!C767</f>
        <v>13932.015625</v>
      </c>
      <c r="G767" s="137">
        <f>[1]flow_freeway!D767</f>
        <v>21569.205077999999</v>
      </c>
    </row>
    <row r="768" spans="4:7" x14ac:dyDescent="0.25">
      <c r="D768">
        <f>[1]flow_freeway!A768</f>
        <v>15230</v>
      </c>
      <c r="E768" s="137">
        <f>[1]flow_freeway!B768</f>
        <v>83393.964355999997</v>
      </c>
      <c r="F768" s="137">
        <f>[1]flow_freeway!C768</f>
        <v>17887.419922000001</v>
      </c>
      <c r="G768" s="137">
        <f>[1]flow_freeway!D768</f>
        <v>21932.765625</v>
      </c>
    </row>
    <row r="769" spans="4:7" x14ac:dyDescent="0.25">
      <c r="D769">
        <f>[1]flow_freeway!A769</f>
        <v>15236</v>
      </c>
      <c r="E769" s="137">
        <f>[1]flow_freeway!B769</f>
        <v>61621.090087999997</v>
      </c>
      <c r="F769" s="137">
        <f>[1]flow_freeway!C769</f>
        <v>9511.3574219999991</v>
      </c>
      <c r="G769" s="137">
        <f>[1]flow_freeway!D769</f>
        <v>20860.212890999999</v>
      </c>
    </row>
    <row r="770" spans="4:7" x14ac:dyDescent="0.25">
      <c r="D770">
        <f>[1]flow_freeway!A770</f>
        <v>15238</v>
      </c>
      <c r="E770" s="137">
        <f>[1]flow_freeway!B770</f>
        <v>66244.214842999994</v>
      </c>
      <c r="F770" s="137">
        <f>[1]flow_freeway!C770</f>
        <v>19373.535156000002</v>
      </c>
      <c r="G770" s="137">
        <f>[1]flow_freeway!D770</f>
        <v>13229.370117</v>
      </c>
    </row>
    <row r="771" spans="4:7" x14ac:dyDescent="0.25">
      <c r="D771">
        <f>[1]flow_freeway!A771</f>
        <v>15239</v>
      </c>
      <c r="E771" s="137">
        <f>[1]flow_freeway!B771</f>
        <v>51397.245117999999</v>
      </c>
      <c r="F771" s="137">
        <f>[1]flow_freeway!C771</f>
        <v>8336.0576170000004</v>
      </c>
      <c r="G771" s="137">
        <f>[1]flow_freeway!D771</f>
        <v>17307.417968999998</v>
      </c>
    </row>
    <row r="772" spans="4:7" x14ac:dyDescent="0.25">
      <c r="D772">
        <f>[1]flow_freeway!A772</f>
        <v>15277</v>
      </c>
      <c r="E772" s="137">
        <f>[1]flow_freeway!B772</f>
        <v>54889.263184000003</v>
      </c>
      <c r="F772" s="137">
        <f>[1]flow_freeway!C772</f>
        <v>15009.778319999999</v>
      </c>
      <c r="G772" s="137">
        <f>[1]flow_freeway!D772</f>
        <v>11403.620117</v>
      </c>
    </row>
    <row r="773" spans="4:7" x14ac:dyDescent="0.25">
      <c r="D773">
        <f>[1]flow_freeway!A773</f>
        <v>15279</v>
      </c>
      <c r="E773" s="137">
        <f>[1]flow_freeway!B773</f>
        <v>47549.141602999996</v>
      </c>
      <c r="F773" s="137">
        <f>[1]flow_freeway!C773</f>
        <v>8156.1191410000001</v>
      </c>
      <c r="G773" s="137">
        <f>[1]flow_freeway!D773</f>
        <v>15637.797852</v>
      </c>
    </row>
    <row r="774" spans="4:7" x14ac:dyDescent="0.25">
      <c r="D774">
        <f>[1]flow_freeway!A774</f>
        <v>15280</v>
      </c>
      <c r="E774" s="137">
        <f>[1]flow_freeway!B774</f>
        <v>39005.035034</v>
      </c>
      <c r="F774" s="137">
        <f>[1]flow_freeway!C774</f>
        <v>6473.0141599999997</v>
      </c>
      <c r="G774" s="137">
        <f>[1]flow_freeway!D774</f>
        <v>12339.363281</v>
      </c>
    </row>
    <row r="775" spans="4:7" x14ac:dyDescent="0.25">
      <c r="D775">
        <f>[1]flow_freeway!A775</f>
        <v>15304</v>
      </c>
      <c r="E775" s="137">
        <f>[1]flow_freeway!B775</f>
        <v>33410.058836999997</v>
      </c>
      <c r="F775" s="137">
        <f>[1]flow_freeway!C775</f>
        <v>8213.6455079999996</v>
      </c>
      <c r="G775" s="137">
        <f>[1]flow_freeway!D775</f>
        <v>7814.6831050000001</v>
      </c>
    </row>
    <row r="776" spans="4:7" x14ac:dyDescent="0.25">
      <c r="D776">
        <f>[1]flow_freeway!A776</f>
        <v>15305</v>
      </c>
      <c r="E776" s="137">
        <f>[1]flow_freeway!B776</f>
        <v>35154.190673999998</v>
      </c>
      <c r="F776" s="137">
        <f>[1]flow_freeway!C776</f>
        <v>8657.2421880000002</v>
      </c>
      <c r="G776" s="137">
        <f>[1]flow_freeway!D776</f>
        <v>8217.1591800000006</v>
      </c>
    </row>
    <row r="777" spans="4:7" x14ac:dyDescent="0.25">
      <c r="D777">
        <f>[1]flow_freeway!A777</f>
        <v>15311</v>
      </c>
      <c r="E777" s="137">
        <f>[1]flow_freeway!B777</f>
        <v>56026.090576999995</v>
      </c>
      <c r="F777" s="137">
        <f>[1]flow_freeway!C777</f>
        <v>12255.667969</v>
      </c>
      <c r="G777" s="137">
        <f>[1]flow_freeway!D777</f>
        <v>14608.256836</v>
      </c>
    </row>
    <row r="778" spans="4:7" x14ac:dyDescent="0.25">
      <c r="D778">
        <f>[1]flow_freeway!A778</f>
        <v>15315</v>
      </c>
      <c r="E778" s="137">
        <f>[1]flow_freeway!B778</f>
        <v>79110.601561999996</v>
      </c>
      <c r="F778" s="137">
        <f>[1]flow_freeway!C778</f>
        <v>16648.115234000001</v>
      </c>
      <c r="G778" s="137">
        <f>[1]flow_freeway!D778</f>
        <v>21226.417968999998</v>
      </c>
    </row>
    <row r="779" spans="4:7" x14ac:dyDescent="0.25">
      <c r="D779">
        <f>[1]flow_freeway!A779</f>
        <v>15317</v>
      </c>
      <c r="E779" s="137">
        <f>[1]flow_freeway!B779</f>
        <v>70983.138185000003</v>
      </c>
      <c r="F779" s="137">
        <f>[1]flow_freeway!C779</f>
        <v>10946.8125</v>
      </c>
      <c r="G779" s="137">
        <f>[1]flow_freeway!D779</f>
        <v>23101.960938</v>
      </c>
    </row>
    <row r="780" spans="4:7" x14ac:dyDescent="0.25">
      <c r="D780">
        <f>[1]flow_freeway!A780</f>
        <v>15318</v>
      </c>
      <c r="E780" s="137">
        <f>[1]flow_freeway!B780</f>
        <v>73138.025878999993</v>
      </c>
      <c r="F780" s="137">
        <f>[1]flow_freeway!C780</f>
        <v>11346.643555000001</v>
      </c>
      <c r="G780" s="137">
        <f>[1]flow_freeway!D780</f>
        <v>23725.357422000001</v>
      </c>
    </row>
    <row r="781" spans="4:7" x14ac:dyDescent="0.25">
      <c r="D781">
        <f>[1]flow_freeway!A781</f>
        <v>15406</v>
      </c>
      <c r="E781" s="137">
        <f>[1]flow_freeway!B781</f>
        <v>44287.284912000003</v>
      </c>
      <c r="F781" s="137">
        <f>[1]flow_freeway!C781</f>
        <v>9607.9228519999997</v>
      </c>
      <c r="G781" s="137">
        <f>[1]flow_freeway!D781</f>
        <v>10643.773438</v>
      </c>
    </row>
    <row r="782" spans="4:7" x14ac:dyDescent="0.25">
      <c r="D782">
        <f>[1]flow_freeway!A782</f>
        <v>15412</v>
      </c>
      <c r="E782" s="137">
        <f>[1]flow_freeway!B782</f>
        <v>42016.145384999996</v>
      </c>
      <c r="F782" s="137">
        <f>[1]flow_freeway!C782</f>
        <v>8651.3369139999995</v>
      </c>
      <c r="G782" s="137">
        <f>[1]flow_freeway!D782</f>
        <v>11272.927734000001</v>
      </c>
    </row>
    <row r="783" spans="4:7" x14ac:dyDescent="0.25">
      <c r="D783">
        <f>[1]flow_freeway!A783</f>
        <v>15425</v>
      </c>
      <c r="E783" s="137">
        <f>[1]flow_freeway!B783</f>
        <v>107972.553711</v>
      </c>
      <c r="F783" s="137">
        <f>[1]flow_freeway!C783</f>
        <v>29456.232422000001</v>
      </c>
      <c r="G783" s="137">
        <f>[1]flow_freeway!D783</f>
        <v>22000.673827999999</v>
      </c>
    </row>
    <row r="784" spans="4:7" x14ac:dyDescent="0.25">
      <c r="D784">
        <f>[1]flow_freeway!A784</f>
        <v>15429</v>
      </c>
      <c r="E784" s="137">
        <f>[1]flow_freeway!B784</f>
        <v>127879.59838900001</v>
      </c>
      <c r="F784" s="137">
        <f>[1]flow_freeway!C784</f>
        <v>20792.771484000001</v>
      </c>
      <c r="G784" s="137">
        <f>[1]flow_freeway!D784</f>
        <v>37595.375</v>
      </c>
    </row>
    <row r="785" spans="4:7" x14ac:dyDescent="0.25">
      <c r="D785">
        <f>[1]flow_freeway!A785</f>
        <v>15430</v>
      </c>
      <c r="E785" s="137">
        <f>[1]flow_freeway!B785</f>
        <v>119693.70996200001</v>
      </c>
      <c r="F785" s="137">
        <f>[1]flow_freeway!C785</f>
        <v>31886.228515999999</v>
      </c>
      <c r="G785" s="137">
        <f>[1]flow_freeway!D785</f>
        <v>24292.134765999999</v>
      </c>
    </row>
    <row r="786" spans="4:7" x14ac:dyDescent="0.25">
      <c r="D786">
        <f>[1]flow_freeway!A786</f>
        <v>15432</v>
      </c>
      <c r="E786" s="137">
        <f>[1]flow_freeway!B786</f>
        <v>134723.90161199999</v>
      </c>
      <c r="F786" s="137">
        <f>[1]flow_freeway!C786</f>
        <v>22054.015625</v>
      </c>
      <c r="G786" s="137">
        <f>[1]flow_freeway!D786</f>
        <v>39223.183594000002</v>
      </c>
    </row>
    <row r="787" spans="4:7" x14ac:dyDescent="0.25">
      <c r="D787">
        <f>[1]flow_freeway!A787</f>
        <v>15435</v>
      </c>
      <c r="E787" s="137">
        <f>[1]flow_freeway!B787</f>
        <v>125526.35937600001</v>
      </c>
      <c r="F787" s="137">
        <f>[1]flow_freeway!C787</f>
        <v>20338.275390999999</v>
      </c>
      <c r="G787" s="137">
        <f>[1]flow_freeway!D787</f>
        <v>36448.117187999997</v>
      </c>
    </row>
    <row r="788" spans="4:7" x14ac:dyDescent="0.25">
      <c r="D788">
        <f>[1]flow_freeway!A788</f>
        <v>15439</v>
      </c>
      <c r="E788" s="137">
        <f>[1]flow_freeway!B788</f>
        <v>109780.574219</v>
      </c>
      <c r="F788" s="137">
        <f>[1]flow_freeway!C788</f>
        <v>29458.878906000002</v>
      </c>
      <c r="G788" s="137">
        <f>[1]flow_freeway!D788</f>
        <v>22167.529297000001</v>
      </c>
    </row>
    <row r="789" spans="4:7" x14ac:dyDescent="0.25">
      <c r="D789">
        <f>[1]flow_freeway!A789</f>
        <v>15442</v>
      </c>
      <c r="E789" s="137">
        <f>[1]flow_freeway!B789</f>
        <v>114843.82324099999</v>
      </c>
      <c r="F789" s="137">
        <f>[1]flow_freeway!C789</f>
        <v>30546.146484000001</v>
      </c>
      <c r="G789" s="137">
        <f>[1]flow_freeway!D789</f>
        <v>23376.226562</v>
      </c>
    </row>
    <row r="790" spans="4:7" x14ac:dyDescent="0.25">
      <c r="D790">
        <f>[1]flow_freeway!A790</f>
        <v>15443</v>
      </c>
      <c r="E790" s="137">
        <f>[1]flow_freeway!B790</f>
        <v>130413.414795</v>
      </c>
      <c r="F790" s="137">
        <f>[1]flow_freeway!C790</f>
        <v>21069.347656000002</v>
      </c>
      <c r="G790" s="137">
        <f>[1]flow_freeway!D790</f>
        <v>37989.25</v>
      </c>
    </row>
    <row r="791" spans="4:7" x14ac:dyDescent="0.25">
      <c r="D791">
        <f>[1]flow_freeway!A791</f>
        <v>15456</v>
      </c>
      <c r="E791" s="137">
        <f>[1]flow_freeway!B791</f>
        <v>98293.822755000001</v>
      </c>
      <c r="F791" s="137">
        <f>[1]flow_freeway!C791</f>
        <v>26522.824218999998</v>
      </c>
      <c r="G791" s="137">
        <f>[1]flow_freeway!D791</f>
        <v>19621.810547000001</v>
      </c>
    </row>
    <row r="792" spans="4:7" x14ac:dyDescent="0.25">
      <c r="D792">
        <f>[1]flow_freeway!A792</f>
        <v>15457</v>
      </c>
      <c r="E792" s="137">
        <f>[1]flow_freeway!B792</f>
        <v>99758.154053000006</v>
      </c>
      <c r="F792" s="137">
        <f>[1]flow_freeway!C792</f>
        <v>14998.050781</v>
      </c>
      <c r="G792" s="137">
        <f>[1]flow_freeway!D792</f>
        <v>29659.685547000001</v>
      </c>
    </row>
    <row r="793" spans="4:7" x14ac:dyDescent="0.25">
      <c r="D793">
        <f>[1]flow_freeway!A793</f>
        <v>15458</v>
      </c>
      <c r="E793" s="137">
        <f>[1]flow_freeway!B793</f>
        <v>109592.65332</v>
      </c>
      <c r="F793" s="137">
        <f>[1]flow_freeway!C793</f>
        <v>28707.257812</v>
      </c>
      <c r="G793" s="137">
        <f>[1]flow_freeway!D793</f>
        <v>21832.712890999999</v>
      </c>
    </row>
    <row r="794" spans="4:7" x14ac:dyDescent="0.25">
      <c r="D794">
        <f>[1]flow_freeway!A794</f>
        <v>15459</v>
      </c>
      <c r="E794" s="137">
        <f>[1]flow_freeway!B794</f>
        <v>110905.085937</v>
      </c>
      <c r="F794" s="137">
        <f>[1]flow_freeway!C794</f>
        <v>16499.037109000001</v>
      </c>
      <c r="G794" s="137">
        <f>[1]flow_freeway!D794</f>
        <v>32558.337890999999</v>
      </c>
    </row>
    <row r="795" spans="4:7" x14ac:dyDescent="0.25">
      <c r="D795">
        <f>[1]flow_freeway!A795</f>
        <v>15676</v>
      </c>
      <c r="E795" s="137">
        <f>[1]flow_freeway!B795</f>
        <v>2914.5375979999999</v>
      </c>
      <c r="F795" s="137">
        <f>[1]flow_freeway!C795</f>
        <v>0</v>
      </c>
      <c r="G795" s="137">
        <f>[1]flow_freeway!D795</f>
        <v>2914.5375979999999</v>
      </c>
    </row>
    <row r="796" spans="4:7" x14ac:dyDescent="0.25">
      <c r="D796">
        <f>[1]flow_freeway!A796</f>
        <v>15680</v>
      </c>
      <c r="E796" s="137">
        <f>[1]flow_freeway!B796</f>
        <v>2192.3159179999998</v>
      </c>
      <c r="F796" s="137">
        <f>[1]flow_freeway!C796</f>
        <v>2192.3159179999998</v>
      </c>
      <c r="G796" s="137">
        <f>[1]flow_freeway!D796</f>
        <v>0</v>
      </c>
    </row>
    <row r="797" spans="4:7" x14ac:dyDescent="0.25">
      <c r="D797">
        <f>[1]flow_freeway!A797</f>
        <v>15681</v>
      </c>
      <c r="E797" s="137">
        <f>[1]flow_freeway!B797</f>
        <v>2914.5375979999999</v>
      </c>
      <c r="F797" s="137">
        <f>[1]flow_freeway!C797</f>
        <v>0</v>
      </c>
      <c r="G797" s="137">
        <f>[1]flow_freeway!D797</f>
        <v>2914.5375979999999</v>
      </c>
    </row>
    <row r="798" spans="4:7" x14ac:dyDescent="0.25">
      <c r="D798">
        <f>[1]flow_freeway!A798</f>
        <v>15682</v>
      </c>
      <c r="E798" s="137">
        <f>[1]flow_freeway!B798</f>
        <v>2192.3159179999998</v>
      </c>
      <c r="F798" s="137">
        <f>[1]flow_freeway!C798</f>
        <v>2192.3159179999998</v>
      </c>
      <c r="G798" s="137">
        <f>[1]flow_freeway!D798</f>
        <v>0</v>
      </c>
    </row>
    <row r="799" spans="4:7" x14ac:dyDescent="0.25">
      <c r="D799">
        <f>[1]flow_freeway!A799</f>
        <v>15683</v>
      </c>
      <c r="E799" s="137">
        <f>[1]flow_freeway!B799</f>
        <v>2914.5375979999999</v>
      </c>
      <c r="F799" s="137">
        <f>[1]flow_freeway!C799</f>
        <v>0</v>
      </c>
      <c r="G799" s="137">
        <f>[1]flow_freeway!D799</f>
        <v>2914.5375979999999</v>
      </c>
    </row>
    <row r="800" spans="4:7" x14ac:dyDescent="0.25">
      <c r="D800">
        <f>[1]flow_freeway!A800</f>
        <v>15684</v>
      </c>
      <c r="E800" s="137">
        <f>[1]flow_freeway!B800</f>
        <v>67071.010741999999</v>
      </c>
      <c r="F800" s="137">
        <f>[1]flow_freeway!C800</f>
        <v>16315.949219</v>
      </c>
      <c r="G800" s="137">
        <f>[1]flow_freeway!D800</f>
        <v>12578.014648</v>
      </c>
    </row>
    <row r="801" spans="4:7" x14ac:dyDescent="0.25">
      <c r="D801">
        <f>[1]flow_freeway!A801</f>
        <v>15688</v>
      </c>
      <c r="E801" s="137">
        <f>[1]flow_freeway!B801</f>
        <v>90864.208007000008</v>
      </c>
      <c r="F801" s="137">
        <f>[1]flow_freeway!C801</f>
        <v>18736.410156000002</v>
      </c>
      <c r="G801" s="137">
        <f>[1]flow_freeway!D801</f>
        <v>24033.806640999999</v>
      </c>
    </row>
    <row r="802" spans="4:7" x14ac:dyDescent="0.25">
      <c r="D802">
        <f>[1]flow_freeway!A802</f>
        <v>15689</v>
      </c>
      <c r="E802" s="137">
        <f>[1]flow_freeway!B802</f>
        <v>64109.414551000002</v>
      </c>
      <c r="F802" s="137">
        <f>[1]flow_freeway!C802</f>
        <v>15473.127930000001</v>
      </c>
      <c r="G802" s="137">
        <f>[1]flow_freeway!D802</f>
        <v>14404.287109000001</v>
      </c>
    </row>
    <row r="803" spans="4:7" x14ac:dyDescent="0.25">
      <c r="D803">
        <f>[1]flow_freeway!A803</f>
        <v>15690</v>
      </c>
      <c r="E803" s="137">
        <f>[1]flow_freeway!B803</f>
        <v>65099.466308000003</v>
      </c>
      <c r="F803" s="137">
        <f>[1]flow_freeway!C803</f>
        <v>13474.986328000001</v>
      </c>
      <c r="G803" s="137">
        <f>[1]flow_freeway!D803</f>
        <v>18458.734375</v>
      </c>
    </row>
    <row r="804" spans="4:7" x14ac:dyDescent="0.25">
      <c r="D804">
        <f>[1]flow_freeway!A804</f>
        <v>15696</v>
      </c>
      <c r="E804" s="137">
        <f>[1]flow_freeway!B804</f>
        <v>89179.755858999997</v>
      </c>
      <c r="F804" s="137">
        <f>[1]flow_freeway!C804</f>
        <v>19652.033202999999</v>
      </c>
      <c r="G804" s="137">
        <f>[1]flow_freeway!D804</f>
        <v>21091.041015999999</v>
      </c>
    </row>
    <row r="805" spans="4:7" x14ac:dyDescent="0.25">
      <c r="D805">
        <f>[1]flow_freeway!A805</f>
        <v>15699</v>
      </c>
      <c r="E805" s="137">
        <f>[1]flow_freeway!B805</f>
        <v>98751.049316000004</v>
      </c>
      <c r="F805" s="137">
        <f>[1]flow_freeway!C805</f>
        <v>20662.84375</v>
      </c>
      <c r="G805" s="137">
        <f>[1]flow_freeway!D805</f>
        <v>26745.513672000001</v>
      </c>
    </row>
    <row r="806" spans="4:7" x14ac:dyDescent="0.25">
      <c r="D806">
        <f>[1]flow_freeway!A806</f>
        <v>15700</v>
      </c>
      <c r="E806" s="137">
        <f>[1]flow_freeway!B806</f>
        <v>107200.28662</v>
      </c>
      <c r="F806" s="137">
        <f>[1]flow_freeway!C806</f>
        <v>22622.617188</v>
      </c>
      <c r="G806" s="137">
        <f>[1]flow_freeway!D806</f>
        <v>28661.802734000001</v>
      </c>
    </row>
    <row r="807" spans="4:7" x14ac:dyDescent="0.25">
      <c r="D807">
        <f>[1]flow_freeway!A807</f>
        <v>15703</v>
      </c>
      <c r="E807" s="137">
        <f>[1]flow_freeway!B807</f>
        <v>98493.361327999999</v>
      </c>
      <c r="F807" s="137">
        <f>[1]flow_freeway!C807</f>
        <v>21196.597656000002</v>
      </c>
      <c r="G807" s="137">
        <f>[1]flow_freeway!D807</f>
        <v>24365.044922000001</v>
      </c>
    </row>
    <row r="808" spans="4:7" x14ac:dyDescent="0.25">
      <c r="D808">
        <f>[1]flow_freeway!A808</f>
        <v>15705</v>
      </c>
      <c r="E808" s="137">
        <f>[1]flow_freeway!B808</f>
        <v>86097.863282000006</v>
      </c>
      <c r="F808" s="137">
        <f>[1]flow_freeway!C808</f>
        <v>18578.1875</v>
      </c>
      <c r="G808" s="137">
        <f>[1]flow_freeway!D808</f>
        <v>21550.384765999999</v>
      </c>
    </row>
    <row r="809" spans="4:7" x14ac:dyDescent="0.25">
      <c r="D809">
        <f>[1]flow_freeway!A809</f>
        <v>15709</v>
      </c>
      <c r="E809" s="137">
        <f>[1]flow_freeway!B809</f>
        <v>90720.610840000008</v>
      </c>
      <c r="F809" s="137">
        <f>[1]flow_freeway!C809</f>
        <v>19330.017577999999</v>
      </c>
      <c r="G809" s="137">
        <f>[1]flow_freeway!D809</f>
        <v>23135.636718999998</v>
      </c>
    </row>
    <row r="810" spans="4:7" x14ac:dyDescent="0.25">
      <c r="D810">
        <f>[1]flow_freeway!A810</f>
        <v>15710</v>
      </c>
      <c r="E810" s="137">
        <f>[1]flow_freeway!B810</f>
        <v>96347.756837000008</v>
      </c>
      <c r="F810" s="137">
        <f>[1]flow_freeway!C810</f>
        <v>20977.275390999999</v>
      </c>
      <c r="G810" s="137">
        <f>[1]flow_freeway!D810</f>
        <v>25352.980468999998</v>
      </c>
    </row>
    <row r="811" spans="4:7" x14ac:dyDescent="0.25">
      <c r="D811">
        <f>[1]flow_freeway!A811</f>
        <v>15714</v>
      </c>
      <c r="E811" s="137">
        <f>[1]flow_freeway!B811</f>
        <v>109237.30957000001</v>
      </c>
      <c r="F811" s="137">
        <f>[1]flow_freeway!C811</f>
        <v>23536.158202999999</v>
      </c>
      <c r="G811" s="137">
        <f>[1]flow_freeway!D811</f>
        <v>28339.908202999999</v>
      </c>
    </row>
    <row r="812" spans="4:7" x14ac:dyDescent="0.25">
      <c r="D812">
        <f>[1]flow_freeway!A812</f>
        <v>15715</v>
      </c>
      <c r="E812" s="137">
        <f>[1]flow_freeway!B812</f>
        <v>96001.756834999993</v>
      </c>
      <c r="F812" s="137">
        <f>[1]flow_freeway!C812</f>
        <v>20660.070312</v>
      </c>
      <c r="G812" s="137">
        <f>[1]flow_freeway!D812</f>
        <v>24406.072265999999</v>
      </c>
    </row>
    <row r="813" spans="4:7" x14ac:dyDescent="0.25">
      <c r="D813">
        <f>[1]flow_freeway!A813</f>
        <v>15720</v>
      </c>
      <c r="E813" s="137">
        <f>[1]flow_freeway!B813</f>
        <v>90690.072509999998</v>
      </c>
      <c r="F813" s="137">
        <f>[1]flow_freeway!C813</f>
        <v>19795.445312</v>
      </c>
      <c r="G813" s="137">
        <f>[1]flow_freeway!D813</f>
        <v>23347.375</v>
      </c>
    </row>
    <row r="814" spans="4:7" x14ac:dyDescent="0.25">
      <c r="D814">
        <f>[1]flow_freeway!A814</f>
        <v>15722</v>
      </c>
      <c r="E814" s="137">
        <f>[1]flow_freeway!B814</f>
        <v>84182.224608999997</v>
      </c>
      <c r="F814" s="137">
        <f>[1]flow_freeway!C814</f>
        <v>18563.863281000002</v>
      </c>
      <c r="G814" s="137">
        <f>[1]flow_freeway!D814</f>
        <v>21519.048827999999</v>
      </c>
    </row>
    <row r="815" spans="4:7" x14ac:dyDescent="0.25">
      <c r="D815">
        <f>[1]flow_freeway!A815</f>
        <v>15767</v>
      </c>
      <c r="E815" s="137">
        <f>[1]flow_freeway!B815</f>
        <v>141545.43115300001</v>
      </c>
      <c r="F815" s="137">
        <f>[1]flow_freeway!C815</f>
        <v>25771.091797000001</v>
      </c>
      <c r="G815" s="137">
        <f>[1]flow_freeway!D815</f>
        <v>38798.351562000003</v>
      </c>
    </row>
    <row r="816" spans="4:7" x14ac:dyDescent="0.25">
      <c r="D816">
        <f>[1]flow_freeway!A816</f>
        <v>15768</v>
      </c>
      <c r="E816" s="137">
        <f>[1]flow_freeway!B816</f>
        <v>116403.64209000001</v>
      </c>
      <c r="F816" s="137">
        <f>[1]flow_freeway!C816</f>
        <v>21476.40625</v>
      </c>
      <c r="G816" s="137">
        <f>[1]flow_freeway!D816</f>
        <v>31958.804688</v>
      </c>
    </row>
    <row r="817" spans="4:7" x14ac:dyDescent="0.25">
      <c r="D817">
        <f>[1]flow_freeway!A817</f>
        <v>15775</v>
      </c>
      <c r="E817" s="137">
        <f>[1]flow_freeway!B817</f>
        <v>60279.085694000001</v>
      </c>
      <c r="F817" s="137">
        <f>[1]flow_freeway!C817</f>
        <v>11610.282227</v>
      </c>
      <c r="G817" s="137">
        <f>[1]flow_freeway!D817</f>
        <v>16992.044922000001</v>
      </c>
    </row>
    <row r="818" spans="4:7" x14ac:dyDescent="0.25">
      <c r="D818">
        <f>[1]flow_freeway!A818</f>
        <v>15776</v>
      </c>
      <c r="E818" s="137">
        <f>[1]flow_freeway!B818</f>
        <v>134657.20410100001</v>
      </c>
      <c r="F818" s="137">
        <f>[1]flow_freeway!C818</f>
        <v>32706.273438</v>
      </c>
      <c r="G818" s="137">
        <f>[1]flow_freeway!D818</f>
        <v>29934.923827999999</v>
      </c>
    </row>
    <row r="819" spans="4:7" x14ac:dyDescent="0.25">
      <c r="D819">
        <f>[1]flow_freeway!A819</f>
        <v>15849</v>
      </c>
      <c r="E819" s="137">
        <f>[1]flow_freeway!B819</f>
        <v>82163.900391000003</v>
      </c>
      <c r="F819" s="137">
        <f>[1]flow_freeway!C819</f>
        <v>10884.457031</v>
      </c>
      <c r="G819" s="137">
        <f>[1]flow_freeway!D819</f>
        <v>25434.550781000002</v>
      </c>
    </row>
    <row r="820" spans="4:7" x14ac:dyDescent="0.25">
      <c r="D820">
        <f>[1]flow_freeway!A820</f>
        <v>15850</v>
      </c>
      <c r="E820" s="137">
        <f>[1]flow_freeway!B820</f>
        <v>91523.275391000003</v>
      </c>
      <c r="F820" s="137">
        <f>[1]flow_freeway!C820</f>
        <v>21995.466797000001</v>
      </c>
      <c r="G820" s="137">
        <f>[1]flow_freeway!D820</f>
        <v>15129.652344</v>
      </c>
    </row>
    <row r="821" spans="4:7" x14ac:dyDescent="0.25">
      <c r="D821">
        <f>[1]flow_freeway!A821</f>
        <v>15851</v>
      </c>
      <c r="E821" s="137">
        <f>[1]flow_freeway!B821</f>
        <v>93172.658934999999</v>
      </c>
      <c r="F821" s="137">
        <f>[1]flow_freeway!C821</f>
        <v>12355.678711</v>
      </c>
      <c r="G821" s="137">
        <f>[1]flow_freeway!D821</f>
        <v>27909.564452999999</v>
      </c>
    </row>
    <row r="822" spans="4:7" x14ac:dyDescent="0.25">
      <c r="D822">
        <f>[1]flow_freeway!A822</f>
        <v>15852</v>
      </c>
      <c r="E822" s="137">
        <f>[1]flow_freeway!B822</f>
        <v>82960.606935000003</v>
      </c>
      <c r="F822" s="137">
        <f>[1]flow_freeway!C822</f>
        <v>20735.728515999999</v>
      </c>
      <c r="G822" s="137">
        <f>[1]flow_freeway!D822</f>
        <v>13498.969727</v>
      </c>
    </row>
    <row r="823" spans="4:7" x14ac:dyDescent="0.25">
      <c r="D823">
        <f>[1]flow_freeway!A823</f>
        <v>15853</v>
      </c>
      <c r="E823" s="137">
        <f>[1]flow_freeway!B823</f>
        <v>86233.886352999994</v>
      </c>
      <c r="F823" s="137">
        <f>[1]flow_freeway!C823</f>
        <v>11240.518555000001</v>
      </c>
      <c r="G823" s="137">
        <f>[1]flow_freeway!D823</f>
        <v>26780.556640999999</v>
      </c>
    </row>
    <row r="824" spans="4:7" x14ac:dyDescent="0.25">
      <c r="D824">
        <f>[1]flow_freeway!A824</f>
        <v>15854</v>
      </c>
      <c r="E824" s="137">
        <f>[1]flow_freeway!B824</f>
        <v>86318.728516000003</v>
      </c>
      <c r="F824" s="137">
        <f>[1]flow_freeway!C824</f>
        <v>21357.535156000002</v>
      </c>
      <c r="G824" s="137">
        <f>[1]flow_freeway!D824</f>
        <v>14145.419921999999</v>
      </c>
    </row>
    <row r="825" spans="4:7" x14ac:dyDescent="0.25">
      <c r="D825">
        <f>[1]flow_freeway!A825</f>
        <v>15855</v>
      </c>
      <c r="E825" s="137">
        <f>[1]flow_freeway!B825</f>
        <v>76956.469727000003</v>
      </c>
      <c r="F825" s="137">
        <f>[1]flow_freeway!C825</f>
        <v>9750.7041019999997</v>
      </c>
      <c r="G825" s="137">
        <f>[1]flow_freeway!D825</f>
        <v>25083.037109000001</v>
      </c>
    </row>
    <row r="826" spans="4:7" x14ac:dyDescent="0.25">
      <c r="D826">
        <f>[1]flow_freeway!A826</f>
        <v>15856</v>
      </c>
      <c r="E826" s="137">
        <f>[1]flow_freeway!B826</f>
        <v>77635.268066999997</v>
      </c>
      <c r="F826" s="137">
        <f>[1]flow_freeway!C826</f>
        <v>19609.826172000001</v>
      </c>
      <c r="G826" s="137">
        <f>[1]flow_freeway!D826</f>
        <v>12521.715819999999</v>
      </c>
    </row>
    <row r="827" spans="4:7" x14ac:dyDescent="0.25">
      <c r="D827">
        <f>[1]flow_freeway!A827</f>
        <v>15857</v>
      </c>
      <c r="E827" s="137">
        <f>[1]flow_freeway!B827</f>
        <v>78963.024414999993</v>
      </c>
      <c r="F827" s="137">
        <f>[1]flow_freeway!C827</f>
        <v>19676.207031000002</v>
      </c>
      <c r="G827" s="137">
        <f>[1]flow_freeway!D827</f>
        <v>12742.094727</v>
      </c>
    </row>
    <row r="828" spans="4:7" x14ac:dyDescent="0.25">
      <c r="D828">
        <f>[1]flow_freeway!A828</f>
        <v>15858</v>
      </c>
      <c r="E828" s="137">
        <f>[1]flow_freeway!B828</f>
        <v>78246.388426999998</v>
      </c>
      <c r="F828" s="137">
        <f>[1]flow_freeway!C828</f>
        <v>10102.602539</v>
      </c>
      <c r="G828" s="137">
        <f>[1]flow_freeway!D828</f>
        <v>25215.914062</v>
      </c>
    </row>
    <row r="829" spans="4:7" x14ac:dyDescent="0.25">
      <c r="D829">
        <f>[1]flow_freeway!A829</f>
        <v>15859</v>
      </c>
      <c r="E829" s="137">
        <f>[1]flow_freeway!B829</f>
        <v>73445.380615999995</v>
      </c>
      <c r="F829" s="137">
        <f>[1]flow_freeway!C829</f>
        <v>9269.9179690000001</v>
      </c>
      <c r="G829" s="137">
        <f>[1]flow_freeway!D829</f>
        <v>24066.369140999999</v>
      </c>
    </row>
    <row r="830" spans="4:7" x14ac:dyDescent="0.25">
      <c r="D830">
        <f>[1]flow_freeway!A830</f>
        <v>15862</v>
      </c>
      <c r="E830" s="137">
        <f>[1]flow_freeway!B830</f>
        <v>74033.680176000009</v>
      </c>
      <c r="F830" s="137">
        <f>[1]flow_freeway!C830</f>
        <v>18577.074218999998</v>
      </c>
      <c r="G830" s="137">
        <f>[1]flow_freeway!D830</f>
        <v>11834.413086</v>
      </c>
    </row>
    <row r="831" spans="4:7" x14ac:dyDescent="0.25">
      <c r="D831">
        <f>[1]flow_freeway!A831</f>
        <v>15863</v>
      </c>
      <c r="E831" s="137">
        <f>[1]flow_freeway!B831</f>
        <v>31325.550902999999</v>
      </c>
      <c r="F831" s="137">
        <f>[1]flow_freeway!C831</f>
        <v>8186.5375979999999</v>
      </c>
      <c r="G831" s="137">
        <f>[1]flow_freeway!D831</f>
        <v>5167.0859380000002</v>
      </c>
    </row>
    <row r="832" spans="4:7" x14ac:dyDescent="0.25">
      <c r="D832">
        <f>[1]flow_freeway!A832</f>
        <v>15869</v>
      </c>
      <c r="E832" s="137">
        <f>[1]flow_freeway!B832</f>
        <v>2914.5375979999999</v>
      </c>
      <c r="F832" s="137">
        <f>[1]flow_freeway!C832</f>
        <v>0</v>
      </c>
      <c r="G832" s="137">
        <f>[1]flow_freeway!D832</f>
        <v>2914.5375979999999</v>
      </c>
    </row>
    <row r="833" spans="4:7" x14ac:dyDescent="0.25">
      <c r="D833">
        <f>[1]flow_freeway!A833</f>
        <v>15870</v>
      </c>
      <c r="E833" s="137">
        <f>[1]flow_freeway!B833</f>
        <v>74621.187987999991</v>
      </c>
      <c r="F833" s="137">
        <f>[1]flow_freeway!C833</f>
        <v>21932.548827999999</v>
      </c>
      <c r="G833" s="137">
        <f>[1]flow_freeway!D833</f>
        <v>14083.180664</v>
      </c>
    </row>
    <row r="834" spans="4:7" x14ac:dyDescent="0.25">
      <c r="D834">
        <f>[1]flow_freeway!A834</f>
        <v>15874</v>
      </c>
      <c r="E834" s="137">
        <f>[1]flow_freeway!B834</f>
        <v>81186.712159000002</v>
      </c>
      <c r="F834" s="137">
        <f>[1]flow_freeway!C834</f>
        <v>12701.025390999999</v>
      </c>
      <c r="G834" s="137">
        <f>[1]flow_freeway!D834</f>
        <v>26420.966797000001</v>
      </c>
    </row>
    <row r="835" spans="4:7" x14ac:dyDescent="0.25">
      <c r="D835">
        <f>[1]flow_freeway!A835</f>
        <v>15877</v>
      </c>
      <c r="E835" s="137">
        <f>[1]flow_freeway!B835</f>
        <v>75729.483886999995</v>
      </c>
      <c r="F835" s="137">
        <f>[1]flow_freeway!C835</f>
        <v>16770.921875</v>
      </c>
      <c r="G835" s="137">
        <f>[1]flow_freeway!D835</f>
        <v>18744.759765999999</v>
      </c>
    </row>
    <row r="836" spans="4:7" x14ac:dyDescent="0.25">
      <c r="D836">
        <f>[1]flow_freeway!A836</f>
        <v>15914</v>
      </c>
      <c r="E836" s="137">
        <f>[1]flow_freeway!B836</f>
        <v>68139.271727999992</v>
      </c>
      <c r="F836" s="137">
        <f>[1]flow_freeway!C836</f>
        <v>13933.518555000001</v>
      </c>
      <c r="G836" s="137">
        <f>[1]flow_freeway!D836</f>
        <v>16453.330077999999</v>
      </c>
    </row>
    <row r="837" spans="4:7" x14ac:dyDescent="0.25">
      <c r="D837">
        <f>[1]flow_freeway!A837</f>
        <v>15916</v>
      </c>
      <c r="E837" s="137">
        <f>[1]flow_freeway!B837</f>
        <v>52710.945435000001</v>
      </c>
      <c r="F837" s="137">
        <f>[1]flow_freeway!C837</f>
        <v>11603.422852</v>
      </c>
      <c r="G837" s="137">
        <f>[1]flow_freeway!D837</f>
        <v>13545.405273</v>
      </c>
    </row>
    <row r="838" spans="4:7" x14ac:dyDescent="0.25">
      <c r="D838">
        <f>[1]flow_freeway!A838</f>
        <v>15917</v>
      </c>
      <c r="E838" s="137">
        <f>[1]flow_freeway!B838</f>
        <v>44373.544677999998</v>
      </c>
      <c r="F838" s="137">
        <f>[1]flow_freeway!C838</f>
        <v>9476.8388670000004</v>
      </c>
      <c r="G838" s="137">
        <f>[1]flow_freeway!D838</f>
        <v>10274.478515999999</v>
      </c>
    </row>
    <row r="839" spans="4:7" x14ac:dyDescent="0.25">
      <c r="D839">
        <f>[1]flow_freeway!A839</f>
        <v>16032</v>
      </c>
      <c r="E839" s="137">
        <f>[1]flow_freeway!B839</f>
        <v>104575.312744</v>
      </c>
      <c r="F839" s="137">
        <f>[1]flow_freeway!C839</f>
        <v>17863.767577999999</v>
      </c>
      <c r="G839" s="137">
        <f>[1]flow_freeway!D839</f>
        <v>30294.996093999998</v>
      </c>
    </row>
    <row r="840" spans="4:7" x14ac:dyDescent="0.25">
      <c r="D840">
        <f>[1]flow_freeway!A840</f>
        <v>16037</v>
      </c>
      <c r="E840" s="137">
        <f>[1]flow_freeway!B840</f>
        <v>63844.493897</v>
      </c>
      <c r="F840" s="137">
        <f>[1]flow_freeway!C840</f>
        <v>13693.813477</v>
      </c>
      <c r="G840" s="137">
        <f>[1]flow_freeway!D840</f>
        <v>16112.940430000001</v>
      </c>
    </row>
    <row r="841" spans="4:7" x14ac:dyDescent="0.25">
      <c r="D841">
        <f>[1]flow_freeway!A841</f>
        <v>16038</v>
      </c>
      <c r="E841" s="137">
        <f>[1]flow_freeway!B841</f>
        <v>97528.432373000003</v>
      </c>
      <c r="F841" s="137">
        <f>[1]flow_freeway!C841</f>
        <v>19150.326172000001</v>
      </c>
      <c r="G841" s="137">
        <f>[1]flow_freeway!D841</f>
        <v>25766.71875</v>
      </c>
    </row>
    <row r="842" spans="4:7" x14ac:dyDescent="0.25">
      <c r="D842">
        <f>[1]flow_freeway!A842</f>
        <v>16040</v>
      </c>
      <c r="E842" s="137">
        <f>[1]flow_freeway!B842</f>
        <v>79256.172852000003</v>
      </c>
      <c r="F842" s="137">
        <f>[1]flow_freeway!C842</f>
        <v>16546.439452999999</v>
      </c>
      <c r="G842" s="137">
        <f>[1]flow_freeway!D842</f>
        <v>19162.619140999999</v>
      </c>
    </row>
    <row r="843" spans="4:7" x14ac:dyDescent="0.25">
      <c r="D843">
        <f>[1]flow_freeway!A843</f>
        <v>16041</v>
      </c>
      <c r="E843" s="137">
        <f>[1]flow_freeway!B843</f>
        <v>77892.566162000003</v>
      </c>
      <c r="F843" s="137">
        <f>[1]flow_freeway!C843</f>
        <v>15628.459961</v>
      </c>
      <c r="G843" s="137">
        <f>[1]flow_freeway!D843</f>
        <v>20642.330077999999</v>
      </c>
    </row>
    <row r="844" spans="4:7" x14ac:dyDescent="0.25">
      <c r="D844">
        <f>[1]flow_freeway!A844</f>
        <v>16045</v>
      </c>
      <c r="E844" s="137">
        <f>[1]flow_freeway!B844</f>
        <v>51317.916749000004</v>
      </c>
      <c r="F844" s="137">
        <f>[1]flow_freeway!C844</f>
        <v>11318.892578000001</v>
      </c>
      <c r="G844" s="137">
        <f>[1]flow_freeway!D844</f>
        <v>11890.033203000001</v>
      </c>
    </row>
    <row r="845" spans="4:7" x14ac:dyDescent="0.25">
      <c r="D845">
        <f>[1]flow_freeway!A845</f>
        <v>16046</v>
      </c>
      <c r="E845" s="137">
        <f>[1]flow_freeway!B845</f>
        <v>60498.271729</v>
      </c>
      <c r="F845" s="137">
        <f>[1]flow_freeway!C845</f>
        <v>11626.188477</v>
      </c>
      <c r="G845" s="137">
        <f>[1]flow_freeway!D845</f>
        <v>15635.049805000001</v>
      </c>
    </row>
    <row r="846" spans="4:7" x14ac:dyDescent="0.25">
      <c r="D846">
        <f>[1]flow_freeway!A846</f>
        <v>16054</v>
      </c>
      <c r="E846" s="137">
        <f>[1]flow_freeway!B846</f>
        <v>57531.534910999995</v>
      </c>
      <c r="F846" s="137">
        <f>[1]flow_freeway!C846</f>
        <v>10322.167969</v>
      </c>
      <c r="G846" s="137">
        <f>[1]flow_freeway!D846</f>
        <v>13983.130859000001</v>
      </c>
    </row>
    <row r="847" spans="4:7" x14ac:dyDescent="0.25">
      <c r="D847">
        <f>[1]flow_freeway!A847</f>
        <v>16057</v>
      </c>
      <c r="E847" s="137">
        <f>[1]flow_freeway!B847</f>
        <v>60339.976561999996</v>
      </c>
      <c r="F847" s="137">
        <f>[1]flow_freeway!C847</f>
        <v>10681.179688</v>
      </c>
      <c r="G847" s="137">
        <f>[1]flow_freeway!D847</f>
        <v>15009.258789</v>
      </c>
    </row>
    <row r="848" spans="4:7" x14ac:dyDescent="0.25">
      <c r="D848">
        <f>[1]flow_freeway!A848</f>
        <v>16059</v>
      </c>
      <c r="E848" s="137">
        <f>[1]flow_freeway!B848</f>
        <v>134657.20410100001</v>
      </c>
      <c r="F848" s="137">
        <f>[1]flow_freeway!C848</f>
        <v>32706.273438</v>
      </c>
      <c r="G848" s="137">
        <f>[1]flow_freeway!D848</f>
        <v>29934.923827999999</v>
      </c>
    </row>
    <row r="849" spans="4:7" x14ac:dyDescent="0.25">
      <c r="D849">
        <f>[1]flow_freeway!A849</f>
        <v>16084</v>
      </c>
      <c r="E849" s="137">
        <f>[1]flow_freeway!B849</f>
        <v>93614.011230999997</v>
      </c>
      <c r="F849" s="137">
        <f>[1]flow_freeway!C849</f>
        <v>24977.136718999998</v>
      </c>
      <c r="G849" s="137">
        <f>[1]flow_freeway!D849</f>
        <v>18894.875</v>
      </c>
    </row>
    <row r="850" spans="4:7" x14ac:dyDescent="0.25">
      <c r="D850">
        <f>[1]flow_freeway!A850</f>
        <v>16085</v>
      </c>
      <c r="E850" s="137">
        <f>[1]flow_freeway!B850</f>
        <v>105749.79296799999</v>
      </c>
      <c r="F850" s="137">
        <f>[1]flow_freeway!C850</f>
        <v>27084.253906000002</v>
      </c>
      <c r="G850" s="137">
        <f>[1]flow_freeway!D850</f>
        <v>22583.816406000002</v>
      </c>
    </row>
    <row r="851" spans="4:7" x14ac:dyDescent="0.25">
      <c r="D851">
        <f>[1]flow_freeway!A851</f>
        <v>16096</v>
      </c>
      <c r="E851" s="137">
        <f>[1]flow_freeway!B851</f>
        <v>77976.014160000006</v>
      </c>
      <c r="F851" s="137">
        <f>[1]flow_freeway!C851</f>
        <v>12629.768555000001</v>
      </c>
      <c r="G851" s="137">
        <f>[1]flow_freeway!D851</f>
        <v>24158.677734000001</v>
      </c>
    </row>
    <row r="852" spans="4:7" x14ac:dyDescent="0.25">
      <c r="D852">
        <f>[1]flow_freeway!A852</f>
        <v>16125</v>
      </c>
      <c r="E852" s="137">
        <f>[1]flow_freeway!B852</f>
        <v>104916.87451199999</v>
      </c>
      <c r="F852" s="137">
        <f>[1]flow_freeway!C852</f>
        <v>16681.457031000002</v>
      </c>
      <c r="G852" s="137">
        <f>[1]flow_freeway!D852</f>
        <v>30691.626952999999</v>
      </c>
    </row>
    <row r="853" spans="4:7" x14ac:dyDescent="0.25">
      <c r="D853">
        <f>[1]flow_freeway!A853</f>
        <v>16126</v>
      </c>
      <c r="E853" s="137">
        <f>[1]flow_freeway!B853</f>
        <v>60279.085694000001</v>
      </c>
      <c r="F853" s="137">
        <f>[1]flow_freeway!C853</f>
        <v>11610.282227</v>
      </c>
      <c r="G853" s="137">
        <f>[1]flow_freeway!D853</f>
        <v>16992.044922000001</v>
      </c>
    </row>
    <row r="854" spans="4:7" x14ac:dyDescent="0.25">
      <c r="D854">
        <f>[1]flow_freeway!A854</f>
        <v>16127</v>
      </c>
      <c r="E854" s="137">
        <f>[1]flow_freeway!B854</f>
        <v>71263.434814999986</v>
      </c>
      <c r="F854" s="137">
        <f>[1]flow_freeway!C854</f>
        <v>14212.154296999999</v>
      </c>
      <c r="G854" s="137">
        <f>[1]flow_freeway!D854</f>
        <v>18554.042968999998</v>
      </c>
    </row>
    <row r="855" spans="4:7" x14ac:dyDescent="0.25">
      <c r="D855">
        <f>[1]flow_freeway!A855</f>
        <v>16128</v>
      </c>
      <c r="E855" s="137">
        <f>[1]flow_freeway!B855</f>
        <v>68503.46557700001</v>
      </c>
      <c r="F855" s="137">
        <f>[1]flow_freeway!C855</f>
        <v>13774.829102</v>
      </c>
      <c r="G855" s="137">
        <f>[1]flow_freeway!D855</f>
        <v>17869.894531000002</v>
      </c>
    </row>
    <row r="856" spans="4:7" x14ac:dyDescent="0.25">
      <c r="D856">
        <f>[1]flow_freeway!A856</f>
        <v>16131</v>
      </c>
      <c r="E856" s="137">
        <f>[1]flow_freeway!B856</f>
        <v>63957.225584999993</v>
      </c>
      <c r="F856" s="137">
        <f>[1]flow_freeway!C856</f>
        <v>14748.958008</v>
      </c>
      <c r="G856" s="137">
        <f>[1]flow_freeway!D856</f>
        <v>15078.673828000001</v>
      </c>
    </row>
    <row r="857" spans="4:7" x14ac:dyDescent="0.25">
      <c r="D857">
        <f>[1]flow_freeway!A857</f>
        <v>16136</v>
      </c>
      <c r="E857" s="137">
        <f>[1]flow_freeway!B857</f>
        <v>77775.528078000003</v>
      </c>
      <c r="F857" s="137">
        <f>[1]flow_freeway!C857</f>
        <v>16727.212890999999</v>
      </c>
      <c r="G857" s="137">
        <f>[1]flow_freeway!D857</f>
        <v>20433.730468999998</v>
      </c>
    </row>
    <row r="858" spans="4:7" x14ac:dyDescent="0.25">
      <c r="D858">
        <f>[1]flow_freeway!A858</f>
        <v>16138</v>
      </c>
      <c r="E858" s="137">
        <f>[1]flow_freeway!B858</f>
        <v>65350.618164000007</v>
      </c>
      <c r="F858" s="137">
        <f>[1]flow_freeway!C858</f>
        <v>14722.316406</v>
      </c>
      <c r="G858" s="137">
        <f>[1]flow_freeway!D858</f>
        <v>15481.395508</v>
      </c>
    </row>
    <row r="859" spans="4:7" x14ac:dyDescent="0.25">
      <c r="D859">
        <f>[1]flow_freeway!A859</f>
        <v>16144</v>
      </c>
      <c r="E859" s="137">
        <f>[1]flow_freeway!B859</f>
        <v>36346.167847000004</v>
      </c>
      <c r="F859" s="137">
        <f>[1]flow_freeway!C859</f>
        <v>6713.5556640000004</v>
      </c>
      <c r="G859" s="137">
        <f>[1]flow_freeway!D859</f>
        <v>10832.131836</v>
      </c>
    </row>
    <row r="860" spans="4:7" x14ac:dyDescent="0.25">
      <c r="D860">
        <f>[1]flow_freeway!A860</f>
        <v>16162</v>
      </c>
      <c r="E860" s="137">
        <f>[1]flow_freeway!B860</f>
        <v>79462.97119099999</v>
      </c>
      <c r="F860" s="137">
        <f>[1]flow_freeway!C860</f>
        <v>21703.060547000001</v>
      </c>
      <c r="G860" s="137">
        <f>[1]flow_freeway!D860</f>
        <v>13179.798828000001</v>
      </c>
    </row>
    <row r="861" spans="4:7" x14ac:dyDescent="0.25">
      <c r="D861">
        <f>[1]flow_freeway!A861</f>
        <v>16163</v>
      </c>
      <c r="E861" s="137">
        <f>[1]flow_freeway!B861</f>
        <v>82266.702636999995</v>
      </c>
      <c r="F861" s="137">
        <f>[1]flow_freeway!C861</f>
        <v>22383.804688</v>
      </c>
      <c r="G861" s="137">
        <f>[1]flow_freeway!D861</f>
        <v>15696.981444999999</v>
      </c>
    </row>
    <row r="862" spans="4:7" x14ac:dyDescent="0.25">
      <c r="D862">
        <f>[1]flow_freeway!A862</f>
        <v>16164</v>
      </c>
      <c r="E862" s="137">
        <f>[1]flow_freeway!B862</f>
        <v>76242.338867999992</v>
      </c>
      <c r="F862" s="137">
        <f>[1]flow_freeway!C862</f>
        <v>20437.181640999999</v>
      </c>
      <c r="G862" s="137">
        <f>[1]flow_freeway!D862</f>
        <v>13165.134765999999</v>
      </c>
    </row>
    <row r="863" spans="4:7" x14ac:dyDescent="0.25">
      <c r="D863">
        <f>[1]flow_freeway!A863</f>
        <v>16167</v>
      </c>
      <c r="E863" s="137">
        <f>[1]flow_freeway!B863</f>
        <v>164917.22949200001</v>
      </c>
      <c r="F863" s="137">
        <f>[1]flow_freeway!C863</f>
        <v>31075.611327999999</v>
      </c>
      <c r="G863" s="137">
        <f>[1]flow_freeway!D863</f>
        <v>45366.53125</v>
      </c>
    </row>
    <row r="864" spans="4:7" x14ac:dyDescent="0.25">
      <c r="D864">
        <f>[1]flow_freeway!A864</f>
        <v>16170</v>
      </c>
      <c r="E864" s="137">
        <f>[1]flow_freeway!B864</f>
        <v>45068.761720000002</v>
      </c>
      <c r="F864" s="137">
        <f>[1]flow_freeway!C864</f>
        <v>10840.502930000001</v>
      </c>
      <c r="G864" s="137">
        <f>[1]flow_freeway!D864</f>
        <v>8923.125</v>
      </c>
    </row>
    <row r="865" spans="4:7" x14ac:dyDescent="0.25">
      <c r="D865">
        <f>[1]flow_freeway!A865</f>
        <v>16183</v>
      </c>
      <c r="E865" s="137">
        <f>[1]flow_freeway!B865</f>
        <v>67227.285157000006</v>
      </c>
      <c r="F865" s="137">
        <f>[1]flow_freeway!C865</f>
        <v>13381.326171999999</v>
      </c>
      <c r="G865" s="137">
        <f>[1]flow_freeway!D865</f>
        <v>15686.220703000001</v>
      </c>
    </row>
    <row r="866" spans="4:7" x14ac:dyDescent="0.25">
      <c r="D866">
        <f>[1]flow_freeway!A866</f>
        <v>16271</v>
      </c>
      <c r="E866" s="137">
        <f>[1]flow_freeway!B866</f>
        <v>96256.835938000004</v>
      </c>
      <c r="F866" s="137">
        <f>[1]flow_freeway!C866</f>
        <v>23652.900390999999</v>
      </c>
      <c r="G866" s="137">
        <f>[1]flow_freeway!D866</f>
        <v>18388.466797000001</v>
      </c>
    </row>
    <row r="867" spans="4:7" x14ac:dyDescent="0.25">
      <c r="D867">
        <f>[1]flow_freeway!A867</f>
        <v>16272</v>
      </c>
      <c r="E867" s="137">
        <f>[1]flow_freeway!B867</f>
        <v>104064.771485</v>
      </c>
      <c r="F867" s="137">
        <f>[1]flow_freeway!C867</f>
        <v>25094.447265999999</v>
      </c>
      <c r="G867" s="137">
        <f>[1]flow_freeway!D867</f>
        <v>20066.865234000001</v>
      </c>
    </row>
    <row r="868" spans="4:7" x14ac:dyDescent="0.25">
      <c r="D868">
        <f>[1]flow_freeway!A868</f>
        <v>16274</v>
      </c>
      <c r="E868" s="137">
        <f>[1]flow_freeway!B868</f>
        <v>95828.199706999992</v>
      </c>
      <c r="F868" s="137">
        <f>[1]flow_freeway!C868</f>
        <v>15560.994140999999</v>
      </c>
      <c r="G868" s="137">
        <f>[1]flow_freeway!D868</f>
        <v>28702.935547000001</v>
      </c>
    </row>
    <row r="869" spans="4:7" x14ac:dyDescent="0.25">
      <c r="D869">
        <f>[1]flow_freeway!A869</f>
        <v>16275</v>
      </c>
      <c r="E869" s="137">
        <f>[1]flow_freeway!B869</f>
        <v>103534.216308</v>
      </c>
      <c r="F869" s="137">
        <f>[1]flow_freeway!C869</f>
        <v>16606.162109000001</v>
      </c>
      <c r="G869" s="137">
        <f>[1]flow_freeway!D869</f>
        <v>30655.644531000002</v>
      </c>
    </row>
    <row r="870" spans="4:7" x14ac:dyDescent="0.25">
      <c r="D870">
        <f>[1]flow_freeway!A870</f>
        <v>16290</v>
      </c>
      <c r="E870" s="137">
        <f>[1]flow_freeway!B870</f>
        <v>96944.878417999993</v>
      </c>
      <c r="F870" s="137">
        <f>[1]flow_freeway!C870</f>
        <v>15686.058594</v>
      </c>
      <c r="G870" s="137">
        <f>[1]flow_freeway!D870</f>
        <v>28770.027343999998</v>
      </c>
    </row>
    <row r="871" spans="4:7" x14ac:dyDescent="0.25">
      <c r="D871">
        <f>[1]flow_freeway!A871</f>
        <v>16291</v>
      </c>
      <c r="E871" s="137">
        <f>[1]flow_freeway!B871</f>
        <v>102193.75683599999</v>
      </c>
      <c r="F871" s="137">
        <f>[1]flow_freeway!C871</f>
        <v>16630.859375</v>
      </c>
      <c r="G871" s="137">
        <f>[1]flow_freeway!D871</f>
        <v>30049.851562</v>
      </c>
    </row>
    <row r="872" spans="4:7" x14ac:dyDescent="0.25">
      <c r="D872">
        <f>[1]flow_freeway!A872</f>
        <v>16350</v>
      </c>
      <c r="E872" s="137">
        <f>[1]flow_freeway!B872</f>
        <v>36382.117858999998</v>
      </c>
      <c r="F872" s="137">
        <f>[1]flow_freeway!C872</f>
        <v>5501.9443359999996</v>
      </c>
      <c r="G872" s="137">
        <f>[1]flow_freeway!D872</f>
        <v>12247.650390999999</v>
      </c>
    </row>
    <row r="873" spans="4:7" x14ac:dyDescent="0.25">
      <c r="D873">
        <f>[1]flow_freeway!A873</f>
        <v>16351</v>
      </c>
      <c r="E873" s="137">
        <f>[1]flow_freeway!B873</f>
        <v>37044.159912000003</v>
      </c>
      <c r="F873" s="137">
        <f>[1]flow_freeway!C873</f>
        <v>11230.451171999999</v>
      </c>
      <c r="G873" s="137">
        <f>[1]flow_freeway!D873</f>
        <v>7528.3403319999998</v>
      </c>
    </row>
    <row r="874" spans="4:7" x14ac:dyDescent="0.25">
      <c r="D874">
        <f>[1]flow_freeway!A874</f>
        <v>16352</v>
      </c>
      <c r="E874" s="137">
        <f>[1]flow_freeway!B874</f>
        <v>42968.357908999998</v>
      </c>
      <c r="F874" s="137">
        <f>[1]flow_freeway!C874</f>
        <v>11609.635742</v>
      </c>
      <c r="G874" s="137">
        <f>[1]flow_freeway!D874</f>
        <v>9097.2070309999999</v>
      </c>
    </row>
    <row r="875" spans="4:7" x14ac:dyDescent="0.25">
      <c r="D875">
        <f>[1]flow_freeway!A875</f>
        <v>16353</v>
      </c>
      <c r="E875" s="137">
        <f>[1]flow_freeway!B875</f>
        <v>41523.233887000002</v>
      </c>
      <c r="F875" s="137">
        <f>[1]flow_freeway!C875</f>
        <v>6920.0991210000002</v>
      </c>
      <c r="G875" s="137">
        <f>[1]flow_freeway!D875</f>
        <v>12556.775390999999</v>
      </c>
    </row>
    <row r="876" spans="4:7" x14ac:dyDescent="0.25">
      <c r="D876">
        <f>[1]flow_freeway!A876</f>
        <v>16354</v>
      </c>
      <c r="E876" s="137">
        <f>[1]flow_freeway!B876</f>
        <v>30360.235107</v>
      </c>
      <c r="F876" s="137">
        <f>[1]flow_freeway!C876</f>
        <v>8836.1484380000002</v>
      </c>
      <c r="G876" s="137">
        <f>[1]flow_freeway!D876</f>
        <v>6504.1083980000003</v>
      </c>
    </row>
    <row r="877" spans="4:7" x14ac:dyDescent="0.25">
      <c r="D877">
        <f>[1]flow_freeway!A877</f>
        <v>16355</v>
      </c>
      <c r="E877" s="137">
        <f>[1]flow_freeway!B877</f>
        <v>29615.406189999998</v>
      </c>
      <c r="F877" s="137">
        <f>[1]flow_freeway!C877</f>
        <v>4920.3935549999997</v>
      </c>
      <c r="G877" s="137">
        <f>[1]flow_freeway!D877</f>
        <v>9191.1005860000005</v>
      </c>
    </row>
    <row r="878" spans="4:7" x14ac:dyDescent="0.25">
      <c r="D878">
        <f>[1]flow_freeway!A878</f>
        <v>16356</v>
      </c>
      <c r="E878" s="137">
        <f>[1]flow_freeway!B878</f>
        <v>42504.120238999996</v>
      </c>
      <c r="F878" s="137">
        <f>[1]flow_freeway!C878</f>
        <v>6353.8051759999998</v>
      </c>
      <c r="G878" s="137">
        <f>[1]flow_freeway!D878</f>
        <v>14247.068359000001</v>
      </c>
    </row>
    <row r="879" spans="4:7" x14ac:dyDescent="0.25">
      <c r="D879">
        <f>[1]flow_freeway!A879</f>
        <v>16357</v>
      </c>
      <c r="E879" s="137">
        <f>[1]flow_freeway!B879</f>
        <v>41904.077147999997</v>
      </c>
      <c r="F879" s="137">
        <f>[1]flow_freeway!C879</f>
        <v>12752.264648</v>
      </c>
      <c r="G879" s="137">
        <f>[1]flow_freeway!D879</f>
        <v>8087.0600590000004</v>
      </c>
    </row>
    <row r="880" spans="4:7" x14ac:dyDescent="0.25">
      <c r="D880">
        <f>[1]flow_freeway!A880</f>
        <v>16358</v>
      </c>
      <c r="E880" s="137">
        <f>[1]flow_freeway!B880</f>
        <v>37044.159912000003</v>
      </c>
      <c r="F880" s="137">
        <f>[1]flow_freeway!C880</f>
        <v>11230.451171999999</v>
      </c>
      <c r="G880" s="137">
        <f>[1]flow_freeway!D880</f>
        <v>7528.3403319999998</v>
      </c>
    </row>
    <row r="881" spans="4:7" x14ac:dyDescent="0.25">
      <c r="D881">
        <f>[1]flow_freeway!A881</f>
        <v>16359</v>
      </c>
      <c r="E881" s="137">
        <f>[1]flow_freeway!B881</f>
        <v>33323.1875</v>
      </c>
      <c r="F881" s="137">
        <f>[1]flow_freeway!C881</f>
        <v>10527.173828000001</v>
      </c>
      <c r="G881" s="137">
        <f>[1]flow_freeway!D881</f>
        <v>6405.9536129999997</v>
      </c>
    </row>
    <row r="882" spans="4:7" x14ac:dyDescent="0.25">
      <c r="D882">
        <f>[1]flow_freeway!A882</f>
        <v>16360</v>
      </c>
      <c r="E882" s="137">
        <f>[1]flow_freeway!B882</f>
        <v>36382.117858999998</v>
      </c>
      <c r="F882" s="137">
        <f>[1]flow_freeway!C882</f>
        <v>5501.9443359999996</v>
      </c>
      <c r="G882" s="137">
        <f>[1]flow_freeway!D882</f>
        <v>12247.650390999999</v>
      </c>
    </row>
    <row r="883" spans="4:7" x14ac:dyDescent="0.25">
      <c r="D883">
        <f>[1]flow_freeway!A883</f>
        <v>16361</v>
      </c>
      <c r="E883" s="137">
        <f>[1]flow_freeway!B883</f>
        <v>37044.159912000003</v>
      </c>
      <c r="F883" s="137">
        <f>[1]flow_freeway!C883</f>
        <v>11230.451171999999</v>
      </c>
      <c r="G883" s="137">
        <f>[1]flow_freeway!D883</f>
        <v>7528.3403319999998</v>
      </c>
    </row>
    <row r="884" spans="4:7" x14ac:dyDescent="0.25">
      <c r="D884">
        <f>[1]flow_freeway!A884</f>
        <v>16362</v>
      </c>
      <c r="E884" s="137">
        <f>[1]flow_freeway!B884</f>
        <v>36382.117858999998</v>
      </c>
      <c r="F884" s="137">
        <f>[1]flow_freeway!C884</f>
        <v>5501.9443359999996</v>
      </c>
      <c r="G884" s="137">
        <f>[1]flow_freeway!D884</f>
        <v>12247.650390999999</v>
      </c>
    </row>
    <row r="885" spans="4:7" x14ac:dyDescent="0.25">
      <c r="D885">
        <f>[1]flow_freeway!A885</f>
        <v>16370</v>
      </c>
      <c r="E885" s="137">
        <f>[1]flow_freeway!B885</f>
        <v>81468.671386000002</v>
      </c>
      <c r="F885" s="137">
        <f>[1]flow_freeway!C885</f>
        <v>15661.618164</v>
      </c>
      <c r="G885" s="137">
        <f>[1]flow_freeway!D885</f>
        <v>17710.476562</v>
      </c>
    </row>
    <row r="886" spans="4:7" x14ac:dyDescent="0.25">
      <c r="D886">
        <f>[1]flow_freeway!A886</f>
        <v>16427</v>
      </c>
      <c r="E886" s="137">
        <f>[1]flow_freeway!B886</f>
        <v>59838.676025000008</v>
      </c>
      <c r="F886" s="137">
        <f>[1]flow_freeway!C886</f>
        <v>11664.999023</v>
      </c>
      <c r="G886" s="137">
        <f>[1]flow_freeway!D886</f>
        <v>16431.582031000002</v>
      </c>
    </row>
    <row r="887" spans="4:7" x14ac:dyDescent="0.25">
      <c r="D887">
        <f>[1]flow_freeway!A887</f>
        <v>16428</v>
      </c>
      <c r="E887" s="137">
        <f>[1]flow_freeway!B887</f>
        <v>83241.574705999999</v>
      </c>
      <c r="F887" s="137">
        <f>[1]flow_freeway!C887</f>
        <v>17545.382812</v>
      </c>
      <c r="G887" s="137">
        <f>[1]flow_freeway!D887</f>
        <v>18340.689452999999</v>
      </c>
    </row>
    <row r="888" spans="4:7" x14ac:dyDescent="0.25">
      <c r="D888">
        <f>[1]flow_freeway!A888</f>
        <v>16429</v>
      </c>
      <c r="E888" s="137">
        <f>[1]flow_freeway!B888</f>
        <v>70303.766114000013</v>
      </c>
      <c r="F888" s="137">
        <f>[1]flow_freeway!C888</f>
        <v>13892.773438</v>
      </c>
      <c r="G888" s="137">
        <f>[1]flow_freeway!D888</f>
        <v>18836.291015999999</v>
      </c>
    </row>
    <row r="889" spans="4:7" x14ac:dyDescent="0.25">
      <c r="D889">
        <f>[1]flow_freeway!A889</f>
        <v>16430</v>
      </c>
      <c r="E889" s="137">
        <f>[1]flow_freeway!B889</f>
        <v>59838.676025000008</v>
      </c>
      <c r="F889" s="137">
        <f>[1]flow_freeway!C889</f>
        <v>11664.999023</v>
      </c>
      <c r="G889" s="137">
        <f>[1]flow_freeway!D889</f>
        <v>16431.582031000002</v>
      </c>
    </row>
    <row r="890" spans="4:7" x14ac:dyDescent="0.25">
      <c r="D890">
        <f>[1]flow_freeway!A890</f>
        <v>16431</v>
      </c>
      <c r="E890" s="137">
        <f>[1]flow_freeway!B890</f>
        <v>79684.667235999994</v>
      </c>
      <c r="F890" s="137">
        <f>[1]flow_freeway!C890</f>
        <v>14384.403319999999</v>
      </c>
      <c r="G890" s="137">
        <f>[1]flow_freeway!D890</f>
        <v>21085.214843999998</v>
      </c>
    </row>
    <row r="891" spans="4:7" x14ac:dyDescent="0.25">
      <c r="D891">
        <f>[1]flow_freeway!A891</f>
        <v>16445</v>
      </c>
      <c r="E891" s="137">
        <f>[1]flow_freeway!B891</f>
        <v>95192.84130900001</v>
      </c>
      <c r="F891" s="137">
        <f>[1]flow_freeway!C891</f>
        <v>18901.763672000001</v>
      </c>
      <c r="G891" s="137">
        <f>[1]flow_freeway!D891</f>
        <v>22041.919922000001</v>
      </c>
    </row>
    <row r="892" spans="4:7" x14ac:dyDescent="0.25">
      <c r="D892">
        <f>[1]flow_freeway!A892</f>
        <v>16446</v>
      </c>
      <c r="E892" s="137">
        <f>[1]flow_freeway!B892</f>
        <v>81504.338379000008</v>
      </c>
      <c r="F892" s="137">
        <f>[1]flow_freeway!C892</f>
        <v>16597.160156000002</v>
      </c>
      <c r="G892" s="137">
        <f>[1]flow_freeway!D892</f>
        <v>19198.648438</v>
      </c>
    </row>
    <row r="893" spans="4:7" x14ac:dyDescent="0.25">
      <c r="D893">
        <f>[1]flow_freeway!A893</f>
        <v>16447</v>
      </c>
      <c r="E893" s="137">
        <f>[1]flow_freeway!B893</f>
        <v>93467.473633000001</v>
      </c>
      <c r="F893" s="137">
        <f>[1]flow_freeway!C893</f>
        <v>18206.996093999998</v>
      </c>
      <c r="G893" s="137">
        <f>[1]flow_freeway!D893</f>
        <v>23013.443359000001</v>
      </c>
    </row>
    <row r="894" spans="4:7" x14ac:dyDescent="0.25">
      <c r="D894">
        <f>[1]flow_freeway!A894</f>
        <v>16450</v>
      </c>
      <c r="E894" s="137">
        <f>[1]flow_freeway!B894</f>
        <v>90224.03759800001</v>
      </c>
      <c r="F894" s="137">
        <f>[1]flow_freeway!C894</f>
        <v>17655.375</v>
      </c>
      <c r="G894" s="137">
        <f>[1]flow_freeway!D894</f>
        <v>22068.265625</v>
      </c>
    </row>
    <row r="895" spans="4:7" x14ac:dyDescent="0.25">
      <c r="D895">
        <f>[1]flow_freeway!A895</f>
        <v>16489</v>
      </c>
      <c r="E895" s="137">
        <f>[1]flow_freeway!B895</f>
        <v>60616.046143</v>
      </c>
      <c r="F895" s="137">
        <f>[1]flow_freeway!C895</f>
        <v>9967.7109380000002</v>
      </c>
      <c r="G895" s="137">
        <f>[1]flow_freeway!D895</f>
        <v>16772.240234000001</v>
      </c>
    </row>
    <row r="896" spans="4:7" x14ac:dyDescent="0.25">
      <c r="D896">
        <f>[1]flow_freeway!A896</f>
        <v>16490</v>
      </c>
      <c r="E896" s="137">
        <f>[1]flow_freeway!B896</f>
        <v>29128.786865000002</v>
      </c>
      <c r="F896" s="137">
        <f>[1]flow_freeway!C896</f>
        <v>6814.5986329999996</v>
      </c>
      <c r="G896" s="137">
        <f>[1]flow_freeway!D896</f>
        <v>5938.5527339999999</v>
      </c>
    </row>
    <row r="897" spans="4:7" x14ac:dyDescent="0.25">
      <c r="D897">
        <f>[1]flow_freeway!A897</f>
        <v>16491</v>
      </c>
      <c r="E897" s="137">
        <f>[1]flow_freeway!B897</f>
        <v>30262.207276000001</v>
      </c>
      <c r="F897" s="137">
        <f>[1]flow_freeway!C897</f>
        <v>5560.7915039999998</v>
      </c>
      <c r="G897" s="137">
        <f>[1]flow_freeway!D897</f>
        <v>7355.5791019999997</v>
      </c>
    </row>
    <row r="898" spans="4:7" x14ac:dyDescent="0.25">
      <c r="D898">
        <f>[1]flow_freeway!A898</f>
        <v>16495</v>
      </c>
      <c r="E898" s="137">
        <f>[1]flow_freeway!B898</f>
        <v>31015.604491999999</v>
      </c>
      <c r="F898" s="137">
        <f>[1]flow_freeway!C898</f>
        <v>6993.564453</v>
      </c>
      <c r="G898" s="137">
        <f>[1]flow_freeway!D898</f>
        <v>6519.4516599999997</v>
      </c>
    </row>
    <row r="899" spans="4:7" x14ac:dyDescent="0.25">
      <c r="D899">
        <f>[1]flow_freeway!A899</f>
        <v>16499</v>
      </c>
      <c r="E899" s="137">
        <f>[1]flow_freeway!B899</f>
        <v>30581.819090999998</v>
      </c>
      <c r="F899" s="137">
        <f>[1]flow_freeway!C899</f>
        <v>5598.1440430000002</v>
      </c>
      <c r="G899" s="137">
        <f>[1]flow_freeway!D899</f>
        <v>7451.8164059999999</v>
      </c>
    </row>
    <row r="900" spans="4:7" x14ac:dyDescent="0.25">
      <c r="D900">
        <f>[1]flow_freeway!A900</f>
        <v>16523</v>
      </c>
      <c r="E900" s="137">
        <f>[1]flow_freeway!B900</f>
        <v>32963.433532000003</v>
      </c>
      <c r="F900" s="137">
        <f>[1]flow_freeway!C900</f>
        <v>6602.626953</v>
      </c>
      <c r="G900" s="137">
        <f>[1]flow_freeway!D900</f>
        <v>9648.4882809999999</v>
      </c>
    </row>
    <row r="901" spans="4:7" x14ac:dyDescent="0.25">
      <c r="D901">
        <f>[1]flow_freeway!A901</f>
        <v>16524</v>
      </c>
      <c r="E901" s="137">
        <f>[1]flow_freeway!B901</f>
        <v>32963.433532000003</v>
      </c>
      <c r="F901" s="137">
        <f>[1]flow_freeway!C901</f>
        <v>6602.626953</v>
      </c>
      <c r="G901" s="137">
        <f>[1]flow_freeway!D901</f>
        <v>9648.4882809999999</v>
      </c>
    </row>
    <row r="902" spans="4:7" x14ac:dyDescent="0.25">
      <c r="D902">
        <f>[1]flow_freeway!A902</f>
        <v>16533</v>
      </c>
      <c r="E902" s="137">
        <f>[1]flow_freeway!B902</f>
        <v>71614.246580999999</v>
      </c>
      <c r="F902" s="137">
        <f>[1]flow_freeway!C902</f>
        <v>19091.4375</v>
      </c>
      <c r="G902" s="137">
        <f>[1]flow_freeway!D902</f>
        <v>14407.948242</v>
      </c>
    </row>
    <row r="903" spans="4:7" x14ac:dyDescent="0.25">
      <c r="D903">
        <f>[1]flow_freeway!A903</f>
        <v>16534</v>
      </c>
      <c r="E903" s="137">
        <f>[1]flow_freeway!B903</f>
        <v>77320.666504000008</v>
      </c>
      <c r="F903" s="137">
        <f>[1]flow_freeway!C903</f>
        <v>20371.705077999999</v>
      </c>
      <c r="G903" s="137">
        <f>[1]flow_freeway!D903</f>
        <v>15827.060546999999</v>
      </c>
    </row>
    <row r="904" spans="4:7" x14ac:dyDescent="0.25">
      <c r="D904">
        <f>[1]flow_freeway!A904</f>
        <v>16564</v>
      </c>
      <c r="E904" s="137">
        <f>[1]flow_freeway!B904</f>
        <v>52545.099365000002</v>
      </c>
      <c r="F904" s="137">
        <f>[1]flow_freeway!C904</f>
        <v>11692.603515999999</v>
      </c>
      <c r="G904" s="137">
        <f>[1]flow_freeway!D904</f>
        <v>12627.659180000001</v>
      </c>
    </row>
    <row r="905" spans="4:7" x14ac:dyDescent="0.25">
      <c r="D905">
        <f>[1]flow_freeway!A905</f>
        <v>16565</v>
      </c>
      <c r="E905" s="137">
        <f>[1]flow_freeway!B905</f>
        <v>65155.948730000004</v>
      </c>
      <c r="F905" s="137">
        <f>[1]flow_freeway!C905</f>
        <v>12413.745117</v>
      </c>
      <c r="G905" s="137">
        <f>[1]flow_freeway!D905</f>
        <v>15961.9375</v>
      </c>
    </row>
    <row r="906" spans="4:7" x14ac:dyDescent="0.25">
      <c r="D906">
        <f>[1]flow_freeway!A906</f>
        <v>16566</v>
      </c>
      <c r="E906" s="137">
        <f>[1]flow_freeway!B906</f>
        <v>52036.995116999999</v>
      </c>
      <c r="F906" s="137">
        <f>[1]flow_freeway!C906</f>
        <v>9908.8095699999994</v>
      </c>
      <c r="G906" s="137">
        <f>[1]flow_freeway!D906</f>
        <v>13378.260742</v>
      </c>
    </row>
    <row r="907" spans="4:7" x14ac:dyDescent="0.25">
      <c r="D907">
        <f>[1]flow_freeway!A907</f>
        <v>16567</v>
      </c>
      <c r="E907" s="137">
        <f>[1]flow_freeway!B907</f>
        <v>63536.019775000001</v>
      </c>
      <c r="F907" s="137">
        <f>[1]flow_freeway!C907</f>
        <v>13452.879883</v>
      </c>
      <c r="G907" s="137">
        <f>[1]flow_freeway!D907</f>
        <v>15426.324219</v>
      </c>
    </row>
    <row r="908" spans="4:7" x14ac:dyDescent="0.25">
      <c r="D908">
        <f>[1]flow_freeway!A908</f>
        <v>16570</v>
      </c>
      <c r="E908" s="137">
        <f>[1]flow_freeway!B908</f>
        <v>129325.28027300001</v>
      </c>
      <c r="F908" s="137">
        <f>[1]flow_freeway!C908</f>
        <v>23441.519531000002</v>
      </c>
      <c r="G908" s="137">
        <f>[1]flow_freeway!D908</f>
        <v>34693.183594000002</v>
      </c>
    </row>
    <row r="909" spans="4:7" x14ac:dyDescent="0.25">
      <c r="D909">
        <f>[1]flow_freeway!A909</f>
        <v>16578</v>
      </c>
      <c r="E909" s="137">
        <f>[1]flow_freeway!B909</f>
        <v>98143.375243999995</v>
      </c>
      <c r="F909" s="137">
        <f>[1]flow_freeway!C909</f>
        <v>19042.759765999999</v>
      </c>
      <c r="G909" s="137">
        <f>[1]flow_freeway!D909</f>
        <v>27787.896484000001</v>
      </c>
    </row>
    <row r="910" spans="4:7" x14ac:dyDescent="0.25">
      <c r="D910">
        <f>[1]flow_freeway!A910</f>
        <v>16580</v>
      </c>
      <c r="E910" s="137">
        <f>[1]flow_freeway!B910</f>
        <v>110617.201172</v>
      </c>
      <c r="F910" s="137">
        <f>[1]flow_freeway!C910</f>
        <v>25493.132812</v>
      </c>
      <c r="G910" s="137">
        <f>[1]flow_freeway!D910</f>
        <v>25391.142577999999</v>
      </c>
    </row>
    <row r="911" spans="4:7" x14ac:dyDescent="0.25">
      <c r="D911">
        <f>[1]flow_freeway!A911</f>
        <v>16584</v>
      </c>
      <c r="E911" s="137">
        <f>[1]flow_freeway!B911</f>
        <v>101244.10498</v>
      </c>
      <c r="F911" s="137">
        <f>[1]flow_freeway!C911</f>
        <v>24329.863281000002</v>
      </c>
      <c r="G911" s="137">
        <f>[1]flow_freeway!D911</f>
        <v>23477.322265999999</v>
      </c>
    </row>
    <row r="912" spans="4:7" x14ac:dyDescent="0.25">
      <c r="D912">
        <f>[1]flow_freeway!A912</f>
        <v>16759</v>
      </c>
      <c r="E912" s="137">
        <f>[1]flow_freeway!B912</f>
        <v>84172.974608999997</v>
      </c>
      <c r="F912" s="137">
        <f>[1]flow_freeway!C912</f>
        <v>15692.1875</v>
      </c>
      <c r="G912" s="137">
        <f>[1]flow_freeway!D912</f>
        <v>22878.976562</v>
      </c>
    </row>
    <row r="913" spans="4:7" x14ac:dyDescent="0.25">
      <c r="D913">
        <f>[1]flow_freeway!A913</f>
        <v>16760</v>
      </c>
      <c r="E913" s="137">
        <f>[1]flow_freeway!B913</f>
        <v>89963.902343000009</v>
      </c>
      <c r="F913" s="137">
        <f>[1]flow_freeway!C913</f>
        <v>21399.552734000001</v>
      </c>
      <c r="G913" s="137">
        <f>[1]flow_freeway!D913</f>
        <v>21360.294922000001</v>
      </c>
    </row>
    <row r="914" spans="4:7" x14ac:dyDescent="0.25">
      <c r="D914">
        <f>[1]flow_freeway!A914</f>
        <v>16761</v>
      </c>
      <c r="E914" s="137">
        <f>[1]flow_freeway!B914</f>
        <v>73745.183349999992</v>
      </c>
      <c r="F914" s="137">
        <f>[1]flow_freeway!C914</f>
        <v>13727.182617</v>
      </c>
      <c r="G914" s="137">
        <f>[1]flow_freeway!D914</f>
        <v>19930.167968999998</v>
      </c>
    </row>
    <row r="915" spans="4:7" x14ac:dyDescent="0.25">
      <c r="D915">
        <f>[1]flow_freeway!A915</f>
        <v>17300</v>
      </c>
      <c r="E915" s="137">
        <f>[1]flow_freeway!B915</f>
        <v>66244.214842999994</v>
      </c>
      <c r="F915" s="137">
        <f>[1]flow_freeway!C915</f>
        <v>19373.535156000002</v>
      </c>
      <c r="G915" s="137">
        <f>[1]flow_freeway!D915</f>
        <v>13229.370117</v>
      </c>
    </row>
    <row r="916" spans="4:7" x14ac:dyDescent="0.25">
      <c r="D916">
        <f>[1]flow_freeway!A916</f>
        <v>18949</v>
      </c>
      <c r="E916" s="137">
        <f>[1]flow_freeway!B916</f>
        <v>64177.479491999991</v>
      </c>
      <c r="F916" s="137">
        <f>[1]flow_freeway!C916</f>
        <v>10234.153319999999</v>
      </c>
      <c r="G916" s="137">
        <f>[1]flow_freeway!D916</f>
        <v>21258.558593999998</v>
      </c>
    </row>
    <row r="917" spans="4:7" x14ac:dyDescent="0.25">
      <c r="D917">
        <f>[1]flow_freeway!A917</f>
        <v>19152</v>
      </c>
      <c r="E917" s="137">
        <f>[1]flow_freeway!B917</f>
        <v>73767.939209000004</v>
      </c>
      <c r="F917" s="137">
        <f>[1]flow_freeway!C917</f>
        <v>14969.420898</v>
      </c>
      <c r="G917" s="137">
        <f>[1]flow_freeway!D917</f>
        <v>18448.203125</v>
      </c>
    </row>
    <row r="918" spans="4:7" x14ac:dyDescent="0.25">
      <c r="D918">
        <f>[1]flow_freeway!A918</f>
        <v>19455</v>
      </c>
      <c r="E918" s="137">
        <f>[1]flow_freeway!B918</f>
        <v>1985.8908690000001</v>
      </c>
      <c r="F918" s="137">
        <f>[1]flow_freeway!C918</f>
        <v>0</v>
      </c>
      <c r="G918" s="137">
        <f>[1]flow_freeway!D918</f>
        <v>1985.8908690000001</v>
      </c>
    </row>
    <row r="919" spans="4:7" x14ac:dyDescent="0.25">
      <c r="D919">
        <f>[1]flow_freeway!A919</f>
        <v>19481</v>
      </c>
      <c r="E919" s="137">
        <f>[1]flow_freeway!B919</f>
        <v>53542.108643000007</v>
      </c>
      <c r="F919" s="137">
        <f>[1]flow_freeway!C919</f>
        <v>8872.7929690000001</v>
      </c>
      <c r="G919" s="137">
        <f>[1]flow_freeway!D919</f>
        <v>17693.544922000001</v>
      </c>
    </row>
    <row r="920" spans="4:7" x14ac:dyDescent="0.25">
      <c r="D920">
        <f>[1]flow_freeway!A920</f>
        <v>19564</v>
      </c>
      <c r="E920" s="137">
        <f>[1]flow_freeway!B920</f>
        <v>11562.204605000001</v>
      </c>
      <c r="F920" s="137">
        <f>[1]flow_freeway!C920</f>
        <v>1964.1599120000001</v>
      </c>
      <c r="G920" s="137">
        <f>[1]flow_freeway!D920</f>
        <v>4056.467529</v>
      </c>
    </row>
    <row r="921" spans="4:7" x14ac:dyDescent="0.25">
      <c r="D921">
        <f>[1]flow_freeway!A921</f>
        <v>19571</v>
      </c>
      <c r="E921" s="137">
        <f>[1]flow_freeway!B921</f>
        <v>72595.742677000002</v>
      </c>
      <c r="F921" s="137">
        <f>[1]flow_freeway!C921</f>
        <v>15505.157227</v>
      </c>
      <c r="G921" s="137">
        <f>[1]flow_freeway!D921</f>
        <v>16209.459961</v>
      </c>
    </row>
    <row r="922" spans="4:7" x14ac:dyDescent="0.25">
      <c r="D922">
        <f>[1]flow_freeway!A922</f>
        <v>19605</v>
      </c>
      <c r="E922" s="137">
        <f>[1]flow_freeway!B922</f>
        <v>81904.721678999995</v>
      </c>
      <c r="F922" s="137">
        <f>[1]flow_freeway!C922</f>
        <v>16225.400390999999</v>
      </c>
      <c r="G922" s="137">
        <f>[1]flow_freeway!D922</f>
        <v>21316.160156000002</v>
      </c>
    </row>
    <row r="923" spans="4:7" x14ac:dyDescent="0.25">
      <c r="D923">
        <f>[1]flow_freeway!A923</f>
        <v>19671</v>
      </c>
      <c r="E923" s="137">
        <f>[1]flow_freeway!B923</f>
        <v>103101.28051699999</v>
      </c>
      <c r="F923" s="137">
        <f>[1]flow_freeway!C923</f>
        <v>18063.820312</v>
      </c>
      <c r="G923" s="137">
        <f>[1]flow_freeway!D923</f>
        <v>28600.302734000001</v>
      </c>
    </row>
    <row r="924" spans="4:7" x14ac:dyDescent="0.25">
      <c r="D924">
        <f>[1]flow_freeway!A924</f>
        <v>20457</v>
      </c>
      <c r="E924" s="137">
        <f>[1]flow_freeway!B924</f>
        <v>107795.107911</v>
      </c>
      <c r="F924" s="137">
        <f>[1]flow_freeway!C924</f>
        <v>27844.5</v>
      </c>
      <c r="G924" s="137">
        <f>[1]flow_freeway!D924</f>
        <v>23573.1875</v>
      </c>
    </row>
    <row r="925" spans="4:7" x14ac:dyDescent="0.25">
      <c r="D925">
        <f>[1]flow_freeway!A925</f>
        <v>20458</v>
      </c>
      <c r="E925" s="137">
        <f>[1]flow_freeway!B925</f>
        <v>84888.5</v>
      </c>
      <c r="F925" s="137">
        <f>[1]flow_freeway!C925</f>
        <v>20149.626952999999</v>
      </c>
      <c r="G925" s="137">
        <f>[1]flow_freeway!D925</f>
        <v>19803.167968999998</v>
      </c>
    </row>
    <row r="926" spans="4:7" x14ac:dyDescent="0.25">
      <c r="D926">
        <f>[1]flow_freeway!A926</f>
        <v>20463</v>
      </c>
      <c r="E926" s="137">
        <f>[1]flow_freeway!B926</f>
        <v>76885.875732</v>
      </c>
      <c r="F926" s="137">
        <f>[1]flow_freeway!C926</f>
        <v>14944.110352</v>
      </c>
      <c r="G926" s="137">
        <f>[1]flow_freeway!D926</f>
        <v>20716.410156000002</v>
      </c>
    </row>
    <row r="927" spans="4:7" x14ac:dyDescent="0.25">
      <c r="D927">
        <f>[1]flow_freeway!A927</f>
        <v>20464</v>
      </c>
      <c r="E927" s="137">
        <f>[1]flow_freeway!B927</f>
        <v>57042.065430000002</v>
      </c>
      <c r="F927" s="137">
        <f>[1]flow_freeway!C927</f>
        <v>13399.163086</v>
      </c>
      <c r="G927" s="137">
        <f>[1]flow_freeway!D927</f>
        <v>10422.435546999999</v>
      </c>
    </row>
    <row r="928" spans="4:7" x14ac:dyDescent="0.25">
      <c r="D928">
        <f>[1]flow_freeway!A928</f>
        <v>20465</v>
      </c>
      <c r="E928" s="137">
        <f>[1]flow_freeway!B928</f>
        <v>125469.050781</v>
      </c>
      <c r="F928" s="137">
        <f>[1]flow_freeway!C928</f>
        <v>31574.546875</v>
      </c>
      <c r="G928" s="137">
        <f>[1]flow_freeway!D928</f>
        <v>26961.078125</v>
      </c>
    </row>
    <row r="929" spans="4:7" x14ac:dyDescent="0.25">
      <c r="D929">
        <f>[1]flow_freeway!A929</f>
        <v>20466</v>
      </c>
      <c r="E929" s="137">
        <f>[1]flow_freeway!B929</f>
        <v>85171.169921999986</v>
      </c>
      <c r="F929" s="137">
        <f>[1]flow_freeway!C929</f>
        <v>23059.662109000001</v>
      </c>
      <c r="G929" s="137">
        <f>[1]flow_freeway!D929</f>
        <v>17586.066406000002</v>
      </c>
    </row>
    <row r="930" spans="4:7" x14ac:dyDescent="0.25">
      <c r="D930">
        <f>[1]flow_freeway!A930</f>
        <v>20467</v>
      </c>
      <c r="E930" s="137">
        <f>[1]flow_freeway!B930</f>
        <v>91208.391111999998</v>
      </c>
      <c r="F930" s="137">
        <f>[1]flow_freeway!C930</f>
        <v>24907.46875</v>
      </c>
      <c r="G930" s="137">
        <f>[1]flow_freeway!D930</f>
        <v>18888.876952999999</v>
      </c>
    </row>
    <row r="931" spans="4:7" x14ac:dyDescent="0.25">
      <c r="D931">
        <f>[1]flow_freeway!A931</f>
        <v>20471</v>
      </c>
      <c r="E931" s="137">
        <f>[1]flow_freeway!B931</f>
        <v>84417.898923999994</v>
      </c>
      <c r="F931" s="137">
        <f>[1]flow_freeway!C931</f>
        <v>22079.601562</v>
      </c>
      <c r="G931" s="137">
        <f>[1]flow_freeway!D931</f>
        <v>18965.191406000002</v>
      </c>
    </row>
    <row r="932" spans="4:7" x14ac:dyDescent="0.25">
      <c r="D932">
        <f>[1]flow_freeway!A932</f>
        <v>20472</v>
      </c>
      <c r="E932" s="137">
        <f>[1]flow_freeway!B932</f>
        <v>84417.898923999994</v>
      </c>
      <c r="F932" s="137">
        <f>[1]flow_freeway!C932</f>
        <v>22079.601562</v>
      </c>
      <c r="G932" s="137">
        <f>[1]flow_freeway!D932</f>
        <v>18965.191406000002</v>
      </c>
    </row>
    <row r="933" spans="4:7" x14ac:dyDescent="0.25">
      <c r="D933">
        <f>[1]flow_freeway!A933</f>
        <v>20487</v>
      </c>
      <c r="E933" s="137">
        <f>[1]flow_freeway!B933</f>
        <v>115220.123536</v>
      </c>
      <c r="F933" s="137">
        <f>[1]flow_freeway!C933</f>
        <v>28120.542968999998</v>
      </c>
      <c r="G933" s="137">
        <f>[1]flow_freeway!D933</f>
        <v>24274.605468999998</v>
      </c>
    </row>
    <row r="934" spans="4:7" x14ac:dyDescent="0.25">
      <c r="D934">
        <f>[1]flow_freeway!A934</f>
        <v>20529</v>
      </c>
      <c r="E934" s="137">
        <f>[1]flow_freeway!B934</f>
        <v>107795.118164</v>
      </c>
      <c r="F934" s="137">
        <f>[1]flow_freeway!C934</f>
        <v>24758.912109000001</v>
      </c>
      <c r="G934" s="137">
        <f>[1]flow_freeway!D934</f>
        <v>24870.359375</v>
      </c>
    </row>
    <row r="935" spans="4:7" x14ac:dyDescent="0.25">
      <c r="D935">
        <f>[1]flow_freeway!A935</f>
        <v>20549</v>
      </c>
      <c r="E935" s="137">
        <f>[1]flow_freeway!B935</f>
        <v>83410.932862000001</v>
      </c>
      <c r="F935" s="137">
        <f>[1]flow_freeway!C935</f>
        <v>18647.763672000001</v>
      </c>
      <c r="G935" s="137">
        <f>[1]flow_freeway!D935</f>
        <v>20102.849609000001</v>
      </c>
    </row>
    <row r="936" spans="4:7" x14ac:dyDescent="0.25">
      <c r="D936">
        <f>[1]flow_freeway!A936</f>
        <v>20588</v>
      </c>
      <c r="E936" s="137">
        <f>[1]flow_freeway!B936</f>
        <v>76190.536620000013</v>
      </c>
      <c r="F936" s="137">
        <f>[1]flow_freeway!C936</f>
        <v>16894.966797000001</v>
      </c>
      <c r="G936" s="137">
        <f>[1]flow_freeway!D936</f>
        <v>18593.142577999999</v>
      </c>
    </row>
    <row r="937" spans="4:7" x14ac:dyDescent="0.25">
      <c r="D937">
        <f>[1]flow_freeway!A937</f>
        <v>20600</v>
      </c>
      <c r="E937" s="137">
        <f>[1]flow_freeway!B937</f>
        <v>63622.935301999998</v>
      </c>
      <c r="F937" s="137">
        <f>[1]flow_freeway!C937</f>
        <v>13373.135742</v>
      </c>
      <c r="G937" s="137">
        <f>[1]flow_freeway!D937</f>
        <v>16188.6875</v>
      </c>
    </row>
    <row r="938" spans="4:7" x14ac:dyDescent="0.25">
      <c r="D938">
        <f>[1]flow_freeway!A938</f>
        <v>20639</v>
      </c>
      <c r="E938" s="137">
        <f>[1]flow_freeway!B938</f>
        <v>76520.421386999995</v>
      </c>
      <c r="F938" s="137">
        <f>[1]flow_freeway!C938</f>
        <v>16047.072265999999</v>
      </c>
      <c r="G938" s="137">
        <f>[1]flow_freeway!D938</f>
        <v>20131.03125</v>
      </c>
    </row>
    <row r="939" spans="4:7" x14ac:dyDescent="0.25">
      <c r="D939">
        <f>[1]flow_freeway!A939</f>
        <v>20640</v>
      </c>
      <c r="E939" s="137">
        <f>[1]flow_freeway!B939</f>
        <v>82476.882322999998</v>
      </c>
      <c r="F939" s="137">
        <f>[1]flow_freeway!C939</f>
        <v>19487.347656000002</v>
      </c>
      <c r="G939" s="137">
        <f>[1]flow_freeway!D939</f>
        <v>20442.128906000002</v>
      </c>
    </row>
    <row r="940" spans="4:7" x14ac:dyDescent="0.25">
      <c r="D940">
        <f>[1]flow_freeway!A940</f>
        <v>20654</v>
      </c>
      <c r="E940" s="137">
        <f>[1]flow_freeway!B940</f>
        <v>98655.479493000006</v>
      </c>
      <c r="F940" s="137">
        <f>[1]flow_freeway!C940</f>
        <v>21053.550781000002</v>
      </c>
      <c r="G940" s="137">
        <f>[1]flow_freeway!D940</f>
        <v>20020.542968999998</v>
      </c>
    </row>
    <row r="941" spans="4:7" x14ac:dyDescent="0.25">
      <c r="D941">
        <f>[1]flow_freeway!A941</f>
        <v>20684</v>
      </c>
      <c r="E941" s="137">
        <f>[1]flow_freeway!B941</f>
        <v>85323.487793000008</v>
      </c>
      <c r="F941" s="137">
        <f>[1]flow_freeway!C941</f>
        <v>18416.769531000002</v>
      </c>
      <c r="G941" s="137">
        <f>[1]flow_freeway!D941</f>
        <v>23282.759765999999</v>
      </c>
    </row>
    <row r="942" spans="4:7" x14ac:dyDescent="0.25">
      <c r="D942">
        <f>[1]flow_freeway!A942</f>
        <v>20685</v>
      </c>
      <c r="E942" s="137">
        <f>[1]flow_freeway!B942</f>
        <v>60981.913819000001</v>
      </c>
      <c r="F942" s="137">
        <f>[1]flow_freeway!C942</f>
        <v>13964.517578000001</v>
      </c>
      <c r="G942" s="137">
        <f>[1]flow_freeway!D942</f>
        <v>16075.109375</v>
      </c>
    </row>
    <row r="943" spans="4:7" x14ac:dyDescent="0.25">
      <c r="D943">
        <f>[1]flow_freeway!A943</f>
        <v>20689</v>
      </c>
      <c r="E943" s="137">
        <f>[1]flow_freeway!B943</f>
        <v>94508.444824000006</v>
      </c>
      <c r="F943" s="137">
        <f>[1]flow_freeway!C943</f>
        <v>21188.769531000002</v>
      </c>
      <c r="G943" s="137">
        <f>[1]flow_freeway!D943</f>
        <v>23875.779297000001</v>
      </c>
    </row>
    <row r="944" spans="4:7" x14ac:dyDescent="0.25">
      <c r="D944">
        <f>[1]flow_freeway!A944</f>
        <v>20693</v>
      </c>
      <c r="E944" s="137">
        <f>[1]flow_freeway!B944</f>
        <v>69568.827393</v>
      </c>
      <c r="F944" s="137">
        <f>[1]flow_freeway!C944</f>
        <v>14573.935546999999</v>
      </c>
      <c r="G944" s="137">
        <f>[1]flow_freeway!D944</f>
        <v>19312.359375</v>
      </c>
    </row>
    <row r="945" spans="4:7" x14ac:dyDescent="0.25">
      <c r="D945">
        <f>[1]flow_freeway!A945</f>
        <v>20694</v>
      </c>
      <c r="E945" s="137">
        <f>[1]flow_freeway!B945</f>
        <v>76211.167724999992</v>
      </c>
      <c r="F945" s="137">
        <f>[1]flow_freeway!C945</f>
        <v>15527.898438</v>
      </c>
      <c r="G945" s="137">
        <f>[1]flow_freeway!D945</f>
        <v>20951.939452999999</v>
      </c>
    </row>
    <row r="946" spans="4:7" x14ac:dyDescent="0.25">
      <c r="D946">
        <f>[1]flow_freeway!A946</f>
        <v>20696</v>
      </c>
      <c r="E946" s="137">
        <f>[1]flow_freeway!B946</f>
        <v>102507.399659</v>
      </c>
      <c r="F946" s="137">
        <f>[1]flow_freeway!C946</f>
        <v>19317.814452999999</v>
      </c>
      <c r="G946" s="137">
        <f>[1]flow_freeway!D946</f>
        <v>29025.148438</v>
      </c>
    </row>
    <row r="947" spans="4:7" x14ac:dyDescent="0.25">
      <c r="D947">
        <f>[1]flow_freeway!A947</f>
        <v>20700</v>
      </c>
      <c r="E947" s="137">
        <f>[1]flow_freeway!B947</f>
        <v>86556.853759000005</v>
      </c>
      <c r="F947" s="137">
        <f>[1]flow_freeway!C947</f>
        <v>15543.966796999999</v>
      </c>
      <c r="G947" s="137">
        <f>[1]flow_freeway!D947</f>
        <v>25383.552734000001</v>
      </c>
    </row>
    <row r="948" spans="4:7" x14ac:dyDescent="0.25">
      <c r="D948">
        <f>[1]flow_freeway!A948</f>
        <v>20701</v>
      </c>
      <c r="E948" s="137">
        <f>[1]flow_freeway!B948</f>
        <v>117066.637695</v>
      </c>
      <c r="F948" s="137">
        <f>[1]flow_freeway!C948</f>
        <v>19946.667968999998</v>
      </c>
      <c r="G948" s="137">
        <f>[1]flow_freeway!D948</f>
        <v>32733.568359000001</v>
      </c>
    </row>
    <row r="949" spans="4:7" x14ac:dyDescent="0.25">
      <c r="D949">
        <f>[1]flow_freeway!A949</f>
        <v>20703</v>
      </c>
      <c r="E949" s="137">
        <f>[1]flow_freeway!B949</f>
        <v>137221.83544900001</v>
      </c>
      <c r="F949" s="137">
        <f>[1]flow_freeway!C949</f>
        <v>22685.449218999998</v>
      </c>
      <c r="G949" s="137">
        <f>[1]flow_freeway!D949</f>
        <v>38693.664062000003</v>
      </c>
    </row>
    <row r="950" spans="4:7" x14ac:dyDescent="0.25">
      <c r="D950">
        <f>[1]flow_freeway!A950</f>
        <v>20705</v>
      </c>
      <c r="E950" s="137">
        <f>[1]flow_freeway!B950</f>
        <v>53746.491089999996</v>
      </c>
      <c r="F950" s="137">
        <f>[1]flow_freeway!C950</f>
        <v>9864.2080079999996</v>
      </c>
      <c r="G950" s="137">
        <f>[1]flow_freeway!D950</f>
        <v>15784.447265999999</v>
      </c>
    </row>
    <row r="951" spans="4:7" x14ac:dyDescent="0.25">
      <c r="D951">
        <f>[1]flow_freeway!A951</f>
        <v>20706</v>
      </c>
      <c r="E951" s="137">
        <f>[1]flow_freeway!B951</f>
        <v>88950.539794000011</v>
      </c>
      <c r="F951" s="137">
        <f>[1]flow_freeway!C951</f>
        <v>15441.083984000001</v>
      </c>
      <c r="G951" s="137">
        <f>[1]flow_freeway!D951</f>
        <v>25966.361327999999</v>
      </c>
    </row>
    <row r="952" spans="4:7" x14ac:dyDescent="0.25">
      <c r="D952">
        <f>[1]flow_freeway!A952</f>
        <v>20709</v>
      </c>
      <c r="E952" s="137">
        <f>[1]flow_freeway!B952</f>
        <v>100148.005859</v>
      </c>
      <c r="F952" s="137">
        <f>[1]flow_freeway!C952</f>
        <v>17643.931640999999</v>
      </c>
      <c r="G952" s="137">
        <f>[1]flow_freeway!D952</f>
        <v>28713.763672000001</v>
      </c>
    </row>
    <row r="953" spans="4:7" x14ac:dyDescent="0.25">
      <c r="D953">
        <f>[1]flow_freeway!A953</f>
        <v>20710</v>
      </c>
      <c r="E953" s="137">
        <f>[1]flow_freeway!B953</f>
        <v>79108.114379999999</v>
      </c>
      <c r="F953" s="137">
        <f>[1]flow_freeway!C953</f>
        <v>12913.521484000001</v>
      </c>
      <c r="G953" s="137">
        <f>[1]flow_freeway!D953</f>
        <v>23523.273438</v>
      </c>
    </row>
    <row r="954" spans="4:7" x14ac:dyDescent="0.25">
      <c r="D954">
        <f>[1]flow_freeway!A954</f>
        <v>20711</v>
      </c>
      <c r="E954" s="137">
        <f>[1]flow_freeway!B954</f>
        <v>90106.084715999998</v>
      </c>
      <c r="F954" s="137">
        <f>[1]flow_freeway!C954</f>
        <v>13677.481444999999</v>
      </c>
      <c r="G954" s="137">
        <f>[1]flow_freeway!D954</f>
        <v>27141.736327999999</v>
      </c>
    </row>
    <row r="955" spans="4:7" x14ac:dyDescent="0.25">
      <c r="D955">
        <f>[1]flow_freeway!A955</f>
        <v>20713</v>
      </c>
      <c r="E955" s="137">
        <f>[1]flow_freeway!B955</f>
        <v>86618.803954999996</v>
      </c>
      <c r="F955" s="137">
        <f>[1]flow_freeway!C955</f>
        <v>12994.892578000001</v>
      </c>
      <c r="G955" s="137">
        <f>[1]flow_freeway!D955</f>
        <v>26047.121093999998</v>
      </c>
    </row>
    <row r="956" spans="4:7" x14ac:dyDescent="0.25">
      <c r="D956">
        <f>[1]flow_freeway!A956</f>
        <v>20717</v>
      </c>
      <c r="E956" s="137">
        <f>[1]flow_freeway!B956</f>
        <v>104761.09497000001</v>
      </c>
      <c r="F956" s="137">
        <f>[1]flow_freeway!C956</f>
        <v>16845.705077999999</v>
      </c>
      <c r="G956" s="137">
        <f>[1]flow_freeway!D956</f>
        <v>30615.253906000002</v>
      </c>
    </row>
    <row r="957" spans="4:7" x14ac:dyDescent="0.25">
      <c r="D957">
        <f>[1]flow_freeway!A957</f>
        <v>20719</v>
      </c>
      <c r="E957" s="137">
        <f>[1]flow_freeway!B957</f>
        <v>77085.708251999997</v>
      </c>
      <c r="F957" s="137">
        <f>[1]flow_freeway!C957</f>
        <v>12215.450194999999</v>
      </c>
      <c r="G957" s="137">
        <f>[1]flow_freeway!D957</f>
        <v>23689.3125</v>
      </c>
    </row>
    <row r="958" spans="4:7" x14ac:dyDescent="0.25">
      <c r="D958">
        <f>[1]flow_freeway!A958</f>
        <v>20725</v>
      </c>
      <c r="E958" s="137">
        <f>[1]flow_freeway!B958</f>
        <v>46484.251952000006</v>
      </c>
      <c r="F958" s="137">
        <f>[1]flow_freeway!C958</f>
        <v>7117.1323240000002</v>
      </c>
      <c r="G958" s="137">
        <f>[1]flow_freeway!D958</f>
        <v>14225.834961</v>
      </c>
    </row>
    <row r="959" spans="4:7" x14ac:dyDescent="0.25">
      <c r="D959">
        <f>[1]flow_freeway!A959</f>
        <v>20726</v>
      </c>
      <c r="E959" s="137">
        <f>[1]flow_freeway!B959</f>
        <v>40999.901245000001</v>
      </c>
      <c r="F959" s="137">
        <f>[1]flow_freeway!C959</f>
        <v>6268.7661129999997</v>
      </c>
      <c r="G959" s="137">
        <f>[1]flow_freeway!D959</f>
        <v>12728.309569999999</v>
      </c>
    </row>
    <row r="960" spans="4:7" x14ac:dyDescent="0.25">
      <c r="D960">
        <f>[1]flow_freeway!A960</f>
        <v>20727</v>
      </c>
      <c r="E960" s="137">
        <f>[1]flow_freeway!B960</f>
        <v>43811.605468999995</v>
      </c>
      <c r="F960" s="137">
        <f>[1]flow_freeway!C960</f>
        <v>11848.559569999999</v>
      </c>
      <c r="G960" s="137">
        <f>[1]flow_freeway!D960</f>
        <v>8359.4755860000005</v>
      </c>
    </row>
    <row r="961" spans="4:7" x14ac:dyDescent="0.25">
      <c r="D961">
        <f>[1]flow_freeway!A961</f>
        <v>20730</v>
      </c>
      <c r="E961" s="137">
        <f>[1]flow_freeway!B961</f>
        <v>81490.567871999985</v>
      </c>
      <c r="F961" s="137">
        <f>[1]flow_freeway!C961</f>
        <v>20616.929688</v>
      </c>
      <c r="G961" s="137">
        <f>[1]flow_freeway!D961</f>
        <v>17801.740234000001</v>
      </c>
    </row>
    <row r="962" spans="4:7" x14ac:dyDescent="0.25">
      <c r="D962">
        <f>[1]flow_freeway!A962</f>
        <v>20731</v>
      </c>
      <c r="E962" s="137">
        <f>[1]flow_freeway!B962</f>
        <v>71691.417969000002</v>
      </c>
      <c r="F962" s="137">
        <f>[1]flow_freeway!C962</f>
        <v>19748.984375</v>
      </c>
      <c r="G962" s="137">
        <f>[1]flow_freeway!D962</f>
        <v>14669.231444999999</v>
      </c>
    </row>
    <row r="963" spans="4:7" x14ac:dyDescent="0.25">
      <c r="D963">
        <f>[1]flow_freeway!A963</f>
        <v>20741</v>
      </c>
      <c r="E963" s="137">
        <f>[1]flow_freeway!B963</f>
        <v>110719.53808700001</v>
      </c>
      <c r="F963" s="137">
        <f>[1]flow_freeway!C963</f>
        <v>26375.542968999998</v>
      </c>
      <c r="G963" s="137">
        <f>[1]flow_freeway!D963</f>
        <v>23349.59375</v>
      </c>
    </row>
    <row r="964" spans="4:7" x14ac:dyDescent="0.25">
      <c r="D964">
        <f>[1]flow_freeway!A964</f>
        <v>20743</v>
      </c>
      <c r="E964" s="137">
        <f>[1]flow_freeway!B964</f>
        <v>98801.037108999997</v>
      </c>
      <c r="F964" s="137">
        <f>[1]flow_freeway!C964</f>
        <v>24348.445312</v>
      </c>
      <c r="G964" s="137">
        <f>[1]flow_freeway!D964</f>
        <v>20558.769531000002</v>
      </c>
    </row>
    <row r="965" spans="4:7" x14ac:dyDescent="0.25">
      <c r="D965">
        <f>[1]flow_freeway!A965</f>
        <v>20747</v>
      </c>
      <c r="E965" s="137">
        <f>[1]flow_freeway!B965</f>
        <v>104192.07421799999</v>
      </c>
      <c r="F965" s="137">
        <f>[1]flow_freeway!C965</f>
        <v>24956.226562</v>
      </c>
      <c r="G965" s="137">
        <f>[1]flow_freeway!D965</f>
        <v>20713.548827999999</v>
      </c>
    </row>
    <row r="966" spans="4:7" x14ac:dyDescent="0.25">
      <c r="D966">
        <f>[1]flow_freeway!A966</f>
        <v>20749</v>
      </c>
      <c r="E966" s="137">
        <f>[1]flow_freeway!B966</f>
        <v>125591.12109300001</v>
      </c>
      <c r="F966" s="137">
        <f>[1]flow_freeway!C966</f>
        <v>33761.382812000003</v>
      </c>
      <c r="G966" s="137">
        <f>[1]flow_freeway!D966</f>
        <v>25049.494140999999</v>
      </c>
    </row>
    <row r="967" spans="4:7" x14ac:dyDescent="0.25">
      <c r="D967">
        <f>[1]flow_freeway!A967</f>
        <v>20750</v>
      </c>
      <c r="E967" s="137">
        <f>[1]flow_freeway!B967</f>
        <v>85406.226073999991</v>
      </c>
      <c r="F967" s="137">
        <f>[1]flow_freeway!C967</f>
        <v>24777.916015999999</v>
      </c>
      <c r="G967" s="137">
        <f>[1]flow_freeway!D967</f>
        <v>15794.630859000001</v>
      </c>
    </row>
    <row r="968" spans="4:7" x14ac:dyDescent="0.25">
      <c r="D968">
        <f>[1]flow_freeway!A968</f>
        <v>20755</v>
      </c>
      <c r="E968" s="137">
        <f>[1]flow_freeway!B968</f>
        <v>82837.830077999999</v>
      </c>
      <c r="F968" s="137">
        <f>[1]flow_freeway!C968</f>
        <v>23822.955077999999</v>
      </c>
      <c r="G968" s="137">
        <f>[1]flow_freeway!D968</f>
        <v>14790.169921999999</v>
      </c>
    </row>
    <row r="969" spans="4:7" x14ac:dyDescent="0.25">
      <c r="D969">
        <f>[1]flow_freeway!A969</f>
        <v>20762</v>
      </c>
      <c r="E969" s="137">
        <f>[1]flow_freeway!B969</f>
        <v>82553.732420999993</v>
      </c>
      <c r="F969" s="137">
        <f>[1]flow_freeway!C969</f>
        <v>13099.863281</v>
      </c>
      <c r="G969" s="137">
        <f>[1]flow_freeway!D969</f>
        <v>24508.279297000001</v>
      </c>
    </row>
    <row r="970" spans="4:7" x14ac:dyDescent="0.25">
      <c r="D970">
        <f>[1]flow_freeway!A970</f>
        <v>20781</v>
      </c>
      <c r="E970" s="137">
        <f>[1]flow_freeway!B970</f>
        <v>80609.461914</v>
      </c>
      <c r="F970" s="137">
        <f>[1]flow_freeway!C970</f>
        <v>21569.832031000002</v>
      </c>
      <c r="G970" s="137">
        <f>[1]flow_freeway!D970</f>
        <v>16690.216797000001</v>
      </c>
    </row>
    <row r="971" spans="4:7" x14ac:dyDescent="0.25">
      <c r="D971">
        <f>[1]flow_freeway!A971</f>
        <v>20782</v>
      </c>
      <c r="E971" s="137">
        <f>[1]flow_freeway!B971</f>
        <v>82609.129394000003</v>
      </c>
      <c r="F971" s="137">
        <f>[1]flow_freeway!C971</f>
        <v>13036.791992</v>
      </c>
      <c r="G971" s="137">
        <f>[1]flow_freeway!D971</f>
        <v>26535.144531000002</v>
      </c>
    </row>
    <row r="972" spans="4:7" x14ac:dyDescent="0.25">
      <c r="D972">
        <f>[1]flow_freeway!A972</f>
        <v>20787</v>
      </c>
      <c r="E972" s="137">
        <f>[1]flow_freeway!B972</f>
        <v>91883.411133000001</v>
      </c>
      <c r="F972" s="137">
        <f>[1]flow_freeway!C972</f>
        <v>14058.711914</v>
      </c>
      <c r="G972" s="137">
        <f>[1]flow_freeway!D972</f>
        <v>29693.169922000001</v>
      </c>
    </row>
    <row r="973" spans="4:7" x14ac:dyDescent="0.25">
      <c r="D973">
        <f>[1]flow_freeway!A973</f>
        <v>20788</v>
      </c>
      <c r="E973" s="137">
        <f>[1]flow_freeway!B973</f>
        <v>107884.41015800001</v>
      </c>
      <c r="F973" s="137">
        <f>[1]flow_freeway!C973</f>
        <v>18152.304688</v>
      </c>
      <c r="G973" s="137">
        <f>[1]flow_freeway!D973</f>
        <v>28952.546875</v>
      </c>
    </row>
    <row r="974" spans="4:7" x14ac:dyDescent="0.25">
      <c r="D974">
        <f>[1]flow_freeway!A974</f>
        <v>20789</v>
      </c>
      <c r="E974" s="137">
        <f>[1]flow_freeway!B974</f>
        <v>104018.279297</v>
      </c>
      <c r="F974" s="137">
        <f>[1]flow_freeway!C974</f>
        <v>18357.128906000002</v>
      </c>
      <c r="G974" s="137">
        <f>[1]flow_freeway!D974</f>
        <v>28318.865234000001</v>
      </c>
    </row>
    <row r="975" spans="4:7" x14ac:dyDescent="0.25">
      <c r="D975">
        <f>[1]flow_freeway!A975</f>
        <v>20790</v>
      </c>
      <c r="E975" s="137">
        <f>[1]flow_freeway!B975</f>
        <v>116356.201172</v>
      </c>
      <c r="F975" s="137">
        <f>[1]flow_freeway!C975</f>
        <v>20008.695312</v>
      </c>
      <c r="G975" s="137">
        <f>[1]flow_freeway!D975</f>
        <v>30701.773438</v>
      </c>
    </row>
    <row r="976" spans="4:7" x14ac:dyDescent="0.25">
      <c r="D976">
        <f>[1]flow_freeway!A976</f>
        <v>21781</v>
      </c>
      <c r="E976" s="137">
        <f>[1]flow_freeway!B976</f>
        <v>16776.500885000001</v>
      </c>
      <c r="F976" s="137">
        <f>[1]flow_freeway!C976</f>
        <v>2816.0104980000001</v>
      </c>
      <c r="G976" s="137">
        <f>[1]flow_freeway!D976</f>
        <v>4953.2900390000004</v>
      </c>
    </row>
    <row r="977" spans="4:7" x14ac:dyDescent="0.25">
      <c r="D977">
        <f>[1]flow_freeway!A977</f>
        <v>21782</v>
      </c>
      <c r="E977" s="137">
        <f>[1]flow_freeway!B977</f>
        <v>52177.149414</v>
      </c>
      <c r="F977" s="137">
        <f>[1]flow_freeway!C977</f>
        <v>9407.6162110000005</v>
      </c>
      <c r="G977" s="137">
        <f>[1]flow_freeway!D977</f>
        <v>13124.444336</v>
      </c>
    </row>
    <row r="978" spans="4:7" x14ac:dyDescent="0.25">
      <c r="D978">
        <f>[1]flow_freeway!A978</f>
        <v>21822</v>
      </c>
      <c r="E978" s="137">
        <f>[1]flow_freeway!B978</f>
        <v>56026.090576999995</v>
      </c>
      <c r="F978" s="137">
        <f>[1]flow_freeway!C978</f>
        <v>12255.667969</v>
      </c>
      <c r="G978" s="137">
        <f>[1]flow_freeway!D978</f>
        <v>14608.256836</v>
      </c>
    </row>
    <row r="979" spans="4:7" x14ac:dyDescent="0.25">
      <c r="D979">
        <f>[1]flow_freeway!A979</f>
        <v>21848</v>
      </c>
      <c r="E979" s="137">
        <f>[1]flow_freeway!B979</f>
        <v>54855.059327000003</v>
      </c>
      <c r="F979" s="137">
        <f>[1]flow_freeway!C979</f>
        <v>11678.511719</v>
      </c>
      <c r="G979" s="137">
        <f>[1]flow_freeway!D979</f>
        <v>12370.199219</v>
      </c>
    </row>
    <row r="980" spans="4:7" x14ac:dyDescent="0.25">
      <c r="D980">
        <f>[1]flow_freeway!A980</f>
        <v>21849</v>
      </c>
      <c r="E980" s="137">
        <f>[1]flow_freeway!B980</f>
        <v>66191.439941999997</v>
      </c>
      <c r="F980" s="137">
        <f>[1]flow_freeway!C980</f>
        <v>13164.947265999999</v>
      </c>
      <c r="G980" s="137">
        <f>[1]flow_freeway!D980</f>
        <v>15807.711914</v>
      </c>
    </row>
    <row r="981" spans="4:7" x14ac:dyDescent="0.25">
      <c r="D981">
        <f>[1]flow_freeway!A981</f>
        <v>21850</v>
      </c>
      <c r="E981" s="137">
        <f>[1]flow_freeway!B981</f>
        <v>14990.447021</v>
      </c>
      <c r="F981" s="137">
        <f>[1]flow_freeway!C981</f>
        <v>3614.3564449999999</v>
      </c>
      <c r="G981" s="137">
        <f>[1]flow_freeway!D981</f>
        <v>3628.3874510000001</v>
      </c>
    </row>
    <row r="982" spans="4:7" x14ac:dyDescent="0.25">
      <c r="D982">
        <f>[1]flow_freeway!A982</f>
        <v>21860</v>
      </c>
      <c r="E982" s="137">
        <f>[1]flow_freeway!B982</f>
        <v>28891.207763000002</v>
      </c>
      <c r="F982" s="137">
        <f>[1]flow_freeway!C982</f>
        <v>4947.0361329999996</v>
      </c>
      <c r="G982" s="137">
        <f>[1]flow_freeway!D982</f>
        <v>7792.4501950000003</v>
      </c>
    </row>
    <row r="983" spans="4:7" x14ac:dyDescent="0.25">
      <c r="D983">
        <f>[1]flow_freeway!A983</f>
        <v>21880</v>
      </c>
      <c r="E983" s="137">
        <f>[1]flow_freeway!B983</f>
        <v>27216.033691000001</v>
      </c>
      <c r="F983" s="137">
        <f>[1]flow_freeway!C983</f>
        <v>6413.9599609999996</v>
      </c>
      <c r="G983" s="137">
        <f>[1]flow_freeway!D983</f>
        <v>6404.9365230000003</v>
      </c>
    </row>
    <row r="984" spans="4:7" x14ac:dyDescent="0.25">
      <c r="D984">
        <f>[1]flow_freeway!A984</f>
        <v>21940</v>
      </c>
      <c r="E984" s="137">
        <f>[1]flow_freeway!B984</f>
        <v>43799.091675999996</v>
      </c>
      <c r="F984" s="137">
        <f>[1]flow_freeway!C984</f>
        <v>8894.9541019999997</v>
      </c>
      <c r="G984" s="137">
        <f>[1]flow_freeway!D984</f>
        <v>10731.844727</v>
      </c>
    </row>
    <row r="985" spans="4:7" x14ac:dyDescent="0.25">
      <c r="D985">
        <f>[1]flow_freeway!A985</f>
        <v>21941</v>
      </c>
      <c r="E985" s="137">
        <f>[1]flow_freeway!B985</f>
        <v>35358.841673999996</v>
      </c>
      <c r="F985" s="137">
        <f>[1]flow_freeway!C985</f>
        <v>5454.6826170000004</v>
      </c>
      <c r="G985" s="137">
        <f>[1]flow_freeway!D985</f>
        <v>9174.0595699999994</v>
      </c>
    </row>
    <row r="986" spans="4:7" x14ac:dyDescent="0.25">
      <c r="D986">
        <f>[1]flow_freeway!A986</f>
        <v>21942</v>
      </c>
      <c r="E986" s="137">
        <f>[1]flow_freeway!B986</f>
        <v>35792.005126000004</v>
      </c>
      <c r="F986" s="137">
        <f>[1]flow_freeway!C986</f>
        <v>8354.6777340000008</v>
      </c>
      <c r="G986" s="137">
        <f>[1]flow_freeway!D986</f>
        <v>8255.8037110000005</v>
      </c>
    </row>
    <row r="987" spans="4:7" x14ac:dyDescent="0.25">
      <c r="D987">
        <f>[1]flow_freeway!A987</f>
        <v>22077</v>
      </c>
      <c r="E987" s="137">
        <f>[1]flow_freeway!B987</f>
        <v>13547.961914</v>
      </c>
      <c r="F987" s="137">
        <f>[1]flow_freeway!C987</f>
        <v>2060.8642580000001</v>
      </c>
      <c r="G987" s="137">
        <f>[1]flow_freeway!D987</f>
        <v>6483.7470700000003</v>
      </c>
    </row>
    <row r="988" spans="4:7" x14ac:dyDescent="0.25">
      <c r="D988">
        <f>[1]flow_freeway!A988</f>
        <v>22146</v>
      </c>
      <c r="E988" s="137">
        <f>[1]flow_freeway!B988</f>
        <v>81468.671386000002</v>
      </c>
      <c r="F988" s="137">
        <f>[1]flow_freeway!C988</f>
        <v>15661.618164</v>
      </c>
      <c r="G988" s="137">
        <f>[1]flow_freeway!D988</f>
        <v>17710.476562</v>
      </c>
    </row>
    <row r="989" spans="4:7" x14ac:dyDescent="0.25">
      <c r="D989">
        <f>[1]flow_freeway!A989</f>
        <v>22157</v>
      </c>
      <c r="E989" s="137">
        <f>[1]flow_freeway!B989</f>
        <v>95676.079590000008</v>
      </c>
      <c r="F989" s="137">
        <f>[1]flow_freeway!C989</f>
        <v>16672.796875</v>
      </c>
      <c r="G989" s="137">
        <f>[1]flow_freeway!D989</f>
        <v>23564.941406000002</v>
      </c>
    </row>
    <row r="990" spans="4:7" x14ac:dyDescent="0.25">
      <c r="D990">
        <f>[1]flow_freeway!A990</f>
        <v>22158</v>
      </c>
      <c r="E990" s="137">
        <f>[1]flow_freeway!B990</f>
        <v>95676.079590000008</v>
      </c>
      <c r="F990" s="137">
        <f>[1]flow_freeway!C990</f>
        <v>16672.796875</v>
      </c>
      <c r="G990" s="137">
        <f>[1]flow_freeway!D990</f>
        <v>23564.941406000002</v>
      </c>
    </row>
    <row r="991" spans="4:7" x14ac:dyDescent="0.25">
      <c r="D991">
        <f>[1]flow_freeway!A991</f>
        <v>22275</v>
      </c>
      <c r="E991" s="137">
        <f>[1]flow_freeway!B991</f>
        <v>16175.667572</v>
      </c>
      <c r="F991" s="137">
        <f>[1]flow_freeway!C991</f>
        <v>6074.2607420000004</v>
      </c>
      <c r="G991" s="137">
        <f>[1]flow_freeway!D991</f>
        <v>2846.9760740000002</v>
      </c>
    </row>
    <row r="992" spans="4:7" x14ac:dyDescent="0.25">
      <c r="D992">
        <f>[1]flow_freeway!A992</f>
        <v>22603</v>
      </c>
      <c r="E992" s="137">
        <f>[1]flow_freeway!B992</f>
        <v>102734.513184</v>
      </c>
      <c r="F992" s="137">
        <f>[1]flow_freeway!C992</f>
        <v>16014.115234000001</v>
      </c>
      <c r="G992" s="137">
        <f>[1]flow_freeway!D992</f>
        <v>29994.886718999998</v>
      </c>
    </row>
    <row r="993" spans="4:7" x14ac:dyDescent="0.25">
      <c r="D993">
        <f>[1]flow_freeway!A993</f>
        <v>22715</v>
      </c>
      <c r="E993" s="137">
        <f>[1]flow_freeway!B993</f>
        <v>83091.062988000005</v>
      </c>
      <c r="F993" s="137">
        <f>[1]flow_freeway!C993</f>
        <v>21892.751952999999</v>
      </c>
      <c r="G993" s="137">
        <f>[1]flow_freeway!D993</f>
        <v>16646.431640999999</v>
      </c>
    </row>
    <row r="994" spans="4:7" x14ac:dyDescent="0.25">
      <c r="D994">
        <f>[1]flow_freeway!A994</f>
        <v>22716</v>
      </c>
      <c r="E994" s="137">
        <f>[1]flow_freeway!B994</f>
        <v>81576.473876999997</v>
      </c>
      <c r="F994" s="137">
        <f>[1]flow_freeway!C994</f>
        <v>14596.849609000001</v>
      </c>
      <c r="G994" s="137">
        <f>[1]flow_freeway!D994</f>
        <v>24890.080077999999</v>
      </c>
    </row>
    <row r="995" spans="4:7" x14ac:dyDescent="0.25">
      <c r="D995">
        <f>[1]flow_freeway!A995</f>
        <v>22740</v>
      </c>
      <c r="E995" s="137">
        <f>[1]flow_freeway!B995</f>
        <v>73773.267579000007</v>
      </c>
      <c r="F995" s="137">
        <f>[1]flow_freeway!C995</f>
        <v>18636.103515999999</v>
      </c>
      <c r="G995" s="137">
        <f>[1]flow_freeway!D995</f>
        <v>16837.259765999999</v>
      </c>
    </row>
    <row r="996" spans="4:7" x14ac:dyDescent="0.25">
      <c r="D996">
        <f>[1]flow_freeway!A996</f>
        <v>22743</v>
      </c>
      <c r="E996" s="137">
        <f>[1]flow_freeway!B996</f>
        <v>73383.968261999995</v>
      </c>
      <c r="F996" s="137">
        <f>[1]flow_freeway!C996</f>
        <v>15794.90625</v>
      </c>
      <c r="G996" s="137">
        <f>[1]flow_freeway!D996</f>
        <v>19608.105468999998</v>
      </c>
    </row>
    <row r="997" spans="4:7" x14ac:dyDescent="0.25">
      <c r="D997">
        <f>[1]flow_freeway!A997</f>
        <v>22756</v>
      </c>
      <c r="E997" s="137">
        <f>[1]flow_freeway!B997</f>
        <v>75729.483886999995</v>
      </c>
      <c r="F997" s="137">
        <f>[1]flow_freeway!C997</f>
        <v>16770.921875</v>
      </c>
      <c r="G997" s="137">
        <f>[1]flow_freeway!D997</f>
        <v>18744.759765999999</v>
      </c>
    </row>
    <row r="998" spans="4:7" x14ac:dyDescent="0.25">
      <c r="D998">
        <f>[1]flow_freeway!A998</f>
        <v>22757</v>
      </c>
      <c r="E998" s="137">
        <f>[1]flow_freeway!B998</f>
        <v>44373.544677999998</v>
      </c>
      <c r="F998" s="137">
        <f>[1]flow_freeway!C998</f>
        <v>9476.8388670000004</v>
      </c>
      <c r="G998" s="137">
        <f>[1]flow_freeway!D998</f>
        <v>10274.478515999999</v>
      </c>
    </row>
    <row r="999" spans="4:7" x14ac:dyDescent="0.25">
      <c r="D999">
        <f>[1]flow_freeway!A999</f>
        <v>22761</v>
      </c>
      <c r="E999" s="137">
        <f>[1]flow_freeway!B999</f>
        <v>64839.009276999997</v>
      </c>
      <c r="F999" s="137">
        <f>[1]flow_freeway!C999</f>
        <v>19493.849609000001</v>
      </c>
      <c r="G999" s="137">
        <f>[1]flow_freeway!D999</f>
        <v>11687.135742</v>
      </c>
    </row>
    <row r="1000" spans="4:7" x14ac:dyDescent="0.25">
      <c r="D1000">
        <f>[1]flow_freeway!A1000</f>
        <v>22937</v>
      </c>
      <c r="E1000" s="137">
        <f>[1]flow_freeway!B1000</f>
        <v>56026.090576999995</v>
      </c>
      <c r="F1000" s="137">
        <f>[1]flow_freeway!C1000</f>
        <v>12255.667969</v>
      </c>
      <c r="G1000" s="137">
        <f>[1]flow_freeway!D1000</f>
        <v>14608.256836</v>
      </c>
    </row>
    <row r="1001" spans="4:7" x14ac:dyDescent="0.25">
      <c r="D1001">
        <f>[1]flow_freeway!A1001</f>
        <v>22953</v>
      </c>
      <c r="E1001" s="137">
        <f>[1]flow_freeway!B1001</f>
        <v>77224.376952999999</v>
      </c>
      <c r="F1001" s="137">
        <f>[1]flow_freeway!C1001</f>
        <v>16337.680664</v>
      </c>
      <c r="G1001" s="137">
        <f>[1]flow_freeway!D1001</f>
        <v>20422.271484000001</v>
      </c>
    </row>
    <row r="1002" spans="4:7" x14ac:dyDescent="0.25">
      <c r="D1002">
        <f>[1]flow_freeway!A1002</f>
        <v>23000</v>
      </c>
      <c r="E1002" s="137">
        <f>[1]flow_freeway!B1002</f>
        <v>54855.059327000003</v>
      </c>
      <c r="F1002" s="137">
        <f>[1]flow_freeway!C1002</f>
        <v>11678.511719</v>
      </c>
      <c r="G1002" s="137">
        <f>[1]flow_freeway!D1002</f>
        <v>12370.199219</v>
      </c>
    </row>
    <row r="1003" spans="4:7" x14ac:dyDescent="0.25">
      <c r="D1003">
        <f>[1]flow_freeway!A1003</f>
        <v>23044</v>
      </c>
      <c r="E1003" s="137">
        <f>[1]flow_freeway!B1003</f>
        <v>22570.076187999999</v>
      </c>
      <c r="F1003" s="137">
        <f>[1]flow_freeway!C1003</f>
        <v>3786.7377929999998</v>
      </c>
      <c r="G1003" s="137">
        <f>[1]flow_freeway!D1003</f>
        <v>9327.5654300000006</v>
      </c>
    </row>
    <row r="1004" spans="4:7" x14ac:dyDescent="0.25">
      <c r="D1004">
        <f>[1]flow_freeway!A1004</f>
        <v>23053</v>
      </c>
      <c r="E1004" s="137">
        <f>[1]flow_freeway!B1004</f>
        <v>22948.723755999999</v>
      </c>
      <c r="F1004" s="137">
        <f>[1]flow_freeway!C1004</f>
        <v>3485.6503910000001</v>
      </c>
      <c r="G1004" s="137">
        <f>[1]flow_freeway!D1004</f>
        <v>10056.764648</v>
      </c>
    </row>
    <row r="1005" spans="4:7" x14ac:dyDescent="0.25">
      <c r="D1005">
        <f>[1]flow_freeway!A1005</f>
        <v>23128</v>
      </c>
      <c r="E1005" s="137">
        <f>[1]flow_freeway!B1005</f>
        <v>20060.137237999999</v>
      </c>
      <c r="F1005" s="137">
        <f>[1]flow_freeway!C1005</f>
        <v>8070.5820309999999</v>
      </c>
      <c r="G1005" s="137">
        <f>[1]flow_freeway!D1005</f>
        <v>3654.3554690000001</v>
      </c>
    </row>
    <row r="1006" spans="4:7" x14ac:dyDescent="0.25">
      <c r="D1006">
        <f>[1]flow_freeway!A1006</f>
        <v>23142</v>
      </c>
      <c r="E1006" s="137">
        <f>[1]flow_freeway!B1006</f>
        <v>23252.484629999999</v>
      </c>
      <c r="F1006" s="137">
        <f>[1]flow_freeway!C1006</f>
        <v>9661.7236329999996</v>
      </c>
      <c r="G1006" s="137">
        <f>[1]flow_freeway!D1006</f>
        <v>5428.9711909999996</v>
      </c>
    </row>
    <row r="1007" spans="4:7" x14ac:dyDescent="0.25">
      <c r="D1007">
        <f>[1]flow_freeway!A1007</f>
        <v>23435</v>
      </c>
      <c r="E1007" s="137">
        <f>[1]flow_freeway!B1007</f>
        <v>22557.289672000003</v>
      </c>
      <c r="F1007" s="137">
        <f>[1]flow_freeway!C1007</f>
        <v>3808.6347660000001</v>
      </c>
      <c r="G1007" s="137">
        <f>[1]flow_freeway!D1007</f>
        <v>4749.0805659999996</v>
      </c>
    </row>
    <row r="1008" spans="4:7" x14ac:dyDescent="0.25">
      <c r="D1008">
        <f>[1]flow_freeway!A1008</f>
        <v>23557</v>
      </c>
      <c r="E1008" s="137">
        <f>[1]flow_freeway!B1008</f>
        <v>95475.370604999989</v>
      </c>
      <c r="F1008" s="137">
        <f>[1]flow_freeway!C1008</f>
        <v>18862.144531000002</v>
      </c>
      <c r="G1008" s="137">
        <f>[1]flow_freeway!D1008</f>
        <v>22982.552734000001</v>
      </c>
    </row>
    <row r="1009" spans="4:7" x14ac:dyDescent="0.25">
      <c r="D1009">
        <f>[1]flow_freeway!A1009</f>
        <v>23851</v>
      </c>
      <c r="E1009" s="137">
        <f>[1]flow_freeway!B1009</f>
        <v>83835.271972999995</v>
      </c>
      <c r="F1009" s="137">
        <f>[1]flow_freeway!C1009</f>
        <v>18561.277343999998</v>
      </c>
      <c r="G1009" s="137">
        <f>[1]flow_freeway!D1009</f>
        <v>19374.949218999998</v>
      </c>
    </row>
    <row r="1010" spans="4:7" x14ac:dyDescent="0.25">
      <c r="D1010">
        <f>[1]flow_freeway!A1010</f>
        <v>23867</v>
      </c>
      <c r="E1010" s="137">
        <f>[1]flow_freeway!B1010</f>
        <v>40157.910155999998</v>
      </c>
      <c r="F1010" s="137">
        <f>[1]flow_freeway!C1010</f>
        <v>12770.491211</v>
      </c>
      <c r="G1010" s="137">
        <f>[1]flow_freeway!D1010</f>
        <v>7529.5283200000003</v>
      </c>
    </row>
    <row r="1011" spans="4:7" x14ac:dyDescent="0.25">
      <c r="D1011">
        <f>[1]flow_freeway!A1011</f>
        <v>23885</v>
      </c>
      <c r="E1011" s="137">
        <f>[1]flow_freeway!B1011</f>
        <v>29196.397217999998</v>
      </c>
      <c r="F1011" s="137">
        <f>[1]flow_freeway!C1011</f>
        <v>9534.4628909999992</v>
      </c>
      <c r="G1011" s="137">
        <f>[1]flow_freeway!D1011</f>
        <v>5363.0053710000002</v>
      </c>
    </row>
    <row r="1012" spans="4:7" x14ac:dyDescent="0.25">
      <c r="D1012">
        <f>[1]flow_freeway!A1012</f>
        <v>24091</v>
      </c>
      <c r="E1012" s="137">
        <f>[1]flow_freeway!B1012</f>
        <v>61263.683593000002</v>
      </c>
      <c r="F1012" s="137">
        <f>[1]flow_freeway!C1012</f>
        <v>16006.320312</v>
      </c>
      <c r="G1012" s="137">
        <f>[1]flow_freeway!D1012</f>
        <v>13876.410156</v>
      </c>
    </row>
    <row r="1013" spans="4:7" x14ac:dyDescent="0.25">
      <c r="D1013">
        <f>[1]flow_freeway!A1013</f>
        <v>24140</v>
      </c>
      <c r="E1013" s="137">
        <f>[1]flow_freeway!B1013</f>
        <v>79601.837402999998</v>
      </c>
      <c r="F1013" s="137">
        <f>[1]flow_freeway!C1013</f>
        <v>17016.806640999999</v>
      </c>
      <c r="G1013" s="137">
        <f>[1]flow_freeway!D1013</f>
        <v>17950.041015999999</v>
      </c>
    </row>
    <row r="1014" spans="4:7" x14ac:dyDescent="0.25">
      <c r="D1014">
        <f>[1]flow_freeway!A1014</f>
        <v>24143</v>
      </c>
      <c r="E1014" s="137">
        <f>[1]flow_freeway!B1014</f>
        <v>78478.922850999996</v>
      </c>
      <c r="F1014" s="137">
        <f>[1]flow_freeway!C1014</f>
        <v>14593.205078000001</v>
      </c>
      <c r="G1014" s="137">
        <f>[1]flow_freeway!D1014</f>
        <v>18970.683593999998</v>
      </c>
    </row>
    <row r="1015" spans="4:7" x14ac:dyDescent="0.25">
      <c r="D1015">
        <f>[1]flow_freeway!A1015</f>
        <v>24158</v>
      </c>
      <c r="E1015" s="137">
        <f>[1]flow_freeway!B1015</f>
        <v>61621.090087999997</v>
      </c>
      <c r="F1015" s="137">
        <f>[1]flow_freeway!C1015</f>
        <v>9511.3574219999991</v>
      </c>
      <c r="G1015" s="137">
        <f>[1]flow_freeway!D1015</f>
        <v>20860.212890999999</v>
      </c>
    </row>
    <row r="1016" spans="4:7" x14ac:dyDescent="0.25">
      <c r="D1016">
        <f>[1]flow_freeway!A1016</f>
        <v>24173</v>
      </c>
      <c r="E1016" s="137">
        <f>[1]flow_freeway!B1016</f>
        <v>3653.5550070000004</v>
      </c>
      <c r="F1016" s="137">
        <f>[1]flow_freeway!C1016</f>
        <v>1338.3201899999999</v>
      </c>
      <c r="G1016" s="137">
        <f>[1]flow_freeway!D1016</f>
        <v>241.96954299999999</v>
      </c>
    </row>
    <row r="1017" spans="4:7" x14ac:dyDescent="0.25">
      <c r="D1017">
        <f>[1]flow_freeway!A1017</f>
        <v>24186</v>
      </c>
      <c r="E1017" s="137">
        <f>[1]flow_freeway!B1017</f>
        <v>66244.214842999994</v>
      </c>
      <c r="F1017" s="137">
        <f>[1]flow_freeway!C1017</f>
        <v>19373.535156000002</v>
      </c>
      <c r="G1017" s="137">
        <f>[1]flow_freeway!D1017</f>
        <v>13229.370117</v>
      </c>
    </row>
    <row r="1018" spans="4:7" x14ac:dyDescent="0.25">
      <c r="D1018">
        <f>[1]flow_freeway!A1018</f>
        <v>24212</v>
      </c>
      <c r="E1018" s="137">
        <f>[1]flow_freeway!B1018</f>
        <v>1828.7254640000001</v>
      </c>
      <c r="F1018" s="137">
        <f>[1]flow_freeway!C1018</f>
        <v>1828.7254640000001</v>
      </c>
      <c r="G1018" s="137">
        <f>[1]flow_freeway!D1018</f>
        <v>0</v>
      </c>
    </row>
    <row r="1019" spans="4:7" x14ac:dyDescent="0.25">
      <c r="D1019">
        <f>[1]flow_freeway!A1019</f>
        <v>24224</v>
      </c>
      <c r="E1019" s="137">
        <f>[1]flow_freeway!B1019</f>
        <v>1985.8908690000001</v>
      </c>
      <c r="F1019" s="137">
        <f>[1]flow_freeway!C1019</f>
        <v>0</v>
      </c>
      <c r="G1019" s="137">
        <f>[1]flow_freeway!D1019</f>
        <v>1985.8908690000001</v>
      </c>
    </row>
    <row r="1020" spans="4:7" x14ac:dyDescent="0.25">
      <c r="D1020">
        <f>[1]flow_freeway!A1020</f>
        <v>24499</v>
      </c>
      <c r="E1020" s="137">
        <f>[1]flow_freeway!B1020</f>
        <v>92708.025879000008</v>
      </c>
      <c r="F1020" s="137">
        <f>[1]flow_freeway!C1020</f>
        <v>20608.318359000001</v>
      </c>
      <c r="G1020" s="137">
        <f>[1]flow_freeway!D1020</f>
        <v>23117.041015999999</v>
      </c>
    </row>
    <row r="1021" spans="4:7" x14ac:dyDescent="0.25">
      <c r="D1021">
        <f>[1]flow_freeway!A1021</f>
        <v>24523</v>
      </c>
      <c r="E1021" s="137">
        <f>[1]flow_freeway!B1021</f>
        <v>111696.537109</v>
      </c>
      <c r="F1021" s="137">
        <f>[1]flow_freeway!C1021</f>
        <v>22564.828125</v>
      </c>
      <c r="G1021" s="137">
        <f>[1]flow_freeway!D1021</f>
        <v>29776.359375</v>
      </c>
    </row>
    <row r="1022" spans="4:7" x14ac:dyDescent="0.25">
      <c r="D1022">
        <f>[1]flow_freeway!A1022</f>
        <v>24696</v>
      </c>
      <c r="E1022" s="137">
        <f>[1]flow_freeway!B1022</f>
        <v>59012.345948000002</v>
      </c>
      <c r="F1022" s="137">
        <f>[1]flow_freeway!C1022</f>
        <v>12334.335938</v>
      </c>
      <c r="G1022" s="137">
        <f>[1]flow_freeway!D1022</f>
        <v>14461.248046999999</v>
      </c>
    </row>
    <row r="1023" spans="4:7" x14ac:dyDescent="0.25">
      <c r="D1023">
        <f>[1]flow_freeway!A1023</f>
        <v>24703</v>
      </c>
      <c r="E1023" s="137">
        <f>[1]flow_freeway!B1023</f>
        <v>80498.100097000002</v>
      </c>
      <c r="F1023" s="137">
        <f>[1]flow_freeway!C1023</f>
        <v>16210.225586</v>
      </c>
      <c r="G1023" s="137">
        <f>[1]flow_freeway!D1023</f>
        <v>21097.476562</v>
      </c>
    </row>
    <row r="1024" spans="4:7" x14ac:dyDescent="0.25">
      <c r="D1024">
        <f>[1]flow_freeway!A1024</f>
        <v>24704</v>
      </c>
      <c r="E1024" s="137">
        <f>[1]flow_freeway!B1024</f>
        <v>118720.908692</v>
      </c>
      <c r="F1024" s="137">
        <f>[1]flow_freeway!C1024</f>
        <v>21392.876952999999</v>
      </c>
      <c r="G1024" s="137">
        <f>[1]flow_freeway!D1024</f>
        <v>31391.683593999998</v>
      </c>
    </row>
    <row r="1025" spans="4:7" x14ac:dyDescent="0.25">
      <c r="D1025">
        <f>[1]flow_freeway!A1025</f>
        <v>24714</v>
      </c>
      <c r="E1025" s="137">
        <f>[1]flow_freeway!B1025</f>
        <v>13777.652832999998</v>
      </c>
      <c r="F1025" s="137">
        <f>[1]flow_freeway!C1025</f>
        <v>3608.2148440000001</v>
      </c>
      <c r="G1025" s="137">
        <f>[1]flow_freeway!D1025</f>
        <v>2560.2475589999999</v>
      </c>
    </row>
    <row r="1026" spans="4:7" x14ac:dyDescent="0.25">
      <c r="D1026">
        <f>[1]flow_freeway!A1026</f>
        <v>24750</v>
      </c>
      <c r="E1026" s="137">
        <f>[1]flow_freeway!B1026</f>
        <v>14328.058105999999</v>
      </c>
      <c r="F1026" s="137">
        <f>[1]flow_freeway!C1026</f>
        <v>3814.3076169999999</v>
      </c>
      <c r="G1026" s="137">
        <f>[1]flow_freeway!D1026</f>
        <v>4319.5708009999998</v>
      </c>
    </row>
    <row r="1027" spans="4:7" x14ac:dyDescent="0.25">
      <c r="D1027">
        <f>[1]flow_freeway!A1027</f>
        <v>24770</v>
      </c>
      <c r="E1027" s="137">
        <f>[1]flow_freeway!B1027</f>
        <v>17267.160339999999</v>
      </c>
      <c r="F1027" s="137">
        <f>[1]flow_freeway!C1027</f>
        <v>3984.5429690000001</v>
      </c>
      <c r="G1027" s="137">
        <f>[1]flow_freeway!D1027</f>
        <v>4798.4726559999999</v>
      </c>
    </row>
    <row r="1028" spans="4:7" x14ac:dyDescent="0.25">
      <c r="D1028">
        <f>[1]flow_freeway!A1028</f>
        <v>25025</v>
      </c>
      <c r="E1028" s="137">
        <f>[1]flow_freeway!B1028</f>
        <v>64839.009276999997</v>
      </c>
      <c r="F1028" s="137">
        <f>[1]flow_freeway!C1028</f>
        <v>19493.849609000001</v>
      </c>
      <c r="G1028" s="137">
        <f>[1]flow_freeway!D1028</f>
        <v>11687.135742</v>
      </c>
    </row>
    <row r="1029" spans="4:7" x14ac:dyDescent="0.25">
      <c r="D1029">
        <f>[1]flow_freeway!A1029</f>
        <v>25099</v>
      </c>
      <c r="E1029" s="137">
        <f>[1]flow_freeway!B1029</f>
        <v>125727.16503999999</v>
      </c>
      <c r="F1029" s="137">
        <f>[1]flow_freeway!C1029</f>
        <v>19846.544922000001</v>
      </c>
      <c r="G1029" s="137">
        <f>[1]flow_freeway!D1029</f>
        <v>38712.15625</v>
      </c>
    </row>
    <row r="1030" spans="4:7" x14ac:dyDescent="0.25">
      <c r="D1030">
        <f>[1]flow_freeway!A1030</f>
        <v>25100</v>
      </c>
      <c r="E1030" s="137">
        <f>[1]flow_freeway!B1030</f>
        <v>126564.438477</v>
      </c>
      <c r="F1030" s="137">
        <f>[1]flow_freeway!C1030</f>
        <v>31393.589843999998</v>
      </c>
      <c r="G1030" s="137">
        <f>[1]flow_freeway!D1030</f>
        <v>23310.728515999999</v>
      </c>
    </row>
    <row r="1031" spans="4:7" x14ac:dyDescent="0.25">
      <c r="D1031">
        <f>[1]flow_freeway!A1031</f>
        <v>25104</v>
      </c>
      <c r="E1031" s="137">
        <f>[1]flow_freeway!B1031</f>
        <v>124849.977539</v>
      </c>
      <c r="F1031" s="137">
        <f>[1]flow_freeway!C1031</f>
        <v>31482.712890999999</v>
      </c>
      <c r="G1031" s="137">
        <f>[1]flow_freeway!D1031</f>
        <v>23598.763672000001</v>
      </c>
    </row>
    <row r="1032" spans="4:7" x14ac:dyDescent="0.25">
      <c r="D1032">
        <f>[1]flow_freeway!A1032</f>
        <v>25105</v>
      </c>
      <c r="E1032" s="137">
        <f>[1]flow_freeway!B1032</f>
        <v>159703.032225</v>
      </c>
      <c r="F1032" s="137">
        <f>[1]flow_freeway!C1032</f>
        <v>35762.140625</v>
      </c>
      <c r="G1032" s="137">
        <f>[1]flow_freeway!D1032</f>
        <v>31977.820312</v>
      </c>
    </row>
    <row r="1033" spans="4:7" x14ac:dyDescent="0.25">
      <c r="D1033">
        <f>[1]flow_freeway!A1033</f>
        <v>25128</v>
      </c>
      <c r="E1033" s="137">
        <f>[1]flow_freeway!B1033</f>
        <v>109237.30957000001</v>
      </c>
      <c r="F1033" s="137">
        <f>[1]flow_freeway!C1033</f>
        <v>23536.158202999999</v>
      </c>
      <c r="G1033" s="137">
        <f>[1]flow_freeway!D1033</f>
        <v>28339.908202999999</v>
      </c>
    </row>
    <row r="1034" spans="4:7" x14ac:dyDescent="0.25">
      <c r="D1034">
        <f>[1]flow_freeway!A1034</f>
        <v>25142</v>
      </c>
      <c r="E1034" s="137">
        <f>[1]flow_freeway!B1034</f>
        <v>96001.756834999993</v>
      </c>
      <c r="F1034" s="137">
        <f>[1]flow_freeway!C1034</f>
        <v>20660.070312</v>
      </c>
      <c r="G1034" s="137">
        <f>[1]flow_freeway!D1034</f>
        <v>24406.072265999999</v>
      </c>
    </row>
    <row r="1035" spans="4:7" x14ac:dyDescent="0.25">
      <c r="D1035">
        <f>[1]flow_freeway!A1035</f>
        <v>25162</v>
      </c>
      <c r="E1035" s="137">
        <f>[1]flow_freeway!B1035</f>
        <v>19265.899047999999</v>
      </c>
      <c r="F1035" s="137">
        <f>[1]flow_freeway!C1035</f>
        <v>3798.6584469999998</v>
      </c>
      <c r="G1035" s="137">
        <f>[1]flow_freeway!D1035</f>
        <v>4057.8901369999999</v>
      </c>
    </row>
    <row r="1036" spans="4:7" x14ac:dyDescent="0.25">
      <c r="D1036">
        <f>[1]flow_freeway!A1036</f>
        <v>25163</v>
      </c>
      <c r="E1036" s="137">
        <f>[1]flow_freeway!B1036</f>
        <v>84182.224608999997</v>
      </c>
      <c r="F1036" s="137">
        <f>[1]flow_freeway!C1036</f>
        <v>18563.863281000002</v>
      </c>
      <c r="G1036" s="137">
        <f>[1]flow_freeway!D1036</f>
        <v>21519.048827999999</v>
      </c>
    </row>
    <row r="1037" spans="4:7" x14ac:dyDescent="0.25">
      <c r="D1037">
        <f>[1]flow_freeway!A1037</f>
        <v>25259</v>
      </c>
      <c r="E1037" s="137">
        <f>[1]flow_freeway!B1037</f>
        <v>19265.899047999999</v>
      </c>
      <c r="F1037" s="137">
        <f>[1]flow_freeway!C1037</f>
        <v>3798.6584469999998</v>
      </c>
      <c r="G1037" s="137">
        <f>[1]flow_freeway!D1037</f>
        <v>4057.8901369999999</v>
      </c>
    </row>
    <row r="1038" spans="4:7" x14ac:dyDescent="0.25">
      <c r="D1038">
        <f>[1]flow_freeway!A1038</f>
        <v>25357</v>
      </c>
      <c r="E1038" s="137">
        <f>[1]flow_freeway!B1038</f>
        <v>4818.6818970000004</v>
      </c>
      <c r="F1038" s="137">
        <f>[1]flow_freeway!C1038</f>
        <v>692.96118200000001</v>
      </c>
      <c r="G1038" s="137">
        <f>[1]flow_freeway!D1038</f>
        <v>2340.505615</v>
      </c>
    </row>
    <row r="1039" spans="4:7" x14ac:dyDescent="0.25">
      <c r="D1039">
        <f>[1]flow_freeway!A1039</f>
        <v>25364</v>
      </c>
      <c r="E1039" s="137">
        <f>[1]flow_freeway!B1039</f>
        <v>6979.8714290000007</v>
      </c>
      <c r="F1039" s="137">
        <f>[1]flow_freeway!C1039</f>
        <v>1397.292236</v>
      </c>
      <c r="G1039" s="137">
        <f>[1]flow_freeway!D1039</f>
        <v>2420.904297</v>
      </c>
    </row>
    <row r="1040" spans="4:7" x14ac:dyDescent="0.25">
      <c r="D1040">
        <f>[1]flow_freeway!A1040</f>
        <v>25381</v>
      </c>
      <c r="E1040" s="137">
        <f>[1]flow_freeway!B1040</f>
        <v>13547.961914</v>
      </c>
      <c r="F1040" s="137">
        <f>[1]flow_freeway!C1040</f>
        <v>2060.8642580000001</v>
      </c>
      <c r="G1040" s="137">
        <f>[1]flow_freeway!D1040</f>
        <v>6483.7470700000003</v>
      </c>
    </row>
    <row r="1041" spans="4:7" x14ac:dyDescent="0.25">
      <c r="D1041">
        <f>[1]flow_freeway!A1041</f>
        <v>25386</v>
      </c>
      <c r="E1041" s="137">
        <f>[1]flow_freeway!B1041</f>
        <v>11064.571824000001</v>
      </c>
      <c r="F1041" s="137">
        <f>[1]flow_freeway!C1041</f>
        <v>1810.005249</v>
      </c>
      <c r="G1041" s="137">
        <f>[1]flow_freeway!D1041</f>
        <v>4525.5776370000003</v>
      </c>
    </row>
    <row r="1042" spans="4:7" x14ac:dyDescent="0.25">
      <c r="D1042">
        <f>[1]flow_freeway!A1042</f>
        <v>25387</v>
      </c>
      <c r="E1042" s="137">
        <f>[1]flow_freeway!B1042</f>
        <v>119337.416015</v>
      </c>
      <c r="F1042" s="137">
        <f>[1]flow_freeway!C1042</f>
        <v>19060.839843999998</v>
      </c>
      <c r="G1042" s="137">
        <f>[1]flow_freeway!D1042</f>
        <v>33859.6875</v>
      </c>
    </row>
    <row r="1043" spans="4:7" x14ac:dyDescent="0.25">
      <c r="D1043">
        <f>[1]flow_freeway!A1043</f>
        <v>25406</v>
      </c>
      <c r="E1043" s="137">
        <f>[1]flow_freeway!B1043</f>
        <v>117944.192383</v>
      </c>
      <c r="F1043" s="137">
        <f>[1]flow_freeway!C1043</f>
        <v>28774.125</v>
      </c>
      <c r="G1043" s="137">
        <f>[1]flow_freeway!D1043</f>
        <v>23011.384765999999</v>
      </c>
    </row>
    <row r="1044" spans="4:7" x14ac:dyDescent="0.25">
      <c r="D1044">
        <f>[1]flow_freeway!A1044</f>
        <v>25409</v>
      </c>
      <c r="E1044" s="137">
        <f>[1]flow_freeway!B1044</f>
        <v>62734.365722000002</v>
      </c>
      <c r="F1044" s="137">
        <f>[1]flow_freeway!C1044</f>
        <v>9940.6669920000004</v>
      </c>
      <c r="G1044" s="137">
        <f>[1]flow_freeway!D1044</f>
        <v>18226.771484000001</v>
      </c>
    </row>
    <row r="1045" spans="4:7" x14ac:dyDescent="0.25">
      <c r="D1045">
        <f>[1]flow_freeway!A1045</f>
        <v>25467</v>
      </c>
      <c r="E1045" s="137">
        <f>[1]flow_freeway!B1045</f>
        <v>12337.464295000002</v>
      </c>
      <c r="F1045" s="137">
        <f>[1]flow_freeway!C1045</f>
        <v>6284.8833009999998</v>
      </c>
      <c r="G1045" s="137">
        <f>[1]flow_freeway!D1045</f>
        <v>1665.15625</v>
      </c>
    </row>
    <row r="1046" spans="4:7" x14ac:dyDescent="0.25">
      <c r="D1046">
        <f>[1]flow_freeway!A1046</f>
        <v>25531</v>
      </c>
      <c r="E1046" s="137">
        <f>[1]flow_freeway!B1046</f>
        <v>29246.889404000001</v>
      </c>
      <c r="F1046" s="137">
        <f>[1]flow_freeway!C1046</f>
        <v>5271.0214839999999</v>
      </c>
      <c r="G1046" s="137">
        <f>[1]flow_freeway!D1046</f>
        <v>6142.1508789999998</v>
      </c>
    </row>
    <row r="1047" spans="4:7" x14ac:dyDescent="0.25">
      <c r="D1047">
        <f>[1]flow_freeway!A1047</f>
        <v>25532</v>
      </c>
      <c r="E1047" s="137">
        <f>[1]flow_freeway!B1047</f>
        <v>29246.889404000001</v>
      </c>
      <c r="F1047" s="137">
        <f>[1]flow_freeway!C1047</f>
        <v>5271.0214839999999</v>
      </c>
      <c r="G1047" s="137">
        <f>[1]flow_freeway!D1047</f>
        <v>6142.1508789999998</v>
      </c>
    </row>
    <row r="1048" spans="4:7" x14ac:dyDescent="0.25">
      <c r="D1048">
        <f>[1]flow_freeway!A1048</f>
        <v>25533</v>
      </c>
      <c r="E1048" s="137">
        <f>[1]flow_freeway!B1048</f>
        <v>30902.489135</v>
      </c>
      <c r="F1048" s="137">
        <f>[1]flow_freeway!C1048</f>
        <v>4783.8789059999999</v>
      </c>
      <c r="G1048" s="137">
        <f>[1]flow_freeway!D1048</f>
        <v>7642.4145509999998</v>
      </c>
    </row>
    <row r="1049" spans="4:7" x14ac:dyDescent="0.25">
      <c r="D1049">
        <f>[1]flow_freeway!A1049</f>
        <v>25742</v>
      </c>
      <c r="E1049" s="137">
        <f>[1]flow_freeway!B1049</f>
        <v>66791.018066000004</v>
      </c>
      <c r="F1049" s="137">
        <f>[1]flow_freeway!C1049</f>
        <v>17196.115234000001</v>
      </c>
      <c r="G1049" s="137">
        <f>[1]flow_freeway!D1049</f>
        <v>14624.327148</v>
      </c>
    </row>
    <row r="1050" spans="4:7" x14ac:dyDescent="0.25">
      <c r="D1050">
        <f>[1]flow_freeway!A1050</f>
        <v>25749</v>
      </c>
      <c r="E1050" s="137">
        <f>[1]flow_freeway!B1050</f>
        <v>15697.252960000002</v>
      </c>
      <c r="F1050" s="137">
        <f>[1]flow_freeway!C1050</f>
        <v>6218.9858400000003</v>
      </c>
      <c r="G1050" s="137">
        <f>[1]flow_freeway!D1050</f>
        <v>2576.515625</v>
      </c>
    </row>
    <row r="1051" spans="4:7" x14ac:dyDescent="0.25">
      <c r="D1051">
        <f>[1]flow_freeway!A1051</f>
        <v>25750</v>
      </c>
      <c r="E1051" s="137">
        <f>[1]flow_freeway!B1051</f>
        <v>103337.96044900001</v>
      </c>
      <c r="F1051" s="137">
        <f>[1]flow_freeway!C1051</f>
        <v>18090.667968999998</v>
      </c>
      <c r="G1051" s="137">
        <f>[1]flow_freeway!D1051</f>
        <v>30023.519531000002</v>
      </c>
    </row>
    <row r="1052" spans="4:7" x14ac:dyDescent="0.25">
      <c r="D1052">
        <f>[1]flow_freeway!A1052</f>
        <v>25751</v>
      </c>
      <c r="E1052" s="137">
        <f>[1]flow_freeway!B1052</f>
        <v>111463.05859300001</v>
      </c>
      <c r="F1052" s="137">
        <f>[1]flow_freeway!C1052</f>
        <v>25397.861327999999</v>
      </c>
      <c r="G1052" s="137">
        <f>[1]flow_freeway!D1052</f>
        <v>23435.019531000002</v>
      </c>
    </row>
    <row r="1053" spans="4:7" x14ac:dyDescent="0.25">
      <c r="D1053">
        <f>[1]flow_freeway!A1053</f>
        <v>25811</v>
      </c>
      <c r="E1053" s="137">
        <f>[1]flow_freeway!B1053</f>
        <v>36606.112061</v>
      </c>
      <c r="F1053" s="137">
        <f>[1]flow_freeway!C1053</f>
        <v>7744.5722660000001</v>
      </c>
      <c r="G1053" s="137">
        <f>[1]flow_freeway!D1053</f>
        <v>9140.53125</v>
      </c>
    </row>
    <row r="1054" spans="4:7" x14ac:dyDescent="0.25">
      <c r="D1054">
        <f>[1]flow_freeway!A1054</f>
        <v>25812</v>
      </c>
      <c r="E1054" s="137">
        <f>[1]flow_freeway!B1054</f>
        <v>36606.112061</v>
      </c>
      <c r="F1054" s="137">
        <f>[1]flow_freeway!C1054</f>
        <v>7744.5722660000001</v>
      </c>
      <c r="G1054" s="137">
        <f>[1]flow_freeway!D1054</f>
        <v>9140.53125</v>
      </c>
    </row>
    <row r="1055" spans="4:7" x14ac:dyDescent="0.25">
      <c r="D1055">
        <f>[1]flow_freeway!A1055</f>
        <v>25822</v>
      </c>
      <c r="E1055" s="137">
        <f>[1]flow_freeway!B1055</f>
        <v>9459.9804079999994</v>
      </c>
      <c r="F1055" s="137">
        <f>[1]flow_freeway!C1055</f>
        <v>1003.921143</v>
      </c>
      <c r="G1055" s="137">
        <f>[1]flow_freeway!D1055</f>
        <v>3218.482422</v>
      </c>
    </row>
    <row r="1056" spans="4:7" x14ac:dyDescent="0.25">
      <c r="D1056">
        <f>[1]flow_freeway!A1056</f>
        <v>25842</v>
      </c>
      <c r="E1056" s="137">
        <f>[1]flow_freeway!B1056</f>
        <v>101788.471191</v>
      </c>
      <c r="F1056" s="137">
        <f>[1]flow_freeway!C1056</f>
        <v>16423.154297000001</v>
      </c>
      <c r="G1056" s="137">
        <f>[1]flow_freeway!D1056</f>
        <v>30507.140625</v>
      </c>
    </row>
    <row r="1057" spans="4:7" x14ac:dyDescent="0.25">
      <c r="D1057">
        <f>[1]flow_freeway!A1057</f>
        <v>25843</v>
      </c>
      <c r="E1057" s="137">
        <f>[1]flow_freeway!B1057</f>
        <v>101499.545899</v>
      </c>
      <c r="F1057" s="137">
        <f>[1]flow_freeway!C1057</f>
        <v>25633.527343999998</v>
      </c>
      <c r="G1057" s="137">
        <f>[1]flow_freeway!D1057</f>
        <v>19428.822265999999</v>
      </c>
    </row>
    <row r="1058" spans="4:7" x14ac:dyDescent="0.25">
      <c r="D1058">
        <f>[1]flow_freeway!A1058</f>
        <v>25848</v>
      </c>
      <c r="E1058" s="137">
        <f>[1]flow_freeway!B1058</f>
        <v>112043.30468799999</v>
      </c>
      <c r="F1058" s="137">
        <f>[1]flow_freeway!C1058</f>
        <v>22931.871093999998</v>
      </c>
      <c r="G1058" s="137">
        <f>[1]flow_freeway!D1058</f>
        <v>24022.767577999999</v>
      </c>
    </row>
    <row r="1059" spans="4:7" x14ac:dyDescent="0.25">
      <c r="D1059">
        <f>[1]flow_freeway!A1059</f>
        <v>25849</v>
      </c>
      <c r="E1059" s="137">
        <f>[1]flow_freeway!B1059</f>
        <v>92043.354980000004</v>
      </c>
      <c r="F1059" s="137">
        <f>[1]flow_freeway!C1059</f>
        <v>24080.132812</v>
      </c>
      <c r="G1059" s="137">
        <f>[1]flow_freeway!D1059</f>
        <v>15504.049805000001</v>
      </c>
    </row>
    <row r="1060" spans="4:7" x14ac:dyDescent="0.25">
      <c r="D1060">
        <f>[1]flow_freeway!A1060</f>
        <v>25866</v>
      </c>
      <c r="E1060" s="137">
        <f>[1]flow_freeway!B1060</f>
        <v>62128.381346999988</v>
      </c>
      <c r="F1060" s="137">
        <f>[1]flow_freeway!C1060</f>
        <v>17362.896484000001</v>
      </c>
      <c r="G1060" s="137">
        <f>[1]flow_freeway!D1060</f>
        <v>11886.195312</v>
      </c>
    </row>
    <row r="1061" spans="4:7" x14ac:dyDescent="0.25">
      <c r="D1061">
        <f>[1]flow_freeway!A1061</f>
        <v>25867</v>
      </c>
      <c r="E1061" s="137">
        <f>[1]flow_freeway!B1061</f>
        <v>110480.172852</v>
      </c>
      <c r="F1061" s="137">
        <f>[1]flow_freeway!C1061</f>
        <v>17225.052734000001</v>
      </c>
      <c r="G1061" s="137">
        <f>[1]flow_freeway!D1061</f>
        <v>33521.027344000002</v>
      </c>
    </row>
    <row r="1062" spans="4:7" x14ac:dyDescent="0.25">
      <c r="D1062">
        <f>[1]flow_freeway!A1062</f>
        <v>25869</v>
      </c>
      <c r="E1062" s="137">
        <f>[1]flow_freeway!B1062</f>
        <v>104433.079101</v>
      </c>
      <c r="F1062" s="137">
        <f>[1]flow_freeway!C1062</f>
        <v>24302.384765999999</v>
      </c>
      <c r="G1062" s="137">
        <f>[1]flow_freeway!D1062</f>
        <v>21332.662109000001</v>
      </c>
    </row>
    <row r="1063" spans="4:7" x14ac:dyDescent="0.25">
      <c r="D1063">
        <f>[1]flow_freeway!A1063</f>
        <v>25878</v>
      </c>
      <c r="E1063" s="137">
        <f>[1]flow_freeway!B1063</f>
        <v>90446.629394000003</v>
      </c>
      <c r="F1063" s="137">
        <f>[1]flow_freeway!C1063</f>
        <v>15589.226562</v>
      </c>
      <c r="G1063" s="137">
        <f>[1]flow_freeway!D1063</f>
        <v>27401.541015999999</v>
      </c>
    </row>
    <row r="1064" spans="4:7" x14ac:dyDescent="0.25">
      <c r="D1064">
        <f>[1]flow_freeway!A1064</f>
        <v>25879</v>
      </c>
      <c r="E1064" s="137">
        <f>[1]flow_freeway!B1064</f>
        <v>87837.930175999994</v>
      </c>
      <c r="F1064" s="137">
        <f>[1]flow_freeway!C1064</f>
        <v>23114.003906000002</v>
      </c>
      <c r="G1064" s="137">
        <f>[1]flow_freeway!D1064</f>
        <v>19516.800781000002</v>
      </c>
    </row>
    <row r="1065" spans="4:7" x14ac:dyDescent="0.25">
      <c r="D1065">
        <f>[1]flow_freeway!A1065</f>
        <v>25883</v>
      </c>
      <c r="E1065" s="137">
        <f>[1]flow_freeway!B1065</f>
        <v>46309.335449999999</v>
      </c>
      <c r="F1065" s="137">
        <f>[1]flow_freeway!C1065</f>
        <v>10158.123046999999</v>
      </c>
      <c r="G1065" s="137">
        <f>[1]flow_freeway!D1065</f>
        <v>11005.991211</v>
      </c>
    </row>
    <row r="1066" spans="4:7" x14ac:dyDescent="0.25">
      <c r="D1066">
        <f>[1]flow_freeway!A1066</f>
        <v>25886</v>
      </c>
      <c r="E1066" s="137">
        <f>[1]flow_freeway!B1066</f>
        <v>6255.6988139999994</v>
      </c>
      <c r="F1066" s="137">
        <f>[1]flow_freeway!C1066</f>
        <v>1301.852905</v>
      </c>
      <c r="G1066" s="137">
        <f>[1]flow_freeway!D1066</f>
        <v>1674.975952</v>
      </c>
    </row>
    <row r="1067" spans="4:7" x14ac:dyDescent="0.25">
      <c r="D1067">
        <f>[1]flow_freeway!A1067</f>
        <v>25887</v>
      </c>
      <c r="E1067" s="137">
        <f>[1]flow_freeway!B1067</f>
        <v>43026.740722999995</v>
      </c>
      <c r="F1067" s="137">
        <f>[1]flow_freeway!C1067</f>
        <v>8436.0419920000004</v>
      </c>
      <c r="G1067" s="137">
        <f>[1]flow_freeway!D1067</f>
        <v>11540.101562</v>
      </c>
    </row>
    <row r="1068" spans="4:7" x14ac:dyDescent="0.25">
      <c r="D1068">
        <f>[1]flow_freeway!A1068</f>
        <v>25889</v>
      </c>
      <c r="E1068" s="137">
        <f>[1]flow_freeway!B1068</f>
        <v>43026.740722999995</v>
      </c>
      <c r="F1068" s="137">
        <f>[1]flow_freeway!C1068</f>
        <v>8436.0419920000004</v>
      </c>
      <c r="G1068" s="137">
        <f>[1]flow_freeway!D1068</f>
        <v>11540.101562</v>
      </c>
    </row>
    <row r="1069" spans="4:7" x14ac:dyDescent="0.25">
      <c r="D1069">
        <f>[1]flow_freeway!A1069</f>
        <v>25890</v>
      </c>
      <c r="E1069" s="137">
        <f>[1]flow_freeway!B1069</f>
        <v>43799.091675999996</v>
      </c>
      <c r="F1069" s="137">
        <f>[1]flow_freeway!C1069</f>
        <v>8894.9541019999997</v>
      </c>
      <c r="G1069" s="137">
        <f>[1]flow_freeway!D1069</f>
        <v>10731.844727</v>
      </c>
    </row>
    <row r="1070" spans="4:7" x14ac:dyDescent="0.25">
      <c r="D1070">
        <f>[1]flow_freeway!A1070</f>
        <v>25891</v>
      </c>
      <c r="E1070" s="137">
        <f>[1]flow_freeway!B1070</f>
        <v>43799.091675999996</v>
      </c>
      <c r="F1070" s="137">
        <f>[1]flow_freeway!C1070</f>
        <v>8894.9541019999997</v>
      </c>
      <c r="G1070" s="137">
        <f>[1]flow_freeway!D1070</f>
        <v>10731.844727</v>
      </c>
    </row>
    <row r="1071" spans="4:7" x14ac:dyDescent="0.25">
      <c r="D1071">
        <f>[1]flow_freeway!A1071</f>
        <v>25938</v>
      </c>
      <c r="E1071" s="137">
        <f>[1]flow_freeway!B1071</f>
        <v>68804.772949999999</v>
      </c>
      <c r="F1071" s="137">
        <f>[1]flow_freeway!C1071</f>
        <v>20099.703125</v>
      </c>
      <c r="G1071" s="137">
        <f>[1]flow_freeway!D1071</f>
        <v>14314.711914</v>
      </c>
    </row>
    <row r="1072" spans="4:7" x14ac:dyDescent="0.25">
      <c r="D1072">
        <f>[1]flow_freeway!A1072</f>
        <v>25985</v>
      </c>
      <c r="E1072" s="137" t="e">
        <f>[1]flow_freeway!B1072</f>
        <v>#N/A</v>
      </c>
      <c r="F1072" s="137" t="e">
        <f>[1]flow_freeway!C1072</f>
        <v>#N/A</v>
      </c>
      <c r="G1072" s="137" t="e">
        <f>[1]flow_freeway!D1072</f>
        <v>#N/A</v>
      </c>
    </row>
    <row r="1073" spans="4:7" x14ac:dyDescent="0.25">
      <c r="D1073">
        <f>[1]flow_freeway!A1073</f>
        <v>26014</v>
      </c>
      <c r="E1073" s="137">
        <f>[1]flow_freeway!B1073</f>
        <v>87387.312988999998</v>
      </c>
      <c r="F1073" s="137">
        <f>[1]flow_freeway!C1073</f>
        <v>20167.023438</v>
      </c>
      <c r="G1073" s="137">
        <f>[1]flow_freeway!D1073</f>
        <v>20734.320312</v>
      </c>
    </row>
    <row r="1074" spans="4:7" x14ac:dyDescent="0.25">
      <c r="D1074">
        <f>[1]flow_freeway!A1074</f>
        <v>26017</v>
      </c>
      <c r="E1074" s="137">
        <f>[1]flow_freeway!B1074</f>
        <v>93138.640137000009</v>
      </c>
      <c r="F1074" s="137">
        <f>[1]flow_freeway!C1074</f>
        <v>20076.070312</v>
      </c>
      <c r="G1074" s="137">
        <f>[1]flow_freeway!D1074</f>
        <v>26429.449218999998</v>
      </c>
    </row>
    <row r="1075" spans="4:7" x14ac:dyDescent="0.25">
      <c r="D1075">
        <f>[1]flow_freeway!A1075</f>
        <v>26064</v>
      </c>
      <c r="E1075" s="137">
        <f>[1]flow_freeway!B1075</f>
        <v>87387.312988999998</v>
      </c>
      <c r="F1075" s="137">
        <f>[1]flow_freeway!C1075</f>
        <v>20167.023438</v>
      </c>
      <c r="G1075" s="137">
        <f>[1]flow_freeway!D1075</f>
        <v>20734.320312</v>
      </c>
    </row>
    <row r="1076" spans="4:7" x14ac:dyDescent="0.25">
      <c r="D1076">
        <f>[1]flow_freeway!A1076</f>
        <v>26065</v>
      </c>
      <c r="E1076" s="137">
        <f>[1]flow_freeway!B1076</f>
        <v>93138.640137000009</v>
      </c>
      <c r="F1076" s="137">
        <f>[1]flow_freeway!C1076</f>
        <v>20076.070312</v>
      </c>
      <c r="G1076" s="137">
        <f>[1]flow_freeway!D1076</f>
        <v>26429.449218999998</v>
      </c>
    </row>
    <row r="1077" spans="4:7" x14ac:dyDescent="0.25">
      <c r="D1077">
        <f>[1]flow_freeway!A1077</f>
        <v>26117</v>
      </c>
      <c r="E1077" s="137">
        <f>[1]flow_freeway!B1077</f>
        <v>14372.068604</v>
      </c>
      <c r="F1077" s="137">
        <f>[1]flow_freeway!C1077</f>
        <v>5114.9853519999997</v>
      </c>
      <c r="G1077" s="137">
        <f>[1]flow_freeway!D1077</f>
        <v>2686.0783689999998</v>
      </c>
    </row>
    <row r="1078" spans="4:7" x14ac:dyDescent="0.25">
      <c r="D1078">
        <f>[1]flow_freeway!A1079</f>
        <v>26279</v>
      </c>
      <c r="E1078" s="137">
        <f>[1]flow_freeway!B1079</f>
        <v>110480.172852</v>
      </c>
      <c r="F1078" s="137">
        <f>[1]flow_freeway!C1079</f>
        <v>17225.052734000001</v>
      </c>
      <c r="G1078" s="137">
        <f>[1]flow_freeway!D1079</f>
        <v>33521.027344000002</v>
      </c>
    </row>
    <row r="1079" spans="4:7" x14ac:dyDescent="0.25">
      <c r="D1079">
        <f>[1]flow_freeway!A1080</f>
        <v>26293</v>
      </c>
      <c r="E1079" s="137">
        <f>[1]flow_freeway!B1080</f>
        <v>102506.099122</v>
      </c>
      <c r="F1079" s="137">
        <f>[1]flow_freeway!C1080</f>
        <v>16198.090819999999</v>
      </c>
      <c r="G1079" s="137">
        <f>[1]flow_freeway!D1080</f>
        <v>29805.939452999999</v>
      </c>
    </row>
    <row r="1080" spans="4:7" x14ac:dyDescent="0.25">
      <c r="D1080">
        <f>[1]flow_freeway!A1081</f>
        <v>26294</v>
      </c>
      <c r="E1080" s="137">
        <f>[1]flow_freeway!B1081</f>
        <v>114317.379883</v>
      </c>
      <c r="F1080" s="137">
        <f>[1]flow_freeway!C1081</f>
        <v>29384.787109000001</v>
      </c>
      <c r="G1080" s="137">
        <f>[1]flow_freeway!D1081</f>
        <v>21383.244140999999</v>
      </c>
    </row>
    <row r="1081" spans="4:7" x14ac:dyDescent="0.25">
      <c r="D1081">
        <f>[1]flow_freeway!A1082</f>
        <v>26417</v>
      </c>
      <c r="E1081" s="137">
        <f>[1]flow_freeway!B1082</f>
        <v>104345.700195</v>
      </c>
      <c r="F1081" s="137">
        <f>[1]flow_freeway!C1082</f>
        <v>23302.654297000001</v>
      </c>
      <c r="G1081" s="137">
        <f>[1]flow_freeway!D1082</f>
        <v>21206.832031000002</v>
      </c>
    </row>
    <row r="1082" spans="4:7" x14ac:dyDescent="0.25">
      <c r="D1082">
        <f>[1]flow_freeway!A1083</f>
        <v>26523</v>
      </c>
      <c r="E1082" s="137">
        <f>[1]flow_freeway!B1083</f>
        <v>98914.734375</v>
      </c>
      <c r="F1082" s="137">
        <f>[1]flow_freeway!C1083</f>
        <v>15898.860352</v>
      </c>
      <c r="G1082" s="137">
        <f>[1]flow_freeway!D1083</f>
        <v>29582.496093999998</v>
      </c>
    </row>
    <row r="1083" spans="4:7" x14ac:dyDescent="0.25">
      <c r="D1083">
        <f>[1]flow_freeway!A1084</f>
        <v>26546</v>
      </c>
      <c r="E1083" s="137">
        <f>[1]flow_freeway!B1084</f>
        <v>90248.988282000006</v>
      </c>
      <c r="F1083" s="137">
        <f>[1]flow_freeway!C1084</f>
        <v>14893.682617</v>
      </c>
      <c r="G1083" s="137">
        <f>[1]flow_freeway!D1084</f>
        <v>26676.529297000001</v>
      </c>
    </row>
    <row r="1084" spans="4:7" x14ac:dyDescent="0.25">
      <c r="D1084">
        <f>[1]flow_freeway!A1085</f>
        <v>26547</v>
      </c>
      <c r="E1084" s="137">
        <f>[1]flow_freeway!B1085</f>
        <v>95558.247558999996</v>
      </c>
      <c r="F1084" s="137">
        <f>[1]flow_freeway!C1085</f>
        <v>14813.873046999999</v>
      </c>
      <c r="G1084" s="137">
        <f>[1]flow_freeway!D1085</f>
        <v>27735.917968999998</v>
      </c>
    </row>
    <row r="1085" spans="4:7" x14ac:dyDescent="0.25">
      <c r="D1085">
        <f>[1]flow_freeway!A1086</f>
        <v>26561</v>
      </c>
      <c r="E1085" s="137">
        <f>[1]flow_freeway!B1086</f>
        <v>94547.620117999992</v>
      </c>
      <c r="F1085" s="137">
        <f>[1]flow_freeway!C1086</f>
        <v>17322.166015999999</v>
      </c>
      <c r="G1085" s="137">
        <f>[1]flow_freeway!D1086</f>
        <v>24837.267577999999</v>
      </c>
    </row>
    <row r="1086" spans="4:7" x14ac:dyDescent="0.25">
      <c r="D1086">
        <f>[1]flow_freeway!A1087</f>
        <v>26562</v>
      </c>
      <c r="E1086" s="137">
        <f>[1]flow_freeway!B1087</f>
        <v>91075.8125</v>
      </c>
      <c r="F1086" s="137">
        <f>[1]flow_freeway!C1087</f>
        <v>19530.878906000002</v>
      </c>
      <c r="G1086" s="137">
        <f>[1]flow_freeway!D1087</f>
        <v>18670.767577999999</v>
      </c>
    </row>
    <row r="1087" spans="4:7" x14ac:dyDescent="0.25">
      <c r="D1087">
        <f>[1]flow_freeway!A1088</f>
        <v>26563</v>
      </c>
      <c r="E1087" s="137">
        <f>[1]flow_freeway!B1088</f>
        <v>94304.983396999989</v>
      </c>
      <c r="F1087" s="137">
        <f>[1]flow_freeway!C1088</f>
        <v>22666.785156000002</v>
      </c>
      <c r="G1087" s="137">
        <f>[1]flow_freeway!D1088</f>
        <v>17459.945312</v>
      </c>
    </row>
    <row r="1088" spans="4:7" x14ac:dyDescent="0.25">
      <c r="D1088">
        <f>[1]flow_freeway!A1089</f>
        <v>26564</v>
      </c>
      <c r="E1088" s="137">
        <f>[1]flow_freeway!B1089</f>
        <v>90090.123045999993</v>
      </c>
      <c r="F1088" s="137">
        <f>[1]flow_freeway!C1089</f>
        <v>21472.263672000001</v>
      </c>
      <c r="G1088" s="137">
        <f>[1]flow_freeway!D1089</f>
        <v>17917.552734000001</v>
      </c>
    </row>
    <row r="1089" spans="4:7" x14ac:dyDescent="0.25">
      <c r="D1089">
        <f>[1]flow_freeway!A1090</f>
        <v>26622</v>
      </c>
      <c r="E1089" s="137">
        <f>[1]flow_freeway!B1090</f>
        <v>99577.021483999997</v>
      </c>
      <c r="F1089" s="137">
        <f>[1]flow_freeway!C1090</f>
        <v>24745.205077999999</v>
      </c>
      <c r="G1089" s="137">
        <f>[1]flow_freeway!D1090</f>
        <v>19064.914062</v>
      </c>
    </row>
    <row r="1090" spans="4:7" x14ac:dyDescent="0.25">
      <c r="D1090">
        <f>[1]flow_freeway!A1091</f>
        <v>26623</v>
      </c>
      <c r="E1090" s="137">
        <f>[1]flow_freeway!B1091</f>
        <v>60277.864259000002</v>
      </c>
      <c r="F1090" s="137">
        <f>[1]flow_freeway!C1091</f>
        <v>11892.954102</v>
      </c>
      <c r="G1090" s="137">
        <f>[1]flow_freeway!D1091</f>
        <v>12647.763671999999</v>
      </c>
    </row>
    <row r="1091" spans="4:7" x14ac:dyDescent="0.25">
      <c r="D1091">
        <f>[1]flow_freeway!A1092</f>
        <v>26667</v>
      </c>
      <c r="E1091" s="137">
        <f>[1]flow_freeway!B1092</f>
        <v>59719.736571999994</v>
      </c>
      <c r="F1091" s="137">
        <f>[1]flow_freeway!C1092</f>
        <v>11804.970703000001</v>
      </c>
      <c r="G1091" s="137">
        <f>[1]flow_freeway!D1092</f>
        <v>16794.769531000002</v>
      </c>
    </row>
    <row r="1092" spans="4:7" x14ac:dyDescent="0.25">
      <c r="D1092">
        <f>[1]flow_freeway!A1093</f>
        <v>26675</v>
      </c>
      <c r="E1092" s="137">
        <f>[1]flow_freeway!B1093</f>
        <v>59458.420899000004</v>
      </c>
      <c r="F1092" s="137">
        <f>[1]flow_freeway!C1093</f>
        <v>12607.731444999999</v>
      </c>
      <c r="G1092" s="137">
        <f>[1]flow_freeway!D1093</f>
        <v>12195.829102</v>
      </c>
    </row>
    <row r="1093" spans="4:7" x14ac:dyDescent="0.25">
      <c r="D1093">
        <f>[1]flow_freeway!A1094</f>
        <v>26707</v>
      </c>
      <c r="E1093" s="137">
        <f>[1]flow_freeway!B1094</f>
        <v>103039.417724</v>
      </c>
      <c r="F1093" s="137">
        <f>[1]flow_freeway!C1094</f>
        <v>23244.925781000002</v>
      </c>
      <c r="G1093" s="137">
        <f>[1]flow_freeway!D1094</f>
        <v>26332.072265999999</v>
      </c>
    </row>
    <row r="1094" spans="4:7" x14ac:dyDescent="0.25">
      <c r="D1094">
        <f>[1]flow_freeway!A1095</f>
        <v>26708</v>
      </c>
      <c r="E1094" s="137">
        <f>[1]flow_freeway!B1095</f>
        <v>95449.440430000002</v>
      </c>
      <c r="F1094" s="137">
        <f>[1]flow_freeway!C1095</f>
        <v>21675.144531000002</v>
      </c>
      <c r="G1094" s="137">
        <f>[1]flow_freeway!D1095</f>
        <v>24569.109375</v>
      </c>
    </row>
    <row r="1095" spans="4:7" x14ac:dyDescent="0.25">
      <c r="D1095">
        <f>[1]flow_freeway!A1096</f>
        <v>26722</v>
      </c>
      <c r="E1095" s="137">
        <f>[1]flow_freeway!B1096</f>
        <v>108557.426758</v>
      </c>
      <c r="F1095" s="137">
        <f>[1]flow_freeway!C1096</f>
        <v>23754.277343999998</v>
      </c>
      <c r="G1095" s="137">
        <f>[1]flow_freeway!D1096</f>
        <v>27119.654297000001</v>
      </c>
    </row>
    <row r="1096" spans="4:7" x14ac:dyDescent="0.25">
      <c r="D1096">
        <f>[1]flow_freeway!A1097</f>
        <v>26788</v>
      </c>
      <c r="E1096" s="137">
        <f>[1]flow_freeway!B1097</f>
        <v>98829.285155999998</v>
      </c>
      <c r="F1096" s="137">
        <f>[1]flow_freeway!C1097</f>
        <v>20569.888672000001</v>
      </c>
      <c r="G1096" s="137">
        <f>[1]flow_freeway!D1097</f>
        <v>24211.787109000001</v>
      </c>
    </row>
    <row r="1097" spans="4:7" x14ac:dyDescent="0.25">
      <c r="D1097">
        <f>[1]flow_freeway!A1098</f>
        <v>26791</v>
      </c>
      <c r="E1097" s="137">
        <f>[1]flow_freeway!B1098</f>
        <v>96312.503417999993</v>
      </c>
      <c r="F1097" s="137">
        <f>[1]flow_freeway!C1098</f>
        <v>20482.992188</v>
      </c>
      <c r="G1097" s="137">
        <f>[1]flow_freeway!D1098</f>
        <v>23914.396484000001</v>
      </c>
    </row>
    <row r="1098" spans="4:7" x14ac:dyDescent="0.25">
      <c r="D1098">
        <f>[1]flow_freeway!A1099</f>
        <v>26870</v>
      </c>
      <c r="E1098" s="137">
        <f>[1]flow_freeway!B1099</f>
        <v>110784.33837900001</v>
      </c>
      <c r="F1098" s="137">
        <f>[1]flow_freeway!C1099</f>
        <v>18877.945312</v>
      </c>
      <c r="G1098" s="137">
        <f>[1]flow_freeway!D1099</f>
        <v>32537.75</v>
      </c>
    </row>
    <row r="1099" spans="4:7" x14ac:dyDescent="0.25">
      <c r="D1099">
        <f>[1]flow_freeway!A1100</f>
        <v>26879</v>
      </c>
      <c r="E1099" s="137">
        <f>[1]flow_freeway!B1100</f>
        <v>118255.37207</v>
      </c>
      <c r="F1099" s="137">
        <f>[1]flow_freeway!C1100</f>
        <v>27838.642577999999</v>
      </c>
      <c r="G1099" s="137">
        <f>[1]flow_freeway!D1100</f>
        <v>24528.134765999999</v>
      </c>
    </row>
    <row r="1100" spans="4:7" x14ac:dyDescent="0.25">
      <c r="D1100">
        <f>[1]flow_freeway!A1101</f>
        <v>26911</v>
      </c>
      <c r="E1100" s="137">
        <f>[1]flow_freeway!B1101</f>
        <v>59838.676025000008</v>
      </c>
      <c r="F1100" s="137">
        <f>[1]flow_freeway!C1101</f>
        <v>11664.999023</v>
      </c>
      <c r="G1100" s="137">
        <f>[1]flow_freeway!D1101</f>
        <v>16431.582031000002</v>
      </c>
    </row>
    <row r="1101" spans="4:7" x14ac:dyDescent="0.25">
      <c r="D1101">
        <f>[1]flow_freeway!A1102</f>
        <v>27014</v>
      </c>
      <c r="E1101" s="137">
        <f>[1]flow_freeway!B1102</f>
        <v>32957.96875</v>
      </c>
      <c r="F1101" s="137">
        <f>[1]flow_freeway!C1102</f>
        <v>7343.2226559999999</v>
      </c>
      <c r="G1101" s="137">
        <f>[1]flow_freeway!D1102</f>
        <v>7920.5029299999997</v>
      </c>
    </row>
    <row r="1102" spans="4:7" x14ac:dyDescent="0.25">
      <c r="D1102">
        <f>[1]flow_freeway!A1103</f>
        <v>27015</v>
      </c>
      <c r="E1102" s="137">
        <f>[1]flow_freeway!B1103</f>
        <v>18846.714905000001</v>
      </c>
      <c r="F1102" s="137">
        <f>[1]flow_freeway!C1103</f>
        <v>3824.1142580000001</v>
      </c>
      <c r="G1102" s="137">
        <f>[1]flow_freeway!D1103</f>
        <v>5423.7290039999998</v>
      </c>
    </row>
    <row r="1103" spans="4:7" x14ac:dyDescent="0.25">
      <c r="D1103">
        <f>[1]flow_freeway!A1104</f>
        <v>27131</v>
      </c>
      <c r="E1103" s="137">
        <f>[1]flow_freeway!B1104</f>
        <v>112435.571045</v>
      </c>
      <c r="F1103" s="137">
        <f>[1]flow_freeway!C1104</f>
        <v>18766.605468999998</v>
      </c>
      <c r="G1103" s="137">
        <f>[1]flow_freeway!D1104</f>
        <v>33104.984375</v>
      </c>
    </row>
    <row r="1104" spans="4:7" x14ac:dyDescent="0.25">
      <c r="D1104">
        <f>[1]flow_freeway!A1105</f>
        <v>27154</v>
      </c>
      <c r="E1104" s="137">
        <f>[1]flow_freeway!B1105</f>
        <v>14483.251465000001</v>
      </c>
      <c r="F1104" s="137">
        <f>[1]flow_freeway!C1105</f>
        <v>3301.9038089999999</v>
      </c>
      <c r="G1104" s="137">
        <f>[1]flow_freeway!D1105</f>
        <v>1684.1098629999999</v>
      </c>
    </row>
    <row r="1105" spans="4:7" x14ac:dyDescent="0.25">
      <c r="D1105">
        <f>[1]flow_freeway!A1106</f>
        <v>27155</v>
      </c>
      <c r="E1105" s="137">
        <f>[1]flow_freeway!B1106</f>
        <v>13456.109299</v>
      </c>
      <c r="F1105" s="137">
        <f>[1]flow_freeway!C1106</f>
        <v>1006.072632</v>
      </c>
      <c r="G1105" s="137">
        <f>[1]flow_freeway!D1106</f>
        <v>4334.888672</v>
      </c>
    </row>
    <row r="1106" spans="4:7" x14ac:dyDescent="0.25">
      <c r="D1106">
        <f>[1]flow_freeway!A1107</f>
        <v>27157</v>
      </c>
      <c r="E1106" s="137">
        <f>[1]flow_freeway!B1107</f>
        <v>28270.834534000001</v>
      </c>
      <c r="F1106" s="137">
        <f>[1]flow_freeway!C1107</f>
        <v>4783.7211909999996</v>
      </c>
      <c r="G1106" s="137">
        <f>[1]flow_freeway!D1107</f>
        <v>8251.5351559999999</v>
      </c>
    </row>
    <row r="1107" spans="4:7" x14ac:dyDescent="0.25">
      <c r="D1107">
        <f>[1]flow_freeway!A1108</f>
        <v>27161</v>
      </c>
      <c r="E1107" s="137">
        <f>[1]flow_freeway!B1108</f>
        <v>18517.627806999997</v>
      </c>
      <c r="F1107" s="137">
        <f>[1]flow_freeway!C1108</f>
        <v>4674.2724609999996</v>
      </c>
      <c r="G1107" s="137">
        <f>[1]flow_freeway!D1108</f>
        <v>4987.1166990000002</v>
      </c>
    </row>
    <row r="1108" spans="4:7" x14ac:dyDescent="0.25">
      <c r="D1108">
        <f>[1]flow_freeway!A1109</f>
        <v>27162</v>
      </c>
      <c r="E1108" s="137">
        <f>[1]flow_freeway!B1109</f>
        <v>30956.868897000004</v>
      </c>
      <c r="F1108" s="137">
        <f>[1]flow_freeway!C1109</f>
        <v>6535.0239259999998</v>
      </c>
      <c r="G1108" s="137">
        <f>[1]flow_freeway!D1109</f>
        <v>6379.0048829999996</v>
      </c>
    </row>
    <row r="1109" spans="4:7" x14ac:dyDescent="0.25">
      <c r="D1109">
        <f>[1]flow_freeway!A1110</f>
        <v>27165</v>
      </c>
      <c r="E1109" s="137">
        <f>[1]flow_freeway!B1110</f>
        <v>55905.849365000002</v>
      </c>
      <c r="F1109" s="137">
        <f>[1]flow_freeway!C1110</f>
        <v>8662.7851559999999</v>
      </c>
      <c r="G1109" s="137">
        <f>[1]flow_freeway!D1110</f>
        <v>17158.490234000001</v>
      </c>
    </row>
    <row r="1110" spans="4:7" x14ac:dyDescent="0.25">
      <c r="D1110">
        <f>[1]flow_freeway!A1111</f>
        <v>27166</v>
      </c>
      <c r="E1110" s="137">
        <f>[1]flow_freeway!B1111</f>
        <v>61964.208495999999</v>
      </c>
      <c r="F1110" s="137">
        <f>[1]flow_freeway!C1111</f>
        <v>10524.731444999999</v>
      </c>
      <c r="G1110" s="137">
        <f>[1]flow_freeway!D1111</f>
        <v>18797.330077999999</v>
      </c>
    </row>
    <row r="1111" spans="4:7" x14ac:dyDescent="0.25">
      <c r="D1111">
        <f>[1]flow_freeway!A1112</f>
        <v>27167</v>
      </c>
      <c r="E1111" s="137">
        <f>[1]flow_freeway!B1112</f>
        <v>64044.200684000003</v>
      </c>
      <c r="F1111" s="137">
        <f>[1]flow_freeway!C1112</f>
        <v>15358.339844</v>
      </c>
      <c r="G1111" s="137">
        <f>[1]flow_freeway!D1112</f>
        <v>12041.533203000001</v>
      </c>
    </row>
    <row r="1112" spans="4:7" x14ac:dyDescent="0.25">
      <c r="D1112">
        <f>[1]flow_freeway!A1113</f>
        <v>27168</v>
      </c>
      <c r="E1112" s="137">
        <f>[1]flow_freeway!B1113</f>
        <v>67071.010741999999</v>
      </c>
      <c r="F1112" s="137">
        <f>[1]flow_freeway!C1113</f>
        <v>16315.949219</v>
      </c>
      <c r="G1112" s="137">
        <f>[1]flow_freeway!D1113</f>
        <v>12578.014648</v>
      </c>
    </row>
    <row r="1113" spans="4:7" x14ac:dyDescent="0.25">
      <c r="D1113">
        <f>[1]flow_freeway!A1114</f>
        <v>27169</v>
      </c>
      <c r="E1113" s="137">
        <f>[1]flow_freeway!B1114</f>
        <v>66396.456055000002</v>
      </c>
      <c r="F1113" s="137">
        <f>[1]flow_freeway!C1114</f>
        <v>12506.348633</v>
      </c>
      <c r="G1113" s="137">
        <f>[1]flow_freeway!D1114</f>
        <v>19215.203125</v>
      </c>
    </row>
    <row r="1114" spans="4:7" x14ac:dyDescent="0.25">
      <c r="D1114">
        <f>[1]flow_freeway!A1115</f>
        <v>27170</v>
      </c>
      <c r="E1114" s="137">
        <f>[1]flow_freeway!B1115</f>
        <v>61334.170165999996</v>
      </c>
      <c r="F1114" s="137">
        <f>[1]flow_freeway!C1115</f>
        <v>11208.321289</v>
      </c>
      <c r="G1114" s="137">
        <f>[1]flow_freeway!D1115</f>
        <v>18071.298827999999</v>
      </c>
    </row>
    <row r="1115" spans="4:7" x14ac:dyDescent="0.25">
      <c r="D1115">
        <f>[1]flow_freeway!A1116</f>
        <v>27171</v>
      </c>
      <c r="E1115" s="137">
        <f>[1]flow_freeway!B1116</f>
        <v>65684.41943400001</v>
      </c>
      <c r="F1115" s="137">
        <f>[1]flow_freeway!C1116</f>
        <v>14482.369140999999</v>
      </c>
      <c r="G1115" s="137">
        <f>[1]flow_freeway!D1116</f>
        <v>13365.954102</v>
      </c>
    </row>
    <row r="1116" spans="4:7" x14ac:dyDescent="0.25">
      <c r="D1116">
        <f>[1]flow_freeway!A1117</f>
        <v>27172</v>
      </c>
      <c r="E1116" s="137">
        <f>[1]flow_freeway!B1117</f>
        <v>66187.962402000005</v>
      </c>
      <c r="F1116" s="137">
        <f>[1]flow_freeway!C1117</f>
        <v>14523.963867</v>
      </c>
      <c r="G1116" s="137">
        <f>[1]flow_freeway!D1117</f>
        <v>13632.411133</v>
      </c>
    </row>
    <row r="1117" spans="4:7" x14ac:dyDescent="0.25">
      <c r="D1117">
        <f>[1]flow_freeway!A1118</f>
        <v>27173</v>
      </c>
      <c r="E1117" s="137">
        <f>[1]flow_freeway!B1118</f>
        <v>62700.681641000003</v>
      </c>
      <c r="F1117" s="137">
        <f>[1]flow_freeway!C1118</f>
        <v>14151.459961</v>
      </c>
      <c r="G1117" s="137">
        <f>[1]flow_freeway!D1118</f>
        <v>12140.993164</v>
      </c>
    </row>
    <row r="1118" spans="4:7" x14ac:dyDescent="0.25">
      <c r="D1118">
        <f>[1]flow_freeway!A1119</f>
        <v>27174</v>
      </c>
      <c r="E1118" s="137">
        <f>[1]flow_freeway!B1119</f>
        <v>59719.736571999994</v>
      </c>
      <c r="F1118" s="137">
        <f>[1]flow_freeway!C1119</f>
        <v>11804.970703000001</v>
      </c>
      <c r="G1118" s="137">
        <f>[1]flow_freeway!D1119</f>
        <v>16794.769531000002</v>
      </c>
    </row>
    <row r="1119" spans="4:7" x14ac:dyDescent="0.25">
      <c r="D1119">
        <f>[1]flow_freeway!A1120</f>
        <v>27175</v>
      </c>
      <c r="E1119" s="137">
        <f>[1]flow_freeway!B1120</f>
        <v>59458.420899000004</v>
      </c>
      <c r="F1119" s="137">
        <f>[1]flow_freeway!C1120</f>
        <v>12607.731444999999</v>
      </c>
      <c r="G1119" s="137">
        <f>[1]flow_freeway!D1120</f>
        <v>12195.829102</v>
      </c>
    </row>
    <row r="1120" spans="4:7" x14ac:dyDescent="0.25">
      <c r="D1120">
        <f>[1]flow_freeway!A1121</f>
        <v>27177</v>
      </c>
      <c r="E1120" s="137">
        <f>[1]flow_freeway!B1121</f>
        <v>64222.132813000004</v>
      </c>
      <c r="F1120" s="137">
        <f>[1]flow_freeway!C1121</f>
        <v>12393.706055000001</v>
      </c>
      <c r="G1120" s="137">
        <f>[1]flow_freeway!D1121</f>
        <v>13526.514648</v>
      </c>
    </row>
    <row r="1121" spans="4:7" x14ac:dyDescent="0.25">
      <c r="D1121">
        <f>[1]flow_freeway!A1122</f>
        <v>27178</v>
      </c>
      <c r="E1121" s="137">
        <f>[1]flow_freeway!B1122</f>
        <v>63646.070189999999</v>
      </c>
      <c r="F1121" s="137">
        <f>[1]flow_freeway!C1122</f>
        <v>13308.170898</v>
      </c>
      <c r="G1121" s="137">
        <f>[1]flow_freeway!D1122</f>
        <v>16778.667968999998</v>
      </c>
    </row>
    <row r="1122" spans="4:7" x14ac:dyDescent="0.25">
      <c r="D1122">
        <f>[1]flow_freeway!A1123</f>
        <v>27179</v>
      </c>
      <c r="E1122" s="137">
        <f>[1]flow_freeway!B1123</f>
        <v>65379.12793000001</v>
      </c>
      <c r="F1122" s="137">
        <f>[1]flow_freeway!C1123</f>
        <v>12653.835938</v>
      </c>
      <c r="G1122" s="137">
        <f>[1]flow_freeway!D1123</f>
        <v>18696.785156000002</v>
      </c>
    </row>
    <row r="1123" spans="4:7" x14ac:dyDescent="0.25">
      <c r="D1123">
        <f>[1]flow_freeway!A1124</f>
        <v>27180</v>
      </c>
      <c r="E1123" s="137">
        <f>[1]flow_freeway!B1124</f>
        <v>67285.085936999996</v>
      </c>
      <c r="F1123" s="137">
        <f>[1]flow_freeway!C1124</f>
        <v>14965.096680000001</v>
      </c>
      <c r="G1123" s="137">
        <f>[1]flow_freeway!D1124</f>
        <v>13663.068359000001</v>
      </c>
    </row>
    <row r="1124" spans="4:7" x14ac:dyDescent="0.25">
      <c r="D1124">
        <f>[1]flow_freeway!A1125</f>
        <v>27181</v>
      </c>
      <c r="E1124" s="137">
        <f>[1]flow_freeway!B1125</f>
        <v>64972.454834999997</v>
      </c>
      <c r="F1124" s="137">
        <f>[1]flow_freeway!C1125</f>
        <v>10828.248046999999</v>
      </c>
      <c r="G1124" s="137">
        <f>[1]flow_freeway!D1125</f>
        <v>19877.898438</v>
      </c>
    </row>
    <row r="1125" spans="4:7" x14ac:dyDescent="0.25">
      <c r="D1125">
        <f>[1]flow_freeway!A1126</f>
        <v>27182</v>
      </c>
      <c r="E1125" s="137">
        <f>[1]flow_freeway!B1126</f>
        <v>60012.528319999998</v>
      </c>
      <c r="F1125" s="137">
        <f>[1]flow_freeway!C1126</f>
        <v>15222.092773</v>
      </c>
      <c r="G1125" s="137">
        <f>[1]flow_freeway!D1126</f>
        <v>10564.071289</v>
      </c>
    </row>
    <row r="1126" spans="4:7" x14ac:dyDescent="0.25">
      <c r="D1126">
        <f>[1]flow_freeway!A1127</f>
        <v>27183</v>
      </c>
      <c r="E1126" s="137">
        <f>[1]flow_freeway!B1127</f>
        <v>59078.984375000007</v>
      </c>
      <c r="F1126" s="137">
        <f>[1]flow_freeway!C1127</f>
        <v>9293.4091800000006</v>
      </c>
      <c r="G1126" s="137">
        <f>[1]flow_freeway!D1127</f>
        <v>18405.800781000002</v>
      </c>
    </row>
    <row r="1127" spans="4:7" x14ac:dyDescent="0.25">
      <c r="D1127">
        <f>[1]flow_freeway!A1128</f>
        <v>27184</v>
      </c>
      <c r="E1127" s="137">
        <f>[1]flow_freeway!B1128</f>
        <v>58137.002686000007</v>
      </c>
      <c r="F1127" s="137">
        <f>[1]flow_freeway!C1128</f>
        <v>14754.159180000001</v>
      </c>
      <c r="G1127" s="137">
        <f>[1]flow_freeway!D1128</f>
        <v>10145.104492</v>
      </c>
    </row>
    <row r="1128" spans="4:7" x14ac:dyDescent="0.25">
      <c r="D1128">
        <f>[1]flow_freeway!A1129</f>
        <v>27187</v>
      </c>
      <c r="E1128" s="137">
        <f>[1]flow_freeway!B1129</f>
        <v>61201.234863999998</v>
      </c>
      <c r="F1128" s="137">
        <f>[1]flow_freeway!C1129</f>
        <v>9248.109375</v>
      </c>
      <c r="G1128" s="137">
        <f>[1]flow_freeway!D1129</f>
        <v>19172.300781000002</v>
      </c>
    </row>
    <row r="1129" spans="4:7" x14ac:dyDescent="0.25">
      <c r="D1129">
        <f>[1]flow_freeway!A1130</f>
        <v>27188</v>
      </c>
      <c r="E1129" s="137">
        <f>[1]flow_freeway!B1130</f>
        <v>59779.564940000004</v>
      </c>
      <c r="F1129" s="137">
        <f>[1]flow_freeway!C1130</f>
        <v>14378.457031</v>
      </c>
      <c r="G1129" s="137">
        <f>[1]flow_freeway!D1130</f>
        <v>11473.588867</v>
      </c>
    </row>
    <row r="1130" spans="4:7" x14ac:dyDescent="0.25">
      <c r="D1130">
        <f>[1]flow_freeway!A1131</f>
        <v>27189</v>
      </c>
      <c r="E1130" s="137">
        <f>[1]flow_freeway!B1131</f>
        <v>68881.910157000006</v>
      </c>
      <c r="F1130" s="137">
        <f>[1]flow_freeway!C1131</f>
        <v>13665.453125</v>
      </c>
      <c r="G1130" s="137">
        <f>[1]flow_freeway!D1131</f>
        <v>14480.724609000001</v>
      </c>
    </row>
    <row r="1131" spans="4:7" x14ac:dyDescent="0.25">
      <c r="D1131">
        <f>[1]flow_freeway!A1132</f>
        <v>27190</v>
      </c>
      <c r="E1131" s="137">
        <f>[1]flow_freeway!B1132</f>
        <v>68881.910157000006</v>
      </c>
      <c r="F1131" s="137">
        <f>[1]flow_freeway!C1132</f>
        <v>13665.453125</v>
      </c>
      <c r="G1131" s="137">
        <f>[1]flow_freeway!D1132</f>
        <v>14480.724609000001</v>
      </c>
    </row>
    <row r="1132" spans="4:7" x14ac:dyDescent="0.25">
      <c r="D1132">
        <f>[1]flow_freeway!A1133</f>
        <v>27191</v>
      </c>
      <c r="E1132" s="137">
        <f>[1]flow_freeway!B1133</f>
        <v>68182.239623999994</v>
      </c>
      <c r="F1132" s="137">
        <f>[1]flow_freeway!C1133</f>
        <v>13990.511719</v>
      </c>
      <c r="G1132" s="137">
        <f>[1]flow_freeway!D1133</f>
        <v>18164.095702999999</v>
      </c>
    </row>
    <row r="1133" spans="4:7" x14ac:dyDescent="0.25">
      <c r="D1133">
        <f>[1]flow_freeway!A1134</f>
        <v>27192</v>
      </c>
      <c r="E1133" s="137">
        <f>[1]flow_freeway!B1134</f>
        <v>68182.239623999994</v>
      </c>
      <c r="F1133" s="137">
        <f>[1]flow_freeway!C1134</f>
        <v>13990.511719</v>
      </c>
      <c r="G1133" s="137">
        <f>[1]flow_freeway!D1134</f>
        <v>18164.095702999999</v>
      </c>
    </row>
    <row r="1134" spans="4:7" x14ac:dyDescent="0.25">
      <c r="D1134">
        <f>[1]flow_freeway!A1135</f>
        <v>27193</v>
      </c>
      <c r="E1134" s="137">
        <f>[1]flow_freeway!B1135</f>
        <v>68182.239623999994</v>
      </c>
      <c r="F1134" s="137">
        <f>[1]flow_freeway!C1135</f>
        <v>13990.511719</v>
      </c>
      <c r="G1134" s="137">
        <f>[1]flow_freeway!D1135</f>
        <v>18164.095702999999</v>
      </c>
    </row>
    <row r="1135" spans="4:7" x14ac:dyDescent="0.25">
      <c r="D1135">
        <f>[1]flow_freeway!A1136</f>
        <v>27194</v>
      </c>
      <c r="E1135" s="137">
        <f>[1]flow_freeway!B1136</f>
        <v>68881.910157000006</v>
      </c>
      <c r="F1135" s="137">
        <f>[1]flow_freeway!C1136</f>
        <v>13665.453125</v>
      </c>
      <c r="G1135" s="137">
        <f>[1]flow_freeway!D1136</f>
        <v>14480.724609000001</v>
      </c>
    </row>
    <row r="1136" spans="4:7" x14ac:dyDescent="0.25">
      <c r="D1136">
        <f>[1]flow_freeway!A1137</f>
        <v>27195</v>
      </c>
      <c r="E1136" s="137">
        <f>[1]flow_freeway!B1137</f>
        <v>67213.894409</v>
      </c>
      <c r="F1136" s="137">
        <f>[1]flow_freeway!C1137</f>
        <v>14412.300781</v>
      </c>
      <c r="G1136" s="137">
        <f>[1]flow_freeway!D1137</f>
        <v>17436.033202999999</v>
      </c>
    </row>
    <row r="1137" spans="4:7" x14ac:dyDescent="0.25">
      <c r="D1137">
        <f>[1]flow_freeway!A1138</f>
        <v>27196</v>
      </c>
      <c r="E1137" s="137">
        <f>[1]flow_freeway!B1138</f>
        <v>67858.091797000001</v>
      </c>
      <c r="F1137" s="137">
        <f>[1]flow_freeway!C1138</f>
        <v>12871.772461</v>
      </c>
      <c r="G1137" s="137">
        <f>[1]flow_freeway!D1138</f>
        <v>14727.751953000001</v>
      </c>
    </row>
    <row r="1138" spans="4:7" x14ac:dyDescent="0.25">
      <c r="D1138">
        <f>[1]flow_freeway!A1139</f>
        <v>27204</v>
      </c>
      <c r="E1138" s="137">
        <f>[1]flow_freeway!B1139</f>
        <v>5616.7401120000004</v>
      </c>
      <c r="F1138" s="137">
        <f>[1]flow_freeway!C1139</f>
        <v>780.50915499999996</v>
      </c>
      <c r="G1138" s="137">
        <f>[1]flow_freeway!D1139</f>
        <v>1742.283936</v>
      </c>
    </row>
    <row r="1139" spans="4:7" x14ac:dyDescent="0.25">
      <c r="D1139">
        <f>[1]flow_freeway!A1140</f>
        <v>27205</v>
      </c>
      <c r="E1139" s="137">
        <f>[1]flow_freeway!B1140</f>
        <v>6914.0859990000008</v>
      </c>
      <c r="F1139" s="137">
        <f>[1]flow_freeway!C1140</f>
        <v>1829.9155270000001</v>
      </c>
      <c r="G1139" s="137">
        <f>[1]flow_freeway!D1140</f>
        <v>831.814392</v>
      </c>
    </row>
    <row r="1140" spans="4:7" x14ac:dyDescent="0.25">
      <c r="D1140">
        <f>[1]flow_freeway!A1141</f>
        <v>27206</v>
      </c>
      <c r="E1140" s="137">
        <f>[1]flow_freeway!B1141</f>
        <v>7077.9960950000004</v>
      </c>
      <c r="F1140" s="137">
        <f>[1]flow_freeway!C1141</f>
        <v>861.39410399999997</v>
      </c>
      <c r="G1140" s="137">
        <f>[1]flow_freeway!D1141</f>
        <v>2280.0131839999999</v>
      </c>
    </row>
    <row r="1141" spans="4:7" x14ac:dyDescent="0.25">
      <c r="D1141">
        <f>[1]flow_freeway!A1142</f>
        <v>27207</v>
      </c>
      <c r="E1141" s="137">
        <f>[1]flow_freeway!B1142</f>
        <v>5976.1378169999998</v>
      </c>
      <c r="F1141" s="137">
        <f>[1]flow_freeway!C1142</f>
        <v>737.90081799999996</v>
      </c>
      <c r="G1141" s="137">
        <f>[1]flow_freeway!D1142</f>
        <v>1935.305298</v>
      </c>
    </row>
    <row r="1142" spans="4:7" x14ac:dyDescent="0.25">
      <c r="D1142">
        <f>[1]flow_freeway!A1143</f>
        <v>27208</v>
      </c>
      <c r="E1142" s="137">
        <f>[1]flow_freeway!B1143</f>
        <v>5338.1758420000006</v>
      </c>
      <c r="F1142" s="137">
        <f>[1]flow_freeway!C1143</f>
        <v>711.99609399999997</v>
      </c>
      <c r="G1142" s="137">
        <f>[1]flow_freeway!D1143</f>
        <v>1692.7813719999999</v>
      </c>
    </row>
    <row r="1143" spans="4:7" x14ac:dyDescent="0.25">
      <c r="D1143">
        <f>[1]flow_freeway!A1144</f>
        <v>27209</v>
      </c>
      <c r="E1143" s="137">
        <f>[1]flow_freeway!B1144</f>
        <v>6592.8826289999997</v>
      </c>
      <c r="F1143" s="137">
        <f>[1]flow_freeway!C1144</f>
        <v>1808.559448</v>
      </c>
      <c r="G1143" s="137">
        <f>[1]flow_freeway!D1144</f>
        <v>744.18994099999998</v>
      </c>
    </row>
    <row r="1144" spans="4:7" x14ac:dyDescent="0.25">
      <c r="D1144">
        <f>[1]flow_freeway!A1145</f>
        <v>27210</v>
      </c>
      <c r="E1144" s="137">
        <f>[1]flow_freeway!B1145</f>
        <v>6775.4545889999999</v>
      </c>
      <c r="F1144" s="137">
        <f>[1]flow_freeway!C1145</f>
        <v>782.13433799999996</v>
      </c>
      <c r="G1144" s="137">
        <f>[1]flow_freeway!D1145</f>
        <v>2218.6152339999999</v>
      </c>
    </row>
    <row r="1145" spans="4:7" x14ac:dyDescent="0.25">
      <c r="D1145">
        <f>[1]flow_freeway!A1146</f>
        <v>27211</v>
      </c>
      <c r="E1145" s="137">
        <f>[1]flow_freeway!B1146</f>
        <v>5814.5027769999997</v>
      </c>
      <c r="F1145" s="137">
        <f>[1]flow_freeway!C1146</f>
        <v>1596.955688</v>
      </c>
      <c r="G1145" s="137">
        <f>[1]flow_freeway!D1146</f>
        <v>627.80590800000004</v>
      </c>
    </row>
    <row r="1146" spans="4:7" x14ac:dyDescent="0.25">
      <c r="D1146">
        <f>[1]flow_freeway!A1147</f>
        <v>27212</v>
      </c>
      <c r="E1146" s="137">
        <f>[1]flow_freeway!B1147</f>
        <v>5124.519714</v>
      </c>
      <c r="F1146" s="137">
        <f>[1]flow_freeway!C1147</f>
        <v>1405.52478</v>
      </c>
      <c r="G1146" s="137">
        <f>[1]flow_freeway!D1147</f>
        <v>531.06604000000004</v>
      </c>
    </row>
    <row r="1147" spans="4:7" x14ac:dyDescent="0.25">
      <c r="D1147">
        <f>[1]flow_freeway!A1148</f>
        <v>27213</v>
      </c>
      <c r="E1147" s="137">
        <f>[1]flow_freeway!B1148</f>
        <v>5461.4886479999996</v>
      </c>
      <c r="F1147" s="137">
        <f>[1]flow_freeway!C1148</f>
        <v>1478.1475829999999</v>
      </c>
      <c r="G1147" s="137">
        <f>[1]flow_freeway!D1148</f>
        <v>609.76178000000004</v>
      </c>
    </row>
    <row r="1148" spans="4:7" x14ac:dyDescent="0.25">
      <c r="D1148">
        <f>[1]flow_freeway!A1149</f>
        <v>27214</v>
      </c>
      <c r="E1148" s="137">
        <f>[1]flow_freeway!B1149</f>
        <v>5462.7904669999998</v>
      </c>
      <c r="F1148" s="137">
        <f>[1]flow_freeway!C1149</f>
        <v>1478.3745120000001</v>
      </c>
      <c r="G1148" s="137">
        <f>[1]flow_freeway!D1149</f>
        <v>609.959656</v>
      </c>
    </row>
    <row r="1149" spans="4:7" x14ac:dyDescent="0.25">
      <c r="D1149">
        <f>[1]flow_freeway!A1150</f>
        <v>27218</v>
      </c>
      <c r="E1149" s="137">
        <f>[1]flow_freeway!B1150</f>
        <v>46797.504881999994</v>
      </c>
      <c r="F1149" s="137">
        <f>[1]flow_freeway!C1150</f>
        <v>9137.3056639999995</v>
      </c>
      <c r="G1149" s="137">
        <f>[1]flow_freeway!D1150</f>
        <v>12043.131836</v>
      </c>
    </row>
    <row r="1150" spans="4:7" x14ac:dyDescent="0.25">
      <c r="D1150">
        <f>[1]flow_freeway!A1151</f>
        <v>27223</v>
      </c>
      <c r="E1150" s="137">
        <f>[1]flow_freeway!B1151</f>
        <v>44789.526123999996</v>
      </c>
      <c r="F1150" s="137">
        <f>[1]flow_freeway!C1151</f>
        <v>11400.869140999999</v>
      </c>
      <c r="G1150" s="137">
        <f>[1]flow_freeway!D1151</f>
        <v>8879.09375</v>
      </c>
    </row>
    <row r="1151" spans="4:7" x14ac:dyDescent="0.25">
      <c r="D1151">
        <f>[1]flow_freeway!A1152</f>
        <v>27224</v>
      </c>
      <c r="E1151" s="137">
        <f>[1]flow_freeway!B1152</f>
        <v>40745.462401999997</v>
      </c>
      <c r="F1151" s="137">
        <f>[1]flow_freeway!C1152</f>
        <v>10386.328125</v>
      </c>
      <c r="G1151" s="137">
        <f>[1]flow_freeway!D1152</f>
        <v>8091.3305659999996</v>
      </c>
    </row>
    <row r="1152" spans="4:7" x14ac:dyDescent="0.25">
      <c r="D1152">
        <f>[1]flow_freeway!A1153</f>
        <v>27229</v>
      </c>
      <c r="E1152" s="137">
        <f>[1]flow_freeway!B1153</f>
        <v>48545.562254999997</v>
      </c>
      <c r="F1152" s="137">
        <f>[1]flow_freeway!C1153</f>
        <v>7547.8608400000003</v>
      </c>
      <c r="G1152" s="137">
        <f>[1]flow_freeway!D1153</f>
        <v>14889.771484000001</v>
      </c>
    </row>
    <row r="1153" spans="4:7" x14ac:dyDescent="0.25">
      <c r="D1153">
        <f>[1]flow_freeway!A1154</f>
        <v>27230</v>
      </c>
      <c r="E1153" s="137">
        <f>[1]flow_freeway!B1154</f>
        <v>41755.648681999999</v>
      </c>
      <c r="F1153" s="137">
        <f>[1]flow_freeway!C1154</f>
        <v>6384.2880859999996</v>
      </c>
      <c r="G1153" s="137">
        <f>[1]flow_freeway!D1154</f>
        <v>12950.25</v>
      </c>
    </row>
    <row r="1154" spans="4:7" x14ac:dyDescent="0.25">
      <c r="D1154">
        <f>[1]flow_freeway!A1155</f>
        <v>27235</v>
      </c>
      <c r="E1154" s="137">
        <f>[1]flow_freeway!B1155</f>
        <v>46309.335449999999</v>
      </c>
      <c r="F1154" s="137">
        <f>[1]flow_freeway!C1155</f>
        <v>10158.123046999999</v>
      </c>
      <c r="G1154" s="137">
        <f>[1]flow_freeway!D1155</f>
        <v>11005.991211</v>
      </c>
    </row>
    <row r="1155" spans="4:7" x14ac:dyDescent="0.25">
      <c r="D1155">
        <f>[1]flow_freeway!A1156</f>
        <v>27236</v>
      </c>
      <c r="E1155" s="137">
        <f>[1]flow_freeway!B1156</f>
        <v>40727.768799000005</v>
      </c>
      <c r="F1155" s="137">
        <f>[1]flow_freeway!C1156</f>
        <v>6672.7719729999999</v>
      </c>
      <c r="G1155" s="137">
        <f>[1]flow_freeway!D1156</f>
        <v>12513.676758</v>
      </c>
    </row>
    <row r="1156" spans="4:7" x14ac:dyDescent="0.25">
      <c r="D1156">
        <f>[1]flow_freeway!A1157</f>
        <v>27237</v>
      </c>
      <c r="E1156" s="137">
        <f>[1]flow_freeway!B1157</f>
        <v>38991.434325999995</v>
      </c>
      <c r="F1156" s="137">
        <f>[1]flow_freeway!C1157</f>
        <v>10451.070312</v>
      </c>
      <c r="G1156" s="137">
        <f>[1]flow_freeway!D1157</f>
        <v>7529.8754879999997</v>
      </c>
    </row>
    <row r="1157" spans="4:7" x14ac:dyDescent="0.25">
      <c r="D1157">
        <f>[1]flow_freeway!A1158</f>
        <v>27238</v>
      </c>
      <c r="E1157" s="137">
        <f>[1]flow_freeway!B1158</f>
        <v>40988.244871999996</v>
      </c>
      <c r="F1157" s="137">
        <f>[1]flow_freeway!C1158</f>
        <v>10860.772461</v>
      </c>
      <c r="G1157" s="137">
        <f>[1]flow_freeway!D1158</f>
        <v>8062.4379879999997</v>
      </c>
    </row>
    <row r="1158" spans="4:7" x14ac:dyDescent="0.25">
      <c r="D1158">
        <f>[1]flow_freeway!A1159</f>
        <v>27241</v>
      </c>
      <c r="E1158" s="137">
        <f>[1]flow_freeway!B1159</f>
        <v>46253.482421000001</v>
      </c>
      <c r="F1158" s="137">
        <f>[1]flow_freeway!C1159</f>
        <v>11612.920898</v>
      </c>
      <c r="G1158" s="137">
        <f>[1]flow_freeway!D1159</f>
        <v>9422.9111329999996</v>
      </c>
    </row>
    <row r="1159" spans="4:7" x14ac:dyDescent="0.25">
      <c r="D1159">
        <f>[1]flow_freeway!A1160</f>
        <v>27245</v>
      </c>
      <c r="E1159" s="137">
        <f>[1]flow_freeway!B1160</f>
        <v>50941.616211</v>
      </c>
      <c r="F1159" s="137">
        <f>[1]flow_freeway!C1160</f>
        <v>8989.5839840000008</v>
      </c>
      <c r="G1159" s="137">
        <f>[1]flow_freeway!D1160</f>
        <v>14316.778319999999</v>
      </c>
    </row>
    <row r="1160" spans="4:7" x14ac:dyDescent="0.25">
      <c r="D1160">
        <f>[1]flow_freeway!A1161</f>
        <v>27247</v>
      </c>
      <c r="E1160" s="137">
        <f>[1]flow_freeway!B1161</f>
        <v>61706.901856000004</v>
      </c>
      <c r="F1160" s="137">
        <f>[1]flow_freeway!C1161</f>
        <v>12858.994140999999</v>
      </c>
      <c r="G1160" s="137">
        <f>[1]flow_freeway!D1161</f>
        <v>13279.395508</v>
      </c>
    </row>
    <row r="1161" spans="4:7" x14ac:dyDescent="0.25">
      <c r="D1161">
        <f>[1]flow_freeway!A1162</f>
        <v>27248</v>
      </c>
      <c r="E1161" s="137">
        <f>[1]flow_freeway!B1162</f>
        <v>53608.726562999997</v>
      </c>
      <c r="F1161" s="137">
        <f>[1]flow_freeway!C1162</f>
        <v>10938.902344</v>
      </c>
      <c r="G1161" s="137">
        <f>[1]flow_freeway!D1162</f>
        <v>13471.100586</v>
      </c>
    </row>
    <row r="1162" spans="4:7" x14ac:dyDescent="0.25">
      <c r="D1162">
        <f>[1]flow_freeway!A1163</f>
        <v>27262</v>
      </c>
      <c r="E1162" s="137">
        <f>[1]flow_freeway!B1163</f>
        <v>87467.120115999991</v>
      </c>
      <c r="F1162" s="137">
        <f>[1]flow_freeway!C1163</f>
        <v>23587.298827999999</v>
      </c>
      <c r="G1162" s="137">
        <f>[1]flow_freeway!D1163</f>
        <v>18672.193359000001</v>
      </c>
    </row>
    <row r="1163" spans="4:7" x14ac:dyDescent="0.25">
      <c r="D1163">
        <f>[1]flow_freeway!A1164</f>
        <v>27335</v>
      </c>
      <c r="E1163" s="137">
        <f>[1]flow_freeway!B1164</f>
        <v>5617.8702389999999</v>
      </c>
      <c r="F1163" s="137">
        <f>[1]flow_freeway!C1164</f>
        <v>780.69897500000002</v>
      </c>
      <c r="G1163" s="137">
        <f>[1]flow_freeway!D1164</f>
        <v>1742.4642329999999</v>
      </c>
    </row>
    <row r="1164" spans="4:7" x14ac:dyDescent="0.25">
      <c r="D1164">
        <f>[1]flow_freeway!A1165</f>
        <v>27351</v>
      </c>
      <c r="E1164" s="137">
        <f>[1]flow_freeway!B1165</f>
        <v>70078.812501000008</v>
      </c>
      <c r="F1164" s="137">
        <f>[1]flow_freeway!C1165</f>
        <v>16423.498047000001</v>
      </c>
      <c r="G1164" s="137">
        <f>[1]flow_freeway!D1165</f>
        <v>13605.152344</v>
      </c>
    </row>
    <row r="1165" spans="4:7" x14ac:dyDescent="0.25">
      <c r="D1165">
        <f>[1]flow_freeway!A1166</f>
        <v>27352</v>
      </c>
      <c r="E1165" s="137">
        <f>[1]flow_freeway!B1166</f>
        <v>68247.732178999999</v>
      </c>
      <c r="F1165" s="137">
        <f>[1]flow_freeway!C1166</f>
        <v>12153.744140999999</v>
      </c>
      <c r="G1165" s="137">
        <f>[1]flow_freeway!D1166</f>
        <v>20315.898438</v>
      </c>
    </row>
    <row r="1166" spans="4:7" x14ac:dyDescent="0.25">
      <c r="D1166">
        <f>[1]flow_freeway!A1167</f>
        <v>27412</v>
      </c>
      <c r="E1166" s="137">
        <f>[1]flow_freeway!B1167</f>
        <v>26328.084778</v>
      </c>
      <c r="F1166" s="137">
        <f>[1]flow_freeway!C1167</f>
        <v>3053.6577149999998</v>
      </c>
      <c r="G1166" s="137">
        <f>[1]flow_freeway!D1167</f>
        <v>9782.2451170000004</v>
      </c>
    </row>
    <row r="1167" spans="4:7" x14ac:dyDescent="0.25">
      <c r="D1167">
        <f>[1]flow_freeway!A1168</f>
        <v>27504</v>
      </c>
      <c r="E1167" s="137">
        <f>[1]flow_freeway!B1168</f>
        <v>38501.084961</v>
      </c>
      <c r="F1167" s="137">
        <f>[1]flow_freeway!C1168</f>
        <v>12486.902344</v>
      </c>
      <c r="G1167" s="137">
        <f>[1]flow_freeway!D1168</f>
        <v>7121.3784180000002</v>
      </c>
    </row>
    <row r="1168" spans="4:7" x14ac:dyDescent="0.25">
      <c r="D1168">
        <f>[1]flow_freeway!A1169</f>
        <v>27505</v>
      </c>
      <c r="E1168" s="137">
        <f>[1]flow_freeway!B1169</f>
        <v>39451.684143999999</v>
      </c>
      <c r="F1168" s="137">
        <f>[1]flow_freeway!C1169</f>
        <v>5276.517578</v>
      </c>
      <c r="G1168" s="137">
        <f>[1]flow_freeway!D1169</f>
        <v>14180.369140999999</v>
      </c>
    </row>
    <row r="1169" spans="4:7" x14ac:dyDescent="0.25">
      <c r="D1169">
        <f>[1]flow_freeway!A1170</f>
        <v>27507</v>
      </c>
      <c r="E1169" s="137">
        <f>[1]flow_freeway!B1170</f>
        <v>42307.389099</v>
      </c>
      <c r="F1169" s="137">
        <f>[1]flow_freeway!C1170</f>
        <v>5839.8515619999998</v>
      </c>
      <c r="G1169" s="137">
        <f>[1]flow_freeway!D1170</f>
        <v>14967.219727</v>
      </c>
    </row>
    <row r="1170" spans="4:7" x14ac:dyDescent="0.25">
      <c r="D1170">
        <f>[1]flow_freeway!A1171</f>
        <v>27511</v>
      </c>
      <c r="E1170" s="137">
        <f>[1]flow_freeway!B1171</f>
        <v>25295.360596000002</v>
      </c>
      <c r="F1170" s="137">
        <f>[1]flow_freeway!C1171</f>
        <v>4818.8383789999998</v>
      </c>
      <c r="G1170" s="137">
        <f>[1]flow_freeway!D1171</f>
        <v>7364.1513670000004</v>
      </c>
    </row>
    <row r="1171" spans="4:7" x14ac:dyDescent="0.25">
      <c r="D1171">
        <f>[1]flow_freeway!A1172</f>
        <v>27512</v>
      </c>
      <c r="E1171" s="137">
        <f>[1]flow_freeway!B1172</f>
        <v>33948.848266000001</v>
      </c>
      <c r="F1171" s="137">
        <f>[1]flow_freeway!C1172</f>
        <v>7416.4951170000004</v>
      </c>
      <c r="G1171" s="137">
        <f>[1]flow_freeway!D1172</f>
        <v>8448.4638670000004</v>
      </c>
    </row>
    <row r="1172" spans="4:7" x14ac:dyDescent="0.25">
      <c r="D1172">
        <f>[1]flow_freeway!A1173</f>
        <v>27517</v>
      </c>
      <c r="E1172" s="137">
        <f>[1]flow_freeway!B1173</f>
        <v>58439.135740999991</v>
      </c>
      <c r="F1172" s="137">
        <f>[1]flow_freeway!C1173</f>
        <v>11363.077148</v>
      </c>
      <c r="G1172" s="137">
        <f>[1]flow_freeway!D1173</f>
        <v>12424.566406</v>
      </c>
    </row>
    <row r="1173" spans="4:7" x14ac:dyDescent="0.25">
      <c r="D1173">
        <f>[1]flow_freeway!A1174</f>
        <v>27518</v>
      </c>
      <c r="E1173" s="137">
        <f>[1]flow_freeway!B1174</f>
        <v>57088.834229</v>
      </c>
      <c r="F1173" s="137">
        <f>[1]flow_freeway!C1174</f>
        <v>12338.063477</v>
      </c>
      <c r="G1173" s="137">
        <f>[1]flow_freeway!D1174</f>
        <v>13764.880859000001</v>
      </c>
    </row>
    <row r="1174" spans="4:7" x14ac:dyDescent="0.25">
      <c r="D1174">
        <f>[1]flow_freeway!A1175</f>
        <v>27519</v>
      </c>
      <c r="E1174" s="137">
        <f>[1]flow_freeway!B1175</f>
        <v>59869.426512999999</v>
      </c>
      <c r="F1174" s="137">
        <f>[1]flow_freeway!C1175</f>
        <v>12580.578125</v>
      </c>
      <c r="G1174" s="137">
        <f>[1]flow_freeway!D1175</f>
        <v>14625.247069999999</v>
      </c>
    </row>
    <row r="1175" spans="4:7" x14ac:dyDescent="0.25">
      <c r="D1175">
        <f>[1]flow_freeway!A1176</f>
        <v>27520</v>
      </c>
      <c r="E1175" s="137">
        <f>[1]flow_freeway!B1176</f>
        <v>61195.490723000003</v>
      </c>
      <c r="F1175" s="137">
        <f>[1]flow_freeway!C1176</f>
        <v>12007.855469</v>
      </c>
      <c r="G1175" s="137">
        <f>[1]flow_freeway!D1176</f>
        <v>12921.991211</v>
      </c>
    </row>
    <row r="1176" spans="4:7" x14ac:dyDescent="0.25">
      <c r="D1176">
        <f>[1]flow_freeway!A1177</f>
        <v>27521</v>
      </c>
      <c r="E1176" s="137">
        <f>[1]flow_freeway!B1177</f>
        <v>61192.651853999989</v>
      </c>
      <c r="F1176" s="137">
        <f>[1]flow_freeway!C1177</f>
        <v>12006.963867</v>
      </c>
      <c r="G1176" s="137">
        <f>[1]flow_freeway!D1177</f>
        <v>12921.695312</v>
      </c>
    </row>
    <row r="1177" spans="4:7" x14ac:dyDescent="0.25">
      <c r="D1177">
        <f>[1]flow_freeway!A1178</f>
        <v>27522</v>
      </c>
      <c r="E1177" s="137">
        <f>[1]flow_freeway!B1178</f>
        <v>59866.968995000003</v>
      </c>
      <c r="F1177" s="137">
        <f>[1]flow_freeway!C1178</f>
        <v>12580.236328000001</v>
      </c>
      <c r="G1177" s="137">
        <f>[1]flow_freeway!D1178</f>
        <v>14624.066406</v>
      </c>
    </row>
    <row r="1178" spans="4:7" x14ac:dyDescent="0.25">
      <c r="D1178">
        <f>[1]flow_freeway!A1179</f>
        <v>27534</v>
      </c>
      <c r="E1178" s="137">
        <f>[1]flow_freeway!B1179</f>
        <v>8292.3859869999997</v>
      </c>
      <c r="F1178" s="137">
        <f>[1]flow_freeway!C1179</f>
        <v>2189.5083009999998</v>
      </c>
      <c r="G1178" s="137">
        <f>[1]flow_freeway!D1179</f>
        <v>1076.928467</v>
      </c>
    </row>
    <row r="1179" spans="4:7" x14ac:dyDescent="0.25">
      <c r="D1179">
        <f>[1]flow_freeway!A1180</f>
        <v>27535</v>
      </c>
      <c r="E1179" s="137">
        <f>[1]flow_freeway!B1180</f>
        <v>6877.9569099999999</v>
      </c>
      <c r="F1179" s="137">
        <f>[1]flow_freeway!C1180</f>
        <v>789.48040800000001</v>
      </c>
      <c r="G1179" s="137">
        <f>[1]flow_freeway!D1180</f>
        <v>2248.8051759999998</v>
      </c>
    </row>
    <row r="1180" spans="4:7" x14ac:dyDescent="0.25">
      <c r="D1180">
        <f>[1]flow_freeway!A1181</f>
        <v>27536</v>
      </c>
      <c r="E1180" s="137">
        <f>[1]flow_freeway!B1181</f>
        <v>6704.1066600000004</v>
      </c>
      <c r="F1180" s="137">
        <f>[1]flow_freeway!C1181</f>
        <v>1859.0952150000001</v>
      </c>
      <c r="G1180" s="137">
        <f>[1]flow_freeway!D1181</f>
        <v>753.733521</v>
      </c>
    </row>
    <row r="1181" spans="4:7" x14ac:dyDescent="0.25">
      <c r="D1181">
        <f>[1]flow_freeway!A1182</f>
        <v>27537</v>
      </c>
      <c r="E1181" s="137">
        <f>[1]flow_freeway!B1182</f>
        <v>5991.9162590000005</v>
      </c>
      <c r="F1181" s="137">
        <f>[1]flow_freeway!C1182</f>
        <v>739.423767</v>
      </c>
      <c r="G1181" s="137">
        <f>[1]flow_freeway!D1182</f>
        <v>1942.850952</v>
      </c>
    </row>
    <row r="1182" spans="4:7" x14ac:dyDescent="0.25">
      <c r="D1182">
        <f>[1]flow_freeway!A1183</f>
        <v>27538</v>
      </c>
      <c r="E1182" s="137">
        <f>[1]flow_freeway!B1183</f>
        <v>5826.5855099999999</v>
      </c>
      <c r="F1182" s="137">
        <f>[1]flow_freeway!C1183</f>
        <v>1598.2470699999999</v>
      </c>
      <c r="G1182" s="137">
        <f>[1]flow_freeway!D1183</f>
        <v>629.03430200000003</v>
      </c>
    </row>
    <row r="1183" spans="4:7" x14ac:dyDescent="0.25">
      <c r="D1183">
        <f>[1]flow_freeway!A1184</f>
        <v>27539</v>
      </c>
      <c r="E1183" s="137">
        <f>[1]flow_freeway!B1184</f>
        <v>5894.2195439999996</v>
      </c>
      <c r="F1183" s="137">
        <f>[1]flow_freeway!C1184</f>
        <v>808.23895300000004</v>
      </c>
      <c r="G1183" s="137">
        <f>[1]flow_freeway!D1184</f>
        <v>1830.634888</v>
      </c>
    </row>
    <row r="1184" spans="4:7" x14ac:dyDescent="0.25">
      <c r="D1184">
        <f>[1]flow_freeway!A1185</f>
        <v>27540</v>
      </c>
      <c r="E1184" s="137">
        <f>[1]flow_freeway!B1185</f>
        <v>5672.3826290000006</v>
      </c>
      <c r="F1184" s="137">
        <f>[1]flow_freeway!C1185</f>
        <v>1527.168091</v>
      </c>
      <c r="G1184" s="137">
        <f>[1]flow_freeway!D1185</f>
        <v>634.33215299999995</v>
      </c>
    </row>
    <row r="1185" spans="4:7" x14ac:dyDescent="0.25">
      <c r="D1185">
        <f>[1]flow_freeway!A1186</f>
        <v>27541</v>
      </c>
      <c r="E1185" s="137">
        <f>[1]flow_freeway!B1186</f>
        <v>5462.7904669999998</v>
      </c>
      <c r="F1185" s="137">
        <f>[1]flow_freeway!C1186</f>
        <v>1478.3745120000001</v>
      </c>
      <c r="G1185" s="137">
        <f>[1]flow_freeway!D1186</f>
        <v>609.959656</v>
      </c>
    </row>
    <row r="1186" spans="4:7" x14ac:dyDescent="0.25">
      <c r="D1186">
        <f>[1]flow_freeway!A1187</f>
        <v>27542</v>
      </c>
      <c r="E1186" s="137">
        <f>[1]flow_freeway!B1187</f>
        <v>5617.8702389999999</v>
      </c>
      <c r="F1186" s="137">
        <f>[1]flow_freeway!C1187</f>
        <v>780.69897500000002</v>
      </c>
      <c r="G1186" s="137">
        <f>[1]flow_freeway!D1187</f>
        <v>1742.4642329999999</v>
      </c>
    </row>
    <row r="1187" spans="4:7" x14ac:dyDescent="0.25">
      <c r="D1187">
        <f>[1]flow_freeway!A1188</f>
        <v>27543</v>
      </c>
      <c r="E1187" s="137">
        <f>[1]flow_freeway!B1188</f>
        <v>58607.228516000003</v>
      </c>
      <c r="F1187" s="137">
        <f>[1]flow_freeway!C1188</f>
        <v>13271.922852</v>
      </c>
      <c r="G1187" s="137">
        <f>[1]flow_freeway!D1188</f>
        <v>12539.163086</v>
      </c>
    </row>
    <row r="1188" spans="4:7" x14ac:dyDescent="0.25">
      <c r="D1188">
        <f>[1]flow_freeway!A1189</f>
        <v>27544</v>
      </c>
      <c r="E1188" s="137">
        <f>[1]flow_freeway!B1189</f>
        <v>58454.567872000007</v>
      </c>
      <c r="F1188" s="137">
        <f>[1]flow_freeway!C1189</f>
        <v>10083.040039</v>
      </c>
      <c r="G1188" s="137">
        <f>[1]flow_freeway!D1189</f>
        <v>16100.902344</v>
      </c>
    </row>
    <row r="1189" spans="4:7" x14ac:dyDescent="0.25">
      <c r="D1189">
        <f>[1]flow_freeway!A1190</f>
        <v>27545</v>
      </c>
      <c r="E1189" s="137">
        <f>[1]flow_freeway!B1190</f>
        <v>60434.115967999998</v>
      </c>
      <c r="F1189" s="137">
        <f>[1]flow_freeway!C1190</f>
        <v>11950.212890999999</v>
      </c>
      <c r="G1189" s="137">
        <f>[1]flow_freeway!D1190</f>
        <v>14558.893555000001</v>
      </c>
    </row>
    <row r="1190" spans="4:7" x14ac:dyDescent="0.25">
      <c r="D1190">
        <f>[1]flow_freeway!A1191</f>
        <v>27551</v>
      </c>
      <c r="E1190" s="137">
        <f>[1]flow_freeway!B1191</f>
        <v>90671.521240000002</v>
      </c>
      <c r="F1190" s="137">
        <f>[1]flow_freeway!C1191</f>
        <v>16616.439452999999</v>
      </c>
      <c r="G1190" s="137">
        <f>[1]flow_freeway!D1191</f>
        <v>24938.472656000002</v>
      </c>
    </row>
    <row r="1191" spans="4:7" x14ac:dyDescent="0.25">
      <c r="D1191">
        <f>[1]flow_freeway!A1192</f>
        <v>27552</v>
      </c>
      <c r="E1191" s="137">
        <f>[1]flow_freeway!B1192</f>
        <v>59478.474119999999</v>
      </c>
      <c r="F1191" s="137">
        <f>[1]flow_freeway!C1192</f>
        <v>12143.707031</v>
      </c>
      <c r="G1191" s="137">
        <f>[1]flow_freeway!D1192</f>
        <v>15306.872069999999</v>
      </c>
    </row>
    <row r="1192" spans="4:7" x14ac:dyDescent="0.25">
      <c r="D1192">
        <f>[1]flow_freeway!A1193</f>
        <v>27554</v>
      </c>
      <c r="E1192" s="137">
        <f>[1]flow_freeway!B1193</f>
        <v>99486.899170999997</v>
      </c>
      <c r="F1192" s="137">
        <f>[1]flow_freeway!C1193</f>
        <v>24404.886718999998</v>
      </c>
      <c r="G1192" s="137">
        <f>[1]flow_freeway!D1193</f>
        <v>23623.019531000002</v>
      </c>
    </row>
    <row r="1193" spans="4:7" x14ac:dyDescent="0.25">
      <c r="D1193">
        <f>[1]flow_freeway!A1194</f>
        <v>27555</v>
      </c>
      <c r="E1193" s="137">
        <f>[1]flow_freeway!B1194</f>
        <v>98641.967774999997</v>
      </c>
      <c r="F1193" s="137">
        <f>[1]flow_freeway!C1194</f>
        <v>17747.523438</v>
      </c>
      <c r="G1193" s="137">
        <f>[1]flow_freeway!D1194</f>
        <v>28146.46875</v>
      </c>
    </row>
    <row r="1194" spans="4:7" x14ac:dyDescent="0.25">
      <c r="D1194">
        <f>[1]flow_freeway!A1195</f>
        <v>27577</v>
      </c>
      <c r="E1194" s="137">
        <f>[1]flow_freeway!B1195</f>
        <v>87309.205323999995</v>
      </c>
      <c r="F1194" s="137">
        <f>[1]flow_freeway!C1195</f>
        <v>16556.791015999999</v>
      </c>
      <c r="G1194" s="137">
        <f>[1]flow_freeway!D1195</f>
        <v>23936.322265999999</v>
      </c>
    </row>
    <row r="1195" spans="4:7" x14ac:dyDescent="0.25">
      <c r="D1195">
        <f>[1]flow_freeway!A1196</f>
        <v>27578</v>
      </c>
      <c r="E1195" s="137">
        <f>[1]flow_freeway!B1196</f>
        <v>94474.618164999993</v>
      </c>
      <c r="F1195" s="137">
        <f>[1]flow_freeway!C1196</f>
        <v>22521.900390999999</v>
      </c>
      <c r="G1195" s="137">
        <f>[1]flow_freeway!D1196</f>
        <v>21529.166015999999</v>
      </c>
    </row>
    <row r="1196" spans="4:7" x14ac:dyDescent="0.25">
      <c r="D1196">
        <f>[1]flow_freeway!A1197</f>
        <v>27589</v>
      </c>
      <c r="E1196" s="137">
        <f>[1]flow_freeway!B1197</f>
        <v>72964.951660999999</v>
      </c>
      <c r="F1196" s="137">
        <f>[1]flow_freeway!C1197</f>
        <v>19454.292968999998</v>
      </c>
      <c r="G1196" s="137">
        <f>[1]flow_freeway!D1197</f>
        <v>14714.966796999999</v>
      </c>
    </row>
    <row r="1197" spans="4:7" x14ac:dyDescent="0.25">
      <c r="D1197">
        <f>[1]flow_freeway!A1198</f>
        <v>27594</v>
      </c>
      <c r="E1197" s="137">
        <f>[1]flow_freeway!B1198</f>
        <v>78321.966797000001</v>
      </c>
      <c r="F1197" s="137">
        <f>[1]flow_freeway!C1198</f>
        <v>17743.125</v>
      </c>
      <c r="G1197" s="137">
        <f>[1]flow_freeway!D1198</f>
        <v>14707.367188</v>
      </c>
    </row>
    <row r="1198" spans="4:7" x14ac:dyDescent="0.25">
      <c r="D1198">
        <f>[1]flow_freeway!A1199</f>
        <v>27597</v>
      </c>
      <c r="E1198" s="137">
        <f>[1]flow_freeway!B1199</f>
        <v>59866.968995000003</v>
      </c>
      <c r="F1198" s="137">
        <f>[1]flow_freeway!C1199</f>
        <v>12580.236328000001</v>
      </c>
      <c r="G1198" s="137">
        <f>[1]flow_freeway!D1199</f>
        <v>14624.066406</v>
      </c>
    </row>
    <row r="1199" spans="4:7" x14ac:dyDescent="0.25">
      <c r="D1199">
        <f>[1]flow_freeway!A1200</f>
        <v>27598</v>
      </c>
      <c r="E1199" s="137">
        <f>[1]flow_freeway!B1200</f>
        <v>61192.651853999989</v>
      </c>
      <c r="F1199" s="137">
        <f>[1]flow_freeway!C1200</f>
        <v>12006.963867</v>
      </c>
      <c r="G1199" s="137">
        <f>[1]flow_freeway!D1200</f>
        <v>12921.695312</v>
      </c>
    </row>
    <row r="1200" spans="4:7" x14ac:dyDescent="0.25">
      <c r="D1200">
        <f>[1]flow_freeway!A1201</f>
        <v>27599</v>
      </c>
      <c r="E1200" s="137">
        <f>[1]flow_freeway!B1201</f>
        <v>60277.864259000002</v>
      </c>
      <c r="F1200" s="137">
        <f>[1]flow_freeway!C1201</f>
        <v>11892.954102</v>
      </c>
      <c r="G1200" s="137">
        <f>[1]flow_freeway!D1201</f>
        <v>12647.763671999999</v>
      </c>
    </row>
    <row r="1201" spans="4:7" x14ac:dyDescent="0.25">
      <c r="D1201">
        <f>[1]flow_freeway!A1202</f>
        <v>27600</v>
      </c>
      <c r="E1201" s="137">
        <f>[1]flow_freeway!B1202</f>
        <v>84684.650878</v>
      </c>
      <c r="F1201" s="137">
        <f>[1]flow_freeway!C1202</f>
        <v>20324.720702999999</v>
      </c>
      <c r="G1201" s="137">
        <f>[1]flow_freeway!D1202</f>
        <v>20587.421875</v>
      </c>
    </row>
    <row r="1202" spans="4:7" x14ac:dyDescent="0.25">
      <c r="D1202">
        <f>[1]flow_freeway!A1203</f>
        <v>27601</v>
      </c>
      <c r="E1202" s="137">
        <f>[1]flow_freeway!B1203</f>
        <v>60280.554199999999</v>
      </c>
      <c r="F1202" s="137">
        <f>[1]flow_freeway!C1203</f>
        <v>14291.500977</v>
      </c>
      <c r="G1202" s="137">
        <f>[1]flow_freeway!D1203</f>
        <v>15310.893555000001</v>
      </c>
    </row>
    <row r="1203" spans="4:7" x14ac:dyDescent="0.25">
      <c r="D1203">
        <f>[1]flow_freeway!A1204</f>
        <v>27602</v>
      </c>
      <c r="E1203" s="137">
        <f>[1]flow_freeway!B1204</f>
        <v>76790.926026000001</v>
      </c>
      <c r="F1203" s="137">
        <f>[1]flow_freeway!C1204</f>
        <v>14834.415039</v>
      </c>
      <c r="G1203" s="137">
        <f>[1]flow_freeway!D1204</f>
        <v>20545.246093999998</v>
      </c>
    </row>
    <row r="1204" spans="4:7" x14ac:dyDescent="0.25">
      <c r="D1204">
        <f>[1]flow_freeway!A1205</f>
        <v>27603</v>
      </c>
      <c r="E1204" s="137">
        <f>[1]flow_freeway!B1205</f>
        <v>94377.211425999994</v>
      </c>
      <c r="F1204" s="137">
        <f>[1]flow_freeway!C1205</f>
        <v>17329.324218999998</v>
      </c>
      <c r="G1204" s="137">
        <f>[1]flow_freeway!D1205</f>
        <v>25837.550781000002</v>
      </c>
    </row>
    <row r="1205" spans="4:7" x14ac:dyDescent="0.25">
      <c r="D1205">
        <f>[1]flow_freeway!A1206</f>
        <v>27605</v>
      </c>
      <c r="E1205" s="137">
        <f>[1]flow_freeway!B1206</f>
        <v>98641.967774999997</v>
      </c>
      <c r="F1205" s="137">
        <f>[1]flow_freeway!C1206</f>
        <v>17747.523438</v>
      </c>
      <c r="G1205" s="137">
        <f>[1]flow_freeway!D1206</f>
        <v>28146.46875</v>
      </c>
    </row>
    <row r="1206" spans="4:7" x14ac:dyDescent="0.25">
      <c r="D1206">
        <f>[1]flow_freeway!A1207</f>
        <v>27606</v>
      </c>
      <c r="E1206" s="137">
        <f>[1]flow_freeway!B1207</f>
        <v>60322.235962000006</v>
      </c>
      <c r="F1206" s="137">
        <f>[1]flow_freeway!C1207</f>
        <v>9683.0341800000006</v>
      </c>
      <c r="G1206" s="137">
        <f>[1]flow_freeway!D1207</f>
        <v>19361.361327999999</v>
      </c>
    </row>
    <row r="1207" spans="4:7" x14ac:dyDescent="0.25">
      <c r="D1207">
        <f>[1]flow_freeway!A1208</f>
        <v>27607</v>
      </c>
      <c r="E1207" s="137">
        <f>[1]flow_freeway!B1208</f>
        <v>61888.104980999997</v>
      </c>
      <c r="F1207" s="137">
        <f>[1]flow_freeway!C1208</f>
        <v>9659.6875</v>
      </c>
      <c r="G1207" s="137">
        <f>[1]flow_freeway!D1208</f>
        <v>20099.919922000001</v>
      </c>
    </row>
    <row r="1208" spans="4:7" x14ac:dyDescent="0.25">
      <c r="D1208">
        <f>[1]flow_freeway!A1209</f>
        <v>27613</v>
      </c>
      <c r="E1208" s="137">
        <f>[1]flow_freeway!B1209</f>
        <v>66758.652830999999</v>
      </c>
      <c r="F1208" s="137">
        <f>[1]flow_freeway!C1209</f>
        <v>17113.513672000001</v>
      </c>
      <c r="G1208" s="137">
        <f>[1]flow_freeway!D1209</f>
        <v>11624.108398</v>
      </c>
    </row>
    <row r="1209" spans="4:7" x14ac:dyDescent="0.25">
      <c r="D1209">
        <f>[1]flow_freeway!A1210</f>
        <v>27614</v>
      </c>
      <c r="E1209" s="137">
        <f>[1]flow_freeway!B1210</f>
        <v>92043.354980000004</v>
      </c>
      <c r="F1209" s="137">
        <f>[1]flow_freeway!C1210</f>
        <v>24080.132812</v>
      </c>
      <c r="G1209" s="137">
        <f>[1]flow_freeway!D1210</f>
        <v>15504.049805000001</v>
      </c>
    </row>
    <row r="1210" spans="4:7" x14ac:dyDescent="0.25">
      <c r="D1210">
        <f>[1]flow_freeway!A1211</f>
        <v>27615</v>
      </c>
      <c r="E1210" s="137">
        <f>[1]flow_freeway!B1211</f>
        <v>3320.1020509999998</v>
      </c>
      <c r="F1210" s="137">
        <f>[1]flow_freeway!C1211</f>
        <v>0</v>
      </c>
      <c r="G1210" s="137">
        <f>[1]flow_freeway!D1211</f>
        <v>3320.1020509999998</v>
      </c>
    </row>
    <row r="1211" spans="4:7" x14ac:dyDescent="0.25">
      <c r="D1211">
        <f>[1]flow_freeway!A1212</f>
        <v>27658</v>
      </c>
      <c r="E1211" s="137">
        <f>[1]flow_freeway!B1212</f>
        <v>64842.929931999992</v>
      </c>
      <c r="F1211" s="137">
        <f>[1]flow_freeway!C1212</f>
        <v>12329.487305000001</v>
      </c>
      <c r="G1211" s="137">
        <f>[1]flow_freeway!D1212</f>
        <v>18644.552734000001</v>
      </c>
    </row>
    <row r="1212" spans="4:7" x14ac:dyDescent="0.25">
      <c r="D1212">
        <f>[1]flow_freeway!A1213</f>
        <v>27659</v>
      </c>
      <c r="E1212" s="137">
        <f>[1]flow_freeway!B1213</f>
        <v>65206.293701000002</v>
      </c>
      <c r="F1212" s="137">
        <f>[1]flow_freeway!C1213</f>
        <v>12591.700194999999</v>
      </c>
      <c r="G1212" s="137">
        <f>[1]flow_freeway!D1213</f>
        <v>18670.730468999998</v>
      </c>
    </row>
    <row r="1213" spans="4:7" x14ac:dyDescent="0.25">
      <c r="D1213">
        <f>[1]flow_freeway!A1214</f>
        <v>27694</v>
      </c>
      <c r="E1213" s="137">
        <f>[1]flow_freeway!B1214</f>
        <v>15189.066527999999</v>
      </c>
      <c r="F1213" s="137">
        <f>[1]flow_freeway!C1214</f>
        <v>3486.2272950000001</v>
      </c>
      <c r="G1213" s="137">
        <f>[1]flow_freeway!D1214</f>
        <v>1747.1206050000001</v>
      </c>
    </row>
    <row r="1214" spans="4:7" x14ac:dyDescent="0.25">
      <c r="D1214">
        <f>[1]flow_freeway!A1215</f>
        <v>27706</v>
      </c>
      <c r="E1214" s="137">
        <f>[1]flow_freeway!B1215</f>
        <v>31143.916747000003</v>
      </c>
      <c r="F1214" s="137">
        <f>[1]flow_freeway!C1215</f>
        <v>7295.2148440000001</v>
      </c>
      <c r="G1214" s="137">
        <f>[1]flow_freeway!D1215</f>
        <v>3429.8391109999998</v>
      </c>
    </row>
    <row r="1215" spans="4:7" x14ac:dyDescent="0.25">
      <c r="D1215">
        <f>[1]flow_freeway!A1216</f>
        <v>27716</v>
      </c>
      <c r="E1215" s="137">
        <f>[1]flow_freeway!B1216</f>
        <v>36830.992432999999</v>
      </c>
      <c r="F1215" s="137">
        <f>[1]flow_freeway!C1216</f>
        <v>6554.9438479999999</v>
      </c>
      <c r="G1215" s="137">
        <f>[1]flow_freeway!D1216</f>
        <v>7584.6748049999997</v>
      </c>
    </row>
    <row r="1216" spans="4:7" x14ac:dyDescent="0.25">
      <c r="D1216">
        <f>[1]flow_freeway!A1217</f>
        <v>27717</v>
      </c>
      <c r="E1216" s="137">
        <f>[1]flow_freeway!B1217</f>
        <v>40661.714233000006</v>
      </c>
      <c r="F1216" s="137">
        <f>[1]flow_freeway!C1217</f>
        <v>6422.7871089999999</v>
      </c>
      <c r="G1216" s="137">
        <f>[1]flow_freeway!D1217</f>
        <v>9006.8955079999996</v>
      </c>
    </row>
    <row r="1217" spans="4:7" x14ac:dyDescent="0.25">
      <c r="D1217">
        <f>[1]flow_freeway!A1218</f>
        <v>27718</v>
      </c>
      <c r="E1217" s="137">
        <f>[1]flow_freeway!B1218</f>
        <v>48341.449462999997</v>
      </c>
      <c r="F1217" s="137">
        <f>[1]flow_freeway!C1218</f>
        <v>8353.1425780000009</v>
      </c>
      <c r="G1217" s="137">
        <f>[1]flow_freeway!D1218</f>
        <v>9806.2080079999996</v>
      </c>
    </row>
    <row r="1218" spans="4:7" x14ac:dyDescent="0.25">
      <c r="D1218">
        <f>[1]flow_freeway!A1219</f>
        <v>27719</v>
      </c>
      <c r="E1218" s="137">
        <f>[1]flow_freeway!B1219</f>
        <v>44290.231444999998</v>
      </c>
      <c r="F1218" s="137">
        <f>[1]flow_freeway!C1219</f>
        <v>7474.0717770000001</v>
      </c>
      <c r="G1218" s="137">
        <f>[1]flow_freeway!D1219</f>
        <v>9526.1855469999991</v>
      </c>
    </row>
    <row r="1219" spans="4:7" x14ac:dyDescent="0.25">
      <c r="D1219">
        <f>[1]flow_freeway!A1220</f>
        <v>27720</v>
      </c>
      <c r="E1219" s="137">
        <f>[1]flow_freeway!B1220</f>
        <v>42740.978515000003</v>
      </c>
      <c r="F1219" s="137">
        <f>[1]flow_freeway!C1220</f>
        <v>6507.0786129999997</v>
      </c>
      <c r="G1219" s="137">
        <f>[1]flow_freeway!D1220</f>
        <v>9694.3769530000009</v>
      </c>
    </row>
    <row r="1220" spans="4:7" x14ac:dyDescent="0.25">
      <c r="D1220">
        <f>[1]flow_freeway!A1221</f>
        <v>27721</v>
      </c>
      <c r="E1220" s="137">
        <f>[1]flow_freeway!B1221</f>
        <v>39238.195557000006</v>
      </c>
      <c r="F1220" s="137">
        <f>[1]flow_freeway!C1221</f>
        <v>7174.2963870000003</v>
      </c>
      <c r="G1220" s="137">
        <f>[1]flow_freeway!D1221</f>
        <v>7753.8090819999998</v>
      </c>
    </row>
    <row r="1221" spans="4:7" x14ac:dyDescent="0.25">
      <c r="D1221">
        <f>[1]flow_freeway!A1222</f>
        <v>27722</v>
      </c>
      <c r="E1221" s="137">
        <f>[1]flow_freeway!B1222</f>
        <v>31981.162841999998</v>
      </c>
      <c r="F1221" s="137">
        <f>[1]flow_freeway!C1222</f>
        <v>3098.4965820000002</v>
      </c>
      <c r="G1221" s="137">
        <f>[1]flow_freeway!D1222</f>
        <v>8648.0517579999996</v>
      </c>
    </row>
    <row r="1222" spans="4:7" x14ac:dyDescent="0.25">
      <c r="D1222">
        <f>[1]flow_freeway!A1223</f>
        <v>27724</v>
      </c>
      <c r="E1222" s="137">
        <f>[1]flow_freeway!B1223</f>
        <v>34312.578613999998</v>
      </c>
      <c r="F1222" s="137">
        <f>[1]flow_freeway!C1223</f>
        <v>6694.3994140000004</v>
      </c>
      <c r="G1222" s="137">
        <f>[1]flow_freeway!D1223</f>
        <v>6076.7934569999998</v>
      </c>
    </row>
    <row r="1223" spans="4:7" x14ac:dyDescent="0.25">
      <c r="D1223">
        <f>[1]flow_freeway!A1224</f>
        <v>27737</v>
      </c>
      <c r="E1223" s="137">
        <f>[1]flow_freeway!B1224</f>
        <v>48341.449462999997</v>
      </c>
      <c r="F1223" s="137">
        <f>[1]flow_freeway!C1224</f>
        <v>8353.1425780000009</v>
      </c>
      <c r="G1223" s="137">
        <f>[1]flow_freeway!D1224</f>
        <v>9806.2080079999996</v>
      </c>
    </row>
    <row r="1224" spans="4:7" x14ac:dyDescent="0.25">
      <c r="D1224">
        <f>[1]flow_freeway!A1225</f>
        <v>27738</v>
      </c>
      <c r="E1224" s="137">
        <f>[1]flow_freeway!B1225</f>
        <v>47039.982176999998</v>
      </c>
      <c r="F1224" s="137">
        <f>[1]flow_freeway!C1225</f>
        <v>8247.1230469999991</v>
      </c>
      <c r="G1224" s="137">
        <f>[1]flow_freeway!D1225</f>
        <v>9700.7236329999996</v>
      </c>
    </row>
    <row r="1225" spans="4:7" x14ac:dyDescent="0.25">
      <c r="D1225">
        <f>[1]flow_freeway!A1226</f>
        <v>27739</v>
      </c>
      <c r="E1225" s="137">
        <f>[1]flow_freeway!B1226</f>
        <v>48341.449462999997</v>
      </c>
      <c r="F1225" s="137">
        <f>[1]flow_freeway!C1226</f>
        <v>8353.1425780000009</v>
      </c>
      <c r="G1225" s="137">
        <f>[1]flow_freeway!D1226</f>
        <v>9806.2080079999996</v>
      </c>
    </row>
    <row r="1226" spans="4:7" x14ac:dyDescent="0.25">
      <c r="D1226">
        <f>[1]flow_freeway!A1227</f>
        <v>27740</v>
      </c>
      <c r="E1226" s="137">
        <f>[1]flow_freeway!B1227</f>
        <v>44290.231444999998</v>
      </c>
      <c r="F1226" s="137">
        <f>[1]flow_freeway!C1227</f>
        <v>7474.0717770000001</v>
      </c>
      <c r="G1226" s="137">
        <f>[1]flow_freeway!D1227</f>
        <v>9526.1855469999991</v>
      </c>
    </row>
    <row r="1227" spans="4:7" x14ac:dyDescent="0.25">
      <c r="D1227">
        <f>[1]flow_freeway!A1228</f>
        <v>27741</v>
      </c>
      <c r="E1227" s="137">
        <f>[1]flow_freeway!B1228</f>
        <v>44290.231444999998</v>
      </c>
      <c r="F1227" s="137">
        <f>[1]flow_freeway!C1228</f>
        <v>7474.0717770000001</v>
      </c>
      <c r="G1227" s="137">
        <f>[1]flow_freeway!D1228</f>
        <v>9526.1855469999991</v>
      </c>
    </row>
    <row r="1228" spans="4:7" x14ac:dyDescent="0.25">
      <c r="D1228">
        <f>[1]flow_freeway!A1229</f>
        <v>27742</v>
      </c>
      <c r="E1228" s="137">
        <f>[1]flow_freeway!B1229</f>
        <v>43291.919676999998</v>
      </c>
      <c r="F1228" s="137">
        <f>[1]flow_freeway!C1229</f>
        <v>7315.638672</v>
      </c>
      <c r="G1228" s="137">
        <f>[1]flow_freeway!D1229</f>
        <v>9390.5439449999994</v>
      </c>
    </row>
    <row r="1229" spans="4:7" x14ac:dyDescent="0.25">
      <c r="D1229">
        <f>[1]flow_freeway!A1230</f>
        <v>27743</v>
      </c>
      <c r="E1229" s="137">
        <f>[1]flow_freeway!B1230</f>
        <v>11030.232360999998</v>
      </c>
      <c r="F1229" s="137">
        <f>[1]flow_freeway!C1230</f>
        <v>478.739349</v>
      </c>
      <c r="G1229" s="137">
        <f>[1]flow_freeway!D1230</f>
        <v>3962.7978520000001</v>
      </c>
    </row>
    <row r="1230" spans="4:7" x14ac:dyDescent="0.25">
      <c r="D1230">
        <f>[1]flow_freeway!A1231</f>
        <v>27744</v>
      </c>
      <c r="E1230" s="137">
        <f>[1]flow_freeway!B1231</f>
        <v>40348.681152999998</v>
      </c>
      <c r="F1230" s="137">
        <f>[1]flow_freeway!C1231</f>
        <v>8414.0292969999991</v>
      </c>
      <c r="G1230" s="137">
        <f>[1]flow_freeway!D1231</f>
        <v>9680.8662110000005</v>
      </c>
    </row>
    <row r="1231" spans="4:7" x14ac:dyDescent="0.25">
      <c r="D1231">
        <f>[1]flow_freeway!A1232</f>
        <v>27766</v>
      </c>
      <c r="E1231" s="137">
        <f>[1]flow_freeway!B1232</f>
        <v>43338.114502999997</v>
      </c>
      <c r="F1231" s="137">
        <f>[1]flow_freeway!C1232</f>
        <v>10852.548828000001</v>
      </c>
      <c r="G1231" s="137">
        <f>[1]flow_freeway!D1232</f>
        <v>9656.4921880000002</v>
      </c>
    </row>
    <row r="1232" spans="4:7" x14ac:dyDescent="0.25">
      <c r="D1232">
        <f>[1]flow_freeway!A1233</f>
        <v>27774</v>
      </c>
      <c r="E1232" s="137">
        <f>[1]flow_freeway!B1233</f>
        <v>27279.923338999997</v>
      </c>
      <c r="F1232" s="137">
        <f>[1]flow_freeway!C1233</f>
        <v>5643.7314450000003</v>
      </c>
      <c r="G1232" s="137">
        <f>[1]flow_freeway!D1233</f>
        <v>6162.6826170000004</v>
      </c>
    </row>
    <row r="1233" spans="4:7" x14ac:dyDescent="0.25">
      <c r="D1233">
        <f>[1]flow_freeway!A1234</f>
        <v>27781</v>
      </c>
      <c r="E1233" s="137">
        <f>[1]flow_freeway!B1234</f>
        <v>75228.366334000006</v>
      </c>
      <c r="F1233" s="137">
        <f>[1]flow_freeway!C1234</f>
        <v>11114.334961</v>
      </c>
      <c r="G1233" s="137">
        <f>[1]flow_freeway!D1234</f>
        <v>22787.998047000001</v>
      </c>
    </row>
    <row r="1234" spans="4:7" x14ac:dyDescent="0.25">
      <c r="D1234">
        <f>[1]flow_freeway!A1235</f>
        <v>27789</v>
      </c>
      <c r="E1234" s="137">
        <f>[1]flow_freeway!B1235</f>
        <v>83038.186034999992</v>
      </c>
      <c r="F1234" s="137">
        <f>[1]flow_freeway!C1235</f>
        <v>22487.625</v>
      </c>
      <c r="G1234" s="137">
        <f>[1]flow_freeway!D1235</f>
        <v>17719.207031000002</v>
      </c>
    </row>
    <row r="1235" spans="4:7" x14ac:dyDescent="0.25">
      <c r="D1235">
        <f>[1]flow_freeway!A1236</f>
        <v>27790</v>
      </c>
      <c r="E1235" s="137">
        <f>[1]flow_freeway!B1236</f>
        <v>100465.43700999999</v>
      </c>
      <c r="F1235" s="137">
        <f>[1]flow_freeway!C1236</f>
        <v>16843.552734000001</v>
      </c>
      <c r="G1235" s="137">
        <f>[1]flow_freeway!D1236</f>
        <v>29127.539062</v>
      </c>
    </row>
    <row r="1236" spans="4:7" x14ac:dyDescent="0.25">
      <c r="D1236">
        <f>[1]flow_freeway!A1237</f>
        <v>27791</v>
      </c>
      <c r="E1236" s="137">
        <f>[1]flow_freeway!B1237</f>
        <v>106706.897461</v>
      </c>
      <c r="F1236" s="137">
        <f>[1]flow_freeway!C1237</f>
        <v>18226.330077999999</v>
      </c>
      <c r="G1236" s="137">
        <f>[1]flow_freeway!D1237</f>
        <v>30361.771484000001</v>
      </c>
    </row>
    <row r="1237" spans="4:7" x14ac:dyDescent="0.25">
      <c r="D1237">
        <f>[1]flow_freeway!A1238</f>
        <v>27792</v>
      </c>
      <c r="E1237" s="137">
        <f>[1]flow_freeway!B1238</f>
        <v>104842.307617</v>
      </c>
      <c r="F1237" s="137">
        <f>[1]flow_freeway!C1238</f>
        <v>27108.871093999998</v>
      </c>
      <c r="G1237" s="137">
        <f>[1]flow_freeway!D1238</f>
        <v>23526.082031000002</v>
      </c>
    </row>
    <row r="1238" spans="4:7" x14ac:dyDescent="0.25">
      <c r="D1238">
        <f>[1]flow_freeway!A1239</f>
        <v>27795</v>
      </c>
      <c r="E1238" s="137">
        <f>[1]flow_freeway!B1239</f>
        <v>97051.800050000005</v>
      </c>
      <c r="F1238" s="137">
        <f>[1]flow_freeway!C1239</f>
        <v>16929.775390999999</v>
      </c>
      <c r="G1238" s="137">
        <f>[1]flow_freeway!D1239</f>
        <v>27776.804688</v>
      </c>
    </row>
    <row r="1239" spans="4:7" x14ac:dyDescent="0.25">
      <c r="D1239">
        <f>[1]flow_freeway!A1240</f>
        <v>27796</v>
      </c>
      <c r="E1239" s="137">
        <f>[1]flow_freeway!B1240</f>
        <v>91827.395506999994</v>
      </c>
      <c r="F1239" s="137">
        <f>[1]flow_freeway!C1240</f>
        <v>24388.945312</v>
      </c>
      <c r="G1239" s="137">
        <f>[1]flow_freeway!D1240</f>
        <v>20370.378906000002</v>
      </c>
    </row>
    <row r="1240" spans="4:7" x14ac:dyDescent="0.25">
      <c r="D1240">
        <f>[1]flow_freeway!A1241</f>
        <v>27806</v>
      </c>
      <c r="E1240" s="137">
        <f>[1]flow_freeway!B1241</f>
        <v>106361.348144</v>
      </c>
      <c r="F1240" s="137">
        <f>[1]flow_freeway!C1241</f>
        <v>18609.199218999998</v>
      </c>
      <c r="G1240" s="137">
        <f>[1]flow_freeway!D1241</f>
        <v>30405.193359000001</v>
      </c>
    </row>
    <row r="1241" spans="4:7" x14ac:dyDescent="0.25">
      <c r="D1241">
        <f>[1]flow_freeway!A1242</f>
        <v>27807</v>
      </c>
      <c r="E1241" s="137">
        <f>[1]flow_freeway!B1242</f>
        <v>103349.12597699999</v>
      </c>
      <c r="F1241" s="137">
        <f>[1]flow_freeway!C1242</f>
        <v>26944.261718999998</v>
      </c>
      <c r="G1241" s="137">
        <f>[1]flow_freeway!D1242</f>
        <v>23077.027343999998</v>
      </c>
    </row>
    <row r="1242" spans="4:7" x14ac:dyDescent="0.25">
      <c r="D1242">
        <f>[1]flow_freeway!A1243</f>
        <v>27820</v>
      </c>
      <c r="E1242" s="137">
        <f>[1]flow_freeway!B1243</f>
        <v>131254.50097699999</v>
      </c>
      <c r="F1242" s="137">
        <f>[1]flow_freeway!C1243</f>
        <v>33429.550780999998</v>
      </c>
      <c r="G1242" s="137">
        <f>[1]flow_freeway!D1243</f>
        <v>26549.888672000001</v>
      </c>
    </row>
    <row r="1243" spans="4:7" x14ac:dyDescent="0.25">
      <c r="D1243">
        <f>[1]flow_freeway!A1244</f>
        <v>27824</v>
      </c>
      <c r="E1243" s="137">
        <f>[1]flow_freeway!B1244</f>
        <v>100359.46118100001</v>
      </c>
      <c r="F1243" s="137">
        <f>[1]flow_freeway!C1244</f>
        <v>16602.779297000001</v>
      </c>
      <c r="G1243" s="137">
        <f>[1]flow_freeway!D1244</f>
        <v>29831.550781000002</v>
      </c>
    </row>
    <row r="1244" spans="4:7" x14ac:dyDescent="0.25">
      <c r="D1244">
        <f>[1]flow_freeway!A1245</f>
        <v>27825</v>
      </c>
      <c r="E1244" s="137">
        <f>[1]flow_freeway!B1245</f>
        <v>146493.18261799999</v>
      </c>
      <c r="F1244" s="137">
        <f>[1]flow_freeway!C1245</f>
        <v>37117.875</v>
      </c>
      <c r="G1244" s="137">
        <f>[1]flow_freeway!D1245</f>
        <v>29806.384765999999</v>
      </c>
    </row>
    <row r="1245" spans="4:7" x14ac:dyDescent="0.25">
      <c r="D1245">
        <f>[1]flow_freeway!A1246</f>
        <v>27832</v>
      </c>
      <c r="E1245" s="137">
        <f>[1]flow_freeway!B1246</f>
        <v>120517.23974599999</v>
      </c>
      <c r="F1245" s="137">
        <f>[1]flow_freeway!C1246</f>
        <v>30924.265625</v>
      </c>
      <c r="G1245" s="137">
        <f>[1]flow_freeway!D1246</f>
        <v>24912.363281000002</v>
      </c>
    </row>
    <row r="1246" spans="4:7" x14ac:dyDescent="0.25">
      <c r="D1246">
        <f>[1]flow_freeway!A1247</f>
        <v>27834</v>
      </c>
      <c r="E1246" s="137">
        <f>[1]flow_freeway!B1247</f>
        <v>108094.08544899999</v>
      </c>
      <c r="F1246" s="137">
        <f>[1]flow_freeway!C1247</f>
        <v>18207.751952999999</v>
      </c>
      <c r="G1246" s="137">
        <f>[1]flow_freeway!D1247</f>
        <v>31763.394531000002</v>
      </c>
    </row>
    <row r="1247" spans="4:7" x14ac:dyDescent="0.25">
      <c r="D1247">
        <f>[1]flow_freeway!A1248</f>
        <v>27843</v>
      </c>
      <c r="E1247" s="137">
        <f>[1]flow_freeway!B1248</f>
        <v>51811.125854999998</v>
      </c>
      <c r="F1247" s="137">
        <f>[1]flow_freeway!C1248</f>
        <v>7106.625</v>
      </c>
      <c r="G1247" s="137">
        <f>[1]flow_freeway!D1248</f>
        <v>15569.269531</v>
      </c>
    </row>
    <row r="1248" spans="4:7" x14ac:dyDescent="0.25">
      <c r="D1248">
        <f>[1]flow_freeway!A1249</f>
        <v>27844</v>
      </c>
      <c r="E1248" s="137">
        <f>[1]flow_freeway!B1249</f>
        <v>51432.074584999995</v>
      </c>
      <c r="F1248" s="137">
        <f>[1]flow_freeway!C1249</f>
        <v>7054.7807620000003</v>
      </c>
      <c r="G1248" s="137">
        <f>[1]flow_freeway!D1249</f>
        <v>15474.659180000001</v>
      </c>
    </row>
    <row r="1249" spans="4:7" x14ac:dyDescent="0.25">
      <c r="D1249">
        <f>[1]flow_freeway!A1250</f>
        <v>27845</v>
      </c>
      <c r="E1249" s="137">
        <f>[1]flow_freeway!B1250</f>
        <v>69527.721558000005</v>
      </c>
      <c r="F1249" s="137">
        <f>[1]flow_freeway!C1250</f>
        <v>9828.7353519999997</v>
      </c>
      <c r="G1249" s="137">
        <f>[1]flow_freeway!D1250</f>
        <v>19981.753906000002</v>
      </c>
    </row>
    <row r="1250" spans="4:7" x14ac:dyDescent="0.25">
      <c r="D1250">
        <f>[1]flow_freeway!A1251</f>
        <v>27853</v>
      </c>
      <c r="E1250" s="137">
        <f>[1]flow_freeway!B1251</f>
        <v>23037.229919999998</v>
      </c>
      <c r="F1250" s="137">
        <f>[1]flow_freeway!C1251</f>
        <v>4364.1953119999998</v>
      </c>
      <c r="G1250" s="137">
        <f>[1]flow_freeway!D1251</f>
        <v>5754.1259769999997</v>
      </c>
    </row>
    <row r="1251" spans="4:7" x14ac:dyDescent="0.25">
      <c r="D1251">
        <f>[1]flow_freeway!A1252</f>
        <v>27855</v>
      </c>
      <c r="E1251" s="137">
        <f>[1]flow_freeway!B1252</f>
        <v>27012.852721999996</v>
      </c>
      <c r="F1251" s="137">
        <f>[1]flow_freeway!C1252</f>
        <v>5036.9692379999997</v>
      </c>
      <c r="G1251" s="137">
        <f>[1]flow_freeway!D1252</f>
        <v>6988.6923829999996</v>
      </c>
    </row>
    <row r="1252" spans="4:7" x14ac:dyDescent="0.25">
      <c r="D1252">
        <f>[1]flow_freeway!A1253</f>
        <v>27856</v>
      </c>
      <c r="E1252" s="137">
        <f>[1]flow_freeway!B1253</f>
        <v>28104.758545999997</v>
      </c>
      <c r="F1252" s="137">
        <f>[1]flow_freeway!C1253</f>
        <v>5903.1005859999996</v>
      </c>
      <c r="G1252" s="137">
        <f>[1]flow_freeway!D1253</f>
        <v>6313.6069340000004</v>
      </c>
    </row>
    <row r="1253" spans="4:7" x14ac:dyDescent="0.25">
      <c r="D1253">
        <f>[1]flow_freeway!A1254</f>
        <v>27857</v>
      </c>
      <c r="E1253" s="137">
        <f>[1]flow_freeway!B1254</f>
        <v>5764.3624570000002</v>
      </c>
      <c r="F1253" s="137">
        <f>[1]flow_freeway!C1254</f>
        <v>1532.5618899999999</v>
      </c>
      <c r="G1253" s="137">
        <f>[1]flow_freeway!D1254</f>
        <v>1227.4792480000001</v>
      </c>
    </row>
    <row r="1254" spans="4:7" x14ac:dyDescent="0.25">
      <c r="D1254">
        <f>[1]flow_freeway!A1255</f>
        <v>27858</v>
      </c>
      <c r="E1254" s="137">
        <f>[1]flow_freeway!B1255</f>
        <v>5748.5657040000006</v>
      </c>
      <c r="F1254" s="137">
        <f>[1]flow_freeway!C1255</f>
        <v>1524.7623289999999</v>
      </c>
      <c r="G1254" s="137">
        <f>[1]flow_freeway!D1255</f>
        <v>1223.6798100000001</v>
      </c>
    </row>
    <row r="1255" spans="4:7" x14ac:dyDescent="0.25">
      <c r="D1255">
        <f>[1]flow_freeway!A1256</f>
        <v>27860</v>
      </c>
      <c r="E1255" s="137">
        <f>[1]flow_freeway!B1256</f>
        <v>23056.725128000002</v>
      </c>
      <c r="F1255" s="137">
        <f>[1]flow_freeway!C1256</f>
        <v>2633.1154790000001</v>
      </c>
      <c r="G1255" s="137">
        <f>[1]flow_freeway!D1256</f>
        <v>6869.3139650000003</v>
      </c>
    </row>
    <row r="1256" spans="4:7" x14ac:dyDescent="0.25">
      <c r="D1256">
        <f>[1]flow_freeway!A1257</f>
        <v>27862</v>
      </c>
      <c r="E1256" s="137">
        <f>[1]flow_freeway!B1257</f>
        <v>7041.0842899999998</v>
      </c>
      <c r="F1256" s="137">
        <f>[1]flow_freeway!C1257</f>
        <v>1500.0546879999999</v>
      </c>
      <c r="G1256" s="137">
        <f>[1]flow_freeway!D1257</f>
        <v>1812.751221</v>
      </c>
    </row>
    <row r="1257" spans="4:7" x14ac:dyDescent="0.25">
      <c r="D1257">
        <f>[1]flow_freeway!A1258</f>
        <v>27864</v>
      </c>
      <c r="E1257" s="137">
        <f>[1]flow_freeway!B1258</f>
        <v>22322.036499000002</v>
      </c>
      <c r="F1257" s="137">
        <f>[1]flow_freeway!C1258</f>
        <v>2522.188232</v>
      </c>
      <c r="G1257" s="137">
        <f>[1]flow_freeway!D1258</f>
        <v>6686.1040039999998</v>
      </c>
    </row>
    <row r="1258" spans="4:7" x14ac:dyDescent="0.25">
      <c r="D1258">
        <f>[1]flow_freeway!A1259</f>
        <v>27866</v>
      </c>
      <c r="E1258" s="137">
        <f>[1]flow_freeway!B1259</f>
        <v>7643.8927919999996</v>
      </c>
      <c r="F1258" s="137">
        <f>[1]flow_freeway!C1259</f>
        <v>2124.905518</v>
      </c>
      <c r="G1258" s="137">
        <f>[1]flow_freeway!D1259</f>
        <v>1521.834717</v>
      </c>
    </row>
    <row r="1259" spans="4:7" x14ac:dyDescent="0.25">
      <c r="D1259">
        <f>[1]flow_freeway!A1260</f>
        <v>27868</v>
      </c>
      <c r="E1259" s="137">
        <f>[1]flow_freeway!B1260</f>
        <v>7034.2506100000001</v>
      </c>
      <c r="F1259" s="137">
        <f>[1]flow_freeway!C1260</f>
        <v>1498.892822</v>
      </c>
      <c r="G1259" s="137">
        <f>[1]flow_freeway!D1260</f>
        <v>1810.5445560000001</v>
      </c>
    </row>
    <row r="1260" spans="4:7" x14ac:dyDescent="0.25">
      <c r="D1260">
        <f>[1]flow_freeway!A1261</f>
        <v>27869</v>
      </c>
      <c r="E1260" s="137">
        <f>[1]flow_freeway!B1261</f>
        <v>12810.222656</v>
      </c>
      <c r="F1260" s="137">
        <f>[1]flow_freeway!C1261</f>
        <v>2179.5463869999999</v>
      </c>
      <c r="G1260" s="137">
        <f>[1]flow_freeway!D1261</f>
        <v>3962.5190429999998</v>
      </c>
    </row>
    <row r="1261" spans="4:7" x14ac:dyDescent="0.25">
      <c r="D1261">
        <f>[1]flow_freeway!A1262</f>
        <v>27870</v>
      </c>
      <c r="E1261" s="137">
        <f>[1]flow_freeway!B1262</f>
        <v>8378.5814210000008</v>
      </c>
      <c r="F1261" s="137">
        <f>[1]flow_freeway!C1262</f>
        <v>2235.8327640000002</v>
      </c>
      <c r="G1261" s="137">
        <f>[1]flow_freeway!D1262</f>
        <v>1705.044678</v>
      </c>
    </row>
    <row r="1262" spans="4:7" x14ac:dyDescent="0.25">
      <c r="D1262">
        <f>[1]flow_freeway!A1263</f>
        <v>27875</v>
      </c>
      <c r="E1262" s="137">
        <f>[1]flow_freeway!B1263</f>
        <v>25831.031738999998</v>
      </c>
      <c r="F1262" s="137">
        <f>[1]flow_freeway!C1263</f>
        <v>5745.3002930000002</v>
      </c>
      <c r="G1262" s="137">
        <f>[1]flow_freeway!D1263</f>
        <v>4346.4350590000004</v>
      </c>
    </row>
    <row r="1263" spans="4:7" x14ac:dyDescent="0.25">
      <c r="D1263">
        <f>[1]flow_freeway!A1264</f>
        <v>27877</v>
      </c>
      <c r="E1263" s="137">
        <f>[1]flow_freeway!B1264</f>
        <v>27726.358153000005</v>
      </c>
      <c r="F1263" s="137">
        <f>[1]flow_freeway!C1264</f>
        <v>6345.4433589999999</v>
      </c>
      <c r="G1263" s="137">
        <f>[1]flow_freeway!D1264</f>
        <v>4644.5898440000001</v>
      </c>
    </row>
    <row r="1264" spans="4:7" x14ac:dyDescent="0.25">
      <c r="D1264">
        <f>[1]flow_freeway!A1265</f>
        <v>27878</v>
      </c>
      <c r="E1264" s="137">
        <f>[1]flow_freeway!B1265</f>
        <v>22315.203246999998</v>
      </c>
      <c r="F1264" s="137">
        <f>[1]flow_freeway!C1265</f>
        <v>2521.0263669999999</v>
      </c>
      <c r="G1264" s="137">
        <f>[1]flow_freeway!D1265</f>
        <v>6683.8979490000002</v>
      </c>
    </row>
    <row r="1265" spans="4:7" x14ac:dyDescent="0.25">
      <c r="D1265">
        <f>[1]flow_freeway!A1266</f>
        <v>27880</v>
      </c>
      <c r="E1265" s="137">
        <f>[1]flow_freeway!B1266</f>
        <v>26632.214355</v>
      </c>
      <c r="F1265" s="137">
        <f>[1]flow_freeway!C1266</f>
        <v>5951.3017579999996</v>
      </c>
      <c r="G1265" s="137">
        <f>[1]flow_freeway!D1266</f>
        <v>4488.0097660000001</v>
      </c>
    </row>
    <row r="1266" spans="4:7" x14ac:dyDescent="0.25">
      <c r="D1266">
        <f>[1]flow_freeway!A1267</f>
        <v>27883</v>
      </c>
      <c r="E1266" s="137">
        <f>[1]flow_freeway!B1267</f>
        <v>20222.242553</v>
      </c>
      <c r="F1266" s="137">
        <f>[1]flow_freeway!C1267</f>
        <v>4226.0102539999998</v>
      </c>
      <c r="G1266" s="137">
        <f>[1]flow_freeway!D1267</f>
        <v>3249.4638669999999</v>
      </c>
    </row>
    <row r="1267" spans="4:7" x14ac:dyDescent="0.25">
      <c r="D1267">
        <f>[1]flow_freeway!A1268</f>
        <v>27884</v>
      </c>
      <c r="E1267" s="137">
        <f>[1]flow_freeway!B1268</f>
        <v>21666.316162000003</v>
      </c>
      <c r="F1267" s="137">
        <f>[1]flow_freeway!C1268</f>
        <v>4530.4501950000003</v>
      </c>
      <c r="G1267" s="137">
        <f>[1]flow_freeway!D1268</f>
        <v>3501.806885</v>
      </c>
    </row>
    <row r="1268" spans="4:7" x14ac:dyDescent="0.25">
      <c r="D1268">
        <f>[1]flow_freeway!A1269</f>
        <v>27887</v>
      </c>
      <c r="E1268" s="137">
        <f>[1]flow_freeway!B1269</f>
        <v>17459.413573999998</v>
      </c>
      <c r="F1268" s="137">
        <f>[1]flow_freeway!C1269</f>
        <v>1709.3781739999999</v>
      </c>
      <c r="G1268" s="137">
        <f>[1]flow_freeway!D1269</f>
        <v>5251.6083980000003</v>
      </c>
    </row>
    <row r="1269" spans="4:7" x14ac:dyDescent="0.25">
      <c r="D1269">
        <f>[1]flow_freeway!A1270</f>
        <v>27888</v>
      </c>
      <c r="E1269" s="137">
        <f>[1]flow_freeway!B1270</f>
        <v>18336.914825</v>
      </c>
      <c r="F1269" s="137">
        <f>[1]flow_freeway!C1270</f>
        <v>1766.3660890000001</v>
      </c>
      <c r="G1269" s="137">
        <f>[1]flow_freeway!D1270</f>
        <v>5528.9291990000002</v>
      </c>
    </row>
    <row r="1270" spans="4:7" x14ac:dyDescent="0.25">
      <c r="D1270">
        <f>[1]flow_freeway!A1271</f>
        <v>27893</v>
      </c>
      <c r="E1270" s="137">
        <f>[1]flow_freeway!B1271</f>
        <v>49575.423339000001</v>
      </c>
      <c r="F1270" s="137">
        <f>[1]flow_freeway!C1271</f>
        <v>10946.691406</v>
      </c>
      <c r="G1270" s="137">
        <f>[1]flow_freeway!D1271</f>
        <v>9283.2207030000009</v>
      </c>
    </row>
    <row r="1271" spans="4:7" x14ac:dyDescent="0.25">
      <c r="D1271">
        <f>[1]flow_freeway!A1272</f>
        <v>27894</v>
      </c>
      <c r="E1271" s="137">
        <f>[1]flow_freeway!B1272</f>
        <v>45127.430175000001</v>
      </c>
      <c r="F1271" s="137">
        <f>[1]flow_freeway!C1272</f>
        <v>10074.083984000001</v>
      </c>
      <c r="G1271" s="137">
        <f>[1]flow_freeway!D1272</f>
        <v>8121.8735349999997</v>
      </c>
    </row>
    <row r="1272" spans="4:7" x14ac:dyDescent="0.25">
      <c r="D1272">
        <f>[1]flow_freeway!A1273</f>
        <v>27898</v>
      </c>
      <c r="E1272" s="137">
        <f>[1]flow_freeway!B1273</f>
        <v>49339.664061999996</v>
      </c>
      <c r="F1272" s="137">
        <f>[1]flow_freeway!C1273</f>
        <v>6706.0869140000004</v>
      </c>
      <c r="G1272" s="137">
        <f>[1]flow_freeway!D1273</f>
        <v>14597.083984000001</v>
      </c>
    </row>
    <row r="1273" spans="4:7" x14ac:dyDescent="0.25">
      <c r="D1273">
        <f>[1]flow_freeway!A1274</f>
        <v>27901</v>
      </c>
      <c r="E1273" s="137">
        <f>[1]flow_freeway!B1274</f>
        <v>57711.872071000005</v>
      </c>
      <c r="F1273" s="137">
        <f>[1]flow_freeway!C1274</f>
        <v>7818.9897460000002</v>
      </c>
      <c r="G1273" s="137">
        <f>[1]flow_freeway!D1274</f>
        <v>17182.175781000002</v>
      </c>
    </row>
    <row r="1274" spans="4:7" x14ac:dyDescent="0.25">
      <c r="D1274">
        <f>[1]flow_freeway!A1275</f>
        <v>27902</v>
      </c>
      <c r="E1274" s="137">
        <f>[1]flow_freeway!B1275</f>
        <v>45037.395569</v>
      </c>
      <c r="F1274" s="137">
        <f>[1]flow_freeway!C1275</f>
        <v>5685.1059569999998</v>
      </c>
      <c r="G1274" s="137">
        <f>[1]flow_freeway!D1275</f>
        <v>13641.490234000001</v>
      </c>
    </row>
    <row r="1275" spans="4:7" x14ac:dyDescent="0.25">
      <c r="D1275">
        <f>[1]flow_freeway!A1276</f>
        <v>27903</v>
      </c>
      <c r="E1275" s="137">
        <f>[1]flow_freeway!B1276</f>
        <v>48643.602537999999</v>
      </c>
      <c r="F1275" s="137">
        <f>[1]flow_freeway!C1276</f>
        <v>11648.952148</v>
      </c>
      <c r="G1275" s="137">
        <f>[1]flow_freeway!D1276</f>
        <v>8579.2246090000008</v>
      </c>
    </row>
    <row r="1276" spans="4:7" x14ac:dyDescent="0.25">
      <c r="D1276">
        <f>[1]flow_freeway!A1277</f>
        <v>27914</v>
      </c>
      <c r="E1276" s="137">
        <f>[1]flow_freeway!B1277</f>
        <v>79393.606933999996</v>
      </c>
      <c r="F1276" s="137">
        <f>[1]flow_freeway!C1277</f>
        <v>18877.681640999999</v>
      </c>
      <c r="G1276" s="137">
        <f>[1]flow_freeway!D1277</f>
        <v>15074.466796999999</v>
      </c>
    </row>
    <row r="1277" spans="4:7" x14ac:dyDescent="0.25">
      <c r="D1277">
        <f>[1]flow_freeway!A1278</f>
        <v>27915</v>
      </c>
      <c r="E1277" s="137">
        <f>[1]flow_freeway!B1278</f>
        <v>68221.211790999994</v>
      </c>
      <c r="F1277" s="137">
        <f>[1]flow_freeway!C1278</f>
        <v>9707.2714840000008</v>
      </c>
      <c r="G1277" s="137">
        <f>[1]flow_freeway!D1278</f>
        <v>19633.830077999999</v>
      </c>
    </row>
    <row r="1278" spans="4:7" x14ac:dyDescent="0.25">
      <c r="D1278">
        <f>[1]flow_freeway!A1279</f>
        <v>27916</v>
      </c>
      <c r="E1278" s="137">
        <f>[1]flow_freeway!B1279</f>
        <v>77707.596680000002</v>
      </c>
      <c r="F1278" s="137">
        <f>[1]flow_freeway!C1279</f>
        <v>18513.3125</v>
      </c>
      <c r="G1278" s="137">
        <f>[1]flow_freeway!D1279</f>
        <v>14822.768555000001</v>
      </c>
    </row>
    <row r="1279" spans="4:7" x14ac:dyDescent="0.25">
      <c r="D1279">
        <f>[1]flow_freeway!A1280</f>
        <v>27918</v>
      </c>
      <c r="E1279" s="137">
        <f>[1]flow_freeway!B1280</f>
        <v>75749.588136000006</v>
      </c>
      <c r="F1279" s="137">
        <f>[1]flow_freeway!C1280</f>
        <v>11123.339844</v>
      </c>
      <c r="G1279" s="137">
        <f>[1]flow_freeway!D1280</f>
        <v>21789.636718999998</v>
      </c>
    </row>
    <row r="1280" spans="4:7" x14ac:dyDescent="0.25">
      <c r="D1280">
        <f>[1]flow_freeway!A1281</f>
        <v>27919</v>
      </c>
      <c r="E1280" s="137">
        <f>[1]flow_freeway!B1281</f>
        <v>84617.391602000003</v>
      </c>
      <c r="F1280" s="137">
        <f>[1]flow_freeway!C1281</f>
        <v>20017.160156000002</v>
      </c>
      <c r="G1280" s="137">
        <f>[1]flow_freeway!D1281</f>
        <v>16491.09375</v>
      </c>
    </row>
    <row r="1281" spans="4:7" x14ac:dyDescent="0.25">
      <c r="D1281">
        <f>[1]flow_freeway!A1282</f>
        <v>27921</v>
      </c>
      <c r="E1281" s="137">
        <f>[1]flow_freeway!B1282</f>
        <v>78083.878419000001</v>
      </c>
      <c r="F1281" s="137">
        <f>[1]flow_freeway!C1282</f>
        <v>18738.140625</v>
      </c>
      <c r="G1281" s="137">
        <f>[1]flow_freeway!D1282</f>
        <v>15181.166015999999</v>
      </c>
    </row>
    <row r="1282" spans="4:7" x14ac:dyDescent="0.25">
      <c r="D1282">
        <f>[1]flow_freeway!A1283</f>
        <v>27923</v>
      </c>
      <c r="E1282" s="137">
        <f>[1]flow_freeway!B1283</f>
        <v>70729.323730000004</v>
      </c>
      <c r="F1282" s="137">
        <f>[1]flow_freeway!C1283</f>
        <v>10674.173828000001</v>
      </c>
      <c r="G1282" s="137">
        <f>[1]flow_freeway!D1283</f>
        <v>20465.859375</v>
      </c>
    </row>
    <row r="1283" spans="4:7" x14ac:dyDescent="0.25">
      <c r="D1283">
        <f>[1]flow_freeway!A1284</f>
        <v>27924</v>
      </c>
      <c r="E1283" s="137">
        <f>[1]flow_freeway!B1284</f>
        <v>80822.937378000002</v>
      </c>
      <c r="F1283" s="137">
        <f>[1]flow_freeway!C1284</f>
        <v>12422.868164</v>
      </c>
      <c r="G1283" s="137">
        <f>[1]flow_freeway!D1284</f>
        <v>23116.189452999999</v>
      </c>
    </row>
    <row r="1284" spans="4:7" x14ac:dyDescent="0.25">
      <c r="D1284">
        <f>[1]flow_freeway!A1285</f>
        <v>27925</v>
      </c>
      <c r="E1284" s="137">
        <f>[1]flow_freeway!B1285</f>
        <v>89506.399415000007</v>
      </c>
      <c r="F1284" s="137">
        <f>[1]flow_freeway!C1285</f>
        <v>21459.089843999998</v>
      </c>
      <c r="G1284" s="137">
        <f>[1]flow_freeway!D1285</f>
        <v>17924.015625</v>
      </c>
    </row>
    <row r="1285" spans="4:7" x14ac:dyDescent="0.25">
      <c r="D1285">
        <f>[1]flow_freeway!A1286</f>
        <v>27928</v>
      </c>
      <c r="E1285" s="137">
        <f>[1]flow_freeway!B1286</f>
        <v>77239.276488999996</v>
      </c>
      <c r="F1285" s="137">
        <f>[1]flow_freeway!C1286</f>
        <v>11821.763671999999</v>
      </c>
      <c r="G1285" s="137">
        <f>[1]flow_freeway!D1286</f>
        <v>22161.464843999998</v>
      </c>
    </row>
    <row r="1286" spans="4:7" x14ac:dyDescent="0.25">
      <c r="D1286">
        <f>[1]flow_freeway!A1287</f>
        <v>27929</v>
      </c>
      <c r="E1286" s="137">
        <f>[1]flow_freeway!B1287</f>
        <v>83554.545409999992</v>
      </c>
      <c r="F1286" s="137">
        <f>[1]flow_freeway!C1287</f>
        <v>20146.841797000001</v>
      </c>
      <c r="G1286" s="137">
        <f>[1]flow_freeway!D1287</f>
        <v>16651.548827999999</v>
      </c>
    </row>
    <row r="1287" spans="4:7" x14ac:dyDescent="0.25">
      <c r="D1287">
        <f>[1]flow_freeway!A1288</f>
        <v>27930</v>
      </c>
      <c r="E1287" s="137">
        <f>[1]flow_freeway!B1288</f>
        <v>86245.864258000001</v>
      </c>
      <c r="F1287" s="137">
        <f>[1]flow_freeway!C1288</f>
        <v>13533.898438</v>
      </c>
      <c r="G1287" s="137">
        <f>[1]flow_freeway!D1288</f>
        <v>24948.957031000002</v>
      </c>
    </row>
    <row r="1288" spans="4:7" x14ac:dyDescent="0.25">
      <c r="D1288">
        <f>[1]flow_freeway!A1289</f>
        <v>27931</v>
      </c>
      <c r="E1288" s="137">
        <f>[1]flow_freeway!B1289</f>
        <v>96832.112303999995</v>
      </c>
      <c r="F1288" s="137">
        <f>[1]flow_freeway!C1289</f>
        <v>23451.03125</v>
      </c>
      <c r="G1288" s="137">
        <f>[1]flow_freeway!D1289</f>
        <v>19925.195312</v>
      </c>
    </row>
    <row r="1289" spans="4:7" x14ac:dyDescent="0.25">
      <c r="D1289">
        <f>[1]flow_freeway!A1290</f>
        <v>27933</v>
      </c>
      <c r="E1289" s="137">
        <f>[1]flow_freeway!B1290</f>
        <v>91915.369139999995</v>
      </c>
      <c r="F1289" s="137">
        <f>[1]flow_freeway!C1290</f>
        <v>22474.564452999999</v>
      </c>
      <c r="G1289" s="137">
        <f>[1]flow_freeway!D1290</f>
        <v>18884.558593999998</v>
      </c>
    </row>
    <row r="1290" spans="4:7" x14ac:dyDescent="0.25">
      <c r="D1290">
        <f>[1]flow_freeway!A1291</f>
        <v>27934</v>
      </c>
      <c r="E1290" s="137">
        <f>[1]flow_freeway!B1291</f>
        <v>81308.573241999999</v>
      </c>
      <c r="F1290" s="137">
        <f>[1]flow_freeway!C1291</f>
        <v>12995.840819999999</v>
      </c>
      <c r="G1290" s="137">
        <f>[1]flow_freeway!D1291</f>
        <v>23565.056640999999</v>
      </c>
    </row>
    <row r="1291" spans="4:7" x14ac:dyDescent="0.25">
      <c r="D1291">
        <f>[1]flow_freeway!A1292</f>
        <v>27936</v>
      </c>
      <c r="E1291" s="137">
        <f>[1]flow_freeway!B1292</f>
        <v>101218.952148</v>
      </c>
      <c r="F1291" s="137">
        <f>[1]flow_freeway!C1292</f>
        <v>25042.976562</v>
      </c>
      <c r="G1291" s="137">
        <f>[1]flow_freeway!D1292</f>
        <v>21088.394531000002</v>
      </c>
    </row>
    <row r="1292" spans="4:7" x14ac:dyDescent="0.25">
      <c r="D1292">
        <f>[1]flow_freeway!A1293</f>
        <v>27937</v>
      </c>
      <c r="E1292" s="137">
        <f>[1]flow_freeway!B1293</f>
        <v>89977.278566000008</v>
      </c>
      <c r="F1292" s="137">
        <f>[1]flow_freeway!C1293</f>
        <v>14618.398438</v>
      </c>
      <c r="G1292" s="137">
        <f>[1]flow_freeway!D1293</f>
        <v>25948.105468999998</v>
      </c>
    </row>
    <row r="1293" spans="4:7" x14ac:dyDescent="0.25">
      <c r="D1293">
        <f>[1]flow_freeway!A1294</f>
        <v>27940</v>
      </c>
      <c r="E1293" s="137">
        <f>[1]flow_freeway!B1294</f>
        <v>83929.21875</v>
      </c>
      <c r="F1293" s="137">
        <f>[1]flow_freeway!C1294</f>
        <v>13775.771484000001</v>
      </c>
      <c r="G1293" s="137">
        <f>[1]flow_freeway!D1294</f>
        <v>24359.34375</v>
      </c>
    </row>
    <row r="1294" spans="4:7" x14ac:dyDescent="0.25">
      <c r="D1294">
        <f>[1]flow_freeway!A1295</f>
        <v>27941</v>
      </c>
      <c r="E1294" s="137">
        <f>[1]flow_freeway!B1295</f>
        <v>95211.194824000006</v>
      </c>
      <c r="F1294" s="137">
        <f>[1]flow_freeway!C1295</f>
        <v>23750.044922000001</v>
      </c>
      <c r="G1294" s="137">
        <f>[1]flow_freeway!D1295</f>
        <v>19877.478515999999</v>
      </c>
    </row>
    <row r="1295" spans="4:7" x14ac:dyDescent="0.25">
      <c r="D1295">
        <f>[1]flow_freeway!A1296</f>
        <v>27942</v>
      </c>
      <c r="E1295" s="137">
        <f>[1]flow_freeway!B1296</f>
        <v>93738.251708999989</v>
      </c>
      <c r="F1295" s="137">
        <f>[1]flow_freeway!C1296</f>
        <v>15700.001953000001</v>
      </c>
      <c r="G1295" s="137">
        <f>[1]flow_freeway!D1296</f>
        <v>26966.105468999998</v>
      </c>
    </row>
    <row r="1296" spans="4:7" x14ac:dyDescent="0.25">
      <c r="D1296">
        <f>[1]flow_freeway!A1297</f>
        <v>27943</v>
      </c>
      <c r="E1296" s="137">
        <f>[1]flow_freeway!B1297</f>
        <v>103635.41796799999</v>
      </c>
      <c r="F1296" s="137">
        <f>[1]flow_freeway!C1297</f>
        <v>25315.082031000002</v>
      </c>
      <c r="G1296" s="137">
        <f>[1]flow_freeway!D1297</f>
        <v>22032.414062</v>
      </c>
    </row>
    <row r="1297" spans="4:7" x14ac:dyDescent="0.25">
      <c r="D1297">
        <f>[1]flow_freeway!A1298</f>
        <v>27945</v>
      </c>
      <c r="E1297" s="137">
        <f>[1]flow_freeway!B1298</f>
        <v>93579.933105000004</v>
      </c>
      <c r="F1297" s="137">
        <f>[1]flow_freeway!C1298</f>
        <v>15691.108398</v>
      </c>
      <c r="G1297" s="137">
        <f>[1]flow_freeway!D1298</f>
        <v>26921.892577999999</v>
      </c>
    </row>
    <row r="1298" spans="4:7" x14ac:dyDescent="0.25">
      <c r="D1298">
        <f>[1]flow_freeway!A1299</f>
        <v>27946</v>
      </c>
      <c r="E1298" s="137">
        <f>[1]flow_freeway!B1299</f>
        <v>97849.979490999991</v>
      </c>
      <c r="F1298" s="137">
        <f>[1]flow_freeway!C1299</f>
        <v>24137.789062</v>
      </c>
      <c r="G1298" s="137">
        <f>[1]flow_freeway!D1299</f>
        <v>20735.953125</v>
      </c>
    </row>
    <row r="1299" spans="4:7" x14ac:dyDescent="0.25">
      <c r="D1299">
        <f>[1]flow_freeway!A1300</f>
        <v>27948</v>
      </c>
      <c r="E1299" s="137">
        <f>[1]flow_freeway!B1300</f>
        <v>79545.365234000012</v>
      </c>
      <c r="F1299" s="137">
        <f>[1]flow_freeway!C1300</f>
        <v>20251.935547000001</v>
      </c>
      <c r="G1299" s="137">
        <f>[1]flow_freeway!D1300</f>
        <v>15642.276367</v>
      </c>
    </row>
    <row r="1300" spans="4:7" x14ac:dyDescent="0.25">
      <c r="D1300">
        <f>[1]flow_freeway!A1301</f>
        <v>27951</v>
      </c>
      <c r="E1300" s="137">
        <f>[1]flow_freeway!B1301</f>
        <v>72268.324219000002</v>
      </c>
      <c r="F1300" s="137">
        <f>[1]flow_freeway!C1301</f>
        <v>10833.426758</v>
      </c>
      <c r="G1300" s="137">
        <f>[1]flow_freeway!D1301</f>
        <v>21844.917968999998</v>
      </c>
    </row>
    <row r="1301" spans="4:7" x14ac:dyDescent="0.25">
      <c r="D1301">
        <f>[1]flow_freeway!A1302</f>
        <v>27952</v>
      </c>
      <c r="E1301" s="137">
        <f>[1]flow_freeway!B1302</f>
        <v>89895.256592000005</v>
      </c>
      <c r="F1301" s="137">
        <f>[1]flow_freeway!C1302</f>
        <v>15227.5</v>
      </c>
      <c r="G1301" s="137">
        <f>[1]flow_freeway!D1302</f>
        <v>25951.447265999999</v>
      </c>
    </row>
    <row r="1302" spans="4:7" x14ac:dyDescent="0.25">
      <c r="D1302">
        <f>[1]flow_freeway!A1303</f>
        <v>27956</v>
      </c>
      <c r="E1302" s="137">
        <f>[1]flow_freeway!B1303</f>
        <v>44762.160398999993</v>
      </c>
      <c r="F1302" s="137">
        <f>[1]flow_freeway!C1303</f>
        <v>12734.253906</v>
      </c>
      <c r="G1302" s="137">
        <f>[1]flow_freeway!D1303</f>
        <v>9153.0332030000009</v>
      </c>
    </row>
    <row r="1303" spans="4:7" x14ac:dyDescent="0.25">
      <c r="D1303">
        <f>[1]flow_freeway!A1304</f>
        <v>27957</v>
      </c>
      <c r="E1303" s="137">
        <f>[1]flow_freeway!B1304</f>
        <v>55091.639159999999</v>
      </c>
      <c r="F1303" s="137">
        <f>[1]flow_freeway!C1304</f>
        <v>14699.758789</v>
      </c>
      <c r="G1303" s="137">
        <f>[1]flow_freeway!D1304</f>
        <v>11451.979492</v>
      </c>
    </row>
    <row r="1304" spans="4:7" x14ac:dyDescent="0.25">
      <c r="D1304">
        <f>[1]flow_freeway!A1305</f>
        <v>27959</v>
      </c>
      <c r="E1304" s="137">
        <f>[1]flow_freeway!B1305</f>
        <v>56645.648559000001</v>
      </c>
      <c r="F1304" s="137">
        <f>[1]flow_freeway!C1305</f>
        <v>9170.1181639999995</v>
      </c>
      <c r="G1304" s="137">
        <f>[1]flow_freeway!D1305</f>
        <v>16487.349609000001</v>
      </c>
    </row>
    <row r="1305" spans="4:7" x14ac:dyDescent="0.25">
      <c r="D1305">
        <f>[1]flow_freeway!A1306</f>
        <v>27962</v>
      </c>
      <c r="E1305" s="137">
        <f>[1]flow_freeway!B1306</f>
        <v>45546.821534000002</v>
      </c>
      <c r="F1305" s="137">
        <f>[1]flow_freeway!C1306</f>
        <v>13004.350586</v>
      </c>
      <c r="G1305" s="137">
        <f>[1]flow_freeway!D1306</f>
        <v>9119.6904300000006</v>
      </c>
    </row>
    <row r="1306" spans="4:7" x14ac:dyDescent="0.25">
      <c r="D1306">
        <f>[1]flow_freeway!A1307</f>
        <v>27963</v>
      </c>
      <c r="E1306" s="137">
        <f>[1]flow_freeway!B1307</f>
        <v>64192.699707</v>
      </c>
      <c r="F1306" s="137">
        <f>[1]flow_freeway!C1307</f>
        <v>10624.395508</v>
      </c>
      <c r="G1306" s="137">
        <f>[1]flow_freeway!D1307</f>
        <v>18710.189452999999</v>
      </c>
    </row>
    <row r="1307" spans="4:7" x14ac:dyDescent="0.25">
      <c r="D1307">
        <f>[1]flow_freeway!A1308</f>
        <v>27964</v>
      </c>
      <c r="E1307" s="137">
        <f>[1]flow_freeway!B1308</f>
        <v>56851.357177999998</v>
      </c>
      <c r="F1307" s="137">
        <f>[1]flow_freeway!C1308</f>
        <v>15203.264648</v>
      </c>
      <c r="G1307" s="137">
        <f>[1]flow_freeway!D1308</f>
        <v>11761.464844</v>
      </c>
    </row>
    <row r="1308" spans="4:7" x14ac:dyDescent="0.25">
      <c r="D1308">
        <f>[1]flow_freeway!A1309</f>
        <v>27972</v>
      </c>
      <c r="E1308" s="137">
        <f>[1]flow_freeway!B1309</f>
        <v>43357.428711</v>
      </c>
      <c r="F1308" s="137">
        <f>[1]flow_freeway!C1309</f>
        <v>12646.889648</v>
      </c>
      <c r="G1308" s="137">
        <f>[1]flow_freeway!D1309</f>
        <v>8840.0605469999991</v>
      </c>
    </row>
    <row r="1309" spans="4:7" x14ac:dyDescent="0.25">
      <c r="D1309">
        <f>[1]flow_freeway!A1310</f>
        <v>27974</v>
      </c>
      <c r="E1309" s="137">
        <f>[1]flow_freeway!B1310</f>
        <v>33057.580870999998</v>
      </c>
      <c r="F1309" s="137">
        <f>[1]flow_freeway!C1310</f>
        <v>5088.7885740000002</v>
      </c>
      <c r="G1309" s="137">
        <f>[1]flow_freeway!D1310</f>
        <v>10457.084961</v>
      </c>
    </row>
    <row r="1310" spans="4:7" x14ac:dyDescent="0.25">
      <c r="D1310">
        <f>[1]flow_freeway!A1311</f>
        <v>27976</v>
      </c>
      <c r="E1310" s="137">
        <f>[1]flow_freeway!B1311</f>
        <v>41674.779785999999</v>
      </c>
      <c r="F1310" s="137">
        <f>[1]flow_freeway!C1311</f>
        <v>6322.0097660000001</v>
      </c>
      <c r="G1310" s="137">
        <f>[1]flow_freeway!D1311</f>
        <v>13551.484375</v>
      </c>
    </row>
    <row r="1311" spans="4:7" x14ac:dyDescent="0.25">
      <c r="D1311">
        <f>[1]flow_freeway!A1312</f>
        <v>27979</v>
      </c>
      <c r="E1311" s="137">
        <f>[1]flow_freeway!B1312</f>
        <v>33096.613160000001</v>
      </c>
      <c r="F1311" s="137">
        <f>[1]flow_freeway!C1312</f>
        <v>10527.979492</v>
      </c>
      <c r="G1311" s="137">
        <f>[1]flow_freeway!D1312</f>
        <v>6901.5234380000002</v>
      </c>
    </row>
    <row r="1312" spans="4:7" x14ac:dyDescent="0.25">
      <c r="D1312">
        <f>[1]flow_freeway!A1313</f>
        <v>27980</v>
      </c>
      <c r="E1312" s="137">
        <f>[1]flow_freeway!B1313</f>
        <v>72096.049315000011</v>
      </c>
      <c r="F1312" s="137">
        <f>[1]flow_freeway!C1313</f>
        <v>19700.380859000001</v>
      </c>
      <c r="G1312" s="137">
        <f>[1]flow_freeway!D1313</f>
        <v>14239.611328000001</v>
      </c>
    </row>
    <row r="1313" spans="4:7" x14ac:dyDescent="0.25">
      <c r="D1313">
        <f>[1]flow_freeway!A1314</f>
        <v>27981</v>
      </c>
      <c r="E1313" s="137">
        <f>[1]flow_freeway!B1314</f>
        <v>77844.546875</v>
      </c>
      <c r="F1313" s="137">
        <f>[1]flow_freeway!C1314</f>
        <v>20749.470702999999</v>
      </c>
      <c r="G1313" s="137">
        <f>[1]flow_freeway!D1314</f>
        <v>15671.792969</v>
      </c>
    </row>
    <row r="1314" spans="4:7" x14ac:dyDescent="0.25">
      <c r="D1314">
        <f>[1]flow_freeway!A1315</f>
        <v>27985</v>
      </c>
      <c r="E1314" s="137">
        <f>[1]flow_freeway!B1315</f>
        <v>68425.235109000001</v>
      </c>
      <c r="F1314" s="137">
        <f>[1]flow_freeway!C1315</f>
        <v>18244.431640999999</v>
      </c>
      <c r="G1314" s="137">
        <f>[1]flow_freeway!D1315</f>
        <v>13500.250977</v>
      </c>
    </row>
    <row r="1315" spans="4:7" x14ac:dyDescent="0.25">
      <c r="D1315">
        <f>[1]flow_freeway!A1316</f>
        <v>27987</v>
      </c>
      <c r="E1315" s="137">
        <f>[1]flow_freeway!B1316</f>
        <v>77741.584961</v>
      </c>
      <c r="F1315" s="137">
        <f>[1]flow_freeway!C1316</f>
        <v>19806.707031000002</v>
      </c>
      <c r="G1315" s="137">
        <f>[1]flow_freeway!D1316</f>
        <v>15519.583008</v>
      </c>
    </row>
    <row r="1316" spans="4:7" x14ac:dyDescent="0.25">
      <c r="D1316">
        <f>[1]flow_freeway!A1317</f>
        <v>27988</v>
      </c>
      <c r="E1316" s="137">
        <f>[1]flow_freeway!B1317</f>
        <v>70754.963866999999</v>
      </c>
      <c r="F1316" s="137">
        <f>[1]flow_freeway!C1317</f>
        <v>18167.726562</v>
      </c>
      <c r="G1316" s="137">
        <f>[1]flow_freeway!D1317</f>
        <v>14042.169921999999</v>
      </c>
    </row>
    <row r="1317" spans="4:7" x14ac:dyDescent="0.25">
      <c r="D1317">
        <f>[1]flow_freeway!A1318</f>
        <v>27989</v>
      </c>
      <c r="E1317" s="137">
        <f>[1]flow_freeway!B1318</f>
        <v>65611.317383000001</v>
      </c>
      <c r="F1317" s="137">
        <f>[1]flow_freeway!C1318</f>
        <v>10004.504883</v>
      </c>
      <c r="G1317" s="137">
        <f>[1]flow_freeway!D1318</f>
        <v>21195.087890999999</v>
      </c>
    </row>
    <row r="1318" spans="4:7" x14ac:dyDescent="0.25">
      <c r="D1318">
        <f>[1]flow_freeway!A1319</f>
        <v>27993</v>
      </c>
      <c r="E1318" s="137">
        <f>[1]flow_freeway!B1319</f>
        <v>58823.560424999996</v>
      </c>
      <c r="F1318" s="137">
        <f>[1]flow_freeway!C1319</f>
        <v>8835.6816409999992</v>
      </c>
      <c r="G1318" s="137">
        <f>[1]flow_freeway!D1319</f>
        <v>19294.236327999999</v>
      </c>
    </row>
    <row r="1319" spans="4:7" x14ac:dyDescent="0.25">
      <c r="D1319">
        <f>[1]flow_freeway!A1320</f>
        <v>27998</v>
      </c>
      <c r="E1319" s="137">
        <f>[1]flow_freeway!B1320</f>
        <v>78146.478027000005</v>
      </c>
      <c r="F1319" s="137">
        <f>[1]flow_freeway!C1320</f>
        <v>19299.111327999999</v>
      </c>
      <c r="G1319" s="137">
        <f>[1]flow_freeway!D1320</f>
        <v>15682.532227</v>
      </c>
    </row>
    <row r="1320" spans="4:7" x14ac:dyDescent="0.25">
      <c r="D1320">
        <f>[1]flow_freeway!A1321</f>
        <v>28000</v>
      </c>
      <c r="E1320" s="137">
        <f>[1]flow_freeway!B1321</f>
        <v>73682.981445000012</v>
      </c>
      <c r="F1320" s="137">
        <f>[1]flow_freeway!C1321</f>
        <v>18216.941406000002</v>
      </c>
      <c r="G1320" s="137">
        <f>[1]flow_freeway!D1321</f>
        <v>14596.053711</v>
      </c>
    </row>
    <row r="1321" spans="4:7" x14ac:dyDescent="0.25">
      <c r="D1321">
        <f>[1]flow_freeway!A1322</f>
        <v>28002</v>
      </c>
      <c r="E1321" s="137">
        <f>[1]flow_freeway!B1322</f>
        <v>72454.075683999996</v>
      </c>
      <c r="F1321" s="137">
        <f>[1]flow_freeway!C1322</f>
        <v>10726.250977</v>
      </c>
      <c r="G1321" s="137">
        <f>[1]flow_freeway!D1322</f>
        <v>22162.855468999998</v>
      </c>
    </row>
    <row r="1322" spans="4:7" x14ac:dyDescent="0.25">
      <c r="D1322">
        <f>[1]flow_freeway!A1323</f>
        <v>28007</v>
      </c>
      <c r="E1322" s="137">
        <f>[1]flow_freeway!B1323</f>
        <v>68124.109620000003</v>
      </c>
      <c r="F1322" s="137">
        <f>[1]flow_freeway!C1323</f>
        <v>16622.619140999999</v>
      </c>
      <c r="G1322" s="137">
        <f>[1]flow_freeway!D1323</f>
        <v>13342.835938</v>
      </c>
    </row>
    <row r="1323" spans="4:7" x14ac:dyDescent="0.25">
      <c r="D1323">
        <f>[1]flow_freeway!A1324</f>
        <v>28011</v>
      </c>
      <c r="E1323" s="137">
        <f>[1]flow_freeway!B1324</f>
        <v>77290.395507000008</v>
      </c>
      <c r="F1323" s="137">
        <f>[1]flow_freeway!C1324</f>
        <v>17897.035156000002</v>
      </c>
      <c r="G1323" s="137">
        <f>[1]flow_freeway!D1324</f>
        <v>15583.491211</v>
      </c>
    </row>
    <row r="1324" spans="4:7" x14ac:dyDescent="0.25">
      <c r="D1324">
        <f>[1]flow_freeway!A1325</f>
        <v>28012</v>
      </c>
      <c r="E1324" s="137">
        <f>[1]flow_freeway!B1325</f>
        <v>74792.857300000003</v>
      </c>
      <c r="F1324" s="137">
        <f>[1]flow_freeway!C1325</f>
        <v>11109.530273</v>
      </c>
      <c r="G1324" s="137">
        <f>[1]flow_freeway!D1325</f>
        <v>21784.257812</v>
      </c>
    </row>
    <row r="1325" spans="4:7" x14ac:dyDescent="0.25">
      <c r="D1325">
        <f>[1]flow_freeway!A1326</f>
        <v>28013</v>
      </c>
      <c r="E1325" s="137">
        <f>[1]flow_freeway!B1326</f>
        <v>74792.857300000003</v>
      </c>
      <c r="F1325" s="137">
        <f>[1]flow_freeway!C1326</f>
        <v>11109.530273</v>
      </c>
      <c r="G1325" s="137">
        <f>[1]flow_freeway!D1326</f>
        <v>21784.257812</v>
      </c>
    </row>
    <row r="1326" spans="4:7" x14ac:dyDescent="0.25">
      <c r="D1326">
        <f>[1]flow_freeway!A1327</f>
        <v>28016</v>
      </c>
      <c r="E1326" s="137">
        <f>[1]flow_freeway!B1327</f>
        <v>66008.230469000002</v>
      </c>
      <c r="F1326" s="137">
        <f>[1]flow_freeway!C1327</f>
        <v>15531.252930000001</v>
      </c>
      <c r="G1326" s="137">
        <f>[1]flow_freeway!D1327</f>
        <v>13709.029296999999</v>
      </c>
    </row>
    <row r="1327" spans="4:7" x14ac:dyDescent="0.25">
      <c r="D1327">
        <f>[1]flow_freeway!A1328</f>
        <v>28073</v>
      </c>
      <c r="E1327" s="137">
        <f>[1]flow_freeway!B1328</f>
        <v>33761.564451999999</v>
      </c>
      <c r="F1327" s="137">
        <f>[1]flow_freeway!C1328</f>
        <v>7093.6499020000001</v>
      </c>
      <c r="G1327" s="137">
        <f>[1]flow_freeway!D1328</f>
        <v>9109.8583980000003</v>
      </c>
    </row>
    <row r="1328" spans="4:7" x14ac:dyDescent="0.25">
      <c r="D1328">
        <f>[1]flow_freeway!A1329</f>
        <v>28084</v>
      </c>
      <c r="E1328" s="137">
        <f>[1]flow_freeway!B1329</f>
        <v>44662.246337999997</v>
      </c>
      <c r="F1328" s="137">
        <f>[1]flow_freeway!C1329</f>
        <v>9878.7373050000006</v>
      </c>
      <c r="G1328" s="137">
        <f>[1]flow_freeway!D1329</f>
        <v>10532.325194999999</v>
      </c>
    </row>
    <row r="1329" spans="4:7" x14ac:dyDescent="0.25">
      <c r="D1329">
        <f>[1]flow_freeway!A1330</f>
        <v>28085</v>
      </c>
      <c r="E1329" s="137">
        <f>[1]flow_freeway!B1330</f>
        <v>50139.347412000003</v>
      </c>
      <c r="F1329" s="137">
        <f>[1]flow_freeway!C1330</f>
        <v>9965.1054690000001</v>
      </c>
      <c r="G1329" s="137">
        <f>[1]flow_freeway!D1330</f>
        <v>12899.105469</v>
      </c>
    </row>
    <row r="1330" spans="4:7" x14ac:dyDescent="0.25">
      <c r="D1330">
        <f>[1]flow_freeway!A1331</f>
        <v>28086</v>
      </c>
      <c r="E1330" s="137">
        <f>[1]flow_freeway!B1331</f>
        <v>53807.094117000001</v>
      </c>
      <c r="F1330" s="137">
        <f>[1]flow_freeway!C1331</f>
        <v>11303.113281</v>
      </c>
      <c r="G1330" s="137">
        <f>[1]flow_freeway!D1331</f>
        <v>12505.868164</v>
      </c>
    </row>
    <row r="1331" spans="4:7" x14ac:dyDescent="0.25">
      <c r="D1331">
        <f>[1]flow_freeway!A1332</f>
        <v>28087</v>
      </c>
      <c r="E1331" s="137">
        <f>[1]flow_freeway!B1332</f>
        <v>34289.511842</v>
      </c>
      <c r="F1331" s="137">
        <f>[1]flow_freeway!C1332</f>
        <v>7340.9838870000003</v>
      </c>
      <c r="G1331" s="137">
        <f>[1]flow_freeway!D1332</f>
        <v>8173.1972660000001</v>
      </c>
    </row>
    <row r="1332" spans="4:7" x14ac:dyDescent="0.25">
      <c r="D1332">
        <f>[1]flow_freeway!A1333</f>
        <v>28093</v>
      </c>
      <c r="E1332" s="137">
        <f>[1]flow_freeway!B1333</f>
        <v>57267.574217999994</v>
      </c>
      <c r="F1332" s="137">
        <f>[1]flow_freeway!C1333</f>
        <v>9153.7363280000009</v>
      </c>
      <c r="G1332" s="137">
        <f>[1]flow_freeway!D1333</f>
        <v>18574.082031000002</v>
      </c>
    </row>
    <row r="1333" spans="4:7" x14ac:dyDescent="0.25">
      <c r="D1333">
        <f>[1]flow_freeway!A1334</f>
        <v>28096</v>
      </c>
      <c r="E1333" s="137">
        <f>[1]flow_freeway!B1334</f>
        <v>85686.765258999993</v>
      </c>
      <c r="F1333" s="137">
        <f>[1]flow_freeway!C1334</f>
        <v>13808.938477</v>
      </c>
      <c r="G1333" s="137">
        <f>[1]flow_freeway!D1334</f>
        <v>27365.603515999999</v>
      </c>
    </row>
    <row r="1334" spans="4:7" x14ac:dyDescent="0.25">
      <c r="D1334">
        <f>[1]flow_freeway!A1335</f>
        <v>28106</v>
      </c>
      <c r="E1334" s="137">
        <f>[1]flow_freeway!B1335</f>
        <v>71486.612793000008</v>
      </c>
      <c r="F1334" s="137">
        <f>[1]flow_freeway!C1335</f>
        <v>10846.821289</v>
      </c>
      <c r="G1334" s="137">
        <f>[1]flow_freeway!D1335</f>
        <v>22810.544922000001</v>
      </c>
    </row>
    <row r="1335" spans="4:7" x14ac:dyDescent="0.25">
      <c r="D1335">
        <f>[1]flow_freeway!A1336</f>
        <v>28118</v>
      </c>
      <c r="E1335" s="137">
        <f>[1]flow_freeway!B1336</f>
        <v>86576.372071000005</v>
      </c>
      <c r="F1335" s="137">
        <f>[1]flow_freeway!C1336</f>
        <v>22876.917968999998</v>
      </c>
      <c r="G1335" s="137">
        <f>[1]flow_freeway!D1336</f>
        <v>17249.841797000001</v>
      </c>
    </row>
    <row r="1336" spans="4:7" x14ac:dyDescent="0.25">
      <c r="D1336">
        <f>[1]flow_freeway!A1337</f>
        <v>28119</v>
      </c>
      <c r="E1336" s="137">
        <f>[1]flow_freeway!B1337</f>
        <v>99373.561768</v>
      </c>
      <c r="F1336" s="137">
        <f>[1]flow_freeway!C1337</f>
        <v>14946.709961</v>
      </c>
      <c r="G1336" s="137">
        <f>[1]flow_freeway!D1337</f>
        <v>29204.890625</v>
      </c>
    </row>
    <row r="1337" spans="4:7" x14ac:dyDescent="0.25">
      <c r="D1337">
        <f>[1]flow_freeway!A1338</f>
        <v>28120</v>
      </c>
      <c r="E1337" s="137">
        <f>[1]flow_freeway!B1338</f>
        <v>92193.649413000006</v>
      </c>
      <c r="F1337" s="137">
        <f>[1]flow_freeway!C1338</f>
        <v>23650.248047000001</v>
      </c>
      <c r="G1337" s="137">
        <f>[1]flow_freeway!D1338</f>
        <v>18654.271484000001</v>
      </c>
    </row>
    <row r="1338" spans="4:7" x14ac:dyDescent="0.25">
      <c r="D1338">
        <f>[1]flow_freeway!A1339</f>
        <v>28123</v>
      </c>
      <c r="E1338" s="137">
        <f>[1]flow_freeway!B1339</f>
        <v>86944.617675000001</v>
      </c>
      <c r="F1338" s="137">
        <f>[1]flow_freeway!C1339</f>
        <v>13557.068359000001</v>
      </c>
      <c r="G1338" s="137">
        <f>[1]flow_freeway!D1339</f>
        <v>25169.216797000001</v>
      </c>
    </row>
    <row r="1339" spans="4:7" x14ac:dyDescent="0.25">
      <c r="D1339">
        <f>[1]flow_freeway!A1340</f>
        <v>28124</v>
      </c>
      <c r="E1339" s="137">
        <f>[1]flow_freeway!B1340</f>
        <v>82290.473633000001</v>
      </c>
      <c r="F1339" s="137">
        <f>[1]flow_freeway!C1340</f>
        <v>21696.832031000002</v>
      </c>
      <c r="G1339" s="137">
        <f>[1]flow_freeway!D1340</f>
        <v>16713.119140999999</v>
      </c>
    </row>
    <row r="1340" spans="4:7" x14ac:dyDescent="0.25">
      <c r="D1340">
        <f>[1]flow_freeway!A1341</f>
        <v>28126</v>
      </c>
      <c r="E1340" s="137">
        <f>[1]flow_freeway!B1341</f>
        <v>85229.592774999997</v>
      </c>
      <c r="F1340" s="137">
        <f>[1]flow_freeway!C1341</f>
        <v>22029.748047000001</v>
      </c>
      <c r="G1340" s="137">
        <f>[1]flow_freeway!D1341</f>
        <v>17142.869140999999</v>
      </c>
    </row>
    <row r="1341" spans="4:7" x14ac:dyDescent="0.25">
      <c r="D1341">
        <f>[1]flow_freeway!A1342</f>
        <v>28127</v>
      </c>
      <c r="E1341" s="137">
        <f>[1]flow_freeway!B1342</f>
        <v>93629.122069999998</v>
      </c>
      <c r="F1341" s="137">
        <f>[1]flow_freeway!C1342</f>
        <v>14781.990234000001</v>
      </c>
      <c r="G1341" s="137">
        <f>[1]flow_freeway!D1342</f>
        <v>27515.154297000001</v>
      </c>
    </row>
    <row r="1342" spans="4:7" x14ac:dyDescent="0.25">
      <c r="D1342">
        <f>[1]flow_freeway!A1343</f>
        <v>28143</v>
      </c>
      <c r="E1342" s="137">
        <f>[1]flow_freeway!B1343</f>
        <v>87235.179687000011</v>
      </c>
      <c r="F1342" s="137">
        <f>[1]flow_freeway!C1343</f>
        <v>13463.596680000001</v>
      </c>
      <c r="G1342" s="137">
        <f>[1]flow_freeway!D1343</f>
        <v>25857.818359000001</v>
      </c>
    </row>
    <row r="1343" spans="4:7" x14ac:dyDescent="0.25">
      <c r="D1343">
        <f>[1]flow_freeway!A1344</f>
        <v>28144</v>
      </c>
      <c r="E1343" s="137">
        <f>[1]flow_freeway!B1344</f>
        <v>84280.736327999999</v>
      </c>
      <c r="F1343" s="137">
        <f>[1]flow_freeway!C1344</f>
        <v>22104.494140999999</v>
      </c>
      <c r="G1343" s="137">
        <f>[1]flow_freeway!D1344</f>
        <v>17376.572265999999</v>
      </c>
    </row>
    <row r="1344" spans="4:7" x14ac:dyDescent="0.25">
      <c r="D1344">
        <f>[1]flow_freeway!A1345</f>
        <v>28167</v>
      </c>
      <c r="E1344" s="137">
        <f>[1]flow_freeway!B1345</f>
        <v>37686.534911999996</v>
      </c>
      <c r="F1344" s="137">
        <f>[1]flow_freeway!C1345</f>
        <v>7740.375</v>
      </c>
      <c r="G1344" s="137">
        <f>[1]flow_freeway!D1345</f>
        <v>8053.8217770000001</v>
      </c>
    </row>
    <row r="1345" spans="4:7" x14ac:dyDescent="0.25">
      <c r="D1345">
        <f>[1]flow_freeway!A1346</f>
        <v>28178</v>
      </c>
      <c r="E1345" s="137">
        <f>[1]flow_freeway!B1346</f>
        <v>65225.379883000001</v>
      </c>
      <c r="F1345" s="137">
        <f>[1]flow_freeway!C1346</f>
        <v>15294.390625</v>
      </c>
      <c r="G1345" s="137">
        <f>[1]flow_freeway!D1346</f>
        <v>11731.357421999999</v>
      </c>
    </row>
    <row r="1346" spans="4:7" x14ac:dyDescent="0.25">
      <c r="D1346">
        <f>[1]flow_freeway!A1347</f>
        <v>28179</v>
      </c>
      <c r="E1346" s="137">
        <f>[1]flow_freeway!B1347</f>
        <v>56286.808106999997</v>
      </c>
      <c r="F1346" s="137">
        <f>[1]flow_freeway!C1347</f>
        <v>8476.2197269999997</v>
      </c>
      <c r="G1346" s="137">
        <f>[1]flow_freeway!D1347</f>
        <v>17381.960938</v>
      </c>
    </row>
    <row r="1347" spans="4:7" x14ac:dyDescent="0.25">
      <c r="D1347">
        <f>[1]flow_freeway!A1348</f>
        <v>28182</v>
      </c>
      <c r="E1347" s="137">
        <f>[1]flow_freeway!B1348</f>
        <v>53967.615234999997</v>
      </c>
      <c r="F1347" s="137">
        <f>[1]flow_freeway!C1348</f>
        <v>13068.890625</v>
      </c>
      <c r="G1347" s="137">
        <f>[1]flow_freeway!D1348</f>
        <v>9588.1044920000004</v>
      </c>
    </row>
    <row r="1348" spans="4:7" x14ac:dyDescent="0.25">
      <c r="D1348">
        <f>[1]flow_freeway!A1349</f>
        <v>28184</v>
      </c>
      <c r="E1348" s="137">
        <f>[1]flow_freeway!B1349</f>
        <v>45584.899659000002</v>
      </c>
      <c r="F1348" s="137">
        <f>[1]flow_freeway!C1349</f>
        <v>6469.4809569999998</v>
      </c>
      <c r="G1348" s="137">
        <f>[1]flow_freeway!D1349</f>
        <v>14283.464844</v>
      </c>
    </row>
    <row r="1349" spans="4:7" x14ac:dyDescent="0.25">
      <c r="D1349">
        <f>[1]flow_freeway!A1350</f>
        <v>28186</v>
      </c>
      <c r="E1349" s="137">
        <f>[1]flow_freeway!B1350</f>
        <v>48349.313232</v>
      </c>
      <c r="F1349" s="137">
        <f>[1]flow_freeway!C1350</f>
        <v>6902.5346680000002</v>
      </c>
      <c r="G1349" s="137">
        <f>[1]flow_freeway!D1350</f>
        <v>15158.868164</v>
      </c>
    </row>
    <row r="1350" spans="4:7" x14ac:dyDescent="0.25">
      <c r="D1350">
        <f>[1]flow_freeway!A1351</f>
        <v>28188</v>
      </c>
      <c r="E1350" s="137">
        <f>[1]flow_freeway!B1351</f>
        <v>56428.235352000003</v>
      </c>
      <c r="F1350" s="137">
        <f>[1]flow_freeway!C1351</f>
        <v>13567.011719</v>
      </c>
      <c r="G1350" s="137">
        <f>[1]flow_freeway!D1351</f>
        <v>10108.418944999999</v>
      </c>
    </row>
    <row r="1351" spans="4:7" x14ac:dyDescent="0.25">
      <c r="D1351">
        <f>[1]flow_freeway!A1352</f>
        <v>28191</v>
      </c>
      <c r="E1351" s="137">
        <f>[1]flow_freeway!B1352</f>
        <v>34939.703796000002</v>
      </c>
      <c r="F1351" s="137">
        <f>[1]flow_freeway!C1352</f>
        <v>4593.0190430000002</v>
      </c>
      <c r="G1351" s="137">
        <f>[1]flow_freeway!D1352</f>
        <v>11792.359375</v>
      </c>
    </row>
    <row r="1352" spans="4:7" x14ac:dyDescent="0.25">
      <c r="D1352">
        <f>[1]flow_freeway!A1353</f>
        <v>28193</v>
      </c>
      <c r="E1352" s="137">
        <f>[1]flow_freeway!B1353</f>
        <v>37856.069823999998</v>
      </c>
      <c r="F1352" s="137">
        <f>[1]flow_freeway!C1353</f>
        <v>10627.125</v>
      </c>
      <c r="G1352" s="137">
        <f>[1]flow_freeway!D1353</f>
        <v>7187.8037109999996</v>
      </c>
    </row>
    <row r="1353" spans="4:7" x14ac:dyDescent="0.25">
      <c r="D1353">
        <f>[1]flow_freeway!A1354</f>
        <v>28195</v>
      </c>
      <c r="E1353" s="137">
        <f>[1]flow_freeway!B1354</f>
        <v>44173.334961</v>
      </c>
      <c r="F1353" s="137">
        <f>[1]flow_freeway!C1354</f>
        <v>11826.216796999999</v>
      </c>
      <c r="G1353" s="137">
        <f>[1]flow_freeway!D1354</f>
        <v>8561.9775389999995</v>
      </c>
    </row>
    <row r="1354" spans="4:7" x14ac:dyDescent="0.25">
      <c r="D1354">
        <f>[1]flow_freeway!A1355</f>
        <v>28197</v>
      </c>
      <c r="E1354" s="137">
        <f>[1]flow_freeway!B1355</f>
        <v>44173.334961</v>
      </c>
      <c r="F1354" s="137">
        <f>[1]flow_freeway!C1355</f>
        <v>11826.216796999999</v>
      </c>
      <c r="G1354" s="137">
        <f>[1]flow_freeway!D1355</f>
        <v>8561.9775389999995</v>
      </c>
    </row>
    <row r="1355" spans="4:7" x14ac:dyDescent="0.25">
      <c r="D1355">
        <f>[1]flow_freeway!A1356</f>
        <v>28199</v>
      </c>
      <c r="E1355" s="137">
        <f>[1]flow_freeway!B1356</f>
        <v>40479.989379999999</v>
      </c>
      <c r="F1355" s="137">
        <f>[1]flow_freeway!C1356</f>
        <v>5500.3701170000004</v>
      </c>
      <c r="G1355" s="137">
        <f>[1]flow_freeway!D1356</f>
        <v>13287.690430000001</v>
      </c>
    </row>
    <row r="1356" spans="4:7" x14ac:dyDescent="0.25">
      <c r="D1356">
        <f>[1]flow_freeway!A1357</f>
        <v>28200</v>
      </c>
      <c r="E1356" s="137">
        <f>[1]flow_freeway!B1357</f>
        <v>34975.858154000001</v>
      </c>
      <c r="F1356" s="137">
        <f>[1]flow_freeway!C1357</f>
        <v>9621.9736329999996</v>
      </c>
      <c r="G1356" s="137">
        <f>[1]flow_freeway!D1357</f>
        <v>6631.8139650000003</v>
      </c>
    </row>
    <row r="1357" spans="4:7" x14ac:dyDescent="0.25">
      <c r="D1357">
        <f>[1]flow_freeway!A1358</f>
        <v>28203</v>
      </c>
      <c r="E1357" s="137">
        <f>[1]flow_freeway!B1358</f>
        <v>26883.938292000003</v>
      </c>
      <c r="F1357" s="137">
        <f>[1]flow_freeway!C1358</f>
        <v>3474.368164</v>
      </c>
      <c r="G1357" s="137">
        <f>[1]flow_freeway!D1358</f>
        <v>9066.1757809999999</v>
      </c>
    </row>
    <row r="1358" spans="4:7" x14ac:dyDescent="0.25">
      <c r="D1358">
        <f>[1]flow_freeway!A1359</f>
        <v>28205</v>
      </c>
      <c r="E1358" s="137">
        <f>[1]flow_freeway!B1359</f>
        <v>24358.529417999998</v>
      </c>
      <c r="F1358" s="137">
        <f>[1]flow_freeway!C1359</f>
        <v>7214.5146480000003</v>
      </c>
      <c r="G1358" s="137">
        <f>[1]flow_freeway!D1359</f>
        <v>4675.9726559999999</v>
      </c>
    </row>
    <row r="1359" spans="4:7" x14ac:dyDescent="0.25">
      <c r="D1359">
        <f>[1]flow_freeway!A1360</f>
        <v>28206</v>
      </c>
      <c r="E1359" s="137">
        <f>[1]flow_freeway!B1360</f>
        <v>29259.247315000001</v>
      </c>
      <c r="F1359" s="137">
        <f>[1]flow_freeway!C1360</f>
        <v>8327.9296880000002</v>
      </c>
      <c r="G1359" s="137">
        <f>[1]flow_freeway!D1360</f>
        <v>5587.0834960000002</v>
      </c>
    </row>
    <row r="1360" spans="4:7" x14ac:dyDescent="0.25">
      <c r="D1360">
        <f>[1]flow_freeway!A1361</f>
        <v>28208</v>
      </c>
      <c r="E1360" s="137">
        <f>[1]flow_freeway!B1361</f>
        <v>27532.610169</v>
      </c>
      <c r="F1360" s="137">
        <f>[1]flow_freeway!C1361</f>
        <v>3554.258789</v>
      </c>
      <c r="G1360" s="137">
        <f>[1]flow_freeway!D1361</f>
        <v>9256.09375</v>
      </c>
    </row>
    <row r="1361" spans="4:7" x14ac:dyDescent="0.25">
      <c r="D1361">
        <f>[1]flow_freeway!A1362</f>
        <v>28209</v>
      </c>
      <c r="E1361" s="137">
        <f>[1]flow_freeway!B1362</f>
        <v>20709.442749000002</v>
      </c>
      <c r="F1361" s="137">
        <f>[1]flow_freeway!C1362</f>
        <v>2485.3188479999999</v>
      </c>
      <c r="G1361" s="137">
        <f>[1]flow_freeway!D1362</f>
        <v>7263.1601559999999</v>
      </c>
    </row>
    <row r="1362" spans="4:7" x14ac:dyDescent="0.25">
      <c r="D1362">
        <f>[1]flow_freeway!A1363</f>
        <v>28211</v>
      </c>
      <c r="E1362" s="137">
        <f>[1]flow_freeway!B1363</f>
        <v>21847.191284999997</v>
      </c>
      <c r="F1362" s="137">
        <f>[1]flow_freeway!C1363</f>
        <v>6314.0429690000001</v>
      </c>
      <c r="G1362" s="137">
        <f>[1]flow_freeway!D1363</f>
        <v>3941.7145999999998</v>
      </c>
    </row>
    <row r="1363" spans="4:7" x14ac:dyDescent="0.25">
      <c r="D1363">
        <f>[1]flow_freeway!A1364</f>
        <v>28214</v>
      </c>
      <c r="E1363" s="137">
        <f>[1]flow_freeway!B1364</f>
        <v>26826.903564000004</v>
      </c>
      <c r="F1363" s="137">
        <f>[1]flow_freeway!C1364</f>
        <v>3407.8754880000001</v>
      </c>
      <c r="G1363" s="137">
        <f>[1]flow_freeway!D1364</f>
        <v>8833.3300780000009</v>
      </c>
    </row>
    <row r="1364" spans="4:7" x14ac:dyDescent="0.25">
      <c r="D1364">
        <f>[1]flow_freeway!A1365</f>
        <v>28215</v>
      </c>
      <c r="E1364" s="137">
        <f>[1]flow_freeway!B1365</f>
        <v>27366.041749</v>
      </c>
      <c r="F1364" s="137">
        <f>[1]flow_freeway!C1365</f>
        <v>7563.8413090000004</v>
      </c>
      <c r="G1364" s="137">
        <f>[1]flow_freeway!D1365</f>
        <v>4961.3872069999998</v>
      </c>
    </row>
    <row r="1365" spans="4:7" x14ac:dyDescent="0.25">
      <c r="D1365">
        <f>[1]flow_freeway!A1366</f>
        <v>28216</v>
      </c>
      <c r="E1365" s="137">
        <f>[1]flow_freeway!B1366</f>
        <v>26998.320923000003</v>
      </c>
      <c r="F1365" s="137">
        <f>[1]flow_freeway!C1366</f>
        <v>3437.295654</v>
      </c>
      <c r="G1365" s="137">
        <f>[1]flow_freeway!D1366</f>
        <v>8869.7636719999991</v>
      </c>
    </row>
    <row r="1366" spans="4:7" x14ac:dyDescent="0.25">
      <c r="D1366">
        <f>[1]flow_freeway!A1367</f>
        <v>28219</v>
      </c>
      <c r="E1366" s="137">
        <f>[1]flow_freeway!B1367</f>
        <v>23431.244874000004</v>
      </c>
      <c r="F1366" s="137">
        <f>[1]flow_freeway!C1367</f>
        <v>6288.2822269999997</v>
      </c>
      <c r="G1366" s="137">
        <f>[1]flow_freeway!D1367</f>
        <v>4162.3920900000003</v>
      </c>
    </row>
    <row r="1367" spans="4:7" x14ac:dyDescent="0.25">
      <c r="D1367">
        <f>[1]flow_freeway!A1368</f>
        <v>28222</v>
      </c>
      <c r="E1367" s="137">
        <f>[1]flow_freeway!B1368</f>
        <v>23137.260557999998</v>
      </c>
      <c r="F1367" s="137">
        <f>[1]flow_freeway!C1368</f>
        <v>2826.599365</v>
      </c>
      <c r="G1367" s="137">
        <f>[1]flow_freeway!D1368</f>
        <v>7454.1044920000004</v>
      </c>
    </row>
    <row r="1368" spans="4:7" x14ac:dyDescent="0.25">
      <c r="D1368">
        <f>[1]flow_freeway!A1369</f>
        <v>28223</v>
      </c>
      <c r="E1368" s="137">
        <f>[1]flow_freeway!B1369</f>
        <v>24116.981933999999</v>
      </c>
      <c r="F1368" s="137">
        <f>[1]flow_freeway!C1369</f>
        <v>6370.7866210000002</v>
      </c>
      <c r="G1368" s="137">
        <f>[1]flow_freeway!D1369</f>
        <v>4323.0815430000002</v>
      </c>
    </row>
    <row r="1369" spans="4:7" x14ac:dyDescent="0.25">
      <c r="D1369">
        <f>[1]flow_freeway!A1370</f>
        <v>28227</v>
      </c>
      <c r="E1369" s="137">
        <f>[1]flow_freeway!B1370</f>
        <v>14660.814819000001</v>
      </c>
      <c r="F1369" s="137">
        <f>[1]flow_freeway!C1370</f>
        <v>1711.619385</v>
      </c>
      <c r="G1369" s="137">
        <f>[1]flow_freeway!D1370</f>
        <v>4778.9375</v>
      </c>
    </row>
    <row r="1370" spans="4:7" x14ac:dyDescent="0.25">
      <c r="D1370">
        <f>[1]flow_freeway!A1371</f>
        <v>28229</v>
      </c>
      <c r="E1370" s="137">
        <f>[1]flow_freeway!B1371</f>
        <v>14826.938111000001</v>
      </c>
      <c r="F1370" s="137">
        <f>[1]flow_freeway!C1371</f>
        <v>3620.3176269999999</v>
      </c>
      <c r="G1370" s="137">
        <f>[1]flow_freeway!D1371</f>
        <v>2578.943115</v>
      </c>
    </row>
    <row r="1371" spans="4:7" x14ac:dyDescent="0.25">
      <c r="D1371">
        <f>[1]flow_freeway!A1372</f>
        <v>28231</v>
      </c>
      <c r="E1371" s="137">
        <f>[1]flow_freeway!B1372</f>
        <v>15257.702882000001</v>
      </c>
      <c r="F1371" s="137">
        <f>[1]flow_freeway!C1372</f>
        <v>3719.9663089999999</v>
      </c>
      <c r="G1371" s="137">
        <f>[1]flow_freeway!D1372</f>
        <v>2650.8503420000002</v>
      </c>
    </row>
    <row r="1372" spans="4:7" x14ac:dyDescent="0.25">
      <c r="D1372">
        <f>[1]flow_freeway!A1373</f>
        <v>28232</v>
      </c>
      <c r="E1372" s="137">
        <f>[1]flow_freeway!B1373</f>
        <v>15083.209594</v>
      </c>
      <c r="F1372" s="137">
        <f>[1]flow_freeway!C1373</f>
        <v>1759.2045900000001</v>
      </c>
      <c r="G1372" s="137">
        <f>[1]flow_freeway!D1373</f>
        <v>4903.8422849999997</v>
      </c>
    </row>
    <row r="1373" spans="4:7" x14ac:dyDescent="0.25">
      <c r="D1373">
        <f>[1]flow_freeway!A1374</f>
        <v>28235</v>
      </c>
      <c r="E1373" s="137">
        <f>[1]flow_freeway!B1374</f>
        <v>11961.683594000002</v>
      </c>
      <c r="F1373" s="137">
        <f>[1]flow_freeway!C1374</f>
        <v>1126.6442870000001</v>
      </c>
      <c r="G1373" s="137">
        <f>[1]flow_freeway!D1374</f>
        <v>4146.1992190000001</v>
      </c>
    </row>
    <row r="1374" spans="4:7" x14ac:dyDescent="0.25">
      <c r="D1374">
        <f>[1]flow_freeway!A1375</f>
        <v>28237</v>
      </c>
      <c r="E1374" s="137">
        <f>[1]flow_freeway!B1375</f>
        <v>11896.60608</v>
      </c>
      <c r="F1374" s="137">
        <f>[1]flow_freeway!C1375</f>
        <v>3123.2607419999999</v>
      </c>
      <c r="G1374" s="137">
        <f>[1]flow_freeway!D1375</f>
        <v>1647.7623289999999</v>
      </c>
    </row>
    <row r="1375" spans="4:7" x14ac:dyDescent="0.25">
      <c r="D1375">
        <f>[1]flow_freeway!A1376</f>
        <v>28239</v>
      </c>
      <c r="E1375" s="137">
        <f>[1]flow_freeway!B1376</f>
        <v>12674.143188</v>
      </c>
      <c r="F1375" s="137">
        <f>[1]flow_freeway!C1376</f>
        <v>3304.7158199999999</v>
      </c>
      <c r="G1375" s="137">
        <f>[1]flow_freeway!D1376</f>
        <v>1823.909668</v>
      </c>
    </row>
    <row r="1376" spans="4:7" x14ac:dyDescent="0.25">
      <c r="D1376">
        <f>[1]flow_freeway!A1377</f>
        <v>28240</v>
      </c>
      <c r="E1376" s="137">
        <f>[1]flow_freeway!B1377</f>
        <v>12717.885925000002</v>
      </c>
      <c r="F1376" s="137">
        <f>[1]flow_freeway!C1377</f>
        <v>1212.1864009999999</v>
      </c>
      <c r="G1376" s="137">
        <f>[1]flow_freeway!D1377</f>
        <v>4418.017578</v>
      </c>
    </row>
    <row r="1377" spans="4:7" x14ac:dyDescent="0.25">
      <c r="D1377">
        <f>[1]flow_freeway!A1378</f>
        <v>28244</v>
      </c>
      <c r="E1377" s="137">
        <f>[1]flow_freeway!B1378</f>
        <v>12674.143188</v>
      </c>
      <c r="F1377" s="137">
        <f>[1]flow_freeway!C1378</f>
        <v>3304.7158199999999</v>
      </c>
      <c r="G1377" s="137">
        <f>[1]flow_freeway!D1378</f>
        <v>1823.909668</v>
      </c>
    </row>
    <row r="1378" spans="4:7" x14ac:dyDescent="0.25">
      <c r="D1378">
        <f>[1]flow_freeway!A1379</f>
        <v>28245</v>
      </c>
      <c r="E1378" s="137">
        <f>[1]flow_freeway!B1379</f>
        <v>12698.863831000002</v>
      </c>
      <c r="F1378" s="137">
        <f>[1]flow_freeway!C1379</f>
        <v>1211.419678</v>
      </c>
      <c r="G1378" s="137">
        <f>[1]flow_freeway!D1379</f>
        <v>4410.4433589999999</v>
      </c>
    </row>
    <row r="1379" spans="4:7" x14ac:dyDescent="0.25">
      <c r="D1379">
        <f>[1]flow_freeway!A1380</f>
        <v>28246</v>
      </c>
      <c r="E1379" s="137">
        <f>[1]flow_freeway!B1380</f>
        <v>13463.432983000001</v>
      </c>
      <c r="F1379" s="137">
        <f>[1]flow_freeway!C1380</f>
        <v>3559.961914</v>
      </c>
      <c r="G1379" s="137">
        <f>[1]flow_freeway!D1380</f>
        <v>1939.997314</v>
      </c>
    </row>
    <row r="1380" spans="4:7" x14ac:dyDescent="0.25">
      <c r="D1380">
        <f>[1]flow_freeway!A1381</f>
        <v>28247</v>
      </c>
      <c r="E1380" s="137">
        <f>[1]flow_freeway!B1381</f>
        <v>13447.165771000002</v>
      </c>
      <c r="F1380" s="137">
        <f>[1]flow_freeway!C1381</f>
        <v>1281.4554439999999</v>
      </c>
      <c r="G1380" s="137">
        <f>[1]flow_freeway!D1381</f>
        <v>4695.7729490000002</v>
      </c>
    </row>
    <row r="1381" spans="4:7" x14ac:dyDescent="0.25">
      <c r="D1381">
        <f>[1]flow_freeway!A1382</f>
        <v>28250</v>
      </c>
      <c r="E1381" s="137">
        <f>[1]flow_freeway!B1382</f>
        <v>9313.7163079999991</v>
      </c>
      <c r="F1381" s="137">
        <f>[1]flow_freeway!C1382</f>
        <v>2495.2416990000002</v>
      </c>
      <c r="G1381" s="137">
        <f>[1]flow_freeway!D1382</f>
        <v>1225.6157229999999</v>
      </c>
    </row>
    <row r="1382" spans="4:7" x14ac:dyDescent="0.25">
      <c r="D1382">
        <f>[1]flow_freeway!A1383</f>
        <v>28253</v>
      </c>
      <c r="E1382" s="137">
        <f>[1]flow_freeway!B1383</f>
        <v>9372.032776</v>
      </c>
      <c r="F1382" s="137">
        <f>[1]flow_freeway!C1383</f>
        <v>983.316956</v>
      </c>
      <c r="G1382" s="137">
        <f>[1]flow_freeway!D1383</f>
        <v>3198.0283199999999</v>
      </c>
    </row>
    <row r="1383" spans="4:7" x14ac:dyDescent="0.25">
      <c r="D1383">
        <f>[1]flow_freeway!A1384</f>
        <v>28254</v>
      </c>
      <c r="E1383" s="137">
        <f>[1]flow_freeway!B1384</f>
        <v>9434.932189000001</v>
      </c>
      <c r="F1383" s="137">
        <f>[1]flow_freeway!C1384</f>
        <v>2524.11499</v>
      </c>
      <c r="G1383" s="137">
        <f>[1]flow_freeway!D1384</f>
        <v>1243.587524</v>
      </c>
    </row>
    <row r="1384" spans="4:7" x14ac:dyDescent="0.25">
      <c r="D1384">
        <f>[1]flow_freeway!A1385</f>
        <v>28257</v>
      </c>
      <c r="E1384" s="137">
        <f>[1]flow_freeway!B1385</f>
        <v>8382.1976319999994</v>
      </c>
      <c r="F1384" s="137">
        <f>[1]flow_freeway!C1385</f>
        <v>2218.5385740000002</v>
      </c>
      <c r="G1384" s="137">
        <f>[1]flow_freeway!D1385</f>
        <v>1065.6884769999999</v>
      </c>
    </row>
    <row r="1385" spans="4:7" x14ac:dyDescent="0.25">
      <c r="D1385">
        <f>[1]flow_freeway!A1386</f>
        <v>28258</v>
      </c>
      <c r="E1385" s="137">
        <f>[1]flow_freeway!B1386</f>
        <v>8415.8284290000011</v>
      </c>
      <c r="F1385" s="137">
        <f>[1]flow_freeway!C1386</f>
        <v>939.70666500000004</v>
      </c>
      <c r="G1385" s="137">
        <f>[1]flow_freeway!D1386</f>
        <v>2779.976318</v>
      </c>
    </row>
    <row r="1386" spans="4:7" x14ac:dyDescent="0.25">
      <c r="D1386">
        <f>[1]flow_freeway!A1387</f>
        <v>28260</v>
      </c>
      <c r="E1386" s="137">
        <f>[1]flow_freeway!B1387</f>
        <v>8485.7618399999992</v>
      </c>
      <c r="F1386" s="137">
        <f>[1]flow_freeway!C1387</f>
        <v>2244.3029790000001</v>
      </c>
      <c r="G1386" s="137">
        <f>[1]flow_freeway!D1387</f>
        <v>1077.415283</v>
      </c>
    </row>
    <row r="1387" spans="4:7" x14ac:dyDescent="0.25">
      <c r="D1387">
        <f>[1]flow_freeway!A1388</f>
        <v>28261</v>
      </c>
      <c r="E1387" s="137">
        <f>[1]flow_freeway!B1388</f>
        <v>8689.0173949999989</v>
      </c>
      <c r="F1387" s="137">
        <f>[1]flow_freeway!C1388</f>
        <v>1000.706177</v>
      </c>
      <c r="G1387" s="137">
        <f>[1]flow_freeway!D1388</f>
        <v>2856.2309570000002</v>
      </c>
    </row>
    <row r="1388" spans="4:7" x14ac:dyDescent="0.25">
      <c r="D1388">
        <f>[1]flow_freeway!A1389</f>
        <v>28264</v>
      </c>
      <c r="E1388" s="137">
        <f>[1]flow_freeway!B1389</f>
        <v>8452.4223010000005</v>
      </c>
      <c r="F1388" s="137">
        <f>[1]flow_freeway!C1389</f>
        <v>1006.406921</v>
      </c>
      <c r="G1388" s="137">
        <f>[1]flow_freeway!D1389</f>
        <v>2771.463135</v>
      </c>
    </row>
    <row r="1389" spans="4:7" x14ac:dyDescent="0.25">
      <c r="D1389">
        <f>[1]flow_freeway!A1390</f>
        <v>28265</v>
      </c>
      <c r="E1389" s="137">
        <f>[1]flow_freeway!B1390</f>
        <v>8366.6096180000004</v>
      </c>
      <c r="F1389" s="137">
        <f>[1]flow_freeway!C1390</f>
        <v>986.10015899999996</v>
      </c>
      <c r="G1389" s="137">
        <f>[1]flow_freeway!D1390</f>
        <v>2746.592529</v>
      </c>
    </row>
    <row r="1390" spans="4:7" x14ac:dyDescent="0.25">
      <c r="D1390">
        <f>[1]flow_freeway!A1391</f>
        <v>28267</v>
      </c>
      <c r="E1390" s="137">
        <f>[1]flow_freeway!B1391</f>
        <v>8156.7335199999998</v>
      </c>
      <c r="F1390" s="137">
        <f>[1]flow_freeway!C1391</f>
        <v>2154.8515619999998</v>
      </c>
      <c r="G1390" s="137">
        <f>[1]flow_freeway!D1391</f>
        <v>1037.881226</v>
      </c>
    </row>
    <row r="1391" spans="4:7" x14ac:dyDescent="0.25">
      <c r="D1391">
        <f>[1]flow_freeway!A1392</f>
        <v>28269</v>
      </c>
      <c r="E1391" s="137">
        <f>[1]flow_freeway!B1392</f>
        <v>7189.8515020000004</v>
      </c>
      <c r="F1391" s="137">
        <f>[1]flow_freeway!C1392</f>
        <v>870.25988800000005</v>
      </c>
      <c r="G1391" s="137">
        <f>[1]flow_freeway!D1392</f>
        <v>2320.1208499999998</v>
      </c>
    </row>
    <row r="1392" spans="4:7" x14ac:dyDescent="0.25">
      <c r="D1392">
        <f>[1]flow_freeway!A1393</f>
        <v>28270</v>
      </c>
      <c r="E1392" s="137">
        <f>[1]flow_freeway!B1393</f>
        <v>7030.3587029999999</v>
      </c>
      <c r="F1392" s="137">
        <f>[1]flow_freeway!C1393</f>
        <v>1887.7855219999999</v>
      </c>
      <c r="G1392" s="137">
        <f>[1]flow_freeway!D1393</f>
        <v>847.37536599999999</v>
      </c>
    </row>
    <row r="1393" spans="4:7" x14ac:dyDescent="0.25">
      <c r="D1393">
        <f>[1]flow_freeway!A1394</f>
        <v>28276</v>
      </c>
      <c r="E1393" s="137">
        <f>[1]flow_freeway!B1394</f>
        <v>30754.473693999997</v>
      </c>
      <c r="F1393" s="137">
        <f>[1]flow_freeway!C1394</f>
        <v>6397.7036129999997</v>
      </c>
      <c r="G1393" s="137">
        <f>[1]flow_freeway!D1394</f>
        <v>9401.4326170000004</v>
      </c>
    </row>
    <row r="1394" spans="4:7" x14ac:dyDescent="0.25">
      <c r="D1394">
        <f>[1]flow_freeway!A1395</f>
        <v>28279</v>
      </c>
      <c r="E1394" s="137">
        <f>[1]flow_freeway!B1395</f>
        <v>34733.043335000002</v>
      </c>
      <c r="F1394" s="137">
        <f>[1]flow_freeway!C1395</f>
        <v>9069.5253909999992</v>
      </c>
      <c r="G1394" s="137">
        <f>[1]flow_freeway!D1395</f>
        <v>8158.8969729999999</v>
      </c>
    </row>
    <row r="1395" spans="4:7" x14ac:dyDescent="0.25">
      <c r="D1395">
        <f>[1]flow_freeway!A1396</f>
        <v>28280</v>
      </c>
      <c r="E1395" s="137">
        <f>[1]flow_freeway!B1396</f>
        <v>41379.889770000002</v>
      </c>
      <c r="F1395" s="137">
        <f>[1]flow_freeway!C1396</f>
        <v>10243.155273</v>
      </c>
      <c r="G1395" s="137">
        <f>[1]flow_freeway!D1396</f>
        <v>9955.1308590000008</v>
      </c>
    </row>
    <row r="1396" spans="4:7" x14ac:dyDescent="0.25">
      <c r="D1396">
        <f>[1]flow_freeway!A1397</f>
        <v>28281</v>
      </c>
      <c r="E1396" s="137">
        <f>[1]flow_freeway!B1397</f>
        <v>38868.621827000003</v>
      </c>
      <c r="F1396" s="137">
        <f>[1]flow_freeway!C1397</f>
        <v>8883.75</v>
      </c>
      <c r="G1396" s="137">
        <f>[1]flow_freeway!D1397</f>
        <v>11307.59375</v>
      </c>
    </row>
    <row r="1397" spans="4:7" x14ac:dyDescent="0.25">
      <c r="D1397">
        <f>[1]flow_freeway!A1398</f>
        <v>28284</v>
      </c>
      <c r="E1397" s="137">
        <f>[1]flow_freeway!B1398</f>
        <v>34644.494141000003</v>
      </c>
      <c r="F1397" s="137">
        <f>[1]flow_freeway!C1398</f>
        <v>8111.9760740000002</v>
      </c>
      <c r="G1397" s="137">
        <f>[1]flow_freeway!D1398</f>
        <v>10140.947265999999</v>
      </c>
    </row>
    <row r="1398" spans="4:7" x14ac:dyDescent="0.25">
      <c r="D1398">
        <f>[1]flow_freeway!A1399</f>
        <v>28292</v>
      </c>
      <c r="E1398" s="137">
        <f>[1]flow_freeway!B1399</f>
        <v>29196.397217999998</v>
      </c>
      <c r="F1398" s="137">
        <f>[1]flow_freeway!C1399</f>
        <v>9534.4628909999992</v>
      </c>
      <c r="G1398" s="137">
        <f>[1]flow_freeway!D1399</f>
        <v>5363.0053710000002</v>
      </c>
    </row>
    <row r="1399" spans="4:7" x14ac:dyDescent="0.25">
      <c r="D1399">
        <f>[1]flow_freeway!A1400</f>
        <v>28379</v>
      </c>
      <c r="E1399" s="137">
        <f>[1]flow_freeway!B1400</f>
        <v>39840.141601999996</v>
      </c>
      <c r="F1399" s="137">
        <f>[1]flow_freeway!C1400</f>
        <v>10938.258789</v>
      </c>
      <c r="G1399" s="137">
        <f>[1]flow_freeway!D1400</f>
        <v>7643.7426759999998</v>
      </c>
    </row>
    <row r="1400" spans="4:7" x14ac:dyDescent="0.25">
      <c r="D1400">
        <f>[1]flow_freeway!A1401</f>
        <v>28380</v>
      </c>
      <c r="E1400" s="137">
        <f>[1]flow_freeway!B1401</f>
        <v>37418.336180999999</v>
      </c>
      <c r="F1400" s="137">
        <f>[1]flow_freeway!C1401</f>
        <v>4915.2729490000002</v>
      </c>
      <c r="G1400" s="137">
        <f>[1]flow_freeway!D1401</f>
        <v>12497.608398</v>
      </c>
    </row>
    <row r="1401" spans="4:7" x14ac:dyDescent="0.25">
      <c r="D1401">
        <f>[1]flow_freeway!A1402</f>
        <v>28381</v>
      </c>
      <c r="E1401" s="137">
        <f>[1]flow_freeway!B1402</f>
        <v>37418.336180999999</v>
      </c>
      <c r="F1401" s="137">
        <f>[1]flow_freeway!C1402</f>
        <v>4915.2729490000002</v>
      </c>
      <c r="G1401" s="137">
        <f>[1]flow_freeway!D1402</f>
        <v>12497.608398</v>
      </c>
    </row>
    <row r="1402" spans="4:7" x14ac:dyDescent="0.25">
      <c r="D1402">
        <f>[1]flow_freeway!A1403</f>
        <v>28390</v>
      </c>
      <c r="E1402" s="137">
        <f>[1]flow_freeway!B1403</f>
        <v>83740.163331000003</v>
      </c>
      <c r="F1402" s="137">
        <f>[1]flow_freeway!C1403</f>
        <v>12936.449219</v>
      </c>
      <c r="G1402" s="137">
        <f>[1]flow_freeway!D1403</f>
        <v>24746.496093999998</v>
      </c>
    </row>
    <row r="1403" spans="4:7" x14ac:dyDescent="0.25">
      <c r="D1403">
        <f>[1]flow_freeway!A1404</f>
        <v>28396</v>
      </c>
      <c r="E1403" s="137">
        <f>[1]flow_freeway!B1404</f>
        <v>53854.957519000003</v>
      </c>
      <c r="F1403" s="137">
        <f>[1]flow_freeway!C1404</f>
        <v>14137.495117</v>
      </c>
      <c r="G1403" s="137">
        <f>[1]flow_freeway!D1404</f>
        <v>10692.170898</v>
      </c>
    </row>
    <row r="1404" spans="4:7" x14ac:dyDescent="0.25">
      <c r="D1404">
        <f>[1]flow_freeway!A1405</f>
        <v>28397</v>
      </c>
      <c r="E1404" s="137">
        <f>[1]flow_freeway!B1405</f>
        <v>80480.568849000003</v>
      </c>
      <c r="F1404" s="137">
        <f>[1]flow_freeway!C1405</f>
        <v>20955.554688</v>
      </c>
      <c r="G1404" s="137">
        <f>[1]flow_freeway!D1405</f>
        <v>16358.929688</v>
      </c>
    </row>
    <row r="1405" spans="4:7" x14ac:dyDescent="0.25">
      <c r="D1405">
        <f>[1]flow_freeway!A1406</f>
        <v>28417</v>
      </c>
      <c r="E1405" s="137">
        <f>[1]flow_freeway!B1406</f>
        <v>71087.661376000004</v>
      </c>
      <c r="F1405" s="137">
        <f>[1]flow_freeway!C1406</f>
        <v>16164.899414</v>
      </c>
      <c r="G1405" s="137">
        <f>[1]flow_freeway!D1406</f>
        <v>16870.421875</v>
      </c>
    </row>
    <row r="1406" spans="4:7" x14ac:dyDescent="0.25">
      <c r="D1406">
        <f>[1]flow_freeway!A1407</f>
        <v>28418</v>
      </c>
      <c r="E1406" s="137">
        <f>[1]flow_freeway!B1407</f>
        <v>71087.661376000004</v>
      </c>
      <c r="F1406" s="137">
        <f>[1]flow_freeway!C1407</f>
        <v>16164.899414</v>
      </c>
      <c r="G1406" s="137">
        <f>[1]flow_freeway!D1407</f>
        <v>16870.421875</v>
      </c>
    </row>
    <row r="1407" spans="4:7" x14ac:dyDescent="0.25">
      <c r="D1407">
        <f>[1]flow_freeway!A1408</f>
        <v>28453</v>
      </c>
      <c r="E1407" s="137">
        <f>[1]flow_freeway!B1408</f>
        <v>35185.529602000002</v>
      </c>
      <c r="F1407" s="137">
        <f>[1]flow_freeway!C1408</f>
        <v>7138.0117190000001</v>
      </c>
      <c r="G1407" s="137">
        <f>[1]flow_freeway!D1408</f>
        <v>9360.40625</v>
      </c>
    </row>
    <row r="1408" spans="4:7" x14ac:dyDescent="0.25">
      <c r="D1408">
        <f>[1]flow_freeway!A1409</f>
        <v>28455</v>
      </c>
      <c r="E1408" s="137">
        <f>[1]flow_freeway!B1409</f>
        <v>26756.490478000003</v>
      </c>
      <c r="F1408" s="137">
        <f>[1]flow_freeway!C1409</f>
        <v>6979.9770509999998</v>
      </c>
      <c r="G1408" s="137">
        <f>[1]flow_freeway!D1409</f>
        <v>7030.4902339999999</v>
      </c>
    </row>
    <row r="1409" spans="4:7" x14ac:dyDescent="0.25">
      <c r="D1409">
        <f>[1]flow_freeway!A1410</f>
        <v>28465</v>
      </c>
      <c r="E1409" s="137">
        <f>[1]flow_freeway!B1410</f>
        <v>39133.556639999995</v>
      </c>
      <c r="F1409" s="137">
        <f>[1]flow_freeway!C1410</f>
        <v>7857.2749020000001</v>
      </c>
      <c r="G1409" s="137">
        <f>[1]flow_freeway!D1410</f>
        <v>11827.590819999999</v>
      </c>
    </row>
    <row r="1410" spans="4:7" x14ac:dyDescent="0.25">
      <c r="D1410">
        <f>[1]flow_freeway!A1411</f>
        <v>28466</v>
      </c>
      <c r="E1410" s="137">
        <f>[1]flow_freeway!B1411</f>
        <v>31927.505736999999</v>
      </c>
      <c r="F1410" s="137">
        <f>[1]flow_freeway!C1411</f>
        <v>6829.1284180000002</v>
      </c>
      <c r="G1410" s="137">
        <f>[1]flow_freeway!D1411</f>
        <v>10440.34375</v>
      </c>
    </row>
    <row r="1411" spans="4:7" x14ac:dyDescent="0.25">
      <c r="D1411">
        <f>[1]flow_freeway!A1412</f>
        <v>28472</v>
      </c>
      <c r="E1411" s="137">
        <f>[1]flow_freeway!B1412</f>
        <v>18268.790710999998</v>
      </c>
      <c r="F1411" s="137">
        <f>[1]flow_freeway!C1412</f>
        <v>5176.7817379999997</v>
      </c>
      <c r="G1411" s="137">
        <f>[1]flow_freeway!D1412</f>
        <v>4151.9072269999997</v>
      </c>
    </row>
    <row r="1412" spans="4:7" x14ac:dyDescent="0.25">
      <c r="D1412">
        <f>[1]flow_freeway!A1413</f>
        <v>28473</v>
      </c>
      <c r="E1412" s="137">
        <f>[1]flow_freeway!B1413</f>
        <v>44425.488158</v>
      </c>
      <c r="F1412" s="137">
        <f>[1]flow_freeway!C1413</f>
        <v>11586.198242</v>
      </c>
      <c r="G1412" s="137">
        <f>[1]flow_freeway!D1413</f>
        <v>10650.793944999999</v>
      </c>
    </row>
    <row r="1413" spans="4:7" x14ac:dyDescent="0.25">
      <c r="D1413">
        <f>[1]flow_freeway!A1414</f>
        <v>28477</v>
      </c>
      <c r="E1413" s="137">
        <f>[1]flow_freeway!B1414</f>
        <v>17267.160339999999</v>
      </c>
      <c r="F1413" s="137">
        <f>[1]flow_freeway!C1414</f>
        <v>3984.5429690000001</v>
      </c>
      <c r="G1413" s="137">
        <f>[1]flow_freeway!D1414</f>
        <v>4798.4726559999999</v>
      </c>
    </row>
    <row r="1414" spans="4:7" x14ac:dyDescent="0.25">
      <c r="D1414">
        <f>[1]flow_freeway!A1415</f>
        <v>28479</v>
      </c>
      <c r="E1414" s="137">
        <f>[1]flow_freeway!B1415</f>
        <v>96312.503417999993</v>
      </c>
      <c r="F1414" s="137">
        <f>[1]flow_freeway!C1415</f>
        <v>20482.992188</v>
      </c>
      <c r="G1414" s="137">
        <f>[1]flow_freeway!D1415</f>
        <v>23914.396484000001</v>
      </c>
    </row>
    <row r="1415" spans="4:7" x14ac:dyDescent="0.25">
      <c r="D1415">
        <f>[1]flow_freeway!A1416</f>
        <v>28486</v>
      </c>
      <c r="E1415" s="137">
        <f>[1]flow_freeway!B1416</f>
        <v>59012.345948000002</v>
      </c>
      <c r="F1415" s="137">
        <f>[1]flow_freeway!C1416</f>
        <v>12334.335938</v>
      </c>
      <c r="G1415" s="137">
        <f>[1]flow_freeway!D1416</f>
        <v>14461.248046999999</v>
      </c>
    </row>
    <row r="1416" spans="4:7" x14ac:dyDescent="0.25">
      <c r="D1416">
        <f>[1]flow_freeway!A1417</f>
        <v>28490</v>
      </c>
      <c r="E1416" s="137">
        <f>[1]flow_freeway!B1417</f>
        <v>85059.228514999995</v>
      </c>
      <c r="F1416" s="137">
        <f>[1]flow_freeway!C1417</f>
        <v>18011.990234000001</v>
      </c>
      <c r="G1416" s="137">
        <f>[1]flow_freeway!D1417</f>
        <v>18208.244140999999</v>
      </c>
    </row>
    <row r="1417" spans="4:7" x14ac:dyDescent="0.25">
      <c r="D1417">
        <f>[1]flow_freeway!A1418</f>
        <v>28492</v>
      </c>
      <c r="E1417" s="137">
        <f>[1]flow_freeway!B1418</f>
        <v>89357.561522999997</v>
      </c>
      <c r="F1417" s="137">
        <f>[1]flow_freeway!C1418</f>
        <v>18778.876952999999</v>
      </c>
      <c r="G1417" s="137">
        <f>[1]flow_freeway!D1418</f>
        <v>18675.197265999999</v>
      </c>
    </row>
    <row r="1418" spans="4:7" x14ac:dyDescent="0.25">
      <c r="D1418">
        <f>[1]flow_freeway!A1419</f>
        <v>28493</v>
      </c>
      <c r="E1418" s="137">
        <f>[1]flow_freeway!B1419</f>
        <v>82051.222657000006</v>
      </c>
      <c r="F1418" s="137">
        <f>[1]flow_freeway!C1419</f>
        <v>17403.367188</v>
      </c>
      <c r="G1418" s="137">
        <f>[1]flow_freeway!D1419</f>
        <v>17498.544922000001</v>
      </c>
    </row>
    <row r="1419" spans="4:7" x14ac:dyDescent="0.25">
      <c r="D1419">
        <f>[1]flow_freeway!A1420</f>
        <v>28495</v>
      </c>
      <c r="E1419" s="137">
        <f>[1]flow_freeway!B1420</f>
        <v>77191.425292999993</v>
      </c>
      <c r="F1419" s="137">
        <f>[1]flow_freeway!C1420</f>
        <v>14750.731444999999</v>
      </c>
      <c r="G1419" s="137">
        <f>[1]flow_freeway!D1420</f>
        <v>20113.472656000002</v>
      </c>
    </row>
    <row r="1420" spans="4:7" x14ac:dyDescent="0.25">
      <c r="D1420">
        <f>[1]flow_freeway!A1421</f>
        <v>28511</v>
      </c>
      <c r="E1420" s="137">
        <f>[1]flow_freeway!B1421</f>
        <v>79065.366211999994</v>
      </c>
      <c r="F1420" s="137">
        <f>[1]flow_freeway!C1421</f>
        <v>15061.523438</v>
      </c>
      <c r="G1420" s="137">
        <f>[1]flow_freeway!D1421</f>
        <v>20515.982422000001</v>
      </c>
    </row>
    <row r="1421" spans="4:7" x14ac:dyDescent="0.25">
      <c r="D1421">
        <f>[1]flow_freeway!A1422</f>
        <v>28512</v>
      </c>
      <c r="E1421" s="137">
        <f>[1]flow_freeway!B1422</f>
        <v>70509.198730999997</v>
      </c>
      <c r="F1421" s="137">
        <f>[1]flow_freeway!C1422</f>
        <v>13981.929688</v>
      </c>
      <c r="G1421" s="137">
        <f>[1]flow_freeway!D1422</f>
        <v>17549.816406000002</v>
      </c>
    </row>
    <row r="1422" spans="4:7" x14ac:dyDescent="0.25">
      <c r="D1422">
        <f>[1]flow_freeway!A1423</f>
        <v>28515</v>
      </c>
      <c r="E1422" s="137">
        <f>[1]flow_freeway!B1423</f>
        <v>73643.76806599999</v>
      </c>
      <c r="F1422" s="137">
        <f>[1]flow_freeway!C1423</f>
        <v>14853.079102</v>
      </c>
      <c r="G1422" s="137">
        <f>[1]flow_freeway!D1423</f>
        <v>15723.182617</v>
      </c>
    </row>
    <row r="1423" spans="4:7" x14ac:dyDescent="0.25">
      <c r="D1423">
        <f>[1]flow_freeway!A1424</f>
        <v>28534</v>
      </c>
      <c r="E1423" s="137">
        <f>[1]flow_freeway!B1424</f>
        <v>53578.282714000008</v>
      </c>
      <c r="F1423" s="137">
        <f>[1]flow_freeway!C1424</f>
        <v>12328.733398</v>
      </c>
      <c r="G1423" s="137">
        <f>[1]flow_freeway!D1424</f>
        <v>11245.690430000001</v>
      </c>
    </row>
    <row r="1424" spans="4:7" x14ac:dyDescent="0.25">
      <c r="D1424">
        <f>[1]flow_freeway!A1425</f>
        <v>28535</v>
      </c>
      <c r="E1424" s="137">
        <f>[1]flow_freeway!B1425</f>
        <v>54338.020019000003</v>
      </c>
      <c r="F1424" s="137">
        <f>[1]flow_freeway!C1425</f>
        <v>9223.9277340000008</v>
      </c>
      <c r="G1424" s="137">
        <f>[1]flow_freeway!D1425</f>
        <v>14981.489258</v>
      </c>
    </row>
    <row r="1425" spans="4:7" x14ac:dyDescent="0.25">
      <c r="D1425">
        <f>[1]flow_freeway!A1426</f>
        <v>28540</v>
      </c>
      <c r="E1425" s="137">
        <f>[1]flow_freeway!B1426</f>
        <v>51952.552979</v>
      </c>
      <c r="F1425" s="137">
        <f>[1]flow_freeway!C1426</f>
        <v>12237.663086</v>
      </c>
      <c r="G1425" s="137">
        <f>[1]flow_freeway!D1426</f>
        <v>11301.975586</v>
      </c>
    </row>
    <row r="1426" spans="4:7" x14ac:dyDescent="0.25">
      <c r="D1426">
        <f>[1]flow_freeway!A1427</f>
        <v>28564</v>
      </c>
      <c r="E1426" s="137">
        <f>[1]flow_freeway!B1427</f>
        <v>67832.542967999994</v>
      </c>
      <c r="F1426" s="137">
        <f>[1]flow_freeway!C1427</f>
        <v>12868.213867</v>
      </c>
      <c r="G1426" s="137">
        <f>[1]flow_freeway!D1427</f>
        <v>14719.514648</v>
      </c>
    </row>
    <row r="1427" spans="4:7" x14ac:dyDescent="0.25">
      <c r="D1427">
        <f>[1]flow_freeway!A1428</f>
        <v>28565</v>
      </c>
      <c r="E1427" s="137">
        <f>[1]flow_freeway!B1428</f>
        <v>67169.822996999996</v>
      </c>
      <c r="F1427" s="137">
        <f>[1]flow_freeway!C1428</f>
        <v>14399.467773</v>
      </c>
      <c r="G1427" s="137">
        <f>[1]flow_freeway!D1428</f>
        <v>17428.458984000001</v>
      </c>
    </row>
    <row r="1428" spans="4:7" x14ac:dyDescent="0.25">
      <c r="D1428">
        <f>[1]flow_freeway!A1429</f>
        <v>28568</v>
      </c>
      <c r="E1428" s="137">
        <f>[1]flow_freeway!B1429</f>
        <v>62446.343017999992</v>
      </c>
      <c r="F1428" s="137">
        <f>[1]flow_freeway!C1429</f>
        <v>9304.9228519999997</v>
      </c>
      <c r="G1428" s="137">
        <f>[1]flow_freeway!D1429</f>
        <v>19546.058593999998</v>
      </c>
    </row>
    <row r="1429" spans="4:7" x14ac:dyDescent="0.25">
      <c r="D1429">
        <f>[1]flow_freeway!A1430</f>
        <v>28569</v>
      </c>
      <c r="E1429" s="137">
        <f>[1]flow_freeway!B1430</f>
        <v>59943.415040000007</v>
      </c>
      <c r="F1429" s="137">
        <f>[1]flow_freeway!C1430</f>
        <v>15205.745117</v>
      </c>
      <c r="G1429" s="137">
        <f>[1]flow_freeway!D1430</f>
        <v>10345.674805000001</v>
      </c>
    </row>
    <row r="1430" spans="4:7" x14ac:dyDescent="0.25">
      <c r="D1430">
        <f>[1]flow_freeway!A1431</f>
        <v>28587</v>
      </c>
      <c r="E1430" s="137">
        <f>[1]flow_freeway!B1431</f>
        <v>103381.331055</v>
      </c>
      <c r="F1430" s="137">
        <f>[1]flow_freeway!C1431</f>
        <v>24211.847656000002</v>
      </c>
      <c r="G1430" s="137">
        <f>[1]flow_freeway!D1431</f>
        <v>21829.029297000001</v>
      </c>
    </row>
    <row r="1431" spans="4:7" x14ac:dyDescent="0.25">
      <c r="D1431">
        <f>[1]flow_freeway!A1432</f>
        <v>28588</v>
      </c>
      <c r="E1431" s="137">
        <f>[1]flow_freeway!B1432</f>
        <v>93934.854003</v>
      </c>
      <c r="F1431" s="137">
        <f>[1]flow_freeway!C1432</f>
        <v>15852.361328000001</v>
      </c>
      <c r="G1431" s="137">
        <f>[1]flow_freeway!D1432</f>
        <v>27098.158202999999</v>
      </c>
    </row>
    <row r="1432" spans="4:7" x14ac:dyDescent="0.25">
      <c r="D1432">
        <f>[1]flow_freeway!A1433</f>
        <v>28601</v>
      </c>
      <c r="E1432" s="137">
        <f>[1]flow_freeway!B1433</f>
        <v>25865.979003</v>
      </c>
      <c r="F1432" s="137">
        <f>[1]flow_freeway!C1433</f>
        <v>4559.2021480000003</v>
      </c>
      <c r="G1432" s="137">
        <f>[1]flow_freeway!D1433</f>
        <v>7411.4907229999999</v>
      </c>
    </row>
    <row r="1433" spans="4:7" x14ac:dyDescent="0.25">
      <c r="D1433">
        <f>[1]flow_freeway!A1434</f>
        <v>28611</v>
      </c>
      <c r="E1433" s="137">
        <f>[1]flow_freeway!B1434</f>
        <v>34550.491760999997</v>
      </c>
      <c r="F1433" s="137">
        <f>[1]flow_freeway!C1434</f>
        <v>5160.3930659999996</v>
      </c>
      <c r="G1433" s="137">
        <f>[1]flow_freeway!D1434</f>
        <v>10332.333008</v>
      </c>
    </row>
    <row r="1434" spans="4:7" x14ac:dyDescent="0.25">
      <c r="D1434">
        <f>[1]flow_freeway!A1435</f>
        <v>28613</v>
      </c>
      <c r="E1434" s="137">
        <f>[1]flow_freeway!B1435</f>
        <v>36760.996886999994</v>
      </c>
      <c r="F1434" s="137">
        <f>[1]flow_freeway!C1435</f>
        <v>5858.9091799999997</v>
      </c>
      <c r="G1434" s="137">
        <f>[1]flow_freeway!D1435</f>
        <v>10968.207031</v>
      </c>
    </row>
    <row r="1435" spans="4:7" x14ac:dyDescent="0.25">
      <c r="D1435">
        <f>[1]flow_freeway!A1436</f>
        <v>28615</v>
      </c>
      <c r="E1435" s="137">
        <f>[1]flow_freeway!B1436</f>
        <v>28227.38391</v>
      </c>
      <c r="F1435" s="137">
        <f>[1]flow_freeway!C1436</f>
        <v>4512.9897460000002</v>
      </c>
      <c r="G1435" s="137">
        <f>[1]flow_freeway!D1436</f>
        <v>8470.2226559999999</v>
      </c>
    </row>
    <row r="1436" spans="4:7" x14ac:dyDescent="0.25">
      <c r="D1436">
        <f>[1]flow_freeway!A1437</f>
        <v>28619</v>
      </c>
      <c r="E1436" s="137">
        <f>[1]flow_freeway!B1437</f>
        <v>29607.183899</v>
      </c>
      <c r="F1436" s="137">
        <f>[1]flow_freeway!C1437</f>
        <v>4809.9794920000004</v>
      </c>
      <c r="G1436" s="137">
        <f>[1]flow_freeway!D1437</f>
        <v>8770.3779300000006</v>
      </c>
    </row>
    <row r="1437" spans="4:7" x14ac:dyDescent="0.25">
      <c r="D1437">
        <f>[1]flow_freeway!A1438</f>
        <v>28623</v>
      </c>
      <c r="E1437" s="137">
        <f>[1]flow_freeway!B1438</f>
        <v>27043.245178999998</v>
      </c>
      <c r="F1437" s="137">
        <f>[1]flow_freeway!C1438</f>
        <v>4368.5131840000004</v>
      </c>
      <c r="G1437" s="137">
        <f>[1]flow_freeway!D1438</f>
        <v>7749.8647460000002</v>
      </c>
    </row>
    <row r="1438" spans="4:7" x14ac:dyDescent="0.25">
      <c r="D1438">
        <f>[1]flow_freeway!A1439</f>
        <v>28634</v>
      </c>
      <c r="E1438" s="137">
        <f>[1]flow_freeway!B1439</f>
        <v>39840.141601999996</v>
      </c>
      <c r="F1438" s="137">
        <f>[1]flow_freeway!C1439</f>
        <v>10938.258789</v>
      </c>
      <c r="G1438" s="137">
        <f>[1]flow_freeway!D1439</f>
        <v>7643.7426759999998</v>
      </c>
    </row>
    <row r="1439" spans="4:7" x14ac:dyDescent="0.25">
      <c r="D1439">
        <f>[1]flow_freeway!A1440</f>
        <v>28635</v>
      </c>
      <c r="E1439" s="137">
        <f>[1]flow_freeway!B1440</f>
        <v>31811.605530999997</v>
      </c>
      <c r="F1439" s="137">
        <f>[1]flow_freeway!C1440</f>
        <v>4109.2797849999997</v>
      </c>
      <c r="G1439" s="137">
        <f>[1]flow_freeway!D1440</f>
        <v>10658.822265999999</v>
      </c>
    </row>
    <row r="1440" spans="4:7" x14ac:dyDescent="0.25">
      <c r="D1440">
        <f>[1]flow_freeway!A1441</f>
        <v>28636</v>
      </c>
      <c r="E1440" s="137">
        <f>[1]flow_freeway!B1441</f>
        <v>33941.855896000001</v>
      </c>
      <c r="F1440" s="137">
        <f>[1]flow_freeway!C1441</f>
        <v>4426.6206050000001</v>
      </c>
      <c r="G1440" s="137">
        <f>[1]flow_freeway!D1441</f>
        <v>11264.482421999999</v>
      </c>
    </row>
    <row r="1441" spans="4:7" x14ac:dyDescent="0.25">
      <c r="D1441">
        <f>[1]flow_freeway!A1442</f>
        <v>28637</v>
      </c>
      <c r="E1441" s="137">
        <f>[1]flow_freeway!B1442</f>
        <v>36620.582030999998</v>
      </c>
      <c r="F1441" s="137">
        <f>[1]flow_freeway!C1442</f>
        <v>10012.582031</v>
      </c>
      <c r="G1441" s="137">
        <f>[1]flow_freeway!D1442</f>
        <v>6945.7744140000004</v>
      </c>
    </row>
    <row r="1442" spans="4:7" x14ac:dyDescent="0.25">
      <c r="D1442">
        <f>[1]flow_freeway!A1443</f>
        <v>28638</v>
      </c>
      <c r="E1442" s="137">
        <f>[1]flow_freeway!B1443</f>
        <v>28529.928467000002</v>
      </c>
      <c r="F1442" s="137">
        <f>[1]flow_freeway!C1443</f>
        <v>8149.1782229999999</v>
      </c>
      <c r="G1442" s="137">
        <f>[1]flow_freeway!D1443</f>
        <v>5456.6054690000001</v>
      </c>
    </row>
    <row r="1443" spans="4:7" x14ac:dyDescent="0.25">
      <c r="D1443">
        <f>[1]flow_freeway!A1444</f>
        <v>28673</v>
      </c>
      <c r="E1443" s="137">
        <f>[1]flow_freeway!B1444</f>
        <v>81468.671386000002</v>
      </c>
      <c r="F1443" s="137">
        <f>[1]flow_freeway!C1444</f>
        <v>15661.618164</v>
      </c>
      <c r="G1443" s="137">
        <f>[1]flow_freeway!D1444</f>
        <v>17710.476562</v>
      </c>
    </row>
    <row r="1444" spans="4:7" x14ac:dyDescent="0.25">
      <c r="D1444">
        <f>[1]flow_freeway!A1445</f>
        <v>28675</v>
      </c>
      <c r="E1444" s="137">
        <f>[1]flow_freeway!B1445</f>
        <v>54854.111815999997</v>
      </c>
      <c r="F1444" s="137">
        <f>[1]flow_freeway!C1445</f>
        <v>15509.9375</v>
      </c>
      <c r="G1444" s="137">
        <f>[1]flow_freeway!D1445</f>
        <v>10629.482421999999</v>
      </c>
    </row>
    <row r="1445" spans="4:7" x14ac:dyDescent="0.25">
      <c r="D1445">
        <f>[1]flow_freeway!A1446</f>
        <v>28676</v>
      </c>
      <c r="E1445" s="137">
        <f>[1]flow_freeway!B1446</f>
        <v>60622.053954999996</v>
      </c>
      <c r="F1445" s="137">
        <f>[1]flow_freeway!C1446</f>
        <v>9618.453125</v>
      </c>
      <c r="G1445" s="137">
        <f>[1]flow_freeway!D1446</f>
        <v>18615.066406000002</v>
      </c>
    </row>
    <row r="1446" spans="4:7" x14ac:dyDescent="0.25">
      <c r="D1446">
        <f>[1]flow_freeway!A1447</f>
        <v>28677</v>
      </c>
      <c r="E1446" s="137">
        <f>[1]flow_freeway!B1447</f>
        <v>62128.381346999988</v>
      </c>
      <c r="F1446" s="137">
        <f>[1]flow_freeway!C1447</f>
        <v>17362.896484000001</v>
      </c>
      <c r="G1446" s="137">
        <f>[1]flow_freeway!D1447</f>
        <v>11886.195312</v>
      </c>
    </row>
    <row r="1447" spans="4:7" x14ac:dyDescent="0.25">
      <c r="D1447">
        <f>[1]flow_freeway!A1448</f>
        <v>28678</v>
      </c>
      <c r="E1447" s="137">
        <f>[1]flow_freeway!B1448</f>
        <v>53067.735718000004</v>
      </c>
      <c r="F1447" s="137">
        <f>[1]flow_freeway!C1448</f>
        <v>8642.8730469999991</v>
      </c>
      <c r="G1447" s="137">
        <f>[1]flow_freeway!D1448</f>
        <v>16295.623046999999</v>
      </c>
    </row>
    <row r="1448" spans="4:7" x14ac:dyDescent="0.25">
      <c r="D1448">
        <f>[1]flow_freeway!A1449</f>
        <v>28695</v>
      </c>
      <c r="E1448" s="137">
        <f>[1]flow_freeway!B1449</f>
        <v>105608.805664</v>
      </c>
      <c r="F1448" s="137">
        <f>[1]flow_freeway!C1449</f>
        <v>28179.396484000001</v>
      </c>
      <c r="G1448" s="137">
        <f>[1]flow_freeway!D1449</f>
        <v>20966.109375</v>
      </c>
    </row>
    <row r="1449" spans="4:7" x14ac:dyDescent="0.25">
      <c r="D1449">
        <f>[1]flow_freeway!A1450</f>
        <v>28696</v>
      </c>
      <c r="E1449" s="137">
        <f>[1]flow_freeway!B1450</f>
        <v>114533.09033200001</v>
      </c>
      <c r="F1449" s="137">
        <f>[1]flow_freeway!C1450</f>
        <v>30409.080077999999</v>
      </c>
      <c r="G1449" s="137">
        <f>[1]flow_freeway!D1450</f>
        <v>22586.113281000002</v>
      </c>
    </row>
    <row r="1450" spans="4:7" x14ac:dyDescent="0.25">
      <c r="D1450">
        <f>[1]flow_freeway!A1451</f>
        <v>28698</v>
      </c>
      <c r="E1450" s="137">
        <f>[1]flow_freeway!B1451</f>
        <v>89556.390137000009</v>
      </c>
      <c r="F1450" s="137">
        <f>[1]flow_freeway!C1451</f>
        <v>22607.511718999998</v>
      </c>
      <c r="G1450" s="137">
        <f>[1]flow_freeway!D1451</f>
        <v>17864.078125</v>
      </c>
    </row>
    <row r="1451" spans="4:7" x14ac:dyDescent="0.25">
      <c r="D1451">
        <f>[1]flow_freeway!A1452</f>
        <v>28700</v>
      </c>
      <c r="E1451" s="137">
        <f>[1]flow_freeway!B1452</f>
        <v>80208.961914</v>
      </c>
      <c r="F1451" s="137">
        <f>[1]flow_freeway!C1452</f>
        <v>12027.144531</v>
      </c>
      <c r="G1451" s="137">
        <f>[1]flow_freeway!D1452</f>
        <v>24203.761718999998</v>
      </c>
    </row>
    <row r="1452" spans="4:7" x14ac:dyDescent="0.25">
      <c r="D1452">
        <f>[1]flow_freeway!A1453</f>
        <v>28701</v>
      </c>
      <c r="E1452" s="137">
        <f>[1]flow_freeway!B1453</f>
        <v>104332.582276</v>
      </c>
      <c r="F1452" s="137">
        <f>[1]flow_freeway!C1453</f>
        <v>15424.065430000001</v>
      </c>
      <c r="G1452" s="137">
        <f>[1]flow_freeway!D1453</f>
        <v>31477.667968999998</v>
      </c>
    </row>
    <row r="1453" spans="4:7" x14ac:dyDescent="0.25">
      <c r="D1453">
        <f>[1]flow_freeway!A1454</f>
        <v>28705</v>
      </c>
      <c r="E1453" s="137">
        <f>[1]flow_freeway!B1454</f>
        <v>100769.21337899999</v>
      </c>
      <c r="F1453" s="137">
        <f>[1]flow_freeway!C1454</f>
        <v>15192.310546999999</v>
      </c>
      <c r="G1453" s="137">
        <f>[1]flow_freeway!D1454</f>
        <v>30268.927734000001</v>
      </c>
    </row>
    <row r="1454" spans="4:7" x14ac:dyDescent="0.25">
      <c r="D1454">
        <f>[1]flow_freeway!A1455</f>
        <v>28706</v>
      </c>
      <c r="E1454" s="137">
        <f>[1]flow_freeway!B1455</f>
        <v>93525.450194999998</v>
      </c>
      <c r="F1454" s="137">
        <f>[1]flow_freeway!C1455</f>
        <v>13867.128906</v>
      </c>
      <c r="G1454" s="137">
        <f>[1]flow_freeway!D1455</f>
        <v>28445.037109000001</v>
      </c>
    </row>
    <row r="1455" spans="4:7" x14ac:dyDescent="0.25">
      <c r="D1455">
        <f>[1]flow_freeway!A1456</f>
        <v>28708</v>
      </c>
      <c r="E1455" s="137">
        <f>[1]flow_freeway!B1456</f>
        <v>113958.16162100001</v>
      </c>
      <c r="F1455" s="137">
        <f>[1]flow_freeway!C1456</f>
        <v>29554.521484000001</v>
      </c>
      <c r="G1455" s="137">
        <f>[1]flow_freeway!D1456</f>
        <v>23063.677734000001</v>
      </c>
    </row>
    <row r="1456" spans="4:7" x14ac:dyDescent="0.25">
      <c r="D1456">
        <f>[1]flow_freeway!A1457</f>
        <v>28710</v>
      </c>
      <c r="E1456" s="137">
        <f>[1]flow_freeway!B1457</f>
        <v>101732.985839</v>
      </c>
      <c r="F1456" s="137">
        <f>[1]flow_freeway!C1457</f>
        <v>26041.847656000002</v>
      </c>
      <c r="G1456" s="137">
        <f>[1]flow_freeway!D1457</f>
        <v>21081.332031000002</v>
      </c>
    </row>
    <row r="1457" spans="4:7" x14ac:dyDescent="0.25">
      <c r="D1457">
        <f>[1]flow_freeway!A1458</f>
        <v>28716</v>
      </c>
      <c r="E1457" s="137">
        <f>[1]flow_freeway!B1458</f>
        <v>94546.249022999997</v>
      </c>
      <c r="F1457" s="137">
        <f>[1]flow_freeway!C1458</f>
        <v>14331.902344</v>
      </c>
      <c r="G1457" s="137">
        <f>[1]flow_freeway!D1458</f>
        <v>28257.107422000001</v>
      </c>
    </row>
    <row r="1458" spans="4:7" x14ac:dyDescent="0.25">
      <c r="D1458">
        <f>[1]flow_freeway!A1459</f>
        <v>28717</v>
      </c>
      <c r="E1458" s="137">
        <f>[1]flow_freeway!B1459</f>
        <v>100105.693848</v>
      </c>
      <c r="F1458" s="137">
        <f>[1]flow_freeway!C1459</f>
        <v>15680.773438</v>
      </c>
      <c r="G1458" s="137">
        <f>[1]flow_freeway!D1459</f>
        <v>29174.890625</v>
      </c>
    </row>
    <row r="1459" spans="4:7" x14ac:dyDescent="0.25">
      <c r="D1459">
        <f>[1]flow_freeway!A1460</f>
        <v>28718</v>
      </c>
      <c r="E1459" s="137">
        <f>[1]flow_freeway!B1460</f>
        <v>96212.413084999993</v>
      </c>
      <c r="F1459" s="137">
        <f>[1]flow_freeway!C1460</f>
        <v>24540.734375</v>
      </c>
      <c r="G1459" s="137">
        <f>[1]flow_freeway!D1460</f>
        <v>20088.693359000001</v>
      </c>
    </row>
    <row r="1460" spans="4:7" x14ac:dyDescent="0.25">
      <c r="D1460">
        <f>[1]flow_freeway!A1461</f>
        <v>28722</v>
      </c>
      <c r="E1460" s="137">
        <f>[1]flow_freeway!B1461</f>
        <v>95779.102295000004</v>
      </c>
      <c r="F1460" s="137">
        <f>[1]flow_freeway!C1461</f>
        <v>14926.805664</v>
      </c>
      <c r="G1460" s="137">
        <f>[1]flow_freeway!D1461</f>
        <v>28086.541015999999</v>
      </c>
    </row>
    <row r="1461" spans="4:7" x14ac:dyDescent="0.25">
      <c r="D1461">
        <f>[1]flow_freeway!A1462</f>
        <v>28725</v>
      </c>
      <c r="E1461" s="137">
        <f>[1]flow_freeway!B1462</f>
        <v>105193.97265499999</v>
      </c>
      <c r="F1461" s="137">
        <f>[1]flow_freeway!C1462</f>
        <v>25871.923827999999</v>
      </c>
      <c r="G1461" s="137">
        <f>[1]flow_freeway!D1462</f>
        <v>22583.847656000002</v>
      </c>
    </row>
    <row r="1462" spans="4:7" x14ac:dyDescent="0.25">
      <c r="D1462">
        <f>[1]flow_freeway!A1463</f>
        <v>28726</v>
      </c>
      <c r="E1462" s="137">
        <f>[1]flow_freeway!B1463</f>
        <v>110533.895263</v>
      </c>
      <c r="F1462" s="137">
        <f>[1]flow_freeway!C1463</f>
        <v>17855.726562</v>
      </c>
      <c r="G1462" s="137">
        <f>[1]flow_freeway!D1463</f>
        <v>31971.744140999999</v>
      </c>
    </row>
    <row r="1463" spans="4:7" x14ac:dyDescent="0.25">
      <c r="D1463">
        <f>[1]flow_freeway!A1464</f>
        <v>28727</v>
      </c>
      <c r="E1463" s="137">
        <f>[1]flow_freeway!B1464</f>
        <v>120748.767578</v>
      </c>
      <c r="F1463" s="137">
        <f>[1]flow_freeway!C1464</f>
        <v>28715.763672000001</v>
      </c>
      <c r="G1463" s="137">
        <f>[1]flow_freeway!D1464</f>
        <v>26484.007812</v>
      </c>
    </row>
    <row r="1464" spans="4:7" x14ac:dyDescent="0.25">
      <c r="D1464">
        <f>[1]flow_freeway!A1465</f>
        <v>28730</v>
      </c>
      <c r="E1464" s="137">
        <f>[1]flow_freeway!B1465</f>
        <v>114588.860351</v>
      </c>
      <c r="F1464" s="137">
        <f>[1]flow_freeway!C1465</f>
        <v>27668.705077999999</v>
      </c>
      <c r="G1464" s="137">
        <f>[1]flow_freeway!D1465</f>
        <v>24984.695312</v>
      </c>
    </row>
    <row r="1465" spans="4:7" x14ac:dyDescent="0.25">
      <c r="D1465">
        <f>[1]flow_freeway!A1466</f>
        <v>28735</v>
      </c>
      <c r="E1465" s="137">
        <f>[1]flow_freeway!B1466</f>
        <v>96759.058592999994</v>
      </c>
      <c r="F1465" s="137">
        <f>[1]flow_freeway!C1466</f>
        <v>26069.232422000001</v>
      </c>
      <c r="G1465" s="137">
        <f>[1]flow_freeway!D1466</f>
        <v>20065.240234000001</v>
      </c>
    </row>
    <row r="1466" spans="4:7" x14ac:dyDescent="0.25">
      <c r="D1466">
        <f>[1]flow_freeway!A1467</f>
        <v>28736</v>
      </c>
      <c r="E1466" s="137">
        <f>[1]flow_freeway!B1467</f>
        <v>94272.992066000006</v>
      </c>
      <c r="F1466" s="137">
        <f>[1]flow_freeway!C1467</f>
        <v>14347.363281</v>
      </c>
      <c r="G1466" s="137">
        <f>[1]flow_freeway!D1467</f>
        <v>28089.830077999999</v>
      </c>
    </row>
    <row r="1467" spans="4:7" x14ac:dyDescent="0.25">
      <c r="D1467">
        <f>[1]flow_freeway!A1468</f>
        <v>28745</v>
      </c>
      <c r="E1467" s="137">
        <f>[1]flow_freeway!B1468</f>
        <v>102976.635131</v>
      </c>
      <c r="F1467" s="137">
        <f>[1]flow_freeway!C1468</f>
        <v>16553.787109000001</v>
      </c>
      <c r="G1467" s="137">
        <f>[1]flow_freeway!D1468</f>
        <v>30196.068359000001</v>
      </c>
    </row>
    <row r="1468" spans="4:7" x14ac:dyDescent="0.25">
      <c r="D1468">
        <f>[1]flow_freeway!A1469</f>
        <v>28746</v>
      </c>
      <c r="E1468" s="137">
        <f>[1]flow_freeway!B1469</f>
        <v>98242.662597999995</v>
      </c>
      <c r="F1468" s="137">
        <f>[1]flow_freeway!C1469</f>
        <v>26141.548827999999</v>
      </c>
      <c r="G1468" s="137">
        <f>[1]flow_freeway!D1469</f>
        <v>21071.796875</v>
      </c>
    </row>
    <row r="1469" spans="4:7" x14ac:dyDescent="0.25">
      <c r="D1469">
        <f>[1]flow_freeway!A1470</f>
        <v>28747</v>
      </c>
      <c r="E1469" s="137">
        <f>[1]flow_freeway!B1470</f>
        <v>106458.479981</v>
      </c>
      <c r="F1469" s="137">
        <f>[1]flow_freeway!C1470</f>
        <v>28071.298827999999</v>
      </c>
      <c r="G1469" s="137">
        <f>[1]flow_freeway!D1470</f>
        <v>22748.791015999999</v>
      </c>
    </row>
    <row r="1470" spans="4:7" x14ac:dyDescent="0.25">
      <c r="D1470">
        <f>[1]flow_freeway!A1471</f>
        <v>28752</v>
      </c>
      <c r="E1470" s="137">
        <f>[1]flow_freeway!B1471</f>
        <v>47531.688292999999</v>
      </c>
      <c r="F1470" s="137">
        <f>[1]flow_freeway!C1471</f>
        <v>7571.9633789999998</v>
      </c>
      <c r="G1470" s="137">
        <f>[1]flow_freeway!D1471</f>
        <v>14381.490234000001</v>
      </c>
    </row>
    <row r="1471" spans="4:7" x14ac:dyDescent="0.25">
      <c r="D1471">
        <f>[1]flow_freeway!A1472</f>
        <v>28779</v>
      </c>
      <c r="E1471" s="137">
        <f>[1]flow_freeway!B1472</f>
        <v>8215.4687200000008</v>
      </c>
      <c r="F1471" s="137">
        <f>[1]flow_freeway!C1472</f>
        <v>1414.8396</v>
      </c>
      <c r="G1471" s="137">
        <f>[1]flow_freeway!D1472</f>
        <v>2501.0090329999998</v>
      </c>
    </row>
    <row r="1472" spans="4:7" x14ac:dyDescent="0.25">
      <c r="D1472">
        <f>[1]flow_freeway!A1473</f>
        <v>28781</v>
      </c>
      <c r="E1472" s="137">
        <f>[1]flow_freeway!B1473</f>
        <v>12337.464295000002</v>
      </c>
      <c r="F1472" s="137">
        <f>[1]flow_freeway!C1473</f>
        <v>6284.8833009999998</v>
      </c>
      <c r="G1472" s="137">
        <f>[1]flow_freeway!D1473</f>
        <v>1665.15625</v>
      </c>
    </row>
    <row r="1473" spans="4:7" x14ac:dyDescent="0.25">
      <c r="D1473">
        <f>[1]flow_freeway!A1474</f>
        <v>28787</v>
      </c>
      <c r="E1473" s="137">
        <f>[1]flow_freeway!B1474</f>
        <v>44677.649658000002</v>
      </c>
      <c r="F1473" s="137">
        <f>[1]flow_freeway!C1474</f>
        <v>16893.279297000001</v>
      </c>
      <c r="G1473" s="137">
        <f>[1]flow_freeway!D1474</f>
        <v>7923.1987300000001</v>
      </c>
    </row>
    <row r="1474" spans="4:7" x14ac:dyDescent="0.25">
      <c r="D1474">
        <f>[1]flow_freeway!A1475</f>
        <v>28789</v>
      </c>
      <c r="E1474" s="137">
        <f>[1]flow_freeway!B1475</f>
        <v>43440.612486999999</v>
      </c>
      <c r="F1474" s="137">
        <f>[1]flow_freeway!C1475</f>
        <v>5821.4140619999998</v>
      </c>
      <c r="G1474" s="137">
        <f>[1]flow_freeway!D1475</f>
        <v>14956.701171999999</v>
      </c>
    </row>
    <row r="1475" spans="4:7" x14ac:dyDescent="0.25">
      <c r="D1475">
        <f>[1]flow_freeway!A1476</f>
        <v>28790</v>
      </c>
      <c r="E1475" s="137">
        <f>[1]flow_freeway!B1476</f>
        <v>32406.731749999999</v>
      </c>
      <c r="F1475" s="137">
        <f>[1]flow_freeway!C1476</f>
        <v>4246.6791990000002</v>
      </c>
      <c r="G1475" s="137">
        <f>[1]flow_freeway!D1476</f>
        <v>11828.330078000001</v>
      </c>
    </row>
    <row r="1476" spans="4:7" x14ac:dyDescent="0.25">
      <c r="D1476">
        <f>[1]flow_freeway!A1477</f>
        <v>28791</v>
      </c>
      <c r="E1476" s="137">
        <f>[1]flow_freeway!B1477</f>
        <v>33707.909546000003</v>
      </c>
      <c r="F1476" s="137">
        <f>[1]flow_freeway!C1477</f>
        <v>14155.25</v>
      </c>
      <c r="G1476" s="137">
        <f>[1]flow_freeway!D1477</f>
        <v>5839.1928710000002</v>
      </c>
    </row>
    <row r="1477" spans="4:7" x14ac:dyDescent="0.25">
      <c r="D1477">
        <f>[1]flow_freeway!A1478</f>
        <v>28792</v>
      </c>
      <c r="E1477" s="137">
        <f>[1]flow_freeway!B1478</f>
        <v>45321.050293</v>
      </c>
      <c r="F1477" s="137">
        <f>[1]flow_freeway!C1478</f>
        <v>16548.984375</v>
      </c>
      <c r="G1477" s="137">
        <f>[1]flow_freeway!D1478</f>
        <v>8752.0771480000003</v>
      </c>
    </row>
    <row r="1478" spans="4:7" x14ac:dyDescent="0.25">
      <c r="D1478">
        <f>[1]flow_freeway!A1479</f>
        <v>28793</v>
      </c>
      <c r="E1478" s="137">
        <f>[1]flow_freeway!B1479</f>
        <v>59678.969236999998</v>
      </c>
      <c r="F1478" s="137">
        <f>[1]flow_freeway!C1479</f>
        <v>13776.537109000001</v>
      </c>
      <c r="G1478" s="137">
        <f>[1]flow_freeway!D1479</f>
        <v>12409.535156</v>
      </c>
    </row>
    <row r="1479" spans="4:7" x14ac:dyDescent="0.25">
      <c r="D1479">
        <f>[1]flow_freeway!A1480</f>
        <v>28794</v>
      </c>
      <c r="E1479" s="137">
        <f>[1]flow_freeway!B1480</f>
        <v>24323.662841999998</v>
      </c>
      <c r="F1479" s="137">
        <f>[1]flow_freeway!C1480</f>
        <v>3750.8657229999999</v>
      </c>
      <c r="G1479" s="137">
        <f>[1]flow_freeway!D1480</f>
        <v>8373.4824219999991</v>
      </c>
    </row>
    <row r="1480" spans="4:7" x14ac:dyDescent="0.25">
      <c r="D1480">
        <f>[1]flow_freeway!A1481</f>
        <v>28795</v>
      </c>
      <c r="E1480" s="137">
        <f>[1]flow_freeway!B1481</f>
        <v>44143.022948999998</v>
      </c>
      <c r="F1480" s="137">
        <f>[1]flow_freeway!C1481</f>
        <v>6910.0620120000003</v>
      </c>
      <c r="G1480" s="137">
        <f>[1]flow_freeway!D1481</f>
        <v>14654.988281</v>
      </c>
    </row>
    <row r="1481" spans="4:7" x14ac:dyDescent="0.25">
      <c r="D1481">
        <f>[1]flow_freeway!A1482</f>
        <v>28796</v>
      </c>
      <c r="E1481" s="137">
        <f>[1]flow_freeway!B1482</f>
        <v>62734.365722000002</v>
      </c>
      <c r="F1481" s="137">
        <f>[1]flow_freeway!C1482</f>
        <v>9940.6669920000004</v>
      </c>
      <c r="G1481" s="137">
        <f>[1]flow_freeway!D1482</f>
        <v>18226.771484000001</v>
      </c>
    </row>
    <row r="1482" spans="4:7" x14ac:dyDescent="0.25">
      <c r="D1482">
        <f>[1]flow_freeway!A1483</f>
        <v>28797</v>
      </c>
      <c r="E1482" s="137">
        <f>[1]flow_freeway!B1483</f>
        <v>19819.360169</v>
      </c>
      <c r="F1482" s="137">
        <f>[1]flow_freeway!C1483</f>
        <v>3159.1958009999998</v>
      </c>
      <c r="G1482" s="137">
        <f>[1]flow_freeway!D1483</f>
        <v>6281.5058589999999</v>
      </c>
    </row>
    <row r="1483" spans="4:7" x14ac:dyDescent="0.25">
      <c r="D1483">
        <f>[1]flow_freeway!A1484</f>
        <v>28798</v>
      </c>
      <c r="E1483" s="137">
        <f>[1]flow_freeway!B1484</f>
        <v>66983.400878999993</v>
      </c>
      <c r="F1483" s="137">
        <f>[1]flow_freeway!C1484</f>
        <v>17388.498047000001</v>
      </c>
      <c r="G1483" s="137">
        <f>[1]flow_freeway!D1484</f>
        <v>14624.327148</v>
      </c>
    </row>
    <row r="1484" spans="4:7" x14ac:dyDescent="0.25">
      <c r="D1484">
        <f>[1]flow_freeway!A1485</f>
        <v>28805</v>
      </c>
      <c r="E1484" s="137">
        <f>[1]flow_freeway!B1485</f>
        <v>85174.099122</v>
      </c>
      <c r="F1484" s="137">
        <f>[1]flow_freeway!C1485</f>
        <v>16745.402343999998</v>
      </c>
      <c r="G1484" s="137">
        <f>[1]flow_freeway!D1485</f>
        <v>22268.560547000001</v>
      </c>
    </row>
    <row r="1485" spans="4:7" x14ac:dyDescent="0.25">
      <c r="D1485">
        <f>[1]flow_freeway!A1486</f>
        <v>28806</v>
      </c>
      <c r="E1485" s="137">
        <f>[1]flow_freeway!B1486</f>
        <v>68660.273436999996</v>
      </c>
      <c r="F1485" s="137">
        <f>[1]flow_freeway!C1486</f>
        <v>11584.186523</v>
      </c>
      <c r="G1485" s="137">
        <f>[1]flow_freeway!D1486</f>
        <v>20098.789062</v>
      </c>
    </row>
    <row r="1486" spans="4:7" x14ac:dyDescent="0.25">
      <c r="D1486">
        <f>[1]flow_freeway!A1487</f>
        <v>28809</v>
      </c>
      <c r="E1486" s="137">
        <f>[1]flow_freeway!B1487</f>
        <v>124537.912109</v>
      </c>
      <c r="F1486" s="137">
        <f>[1]flow_freeway!C1487</f>
        <v>31264.408202999999</v>
      </c>
      <c r="G1486" s="137">
        <f>[1]flow_freeway!D1487</f>
        <v>23598.720702999999</v>
      </c>
    </row>
    <row r="1487" spans="4:7" x14ac:dyDescent="0.25">
      <c r="D1487">
        <f>[1]flow_freeway!A1488</f>
        <v>28810</v>
      </c>
      <c r="E1487" s="137">
        <f>[1]flow_freeway!B1488</f>
        <v>125237.45605499999</v>
      </c>
      <c r="F1487" s="137">
        <f>[1]flow_freeway!C1488</f>
        <v>19821.917968999998</v>
      </c>
      <c r="G1487" s="137">
        <f>[1]flow_freeway!D1488</f>
        <v>38480.796875</v>
      </c>
    </row>
    <row r="1488" spans="4:7" x14ac:dyDescent="0.25">
      <c r="D1488">
        <f>[1]flow_freeway!A1489</f>
        <v>28839</v>
      </c>
      <c r="E1488" s="137">
        <f>[1]flow_freeway!B1489</f>
        <v>67853.424804999988</v>
      </c>
      <c r="F1488" s="137">
        <f>[1]flow_freeway!C1489</f>
        <v>13583.014648</v>
      </c>
      <c r="G1488" s="137">
        <f>[1]flow_freeway!D1489</f>
        <v>14880.466796999999</v>
      </c>
    </row>
    <row r="1489" spans="4:7" x14ac:dyDescent="0.25">
      <c r="D1489">
        <f>[1]flow_freeway!A1490</f>
        <v>28849</v>
      </c>
      <c r="E1489" s="137">
        <f>[1]flow_freeway!B1490</f>
        <v>59762.524902999998</v>
      </c>
      <c r="F1489" s="137">
        <f>[1]flow_freeway!C1490</f>
        <v>12306.304688</v>
      </c>
      <c r="G1489" s="137">
        <f>[1]flow_freeway!D1490</f>
        <v>14762.392578000001</v>
      </c>
    </row>
    <row r="1490" spans="4:7" x14ac:dyDescent="0.25">
      <c r="D1490">
        <f>[1]flow_freeway!A1491</f>
        <v>28850</v>
      </c>
      <c r="E1490" s="137">
        <f>[1]flow_freeway!B1491</f>
        <v>60434.115967999998</v>
      </c>
      <c r="F1490" s="137">
        <f>[1]flow_freeway!C1491</f>
        <v>11950.212890999999</v>
      </c>
      <c r="G1490" s="137">
        <f>[1]flow_freeway!D1491</f>
        <v>14558.893555000001</v>
      </c>
    </row>
    <row r="1491" spans="4:7" x14ac:dyDescent="0.25">
      <c r="D1491">
        <f>[1]flow_freeway!A1492</f>
        <v>28868</v>
      </c>
      <c r="E1491" s="137">
        <f>[1]flow_freeway!B1492</f>
        <v>34338.786865999995</v>
      </c>
      <c r="F1491" s="137">
        <f>[1]flow_freeway!C1492</f>
        <v>8320.0859380000002</v>
      </c>
      <c r="G1491" s="137">
        <f>[1]flow_freeway!D1492</f>
        <v>8092.0366210000002</v>
      </c>
    </row>
    <row r="1492" spans="4:7" x14ac:dyDescent="0.25">
      <c r="D1492">
        <f>[1]flow_freeway!A1493</f>
        <v>28899</v>
      </c>
      <c r="E1492" s="137">
        <f>[1]flow_freeway!B1493</f>
        <v>80880.865722000002</v>
      </c>
      <c r="F1492" s="137">
        <f>[1]flow_freeway!C1493</f>
        <v>18220.923827999999</v>
      </c>
      <c r="G1492" s="137">
        <f>[1]flow_freeway!D1493</f>
        <v>19602.171875</v>
      </c>
    </row>
    <row r="1493" spans="4:7" x14ac:dyDescent="0.25">
      <c r="D1493">
        <f>[1]flow_freeway!A1494</f>
        <v>28902</v>
      </c>
      <c r="E1493" s="137">
        <f>[1]flow_freeway!B1494</f>
        <v>27903.319947000004</v>
      </c>
      <c r="F1493" s="137">
        <f>[1]flow_freeway!C1494</f>
        <v>4365.3535160000001</v>
      </c>
      <c r="G1493" s="137">
        <f>[1]flow_freeway!D1494</f>
        <v>9485.6591800000006</v>
      </c>
    </row>
    <row r="1494" spans="4:7" x14ac:dyDescent="0.25">
      <c r="D1494">
        <f>[1]flow_freeway!A1495</f>
        <v>28904</v>
      </c>
      <c r="E1494" s="137">
        <f>[1]flow_freeway!B1495</f>
        <v>37874.629151000001</v>
      </c>
      <c r="F1494" s="137">
        <f>[1]flow_freeway!C1495</f>
        <v>5508.4106449999999</v>
      </c>
      <c r="G1494" s="137">
        <f>[1]flow_freeway!D1495</f>
        <v>12705.788086</v>
      </c>
    </row>
    <row r="1495" spans="4:7" x14ac:dyDescent="0.25">
      <c r="D1495">
        <f>[1]flow_freeway!A1496</f>
        <v>28916</v>
      </c>
      <c r="E1495" s="137">
        <f>[1]flow_freeway!B1496</f>
        <v>39116.538817000001</v>
      </c>
      <c r="F1495" s="137">
        <f>[1]flow_freeway!C1496</f>
        <v>10535.104492</v>
      </c>
      <c r="G1495" s="137">
        <f>[1]flow_freeway!D1496</f>
        <v>7814.0058589999999</v>
      </c>
    </row>
    <row r="1496" spans="4:7" x14ac:dyDescent="0.25">
      <c r="D1496">
        <f>[1]flow_freeway!A1497</f>
        <v>28920</v>
      </c>
      <c r="E1496" s="137">
        <f>[1]flow_freeway!B1497</f>
        <v>17844.124238</v>
      </c>
      <c r="F1496" s="137">
        <f>[1]flow_freeway!C1497</f>
        <v>3638.8291020000001</v>
      </c>
      <c r="G1496" s="137">
        <f>[1]flow_freeway!D1497</f>
        <v>4565.0947269999997</v>
      </c>
    </row>
    <row r="1497" spans="4:7" x14ac:dyDescent="0.25">
      <c r="D1497">
        <f>[1]flow_freeway!A1498</f>
        <v>28923</v>
      </c>
      <c r="E1497" s="137">
        <f>[1]flow_freeway!B1498</f>
        <v>17781.193909000001</v>
      </c>
      <c r="F1497" s="137">
        <f>[1]flow_freeway!C1498</f>
        <v>2991.3554690000001</v>
      </c>
      <c r="G1497" s="137">
        <f>[1]flow_freeway!D1498</f>
        <v>4722.7475590000004</v>
      </c>
    </row>
    <row r="1498" spans="4:7" x14ac:dyDescent="0.25">
      <c r="D1498">
        <f>[1]flow_freeway!A1499</f>
        <v>28924</v>
      </c>
      <c r="E1498" s="137">
        <f>[1]flow_freeway!B1499</f>
        <v>36606.112061</v>
      </c>
      <c r="F1498" s="137">
        <f>[1]flow_freeway!C1499</f>
        <v>7744.5722660000001</v>
      </c>
      <c r="G1498" s="137">
        <f>[1]flow_freeway!D1499</f>
        <v>9140.53125</v>
      </c>
    </row>
    <row r="1499" spans="4:7" x14ac:dyDescent="0.25">
      <c r="D1499">
        <f>[1]flow_freeway!A1500</f>
        <v>28925</v>
      </c>
      <c r="E1499" s="137">
        <f>[1]flow_freeway!B1500</f>
        <v>19715.830383</v>
      </c>
      <c r="F1499" s="137">
        <f>[1]flow_freeway!C1500</f>
        <v>3964.4982909999999</v>
      </c>
      <c r="G1499" s="137">
        <f>[1]flow_freeway!D1500</f>
        <v>4813.5258789999998</v>
      </c>
    </row>
    <row r="1500" spans="4:7" x14ac:dyDescent="0.25">
      <c r="D1500">
        <f>[1]flow_freeway!A1501</f>
        <v>28929</v>
      </c>
      <c r="E1500" s="137">
        <f>[1]flow_freeway!B1501</f>
        <v>50154.671630999997</v>
      </c>
      <c r="F1500" s="137">
        <f>[1]flow_freeway!C1501</f>
        <v>13832.594727</v>
      </c>
      <c r="G1500" s="137">
        <f>[1]flow_freeway!D1501</f>
        <v>10272.673828000001</v>
      </c>
    </row>
    <row r="1501" spans="4:7" x14ac:dyDescent="0.25">
      <c r="D1501">
        <f>[1]flow_freeway!A1502</f>
        <v>28938</v>
      </c>
      <c r="E1501" s="137">
        <f>[1]flow_freeway!B1502</f>
        <v>38433.295897999997</v>
      </c>
      <c r="F1501" s="137">
        <f>[1]flow_freeway!C1502</f>
        <v>7790.3964839999999</v>
      </c>
      <c r="G1501" s="137">
        <f>[1]flow_freeway!D1502</f>
        <v>10223.458008</v>
      </c>
    </row>
    <row r="1502" spans="4:7" x14ac:dyDescent="0.25">
      <c r="D1502">
        <f>[1]flow_freeway!A1503</f>
        <v>28939</v>
      </c>
      <c r="E1502" s="137">
        <f>[1]flow_freeway!B1503</f>
        <v>39392.169311999998</v>
      </c>
      <c r="F1502" s="137">
        <f>[1]flow_freeway!C1503</f>
        <v>8613.0039059999999</v>
      </c>
      <c r="G1502" s="137">
        <f>[1]flow_freeway!D1503</f>
        <v>9474.3300780000009</v>
      </c>
    </row>
    <row r="1503" spans="4:7" x14ac:dyDescent="0.25">
      <c r="D1503">
        <f>[1]flow_freeway!A1504</f>
        <v>28940</v>
      </c>
      <c r="E1503" s="137">
        <f>[1]flow_freeway!B1504</f>
        <v>42203.840820000005</v>
      </c>
      <c r="F1503" s="137">
        <f>[1]flow_freeway!C1504</f>
        <v>9038.5146480000003</v>
      </c>
      <c r="G1503" s="137">
        <f>[1]flow_freeway!D1504</f>
        <v>10271.800781</v>
      </c>
    </row>
    <row r="1504" spans="4:7" x14ac:dyDescent="0.25">
      <c r="D1504">
        <f>[1]flow_freeway!A1505</f>
        <v>28941</v>
      </c>
      <c r="E1504" s="137">
        <f>[1]flow_freeway!B1505</f>
        <v>40953.102417000002</v>
      </c>
      <c r="F1504" s="137">
        <f>[1]flow_freeway!C1505</f>
        <v>8270.6152340000008</v>
      </c>
      <c r="G1504" s="137">
        <f>[1]flow_freeway!D1505</f>
        <v>10987.779296999999</v>
      </c>
    </row>
    <row r="1505" spans="4:7" x14ac:dyDescent="0.25">
      <c r="D1505">
        <f>[1]flow_freeway!A1506</f>
        <v>28945</v>
      </c>
      <c r="E1505" s="137">
        <f>[1]flow_freeway!B1506</f>
        <v>24655.691590000002</v>
      </c>
      <c r="F1505" s="137">
        <f>[1]flow_freeway!C1506</f>
        <v>5124.7773440000001</v>
      </c>
      <c r="G1505" s="137">
        <f>[1]flow_freeway!D1506</f>
        <v>6347.7446289999998</v>
      </c>
    </row>
    <row r="1506" spans="4:7" x14ac:dyDescent="0.25">
      <c r="D1506">
        <f>[1]flow_freeway!A1507</f>
        <v>28948</v>
      </c>
      <c r="E1506" s="137">
        <f>[1]flow_freeway!B1507</f>
        <v>24655.691590000002</v>
      </c>
      <c r="F1506" s="137">
        <f>[1]flow_freeway!C1507</f>
        <v>5124.7773440000001</v>
      </c>
      <c r="G1506" s="137">
        <f>[1]flow_freeway!D1507</f>
        <v>6347.7446289999998</v>
      </c>
    </row>
    <row r="1507" spans="4:7" x14ac:dyDescent="0.25">
      <c r="D1507">
        <f>[1]flow_freeway!A1508</f>
        <v>28949</v>
      </c>
      <c r="E1507" s="137">
        <f>[1]flow_freeway!B1508</f>
        <v>18846.714905000001</v>
      </c>
      <c r="F1507" s="137">
        <f>[1]flow_freeway!C1508</f>
        <v>3824.1142580000001</v>
      </c>
      <c r="G1507" s="137">
        <f>[1]flow_freeway!D1508</f>
        <v>5423.7290039999998</v>
      </c>
    </row>
    <row r="1508" spans="4:7" x14ac:dyDescent="0.25">
      <c r="D1508">
        <f>[1]flow_freeway!A1509</f>
        <v>28950</v>
      </c>
      <c r="E1508" s="137">
        <f>[1]flow_freeway!B1509</f>
        <v>28259.933471999997</v>
      </c>
      <c r="F1508" s="137">
        <f>[1]flow_freeway!C1509</f>
        <v>5647.6020509999998</v>
      </c>
      <c r="G1508" s="137">
        <f>[1]flow_freeway!D1509</f>
        <v>8111.9604490000002</v>
      </c>
    </row>
    <row r="1509" spans="4:7" x14ac:dyDescent="0.25">
      <c r="D1509">
        <f>[1]flow_freeway!A1510</f>
        <v>29016</v>
      </c>
      <c r="E1509" s="137">
        <f>[1]flow_freeway!B1510</f>
        <v>77013.278320000012</v>
      </c>
      <c r="F1509" s="137">
        <f>[1]flow_freeway!C1510</f>
        <v>20631.347656000002</v>
      </c>
      <c r="G1509" s="137">
        <f>[1]flow_freeway!D1510</f>
        <v>15430.521484000001</v>
      </c>
    </row>
    <row r="1510" spans="4:7" x14ac:dyDescent="0.25">
      <c r="D1510">
        <f>[1]flow_freeway!A1511</f>
        <v>29018</v>
      </c>
      <c r="E1510" s="137">
        <f>[1]flow_freeway!B1511</f>
        <v>91708.852539</v>
      </c>
      <c r="F1510" s="137">
        <f>[1]flow_freeway!C1511</f>
        <v>23496.152343999998</v>
      </c>
      <c r="G1510" s="137">
        <f>[1]flow_freeway!D1511</f>
        <v>17886.851562</v>
      </c>
    </row>
    <row r="1511" spans="4:7" x14ac:dyDescent="0.25">
      <c r="D1511">
        <f>[1]flow_freeway!A1512</f>
        <v>29019</v>
      </c>
      <c r="E1511" s="137">
        <f>[1]flow_freeway!B1512</f>
        <v>91344.603271</v>
      </c>
      <c r="F1511" s="137">
        <f>[1]flow_freeway!C1512</f>
        <v>14046.832031</v>
      </c>
      <c r="G1511" s="137">
        <f>[1]flow_freeway!D1512</f>
        <v>28481.693359000001</v>
      </c>
    </row>
    <row r="1512" spans="4:7" x14ac:dyDescent="0.25">
      <c r="D1512">
        <f>[1]flow_freeway!A1513</f>
        <v>29023</v>
      </c>
      <c r="E1512" s="137">
        <f>[1]flow_freeway!B1513</f>
        <v>87473.343750999993</v>
      </c>
      <c r="F1512" s="137">
        <f>[1]flow_freeway!C1513</f>
        <v>13302.103515999999</v>
      </c>
      <c r="G1512" s="137">
        <f>[1]flow_freeway!D1513</f>
        <v>27589.865234000001</v>
      </c>
    </row>
    <row r="1513" spans="4:7" x14ac:dyDescent="0.25">
      <c r="D1513">
        <f>[1]flow_freeway!A1514</f>
        <v>29024</v>
      </c>
      <c r="E1513" s="137">
        <f>[1]flow_freeway!B1514</f>
        <v>86175.765136000002</v>
      </c>
      <c r="F1513" s="137">
        <f>[1]flow_freeway!C1514</f>
        <v>22537.705077999999</v>
      </c>
      <c r="G1513" s="137">
        <f>[1]flow_freeway!D1514</f>
        <v>16564.037109000001</v>
      </c>
    </row>
    <row r="1514" spans="4:7" x14ac:dyDescent="0.25">
      <c r="D1514">
        <f>[1]flow_freeway!A1515</f>
        <v>29025</v>
      </c>
      <c r="E1514" s="137">
        <f>[1]flow_freeway!B1515</f>
        <v>78189.810303999999</v>
      </c>
      <c r="F1514" s="137">
        <f>[1]flow_freeway!C1515</f>
        <v>11973.308594</v>
      </c>
      <c r="G1514" s="137">
        <f>[1]flow_freeway!D1515</f>
        <v>24804.322265999999</v>
      </c>
    </row>
    <row r="1515" spans="4:7" x14ac:dyDescent="0.25">
      <c r="D1515">
        <f>[1]flow_freeway!A1516</f>
        <v>29027</v>
      </c>
      <c r="E1515" s="137">
        <f>[1]flow_freeway!B1516</f>
        <v>92664.511597000004</v>
      </c>
      <c r="F1515" s="137">
        <f>[1]flow_freeway!C1516</f>
        <v>14266.623046999999</v>
      </c>
      <c r="G1515" s="137">
        <f>[1]flow_freeway!D1516</f>
        <v>29407.886718999998</v>
      </c>
    </row>
    <row r="1516" spans="4:7" x14ac:dyDescent="0.25">
      <c r="D1516">
        <f>[1]flow_freeway!A1517</f>
        <v>29028</v>
      </c>
      <c r="E1516" s="137">
        <f>[1]flow_freeway!B1517</f>
        <v>89354.499022000004</v>
      </c>
      <c r="F1516" s="137">
        <f>[1]flow_freeway!C1517</f>
        <v>24101.412109000001</v>
      </c>
      <c r="G1516" s="137">
        <f>[1]flow_freeway!D1517</f>
        <v>17249.279297000001</v>
      </c>
    </row>
    <row r="1517" spans="4:7" x14ac:dyDescent="0.25">
      <c r="D1517">
        <f>[1]flow_freeway!A1518</f>
        <v>29033</v>
      </c>
      <c r="E1517" s="137">
        <f>[1]flow_freeway!B1518</f>
        <v>83534.725097000002</v>
      </c>
      <c r="F1517" s="137">
        <f>[1]flow_freeway!C1518</f>
        <v>23025.257812</v>
      </c>
      <c r="G1517" s="137">
        <f>[1]flow_freeway!D1518</f>
        <v>15831.125977</v>
      </c>
    </row>
    <row r="1518" spans="4:7" x14ac:dyDescent="0.25">
      <c r="D1518">
        <f>[1]flow_freeway!A1519</f>
        <v>29035</v>
      </c>
      <c r="E1518" s="137">
        <f>[1]flow_freeway!B1519</f>
        <v>88385.838134000005</v>
      </c>
      <c r="F1518" s="137">
        <f>[1]flow_freeway!C1519</f>
        <v>13424.420898</v>
      </c>
      <c r="G1518" s="137">
        <f>[1]flow_freeway!D1519</f>
        <v>28426.685547000001</v>
      </c>
    </row>
    <row r="1519" spans="4:7" x14ac:dyDescent="0.25">
      <c r="D1519">
        <f>[1]flow_freeway!A1520</f>
        <v>29037</v>
      </c>
      <c r="E1519" s="137">
        <f>[1]flow_freeway!B1520</f>
        <v>86709.765136000002</v>
      </c>
      <c r="F1519" s="137">
        <f>[1]flow_freeway!C1520</f>
        <v>24473.023438</v>
      </c>
      <c r="G1519" s="137">
        <f>[1]flow_freeway!D1520</f>
        <v>16941.630859000001</v>
      </c>
    </row>
    <row r="1520" spans="4:7" x14ac:dyDescent="0.25">
      <c r="D1520">
        <f>[1]flow_freeway!A1521</f>
        <v>29039</v>
      </c>
      <c r="E1520" s="137">
        <f>[1]flow_freeway!B1521</f>
        <v>105576.33422799999</v>
      </c>
      <c r="F1520" s="137">
        <f>[1]flow_freeway!C1521</f>
        <v>16147.571289</v>
      </c>
      <c r="G1520" s="137">
        <f>[1]flow_freeway!D1521</f>
        <v>32788.738280999998</v>
      </c>
    </row>
    <row r="1521" spans="4:7" x14ac:dyDescent="0.25">
      <c r="D1521">
        <f>[1]flow_freeway!A1522</f>
        <v>29041</v>
      </c>
      <c r="E1521" s="137">
        <f>[1]flow_freeway!B1522</f>
        <v>98226.981933000003</v>
      </c>
      <c r="F1521" s="137">
        <f>[1]flow_freeway!C1522</f>
        <v>26265.095702999999</v>
      </c>
      <c r="G1521" s="137">
        <f>[1]flow_freeway!D1522</f>
        <v>18551.257812</v>
      </c>
    </row>
    <row r="1522" spans="4:7" x14ac:dyDescent="0.25">
      <c r="D1522">
        <f>[1]flow_freeway!A1523</f>
        <v>29042</v>
      </c>
      <c r="E1522" s="137">
        <f>[1]flow_freeway!B1523</f>
        <v>104874.13037099999</v>
      </c>
      <c r="F1522" s="137">
        <f>[1]flow_freeway!C1523</f>
        <v>27938.039062</v>
      </c>
      <c r="G1522" s="137">
        <f>[1]flow_freeway!D1523</f>
        <v>19929.75</v>
      </c>
    </row>
    <row r="1523" spans="4:7" x14ac:dyDescent="0.25">
      <c r="D1523">
        <f>[1]flow_freeway!A1524</f>
        <v>29045</v>
      </c>
      <c r="E1523" s="137">
        <f>[1]flow_freeway!B1524</f>
        <v>100791.23425199999</v>
      </c>
      <c r="F1523" s="137">
        <f>[1]flow_freeway!C1524</f>
        <v>15033.911133</v>
      </c>
      <c r="G1523" s="137">
        <f>[1]flow_freeway!D1524</f>
        <v>31419.896484000001</v>
      </c>
    </row>
    <row r="1524" spans="4:7" x14ac:dyDescent="0.25">
      <c r="D1524">
        <f>[1]flow_freeway!A1525</f>
        <v>29046</v>
      </c>
      <c r="E1524" s="137">
        <f>[1]flow_freeway!B1525</f>
        <v>64839.009276999997</v>
      </c>
      <c r="F1524" s="137">
        <f>[1]flow_freeway!C1525</f>
        <v>19493.849609000001</v>
      </c>
      <c r="G1524" s="137">
        <f>[1]flow_freeway!D1525</f>
        <v>11687.135742</v>
      </c>
    </row>
    <row r="1525" spans="4:7" x14ac:dyDescent="0.25">
      <c r="D1525">
        <f>[1]flow_freeway!A1526</f>
        <v>29047</v>
      </c>
      <c r="E1525" s="137">
        <f>[1]flow_freeway!B1526</f>
        <v>58094.402587000004</v>
      </c>
      <c r="F1525" s="137">
        <f>[1]flow_freeway!C1526</f>
        <v>7370.6811520000001</v>
      </c>
      <c r="G1525" s="137">
        <f>[1]flow_freeway!D1526</f>
        <v>19735.253906000002</v>
      </c>
    </row>
    <row r="1526" spans="4:7" x14ac:dyDescent="0.25">
      <c r="D1526">
        <f>[1]flow_freeway!A1527</f>
        <v>29049</v>
      </c>
      <c r="E1526" s="137">
        <f>[1]flow_freeway!B1527</f>
        <v>83411.103027000005</v>
      </c>
      <c r="F1526" s="137">
        <f>[1]flow_freeway!C1527</f>
        <v>22118.111327999999</v>
      </c>
      <c r="G1526" s="137">
        <f>[1]flow_freeway!D1527</f>
        <v>13892.342773</v>
      </c>
    </row>
    <row r="1527" spans="4:7" x14ac:dyDescent="0.25">
      <c r="D1527">
        <f>[1]flow_freeway!A1528</f>
        <v>29050</v>
      </c>
      <c r="E1527" s="137">
        <f>[1]flow_freeway!B1528</f>
        <v>79342.339599999992</v>
      </c>
      <c r="F1527" s="137">
        <f>[1]flow_freeway!C1528</f>
        <v>10023.782227</v>
      </c>
      <c r="G1527" s="137">
        <f>[1]flow_freeway!D1528</f>
        <v>25982.712890999999</v>
      </c>
    </row>
    <row r="1528" spans="4:7" x14ac:dyDescent="0.25">
      <c r="D1528">
        <f>[1]flow_freeway!A1529</f>
        <v>29051</v>
      </c>
      <c r="E1528" s="137">
        <f>[1]flow_freeway!B1529</f>
        <v>76210.167969000002</v>
      </c>
      <c r="F1528" s="137">
        <f>[1]flow_freeway!C1529</f>
        <v>19930.523438</v>
      </c>
      <c r="G1528" s="137">
        <f>[1]flow_freeway!D1529</f>
        <v>12675.560546999999</v>
      </c>
    </row>
    <row r="1529" spans="4:7" x14ac:dyDescent="0.25">
      <c r="D1529">
        <f>[1]flow_freeway!A1530</f>
        <v>29052</v>
      </c>
      <c r="E1529" s="137">
        <f>[1]flow_freeway!B1530</f>
        <v>63427.707031999998</v>
      </c>
      <c r="F1529" s="137">
        <f>[1]flow_freeway!C1530</f>
        <v>7716.6264650000003</v>
      </c>
      <c r="G1529" s="137">
        <f>[1]flow_freeway!D1530</f>
        <v>20736.330077999999</v>
      </c>
    </row>
    <row r="1530" spans="4:7" x14ac:dyDescent="0.25">
      <c r="D1530">
        <f>[1]flow_freeway!A1531</f>
        <v>29080</v>
      </c>
      <c r="E1530" s="137">
        <f>[1]flow_freeway!B1531</f>
        <v>99486.899170999997</v>
      </c>
      <c r="F1530" s="137">
        <f>[1]flow_freeway!C1531</f>
        <v>24404.886718999998</v>
      </c>
      <c r="G1530" s="137">
        <f>[1]flow_freeway!D1531</f>
        <v>23623.019531000002</v>
      </c>
    </row>
    <row r="1531" spans="4:7" x14ac:dyDescent="0.25">
      <c r="D1531">
        <f>[1]flow_freeway!A1532</f>
        <v>29082</v>
      </c>
      <c r="E1531" s="137">
        <f>[1]flow_freeway!B1532</f>
        <v>92323.269532000006</v>
      </c>
      <c r="F1531" s="137">
        <f>[1]flow_freeway!C1532</f>
        <v>22412.605468999998</v>
      </c>
      <c r="G1531" s="137">
        <f>[1]flow_freeway!D1532</f>
        <v>21972.509765999999</v>
      </c>
    </row>
    <row r="1532" spans="4:7" x14ac:dyDescent="0.25">
      <c r="D1532">
        <f>[1]flow_freeway!A1533</f>
        <v>29086</v>
      </c>
      <c r="E1532" s="137">
        <f>[1]flow_freeway!B1533</f>
        <v>89786.500977000003</v>
      </c>
      <c r="F1532" s="137">
        <f>[1]flow_freeway!C1533</f>
        <v>21920.806640999999</v>
      </c>
      <c r="G1532" s="137">
        <f>[1]flow_freeway!D1533</f>
        <v>21304.689452999999</v>
      </c>
    </row>
    <row r="1533" spans="4:7" x14ac:dyDescent="0.25">
      <c r="D1533">
        <f>[1]flow_freeway!A1534</f>
        <v>29088</v>
      </c>
      <c r="E1533" s="137">
        <f>[1]flow_freeway!B1534</f>
        <v>98641.967774999997</v>
      </c>
      <c r="F1533" s="137">
        <f>[1]flow_freeway!C1534</f>
        <v>17747.523438</v>
      </c>
      <c r="G1533" s="137">
        <f>[1]flow_freeway!D1534</f>
        <v>28146.46875</v>
      </c>
    </row>
    <row r="1534" spans="4:7" x14ac:dyDescent="0.25">
      <c r="D1534">
        <f>[1]flow_freeway!A1535</f>
        <v>29089</v>
      </c>
      <c r="E1534" s="137">
        <f>[1]flow_freeway!B1535</f>
        <v>90279.428954000003</v>
      </c>
      <c r="F1534" s="137">
        <f>[1]flow_freeway!C1535</f>
        <v>15970.838867</v>
      </c>
      <c r="G1534" s="137">
        <f>[1]flow_freeway!D1535</f>
        <v>26247.490234000001</v>
      </c>
    </row>
    <row r="1535" spans="4:7" x14ac:dyDescent="0.25">
      <c r="D1535">
        <f>[1]flow_freeway!A1536</f>
        <v>29090</v>
      </c>
      <c r="E1535" s="137">
        <f>[1]flow_freeway!B1536</f>
        <v>99486.899170999997</v>
      </c>
      <c r="F1535" s="137">
        <f>[1]flow_freeway!C1536</f>
        <v>24404.886718999998</v>
      </c>
      <c r="G1535" s="137">
        <f>[1]flow_freeway!D1536</f>
        <v>23623.019531000002</v>
      </c>
    </row>
    <row r="1536" spans="4:7" x14ac:dyDescent="0.25">
      <c r="D1536">
        <f>[1]flow_freeway!A1537</f>
        <v>29095</v>
      </c>
      <c r="E1536" s="137">
        <f>[1]flow_freeway!B1537</f>
        <v>94014.860350999996</v>
      </c>
      <c r="F1536" s="137">
        <f>[1]flow_freeway!C1537</f>
        <v>23768.820312</v>
      </c>
      <c r="G1536" s="137">
        <f>[1]flow_freeway!D1537</f>
        <v>21921.298827999999</v>
      </c>
    </row>
    <row r="1537" spans="4:7" x14ac:dyDescent="0.25">
      <c r="D1537">
        <f>[1]flow_freeway!A1538</f>
        <v>29097</v>
      </c>
      <c r="E1537" s="137">
        <f>[1]flow_freeway!B1538</f>
        <v>56074.587159000002</v>
      </c>
      <c r="F1537" s="137">
        <f>[1]flow_freeway!C1538</f>
        <v>15436.875</v>
      </c>
      <c r="G1537" s="137">
        <f>[1]flow_freeway!D1538</f>
        <v>12230.083008</v>
      </c>
    </row>
    <row r="1538" spans="4:7" x14ac:dyDescent="0.25">
      <c r="D1538">
        <f>[1]flow_freeway!A1539</f>
        <v>29105</v>
      </c>
      <c r="E1538" s="137">
        <f>[1]flow_freeway!B1539</f>
        <v>89113.604858999999</v>
      </c>
      <c r="F1538" s="137">
        <f>[1]flow_freeway!C1539</f>
        <v>13418.096680000001</v>
      </c>
      <c r="G1538" s="137">
        <f>[1]flow_freeway!D1539</f>
        <v>28869.861327999999</v>
      </c>
    </row>
    <row r="1539" spans="4:7" x14ac:dyDescent="0.25">
      <c r="D1539">
        <f>[1]flow_freeway!A1540</f>
        <v>29108</v>
      </c>
      <c r="E1539" s="137">
        <f>[1]flow_freeway!B1540</f>
        <v>100200.139037</v>
      </c>
      <c r="F1539" s="137">
        <f>[1]flow_freeway!C1540</f>
        <v>15528.375</v>
      </c>
      <c r="G1539" s="137">
        <f>[1]flow_freeway!D1540</f>
        <v>32088.878906000002</v>
      </c>
    </row>
    <row r="1540" spans="4:7" x14ac:dyDescent="0.25">
      <c r="D1540">
        <f>[1]flow_freeway!A1541</f>
        <v>29109</v>
      </c>
      <c r="E1540" s="137">
        <f>[1]flow_freeway!B1541</f>
        <v>72995.832519999996</v>
      </c>
      <c r="F1540" s="137">
        <f>[1]flow_freeway!C1541</f>
        <v>12132.925781</v>
      </c>
      <c r="G1540" s="137">
        <f>[1]flow_freeway!D1541</f>
        <v>20790.304688</v>
      </c>
    </row>
    <row r="1541" spans="4:7" x14ac:dyDescent="0.25">
      <c r="D1541">
        <f>[1]flow_freeway!A1542</f>
        <v>29111</v>
      </c>
      <c r="E1541" s="137">
        <f>[1]flow_freeway!B1542</f>
        <v>74563.037110000005</v>
      </c>
      <c r="F1541" s="137">
        <f>[1]flow_freeway!C1542</f>
        <v>12274.537109000001</v>
      </c>
      <c r="G1541" s="137">
        <f>[1]flow_freeway!D1542</f>
        <v>21274.96875</v>
      </c>
    </row>
    <row r="1542" spans="4:7" x14ac:dyDescent="0.25">
      <c r="D1542">
        <f>[1]flow_freeway!A1543</f>
        <v>29129</v>
      </c>
      <c r="E1542" s="137">
        <f>[1]flow_freeway!B1543</f>
        <v>24390.560792</v>
      </c>
      <c r="F1542" s="137">
        <f>[1]flow_freeway!C1543</f>
        <v>8755.6875</v>
      </c>
      <c r="G1542" s="137">
        <f>[1]flow_freeway!D1543</f>
        <v>4471.3974609999996</v>
      </c>
    </row>
    <row r="1543" spans="4:7" x14ac:dyDescent="0.25">
      <c r="D1543">
        <f>[1]flow_freeway!A1544</f>
        <v>29130</v>
      </c>
      <c r="E1543" s="137">
        <f>[1]flow_freeway!B1544</f>
        <v>20930.489440999998</v>
      </c>
      <c r="F1543" s="137">
        <f>[1]flow_freeway!C1544</f>
        <v>7793.2963870000003</v>
      </c>
      <c r="G1543" s="137">
        <f>[1]flow_freeway!D1544</f>
        <v>4280.6787109999996</v>
      </c>
    </row>
    <row r="1544" spans="4:7" x14ac:dyDescent="0.25">
      <c r="D1544">
        <f>[1]flow_freeway!A1545</f>
        <v>29146</v>
      </c>
      <c r="E1544" s="137">
        <f>[1]flow_freeway!B1545</f>
        <v>3653.5550070000004</v>
      </c>
      <c r="F1544" s="137">
        <f>[1]flow_freeway!C1545</f>
        <v>1338.3201899999999</v>
      </c>
      <c r="G1544" s="137">
        <f>[1]flow_freeway!D1545</f>
        <v>241.96954299999999</v>
      </c>
    </row>
    <row r="1545" spans="4:7" x14ac:dyDescent="0.25">
      <c r="D1545">
        <f>[1]flow_freeway!A1546</f>
        <v>29148</v>
      </c>
      <c r="E1545" s="137">
        <f>[1]flow_freeway!B1546</f>
        <v>3653.5550070000004</v>
      </c>
      <c r="F1545" s="137">
        <f>[1]flow_freeway!C1546</f>
        <v>1338.3201899999999</v>
      </c>
      <c r="G1545" s="137">
        <f>[1]flow_freeway!D1546</f>
        <v>241.96954299999999</v>
      </c>
    </row>
    <row r="1546" spans="4:7" x14ac:dyDescent="0.25">
      <c r="D1546">
        <f>[1]flow_freeway!A1547</f>
        <v>29150</v>
      </c>
      <c r="E1546" s="137">
        <f>[1]flow_freeway!B1547</f>
        <v>4778.4044309999999</v>
      </c>
      <c r="F1546" s="137">
        <f>[1]flow_freeway!C1547</f>
        <v>690.45709199999999</v>
      </c>
      <c r="G1546" s="137">
        <f>[1]flow_freeway!D1547</f>
        <v>2332.5383299999999</v>
      </c>
    </row>
    <row r="1547" spans="4:7" x14ac:dyDescent="0.25">
      <c r="D1547">
        <f>[1]flow_freeway!A1548</f>
        <v>29157</v>
      </c>
      <c r="E1547" s="137">
        <f>[1]flow_freeway!B1548</f>
        <v>30916.601562</v>
      </c>
      <c r="F1547" s="137">
        <f>[1]flow_freeway!C1548</f>
        <v>6401.8901370000003</v>
      </c>
      <c r="G1547" s="137">
        <f>[1]flow_freeway!D1548</f>
        <v>3780.9726559999999</v>
      </c>
    </row>
    <row r="1548" spans="4:7" x14ac:dyDescent="0.25">
      <c r="D1548">
        <f>[1]flow_freeway!A1549</f>
        <v>29158</v>
      </c>
      <c r="E1548" s="137">
        <f>[1]flow_freeway!B1549</f>
        <v>29534.175049000001</v>
      </c>
      <c r="F1548" s="137">
        <f>[1]flow_freeway!C1549</f>
        <v>6003.9428710000002</v>
      </c>
      <c r="G1548" s="137">
        <f>[1]flow_freeway!D1549</f>
        <v>3744.255615</v>
      </c>
    </row>
    <row r="1549" spans="4:7" x14ac:dyDescent="0.25">
      <c r="D1549">
        <f>[1]flow_freeway!A1550</f>
        <v>29159</v>
      </c>
      <c r="E1549" s="137">
        <f>[1]flow_freeway!B1550</f>
        <v>34312.578613999998</v>
      </c>
      <c r="F1549" s="137">
        <f>[1]flow_freeway!C1550</f>
        <v>6694.3994140000004</v>
      </c>
      <c r="G1549" s="137">
        <f>[1]flow_freeway!D1550</f>
        <v>6076.7934569999998</v>
      </c>
    </row>
    <row r="1550" spans="4:7" x14ac:dyDescent="0.25">
      <c r="D1550">
        <f>[1]flow_freeway!A1551</f>
        <v>29160</v>
      </c>
      <c r="E1550" s="137">
        <f>[1]flow_freeway!B1551</f>
        <v>31981.162841999998</v>
      </c>
      <c r="F1550" s="137">
        <f>[1]flow_freeway!C1551</f>
        <v>3098.4965820000002</v>
      </c>
      <c r="G1550" s="137">
        <f>[1]flow_freeway!D1551</f>
        <v>8648.0517579999996</v>
      </c>
    </row>
    <row r="1551" spans="4:7" x14ac:dyDescent="0.25">
      <c r="D1551">
        <f>[1]flow_freeway!A1552</f>
        <v>29161</v>
      </c>
      <c r="E1551" s="137">
        <f>[1]flow_freeway!B1552</f>
        <v>31981.162841999998</v>
      </c>
      <c r="F1551" s="137">
        <f>[1]flow_freeway!C1552</f>
        <v>3098.4965820000002</v>
      </c>
      <c r="G1551" s="137">
        <f>[1]flow_freeway!D1552</f>
        <v>8648.0517579999996</v>
      </c>
    </row>
    <row r="1552" spans="4:7" x14ac:dyDescent="0.25">
      <c r="D1552">
        <f>[1]flow_freeway!A1553</f>
        <v>29167</v>
      </c>
      <c r="E1552" s="137">
        <f>[1]flow_freeway!B1553</f>
        <v>35309.215086999997</v>
      </c>
      <c r="F1552" s="137">
        <f>[1]flow_freeway!C1553</f>
        <v>11619.046875</v>
      </c>
      <c r="G1552" s="137">
        <f>[1]flow_freeway!D1553</f>
        <v>6414.8808589999999</v>
      </c>
    </row>
    <row r="1553" spans="4:7" x14ac:dyDescent="0.25">
      <c r="D1553">
        <f>[1]flow_freeway!A1554</f>
        <v>29168</v>
      </c>
      <c r="E1553" s="137">
        <f>[1]flow_freeway!B1554</f>
        <v>35265.848938999996</v>
      </c>
      <c r="F1553" s="137">
        <f>[1]flow_freeway!C1554</f>
        <v>4862.1367190000001</v>
      </c>
      <c r="G1553" s="137">
        <f>[1]flow_freeway!D1554</f>
        <v>12655.594727</v>
      </c>
    </row>
    <row r="1554" spans="4:7" x14ac:dyDescent="0.25">
      <c r="D1554">
        <f>[1]flow_freeway!A1555</f>
        <v>29169</v>
      </c>
      <c r="E1554" s="137">
        <f>[1]flow_freeway!B1555</f>
        <v>33328.720641999993</v>
      </c>
      <c r="F1554" s="137">
        <f>[1]flow_freeway!C1555</f>
        <v>4614.1787109999996</v>
      </c>
      <c r="G1554" s="137">
        <f>[1]flow_freeway!D1555</f>
        <v>11474.403319999999</v>
      </c>
    </row>
    <row r="1555" spans="4:7" x14ac:dyDescent="0.25">
      <c r="D1555">
        <f>[1]flow_freeway!A1556</f>
        <v>29170</v>
      </c>
      <c r="E1555" s="137">
        <f>[1]flow_freeway!B1556</f>
        <v>31087.118224999995</v>
      </c>
      <c r="F1555" s="137">
        <f>[1]flow_freeway!C1556</f>
        <v>4650.2836909999996</v>
      </c>
      <c r="G1555" s="137">
        <f>[1]flow_freeway!D1556</f>
        <v>10239.106444999999</v>
      </c>
    </row>
    <row r="1556" spans="4:7" x14ac:dyDescent="0.25">
      <c r="D1556">
        <f>[1]flow_freeway!A1557</f>
        <v>29171</v>
      </c>
      <c r="E1556" s="137">
        <f>[1]flow_freeway!B1557</f>
        <v>32677.409669000001</v>
      </c>
      <c r="F1556" s="137">
        <f>[1]flow_freeway!C1557</f>
        <v>9443.4921880000002</v>
      </c>
      <c r="G1556" s="137">
        <f>[1]flow_freeway!D1557</f>
        <v>6530.1904299999997</v>
      </c>
    </row>
    <row r="1557" spans="4:7" x14ac:dyDescent="0.25">
      <c r="D1557">
        <f>[1]flow_freeway!A1558</f>
        <v>29172</v>
      </c>
      <c r="E1557" s="137">
        <f>[1]flow_freeway!B1558</f>
        <v>32677.409669000001</v>
      </c>
      <c r="F1557" s="137">
        <f>[1]flow_freeway!C1558</f>
        <v>9443.4921880000002</v>
      </c>
      <c r="G1557" s="137">
        <f>[1]flow_freeway!D1558</f>
        <v>6530.1904299999997</v>
      </c>
    </row>
    <row r="1558" spans="4:7" x14ac:dyDescent="0.25">
      <c r="D1558">
        <f>[1]flow_freeway!A1559</f>
        <v>29173</v>
      </c>
      <c r="E1558" s="137">
        <f>[1]flow_freeway!B1559</f>
        <v>31087.118224999995</v>
      </c>
      <c r="F1558" s="137">
        <f>[1]flow_freeway!C1559</f>
        <v>4650.2836909999996</v>
      </c>
      <c r="G1558" s="137">
        <f>[1]flow_freeway!D1559</f>
        <v>10239.106444999999</v>
      </c>
    </row>
    <row r="1559" spans="4:7" x14ac:dyDescent="0.25">
      <c r="D1559">
        <f>[1]flow_freeway!A1560</f>
        <v>29182</v>
      </c>
      <c r="E1559" s="137">
        <f>[1]flow_freeway!B1560</f>
        <v>70921.72119099999</v>
      </c>
      <c r="F1559" s="137">
        <f>[1]flow_freeway!C1560</f>
        <v>15583.546875</v>
      </c>
      <c r="G1559" s="137">
        <f>[1]flow_freeway!D1560</f>
        <v>15430.165039</v>
      </c>
    </row>
    <row r="1560" spans="4:7" x14ac:dyDescent="0.25">
      <c r="D1560">
        <f>[1]flow_freeway!A1561</f>
        <v>29183</v>
      </c>
      <c r="E1560" s="137">
        <f>[1]flow_freeway!B1561</f>
        <v>71167.927977999992</v>
      </c>
      <c r="F1560" s="137">
        <f>[1]flow_freeway!C1561</f>
        <v>13062.175781</v>
      </c>
      <c r="G1560" s="137">
        <f>[1]flow_freeway!D1561</f>
        <v>18936.142577999999</v>
      </c>
    </row>
    <row r="1561" spans="4:7" x14ac:dyDescent="0.25">
      <c r="D1561">
        <f>[1]flow_freeway!A1562</f>
        <v>29215</v>
      </c>
      <c r="E1561" s="137">
        <f>[1]flow_freeway!B1562</f>
        <v>9459.9804079999994</v>
      </c>
      <c r="F1561" s="137">
        <f>[1]flow_freeway!C1562</f>
        <v>1003.921143</v>
      </c>
      <c r="G1561" s="137">
        <f>[1]flow_freeway!D1562</f>
        <v>3218.482422</v>
      </c>
    </row>
    <row r="1562" spans="4:7" x14ac:dyDescent="0.25">
      <c r="D1562">
        <f>[1]flow_freeway!A1563</f>
        <v>29224</v>
      </c>
      <c r="E1562" s="137">
        <f>[1]flow_freeway!B1563</f>
        <v>85629.893066000004</v>
      </c>
      <c r="F1562" s="137">
        <f>[1]flow_freeway!C1563</f>
        <v>21802.398438</v>
      </c>
      <c r="G1562" s="137">
        <f>[1]flow_freeway!D1563</f>
        <v>18601.316406000002</v>
      </c>
    </row>
    <row r="1563" spans="4:7" x14ac:dyDescent="0.25">
      <c r="D1563">
        <f>[1]flow_freeway!A1564</f>
        <v>29232</v>
      </c>
      <c r="E1563" s="137">
        <f>[1]flow_freeway!B1564</f>
        <v>98222.367186999996</v>
      </c>
      <c r="F1563" s="137">
        <f>[1]flow_freeway!C1564</f>
        <v>25103.378906000002</v>
      </c>
      <c r="G1563" s="137">
        <f>[1]flow_freeway!D1564</f>
        <v>20386.878906000002</v>
      </c>
    </row>
    <row r="1564" spans="4:7" x14ac:dyDescent="0.25">
      <c r="D1564">
        <f>[1]flow_freeway!A1565</f>
        <v>29368</v>
      </c>
      <c r="E1564" s="137">
        <f>[1]flow_freeway!B1565</f>
        <v>16863.139678999996</v>
      </c>
      <c r="F1564" s="137">
        <f>[1]flow_freeway!C1565</f>
        <v>2737.727539</v>
      </c>
      <c r="G1564" s="137">
        <f>[1]flow_freeway!D1565</f>
        <v>6289.7080079999996</v>
      </c>
    </row>
    <row r="1565" spans="4:7" x14ac:dyDescent="0.25">
      <c r="D1565">
        <f>[1]flow_freeway!A1566</f>
        <v>29409</v>
      </c>
      <c r="E1565" s="137">
        <f>[1]flow_freeway!B1566</f>
        <v>17671.231957</v>
      </c>
      <c r="F1565" s="137">
        <f>[1]flow_freeway!C1566</f>
        <v>7024.1142579999996</v>
      </c>
      <c r="G1565" s="137">
        <f>[1]flow_freeway!D1566</f>
        <v>3504.26001</v>
      </c>
    </row>
    <row r="1566" spans="4:7" x14ac:dyDescent="0.25">
      <c r="D1566">
        <f>[1]flow_freeway!A1567</f>
        <v>29410</v>
      </c>
      <c r="E1566" s="137">
        <f>[1]flow_freeway!B1567</f>
        <v>16057.740921999999</v>
      </c>
      <c r="F1566" s="137">
        <f>[1]flow_freeway!C1567</f>
        <v>2142.8964839999999</v>
      </c>
      <c r="G1566" s="137">
        <f>[1]flow_freeway!D1567</f>
        <v>7531.1679690000001</v>
      </c>
    </row>
    <row r="1567" spans="4:7" x14ac:dyDescent="0.25">
      <c r="D1567">
        <f>[1]flow_freeway!A1568</f>
        <v>29415</v>
      </c>
      <c r="E1567" s="137">
        <f>[1]flow_freeway!B1568</f>
        <v>19906.074665</v>
      </c>
      <c r="F1567" s="137">
        <f>[1]flow_freeway!C1568</f>
        <v>8855.5058590000008</v>
      </c>
      <c r="G1567" s="137">
        <f>[1]flow_freeway!D1568</f>
        <v>3672.7685550000001</v>
      </c>
    </row>
    <row r="1568" spans="4:7" x14ac:dyDescent="0.25">
      <c r="D1568">
        <f>[1]flow_freeway!A1569</f>
        <v>29442</v>
      </c>
      <c r="E1568" s="137">
        <f>[1]flow_freeway!B1569</f>
        <v>17911.429366999997</v>
      </c>
      <c r="F1568" s="137">
        <f>[1]flow_freeway!C1569</f>
        <v>7042.8071289999998</v>
      </c>
      <c r="G1568" s="137">
        <f>[1]flow_freeway!D1569</f>
        <v>2672.876221</v>
      </c>
    </row>
    <row r="1569" spans="4:7" x14ac:dyDescent="0.25">
      <c r="D1569">
        <f>[1]flow_freeway!A1570</f>
        <v>29488</v>
      </c>
      <c r="E1569" s="137">
        <f>[1]flow_freeway!B1570</f>
        <v>12649.312621999999</v>
      </c>
      <c r="F1569" s="137">
        <f>[1]flow_freeway!C1570</f>
        <v>2874.3500979999999</v>
      </c>
      <c r="G1569" s="137">
        <f>[1]flow_freeway!D1570</f>
        <v>3258.2177729999999</v>
      </c>
    </row>
    <row r="1570" spans="4:7" x14ac:dyDescent="0.25">
      <c r="D1570">
        <f>[1]flow_freeway!A1571</f>
        <v>29490</v>
      </c>
      <c r="E1570" s="137">
        <f>[1]flow_freeway!B1571</f>
        <v>13026.308594</v>
      </c>
      <c r="F1570" s="137">
        <f>[1]flow_freeway!C1571</f>
        <v>2060.8642580000001</v>
      </c>
      <c r="G1570" s="137">
        <f>[1]flow_freeway!D1571</f>
        <v>5962.09375</v>
      </c>
    </row>
    <row r="1571" spans="4:7" x14ac:dyDescent="0.25">
      <c r="D1571">
        <f>[1]flow_freeway!A1572</f>
        <v>29492</v>
      </c>
      <c r="E1571" s="137">
        <f>[1]flow_freeway!B1572</f>
        <v>13547.961914</v>
      </c>
      <c r="F1571" s="137">
        <f>[1]flow_freeway!C1572</f>
        <v>2060.8642580000001</v>
      </c>
      <c r="G1571" s="137">
        <f>[1]flow_freeway!D1572</f>
        <v>6483.7470700000003</v>
      </c>
    </row>
    <row r="1572" spans="4:7" x14ac:dyDescent="0.25">
      <c r="D1572">
        <f>[1]flow_freeway!A1573</f>
        <v>29533</v>
      </c>
      <c r="E1572" s="137">
        <f>[1]flow_freeway!B1573</f>
        <v>10979.915756</v>
      </c>
      <c r="F1572" s="137">
        <f>[1]flow_freeway!C1573</f>
        <v>2879.6811520000001</v>
      </c>
      <c r="G1572" s="137">
        <f>[1]flow_freeway!D1573</f>
        <v>3106.874268</v>
      </c>
    </row>
    <row r="1573" spans="4:7" x14ac:dyDescent="0.25">
      <c r="D1573">
        <f>[1]flow_freeway!A1574</f>
        <v>29547</v>
      </c>
      <c r="E1573" s="137">
        <f>[1]flow_freeway!B1574</f>
        <v>11064.571824000001</v>
      </c>
      <c r="F1573" s="137">
        <f>[1]flow_freeway!C1574</f>
        <v>1810.005249</v>
      </c>
      <c r="G1573" s="137">
        <f>[1]flow_freeway!D1574</f>
        <v>4525.5776370000003</v>
      </c>
    </row>
    <row r="1574" spans="4:7" x14ac:dyDescent="0.25">
      <c r="D1574">
        <f>[1]flow_freeway!A1575</f>
        <v>29548</v>
      </c>
      <c r="E1574" s="137">
        <f>[1]flow_freeway!B1575</f>
        <v>11092.756836</v>
      </c>
      <c r="F1574" s="137">
        <f>[1]flow_freeway!C1575</f>
        <v>2740.6743160000001</v>
      </c>
      <c r="G1574" s="137">
        <f>[1]flow_freeway!D1575</f>
        <v>2136.1215820000002</v>
      </c>
    </row>
    <row r="1575" spans="4:7" x14ac:dyDescent="0.25">
      <c r="D1575">
        <f>[1]flow_freeway!A1576</f>
        <v>29550</v>
      </c>
      <c r="E1575" s="137">
        <f>[1]flow_freeway!B1576</f>
        <v>13970.035644999998</v>
      </c>
      <c r="F1575" s="137">
        <f>[1]flow_freeway!C1576</f>
        <v>3800.5976559999999</v>
      </c>
      <c r="G1575" s="137">
        <f>[1]flow_freeway!D1576</f>
        <v>2560.2475589999999</v>
      </c>
    </row>
    <row r="1576" spans="4:7" x14ac:dyDescent="0.25">
      <c r="D1576">
        <f>[1]flow_freeway!A1577</f>
        <v>29551</v>
      </c>
      <c r="E1576" s="137">
        <f>[1]flow_freeway!B1577</f>
        <v>13970.035644999998</v>
      </c>
      <c r="F1576" s="137">
        <f>[1]flow_freeway!C1577</f>
        <v>3800.5976559999999</v>
      </c>
      <c r="G1576" s="137">
        <f>[1]flow_freeway!D1577</f>
        <v>2560.2475589999999</v>
      </c>
    </row>
    <row r="1577" spans="4:7" x14ac:dyDescent="0.25">
      <c r="D1577">
        <f>[1]flow_freeway!A1578</f>
        <v>29553</v>
      </c>
      <c r="E1577" s="137">
        <f>[1]flow_freeway!B1578</f>
        <v>11064.571824000001</v>
      </c>
      <c r="F1577" s="137">
        <f>[1]flow_freeway!C1578</f>
        <v>1810.005249</v>
      </c>
      <c r="G1577" s="137">
        <f>[1]flow_freeway!D1578</f>
        <v>4525.5776370000003</v>
      </c>
    </row>
    <row r="1578" spans="4:7" x14ac:dyDescent="0.25">
      <c r="D1578">
        <f>[1]flow_freeway!A1579</f>
        <v>29559</v>
      </c>
      <c r="E1578" s="137">
        <f>[1]flow_freeway!B1579</f>
        <v>14284.691407</v>
      </c>
      <c r="F1578" s="137">
        <f>[1]flow_freeway!C1579</f>
        <v>4115.2534180000002</v>
      </c>
      <c r="G1578" s="137">
        <f>[1]flow_freeway!D1579</f>
        <v>2560.2475589999999</v>
      </c>
    </row>
    <row r="1579" spans="4:7" x14ac:dyDescent="0.25">
      <c r="D1579">
        <f>[1]flow_freeway!A1580</f>
        <v>29565</v>
      </c>
      <c r="E1579" s="137">
        <f>[1]flow_freeway!B1580</f>
        <v>13547.961914</v>
      </c>
      <c r="F1579" s="137">
        <f>[1]flow_freeway!C1580</f>
        <v>2060.8642580000001</v>
      </c>
      <c r="G1579" s="137">
        <f>[1]flow_freeway!D1580</f>
        <v>6483.7470700000003</v>
      </c>
    </row>
    <row r="1580" spans="4:7" x14ac:dyDescent="0.25">
      <c r="D1580">
        <f>[1]flow_freeway!A1581</f>
        <v>29570</v>
      </c>
      <c r="E1580" s="137">
        <f>[1]flow_freeway!B1581</f>
        <v>14372.068604</v>
      </c>
      <c r="F1580" s="137">
        <f>[1]flow_freeway!C1581</f>
        <v>5114.9853519999997</v>
      </c>
      <c r="G1580" s="137">
        <f>[1]flow_freeway!D1581</f>
        <v>2686.0783689999998</v>
      </c>
    </row>
    <row r="1581" spans="4:7" x14ac:dyDescent="0.25">
      <c r="D1581">
        <f>[1]flow_freeway!A1582</f>
        <v>29571</v>
      </c>
      <c r="E1581" s="137">
        <f>[1]flow_freeway!B1582</f>
        <v>13547.961914</v>
      </c>
      <c r="F1581" s="137">
        <f>[1]flow_freeway!C1582</f>
        <v>2060.8642580000001</v>
      </c>
      <c r="G1581" s="137">
        <f>[1]flow_freeway!D1582</f>
        <v>6483.7470700000003</v>
      </c>
    </row>
    <row r="1582" spans="4:7" x14ac:dyDescent="0.25">
      <c r="D1582">
        <f>[1]flow_freeway!A1583</f>
        <v>29573</v>
      </c>
      <c r="E1582" s="137">
        <f>[1]flow_freeway!B1583</f>
        <v>14372.068604</v>
      </c>
      <c r="F1582" s="137">
        <f>[1]flow_freeway!C1583</f>
        <v>5114.9853519999997</v>
      </c>
      <c r="G1582" s="137">
        <f>[1]flow_freeway!D1583</f>
        <v>2686.0783689999998</v>
      </c>
    </row>
    <row r="1583" spans="4:7" x14ac:dyDescent="0.25">
      <c r="D1583">
        <f>[1]flow_freeway!A1584</f>
        <v>29575</v>
      </c>
      <c r="E1583" s="137">
        <f>[1]flow_freeway!B1584</f>
        <v>14372.068604</v>
      </c>
      <c r="F1583" s="137">
        <f>[1]flow_freeway!C1584</f>
        <v>5114.9853519999997</v>
      </c>
      <c r="G1583" s="137">
        <f>[1]flow_freeway!D1584</f>
        <v>2686.0783689999998</v>
      </c>
    </row>
    <row r="1584" spans="4:7" x14ac:dyDescent="0.25">
      <c r="D1584">
        <f>[1]flow_freeway!A1585</f>
        <v>29577</v>
      </c>
      <c r="E1584" s="137">
        <f>[1]flow_freeway!B1585</f>
        <v>14372.068604</v>
      </c>
      <c r="F1584" s="137">
        <f>[1]flow_freeway!C1585</f>
        <v>5114.9853519999997</v>
      </c>
      <c r="G1584" s="137">
        <f>[1]flow_freeway!D1585</f>
        <v>2686.0783689999998</v>
      </c>
    </row>
    <row r="1585" spans="4:7" x14ac:dyDescent="0.25">
      <c r="D1585">
        <f>[1]flow_freeway!A1586</f>
        <v>29587</v>
      </c>
      <c r="E1585" s="137">
        <f>[1]flow_freeway!B1586</f>
        <v>14619.549071999998</v>
      </c>
      <c r="F1585" s="137">
        <f>[1]flow_freeway!C1586</f>
        <v>5362.4658200000003</v>
      </c>
      <c r="G1585" s="137">
        <f>[1]flow_freeway!D1586</f>
        <v>2686.0783689999998</v>
      </c>
    </row>
    <row r="1586" spans="4:7" x14ac:dyDescent="0.25">
      <c r="D1586">
        <f>[1]flow_freeway!A1587</f>
        <v>29716</v>
      </c>
      <c r="E1586" s="137">
        <f>[1]flow_freeway!B1587</f>
        <v>14288.818236999999</v>
      </c>
      <c r="F1586" s="137">
        <f>[1]flow_freeway!C1587</f>
        <v>2591.0607909999999</v>
      </c>
      <c r="G1586" s="137">
        <f>[1]flow_freeway!D1587</f>
        <v>5959.4658200000003</v>
      </c>
    </row>
    <row r="1587" spans="4:7" x14ac:dyDescent="0.25">
      <c r="D1587">
        <f>[1]flow_freeway!A1588</f>
        <v>29750</v>
      </c>
      <c r="E1587" s="137">
        <f>[1]flow_freeway!B1588</f>
        <v>14328.058105999999</v>
      </c>
      <c r="F1587" s="137">
        <f>[1]flow_freeway!C1588</f>
        <v>3814.3076169999999</v>
      </c>
      <c r="G1587" s="137">
        <f>[1]flow_freeway!D1588</f>
        <v>4319.5708009999998</v>
      </c>
    </row>
    <row r="1588" spans="4:7" x14ac:dyDescent="0.25">
      <c r="D1588">
        <f>[1]flow_freeway!A1589</f>
        <v>29752</v>
      </c>
      <c r="E1588" s="137">
        <f>[1]flow_freeway!B1589</f>
        <v>17267.160339999999</v>
      </c>
      <c r="F1588" s="137">
        <f>[1]flow_freeway!C1589</f>
        <v>3984.5429690000001</v>
      </c>
      <c r="G1588" s="137">
        <f>[1]flow_freeway!D1589</f>
        <v>4798.4726559999999</v>
      </c>
    </row>
    <row r="1589" spans="4:7" x14ac:dyDescent="0.25">
      <c r="D1589">
        <f>[1]flow_freeway!A1590</f>
        <v>29753</v>
      </c>
      <c r="E1589" s="137">
        <f>[1]flow_freeway!B1590</f>
        <v>14328.058105999999</v>
      </c>
      <c r="F1589" s="137">
        <f>[1]flow_freeway!C1590</f>
        <v>3814.3076169999999</v>
      </c>
      <c r="G1589" s="137">
        <f>[1]flow_freeway!D1590</f>
        <v>4319.5708009999998</v>
      </c>
    </row>
    <row r="1590" spans="4:7" x14ac:dyDescent="0.25">
      <c r="D1590">
        <f>[1]flow_freeway!A1591</f>
        <v>29756</v>
      </c>
      <c r="E1590" s="137">
        <f>[1]flow_freeway!B1591</f>
        <v>85629.893066000004</v>
      </c>
      <c r="F1590" s="137">
        <f>[1]flow_freeway!C1591</f>
        <v>21802.398438</v>
      </c>
      <c r="G1590" s="137">
        <f>[1]flow_freeway!D1591</f>
        <v>18601.316406000002</v>
      </c>
    </row>
    <row r="1591" spans="4:7" x14ac:dyDescent="0.25">
      <c r="D1591">
        <f>[1]flow_freeway!A1592</f>
        <v>29761</v>
      </c>
      <c r="E1591" s="137">
        <f>[1]flow_freeway!B1592</f>
        <v>29246.889404000001</v>
      </c>
      <c r="F1591" s="137">
        <f>[1]flow_freeway!C1592</f>
        <v>5271.0214839999999</v>
      </c>
      <c r="G1591" s="137">
        <f>[1]flow_freeway!D1592</f>
        <v>6142.1508789999998</v>
      </c>
    </row>
    <row r="1592" spans="4:7" x14ac:dyDescent="0.25">
      <c r="D1592">
        <f>[1]flow_freeway!A1593</f>
        <v>29772</v>
      </c>
      <c r="E1592" s="137">
        <f>[1]flow_freeway!B1593</f>
        <v>30902.489135</v>
      </c>
      <c r="F1592" s="137">
        <f>[1]flow_freeway!C1593</f>
        <v>4783.8789059999999</v>
      </c>
      <c r="G1592" s="137">
        <f>[1]flow_freeway!D1593</f>
        <v>7642.4145509999998</v>
      </c>
    </row>
    <row r="1593" spans="4:7" x14ac:dyDescent="0.25">
      <c r="D1593">
        <f>[1]flow_freeway!A1594</f>
        <v>29816</v>
      </c>
      <c r="E1593" s="137">
        <f>[1]flow_freeway!B1594</f>
        <v>103534.216308</v>
      </c>
      <c r="F1593" s="137">
        <f>[1]flow_freeway!C1594</f>
        <v>16606.162109000001</v>
      </c>
      <c r="G1593" s="137">
        <f>[1]flow_freeway!D1594</f>
        <v>30655.644531000002</v>
      </c>
    </row>
    <row r="1594" spans="4:7" x14ac:dyDescent="0.25">
      <c r="D1594">
        <f>[1]flow_freeway!A1595</f>
        <v>30080</v>
      </c>
      <c r="E1594" s="137">
        <f>[1]flow_freeway!B1595</f>
        <v>83328.525391000003</v>
      </c>
      <c r="F1594" s="137">
        <f>[1]flow_freeway!C1595</f>
        <v>16584.742188</v>
      </c>
      <c r="G1594" s="137">
        <f>[1]flow_freeway!D1595</f>
        <v>20594.105468999998</v>
      </c>
    </row>
    <row r="1595" spans="4:7" x14ac:dyDescent="0.25">
      <c r="D1595">
        <f>[1]flow_freeway!A1596</f>
        <v>30706</v>
      </c>
      <c r="E1595" s="137">
        <f>[1]flow_freeway!B1596</f>
        <v>103039.417724</v>
      </c>
      <c r="F1595" s="137">
        <f>[1]flow_freeway!C1596</f>
        <v>23244.925781000002</v>
      </c>
      <c r="G1595" s="137">
        <f>[1]flow_freeway!D1596</f>
        <v>26332.072265999999</v>
      </c>
    </row>
    <row r="1596" spans="4:7" x14ac:dyDescent="0.25">
      <c r="D1596">
        <f>[1]flow_freeway!A1597</f>
        <v>30776</v>
      </c>
      <c r="E1596" s="137">
        <f>[1]flow_freeway!B1597</f>
        <v>104433.079101</v>
      </c>
      <c r="F1596" s="137">
        <f>[1]flow_freeway!C1597</f>
        <v>24302.384765999999</v>
      </c>
      <c r="G1596" s="137">
        <f>[1]flow_freeway!D1597</f>
        <v>21332.662109000001</v>
      </c>
    </row>
    <row r="1597" spans="4:7" x14ac:dyDescent="0.25">
      <c r="D1597">
        <f>[1]flow_freeway!A1598</f>
        <v>30782</v>
      </c>
      <c r="E1597" s="137">
        <f>[1]flow_freeway!B1598</f>
        <v>16023.942765</v>
      </c>
      <c r="F1597" s="137">
        <f>[1]flow_freeway!C1598</f>
        <v>2561.4858399999998</v>
      </c>
      <c r="G1597" s="137">
        <f>[1]flow_freeway!D1598</f>
        <v>5855.5986329999996</v>
      </c>
    </row>
    <row r="1598" spans="4:7" x14ac:dyDescent="0.25">
      <c r="D1598">
        <f>[1]flow_freeway!A1599</f>
        <v>30784</v>
      </c>
      <c r="E1598" s="137">
        <f>[1]flow_freeway!B1599</f>
        <v>22334.152464999999</v>
      </c>
      <c r="F1598" s="137">
        <f>[1]flow_freeway!C1599</f>
        <v>6285.7124020000001</v>
      </c>
      <c r="G1598" s="137">
        <f>[1]flow_freeway!D1599</f>
        <v>6446.4047849999997</v>
      </c>
    </row>
    <row r="1599" spans="4:7" x14ac:dyDescent="0.25">
      <c r="D1599">
        <f>[1]flow_freeway!A1600</f>
        <v>30791</v>
      </c>
      <c r="E1599" s="137">
        <f>[1]flow_freeway!B1600</f>
        <v>72595.742677000002</v>
      </c>
      <c r="F1599" s="137">
        <f>[1]flow_freeway!C1600</f>
        <v>15505.157227</v>
      </c>
      <c r="G1599" s="137">
        <f>[1]flow_freeway!D1600</f>
        <v>16209.459961</v>
      </c>
    </row>
    <row r="1600" spans="4:7" x14ac:dyDescent="0.25">
      <c r="D1600">
        <f>[1]flow_freeway!A1601</f>
        <v>30792</v>
      </c>
      <c r="E1600" s="137">
        <f>[1]flow_freeway!B1601</f>
        <v>75163.379883000001</v>
      </c>
      <c r="F1600" s="137">
        <f>[1]flow_freeway!C1601</f>
        <v>15887.309569999999</v>
      </c>
      <c r="G1600" s="137">
        <f>[1]flow_freeway!D1601</f>
        <v>17839.464843999998</v>
      </c>
    </row>
    <row r="1601" spans="4:7" x14ac:dyDescent="0.25">
      <c r="D1601">
        <f>[1]flow_freeway!A1602</f>
        <v>30805</v>
      </c>
      <c r="E1601" s="137">
        <f>[1]flow_freeway!B1602</f>
        <v>13547.961914</v>
      </c>
      <c r="F1601" s="137">
        <f>[1]flow_freeway!C1602</f>
        <v>2060.8642580000001</v>
      </c>
      <c r="G1601" s="137">
        <f>[1]flow_freeway!D1602</f>
        <v>6483.7470700000003</v>
      </c>
    </row>
    <row r="1602" spans="4:7" x14ac:dyDescent="0.25">
      <c r="D1602">
        <f>[1]flow_freeway!A1603</f>
        <v>30813</v>
      </c>
      <c r="E1602" s="137">
        <f>[1]flow_freeway!B1603</f>
        <v>85314.962159000002</v>
      </c>
      <c r="F1602" s="137">
        <f>[1]flow_freeway!C1603</f>
        <v>17964.173827999999</v>
      </c>
      <c r="G1602" s="137">
        <f>[1]flow_freeway!D1603</f>
        <v>20985.71875</v>
      </c>
    </row>
    <row r="1603" spans="4:7" x14ac:dyDescent="0.25">
      <c r="D1603">
        <f>[1]flow_freeway!A1604</f>
        <v>30814</v>
      </c>
      <c r="E1603" s="137">
        <f>[1]flow_freeway!B1604</f>
        <v>85314.962159000002</v>
      </c>
      <c r="F1603" s="137">
        <f>[1]flow_freeway!C1604</f>
        <v>17964.173827999999</v>
      </c>
      <c r="G1603" s="137">
        <f>[1]flow_freeway!D1604</f>
        <v>20985.71875</v>
      </c>
    </row>
    <row r="1604" spans="4:7" x14ac:dyDescent="0.25">
      <c r="D1604">
        <f>[1]flow_freeway!A1605</f>
        <v>30815</v>
      </c>
      <c r="E1604" s="137">
        <f>[1]flow_freeway!B1605</f>
        <v>108557.426758</v>
      </c>
      <c r="F1604" s="137">
        <f>[1]flow_freeway!C1605</f>
        <v>23754.277343999998</v>
      </c>
      <c r="G1604" s="137">
        <f>[1]flow_freeway!D1605</f>
        <v>27119.654297000001</v>
      </c>
    </row>
    <row r="1605" spans="4:7" x14ac:dyDescent="0.25">
      <c r="D1605">
        <f>[1]flow_freeway!A1606</f>
        <v>30816</v>
      </c>
      <c r="E1605" s="137">
        <f>[1]flow_freeway!B1606</f>
        <v>101326.182128</v>
      </c>
      <c r="F1605" s="137">
        <f>[1]flow_freeway!C1606</f>
        <v>22150.912109000001</v>
      </c>
      <c r="G1605" s="137">
        <f>[1]flow_freeway!D1606</f>
        <v>26810.771484000001</v>
      </c>
    </row>
    <row r="1606" spans="4:7" x14ac:dyDescent="0.25">
      <c r="D1606">
        <f>[1]flow_freeway!A1607</f>
        <v>30817</v>
      </c>
      <c r="E1606" s="137">
        <f>[1]flow_freeway!B1607</f>
        <v>86249.348631999994</v>
      </c>
      <c r="F1606" s="137">
        <f>[1]flow_freeway!C1607</f>
        <v>19292.994140999999</v>
      </c>
      <c r="G1606" s="137">
        <f>[1]flow_freeway!D1607</f>
        <v>22186.445312</v>
      </c>
    </row>
    <row r="1607" spans="4:7" x14ac:dyDescent="0.25">
      <c r="D1607">
        <f>[1]flow_freeway!A1608</f>
        <v>30818</v>
      </c>
      <c r="E1607" s="137">
        <f>[1]flow_freeway!B1608</f>
        <v>92445.914795000004</v>
      </c>
      <c r="F1607" s="137">
        <f>[1]flow_freeway!C1608</f>
        <v>19977.818359000001</v>
      </c>
      <c r="G1607" s="137">
        <f>[1]flow_freeway!D1608</f>
        <v>23959.0625</v>
      </c>
    </row>
    <row r="1608" spans="4:7" x14ac:dyDescent="0.25">
      <c r="D1608">
        <f>[1]flow_freeway!A1609</f>
        <v>30820</v>
      </c>
      <c r="E1608" s="137">
        <f>[1]flow_freeway!B1609</f>
        <v>50139.347412000003</v>
      </c>
      <c r="F1608" s="137">
        <f>[1]flow_freeway!C1609</f>
        <v>9965.1054690000001</v>
      </c>
      <c r="G1608" s="137">
        <f>[1]flow_freeway!D1609</f>
        <v>12899.105469</v>
      </c>
    </row>
    <row r="1609" spans="4:7" x14ac:dyDescent="0.25">
      <c r="D1609">
        <f>[1]flow_freeway!A1610</f>
        <v>30841</v>
      </c>
      <c r="E1609" s="137">
        <f>[1]flow_freeway!B1610</f>
        <v>91827.395506999994</v>
      </c>
      <c r="F1609" s="137">
        <f>[1]flow_freeway!C1610</f>
        <v>24388.945312</v>
      </c>
      <c r="G1609" s="137">
        <f>[1]flow_freeway!D1610</f>
        <v>20370.378906000002</v>
      </c>
    </row>
    <row r="1610" spans="4:7" x14ac:dyDescent="0.25">
      <c r="D1610">
        <f>[1]flow_freeway!A1611</f>
        <v>30842</v>
      </c>
      <c r="E1610" s="137">
        <f>[1]flow_freeway!B1611</f>
        <v>100465.43700999999</v>
      </c>
      <c r="F1610" s="137">
        <f>[1]flow_freeway!C1611</f>
        <v>16843.552734000001</v>
      </c>
      <c r="G1610" s="137">
        <f>[1]flow_freeway!D1611</f>
        <v>29127.539062</v>
      </c>
    </row>
    <row r="1611" spans="4:7" x14ac:dyDescent="0.25">
      <c r="D1611">
        <f>[1]flow_freeway!A1612</f>
        <v>30860</v>
      </c>
      <c r="E1611" s="137">
        <f>[1]flow_freeway!B1612</f>
        <v>83038.186034999992</v>
      </c>
      <c r="F1611" s="137">
        <f>[1]flow_freeway!C1612</f>
        <v>22487.625</v>
      </c>
      <c r="G1611" s="137">
        <f>[1]flow_freeway!D1612</f>
        <v>17719.207031000002</v>
      </c>
    </row>
    <row r="1612" spans="4:7" x14ac:dyDescent="0.25">
      <c r="D1612">
        <f>[1]flow_freeway!A1613</f>
        <v>30862</v>
      </c>
      <c r="E1612" s="137">
        <f>[1]flow_freeway!B1613</f>
        <v>131254.50097699999</v>
      </c>
      <c r="F1612" s="137">
        <f>[1]flow_freeway!C1613</f>
        <v>33429.550780999998</v>
      </c>
      <c r="G1612" s="137">
        <f>[1]flow_freeway!D1613</f>
        <v>26549.888672000001</v>
      </c>
    </row>
    <row r="1613" spans="4:7" x14ac:dyDescent="0.25">
      <c r="D1613">
        <f>[1]flow_freeway!A1614</f>
        <v>30863</v>
      </c>
      <c r="E1613" s="137">
        <f>[1]flow_freeway!B1614</f>
        <v>146493.18261799999</v>
      </c>
      <c r="F1613" s="137">
        <f>[1]flow_freeway!C1614</f>
        <v>37117.875</v>
      </c>
      <c r="G1613" s="137">
        <f>[1]flow_freeway!D1614</f>
        <v>29806.384765999999</v>
      </c>
    </row>
    <row r="1614" spans="4:7" x14ac:dyDescent="0.25">
      <c r="D1614">
        <f>[1]flow_freeway!A1615</f>
        <v>30864</v>
      </c>
      <c r="E1614" s="137">
        <f>[1]flow_freeway!B1615</f>
        <v>101244.10498</v>
      </c>
      <c r="F1614" s="137">
        <f>[1]flow_freeway!C1615</f>
        <v>24329.863281000002</v>
      </c>
      <c r="G1614" s="137">
        <f>[1]flow_freeway!D1615</f>
        <v>23477.322265999999</v>
      </c>
    </row>
    <row r="1615" spans="4:7" x14ac:dyDescent="0.25">
      <c r="D1615">
        <f>[1]flow_freeway!A1616</f>
        <v>30865</v>
      </c>
      <c r="E1615" s="137">
        <f>[1]flow_freeway!B1616</f>
        <v>79108.114379999999</v>
      </c>
      <c r="F1615" s="137">
        <f>[1]flow_freeway!C1616</f>
        <v>12913.521484000001</v>
      </c>
      <c r="G1615" s="137">
        <f>[1]flow_freeway!D1616</f>
        <v>23523.273438</v>
      </c>
    </row>
    <row r="1616" spans="4:7" x14ac:dyDescent="0.25">
      <c r="D1616">
        <f>[1]flow_freeway!A1617</f>
        <v>30903</v>
      </c>
      <c r="E1616" s="137">
        <f>[1]flow_freeway!B1617</f>
        <v>63815.966306999995</v>
      </c>
      <c r="F1616" s="137">
        <f>[1]flow_freeway!C1617</f>
        <v>11665.832031</v>
      </c>
      <c r="G1616" s="137">
        <f>[1]flow_freeway!D1617</f>
        <v>15310.130859000001</v>
      </c>
    </row>
    <row r="1617" spans="4:7" x14ac:dyDescent="0.25">
      <c r="D1617">
        <f>[1]flow_freeway!A1618</f>
        <v>30904</v>
      </c>
      <c r="E1617" s="137">
        <f>[1]flow_freeway!B1618</f>
        <v>73445.380615999995</v>
      </c>
      <c r="F1617" s="137">
        <f>[1]flow_freeway!C1618</f>
        <v>9269.9179690000001</v>
      </c>
      <c r="G1617" s="137">
        <f>[1]flow_freeway!D1618</f>
        <v>24066.369140999999</v>
      </c>
    </row>
    <row r="1618" spans="4:7" x14ac:dyDescent="0.25">
      <c r="D1618">
        <f>[1]flow_freeway!A1619</f>
        <v>30981</v>
      </c>
      <c r="E1618" s="137">
        <f>[1]flow_freeway!B1619</f>
        <v>4818.6818970000004</v>
      </c>
      <c r="F1618" s="137">
        <f>[1]flow_freeway!C1619</f>
        <v>692.96118200000001</v>
      </c>
      <c r="G1618" s="137">
        <f>[1]flow_freeway!D1619</f>
        <v>2340.505615</v>
      </c>
    </row>
    <row r="1619" spans="4:7" x14ac:dyDescent="0.25">
      <c r="D1619">
        <f>[1]flow_freeway!A1620</f>
        <v>31013</v>
      </c>
      <c r="E1619" s="137">
        <f>[1]flow_freeway!B1620</f>
        <v>6891.1660460000003</v>
      </c>
      <c r="F1619" s="137">
        <f>[1]flow_freeway!C1620</f>
        <v>1061.383789</v>
      </c>
      <c r="G1619" s="137">
        <f>[1]flow_freeway!D1620</f>
        <v>1920.259155</v>
      </c>
    </row>
    <row r="1620" spans="4:7" x14ac:dyDescent="0.25">
      <c r="D1620">
        <f>[1]flow_freeway!A1621</f>
        <v>31014</v>
      </c>
      <c r="E1620" s="137">
        <f>[1]flow_freeway!B1621</f>
        <v>5249.9406740000004</v>
      </c>
      <c r="F1620" s="137">
        <f>[1]flow_freeway!C1621</f>
        <v>1738.9960940000001</v>
      </c>
      <c r="G1620" s="137">
        <f>[1]flow_freeway!D1621</f>
        <v>1180.147461</v>
      </c>
    </row>
    <row r="1621" spans="4:7" x14ac:dyDescent="0.25">
      <c r="D1621">
        <f>[1]flow_freeway!A1622</f>
        <v>31105</v>
      </c>
      <c r="E1621" s="137">
        <f>[1]flow_freeway!B1622</f>
        <v>28891.207763000002</v>
      </c>
      <c r="F1621" s="137">
        <f>[1]flow_freeway!C1622</f>
        <v>4947.0361329999996</v>
      </c>
      <c r="G1621" s="137">
        <f>[1]flow_freeway!D1622</f>
        <v>7792.4501950000003</v>
      </c>
    </row>
    <row r="1622" spans="4:7" x14ac:dyDescent="0.25">
      <c r="D1622">
        <f>[1]flow_freeway!A1623</f>
        <v>31108</v>
      </c>
      <c r="E1622" s="137">
        <f>[1]flow_freeway!B1623</f>
        <v>27216.033691000001</v>
      </c>
      <c r="F1622" s="137">
        <f>[1]flow_freeway!C1623</f>
        <v>6413.9599609999996</v>
      </c>
      <c r="G1622" s="137">
        <f>[1]flow_freeway!D1623</f>
        <v>6404.9365230000003</v>
      </c>
    </row>
    <row r="1623" spans="4:7" x14ac:dyDescent="0.25">
      <c r="D1623">
        <f>[1]flow_freeway!A1624</f>
        <v>31144</v>
      </c>
      <c r="E1623" s="137">
        <f>[1]flow_freeway!B1624</f>
        <v>13979.755037000001</v>
      </c>
      <c r="F1623" s="137">
        <f>[1]flow_freeway!C1624</f>
        <v>5182.3759769999997</v>
      </c>
      <c r="G1623" s="137">
        <f>[1]flow_freeway!D1624</f>
        <v>3658.7685550000001</v>
      </c>
    </row>
    <row r="1624" spans="4:7" x14ac:dyDescent="0.25">
      <c r="D1624">
        <f>[1]flow_freeway!A1625</f>
        <v>31167</v>
      </c>
      <c r="E1624" s="137">
        <f>[1]flow_freeway!B1625</f>
        <v>8970.7749029999995</v>
      </c>
      <c r="F1624" s="137">
        <f>[1]flow_freeway!C1625</f>
        <v>1560.292725</v>
      </c>
      <c r="G1624" s="137">
        <f>[1]flow_freeway!D1625</f>
        <v>3393.5219729999999</v>
      </c>
    </row>
    <row r="1625" spans="4:7" x14ac:dyDescent="0.25">
      <c r="D1625">
        <f>[1]flow_freeway!A1626</f>
        <v>31171</v>
      </c>
      <c r="E1625" s="137">
        <f>[1]flow_freeway!B1626</f>
        <v>60128.536376999997</v>
      </c>
      <c r="F1625" s="137">
        <f>[1]flow_freeway!C1626</f>
        <v>13799.072265999999</v>
      </c>
      <c r="G1625" s="137">
        <f>[1]flow_freeway!D1626</f>
        <v>13115.177734000001</v>
      </c>
    </row>
    <row r="1626" spans="4:7" x14ac:dyDescent="0.25">
      <c r="D1626">
        <f>[1]flow_freeway!A1627</f>
        <v>31172</v>
      </c>
      <c r="E1626" s="137">
        <f>[1]flow_freeway!B1627</f>
        <v>62771.333251999997</v>
      </c>
      <c r="F1626" s="137">
        <f>[1]flow_freeway!C1627</f>
        <v>11219.791015999999</v>
      </c>
      <c r="G1626" s="137">
        <f>[1]flow_freeway!D1627</f>
        <v>17562.330077999999</v>
      </c>
    </row>
    <row r="1627" spans="4:7" x14ac:dyDescent="0.25">
      <c r="D1627">
        <f>[1]flow_freeway!A1628</f>
        <v>31183</v>
      </c>
      <c r="E1627" s="137">
        <f>[1]flow_freeway!B1628</f>
        <v>98751.049316000004</v>
      </c>
      <c r="F1627" s="137">
        <f>[1]flow_freeway!C1628</f>
        <v>20662.84375</v>
      </c>
      <c r="G1627" s="137">
        <f>[1]flow_freeway!D1628</f>
        <v>26745.513672000001</v>
      </c>
    </row>
    <row r="1628" spans="4:7" x14ac:dyDescent="0.25">
      <c r="D1628">
        <f>[1]flow_freeway!A1629</f>
        <v>31184</v>
      </c>
      <c r="E1628" s="137">
        <f>[1]flow_freeway!B1629</f>
        <v>89179.755858999997</v>
      </c>
      <c r="F1628" s="137">
        <f>[1]flow_freeway!C1629</f>
        <v>19652.033202999999</v>
      </c>
      <c r="G1628" s="137">
        <f>[1]flow_freeway!D1629</f>
        <v>21091.041015999999</v>
      </c>
    </row>
    <row r="1629" spans="4:7" x14ac:dyDescent="0.25">
      <c r="D1629">
        <f>[1]flow_freeway!A1630</f>
        <v>31192</v>
      </c>
      <c r="E1629" s="137">
        <f>[1]flow_freeway!B1630</f>
        <v>43632.089111000001</v>
      </c>
      <c r="F1629" s="137">
        <f>[1]flow_freeway!C1630</f>
        <v>6678.8974609999996</v>
      </c>
      <c r="G1629" s="137">
        <f>[1]flow_freeway!D1630</f>
        <v>12201.952148</v>
      </c>
    </row>
    <row r="1630" spans="4:7" x14ac:dyDescent="0.25">
      <c r="D1630">
        <f>[1]flow_freeway!A1631</f>
        <v>31193</v>
      </c>
      <c r="E1630" s="137">
        <f>[1]flow_freeway!B1631</f>
        <v>70089.463378999993</v>
      </c>
      <c r="F1630" s="137">
        <f>[1]flow_freeway!C1631</f>
        <v>18844.929688</v>
      </c>
      <c r="G1630" s="137">
        <f>[1]flow_freeway!D1631</f>
        <v>12606.211914</v>
      </c>
    </row>
    <row r="1631" spans="4:7" x14ac:dyDescent="0.25">
      <c r="D1631">
        <f>[1]flow_freeway!A1632</f>
        <v>31198</v>
      </c>
      <c r="E1631" s="137">
        <f>[1]flow_freeway!B1632</f>
        <v>82553.732420999993</v>
      </c>
      <c r="F1631" s="137">
        <f>[1]flow_freeway!C1632</f>
        <v>13099.863281</v>
      </c>
      <c r="G1631" s="137">
        <f>[1]flow_freeway!D1632</f>
        <v>24508.279297000001</v>
      </c>
    </row>
    <row r="1632" spans="4:7" x14ac:dyDescent="0.25">
      <c r="D1632">
        <f>[1]flow_freeway!A1633</f>
        <v>31204</v>
      </c>
      <c r="E1632" s="137">
        <f>[1]flow_freeway!B1633</f>
        <v>19562.676930000001</v>
      </c>
      <c r="F1632" s="137">
        <f>[1]flow_freeway!C1633</f>
        <v>7710.6440430000002</v>
      </c>
      <c r="G1632" s="137">
        <f>[1]flow_freeway!D1633</f>
        <v>3941.8483890000002</v>
      </c>
    </row>
    <row r="1633" spans="4:7" x14ac:dyDescent="0.25">
      <c r="D1633">
        <f>[1]flow_freeway!A1634</f>
        <v>31205</v>
      </c>
      <c r="E1633" s="137">
        <f>[1]flow_freeway!B1634</f>
        <v>112042.604492</v>
      </c>
      <c r="F1633" s="137">
        <f>[1]flow_freeway!C1634</f>
        <v>17792.806640999999</v>
      </c>
      <c r="G1633" s="137">
        <f>[1]flow_freeway!D1634</f>
        <v>33523.140625</v>
      </c>
    </row>
    <row r="1634" spans="4:7" x14ac:dyDescent="0.25">
      <c r="D1634">
        <f>[1]flow_freeway!A1635</f>
        <v>31206</v>
      </c>
      <c r="E1634" s="137">
        <f>[1]flow_freeway!B1635</f>
        <v>115506.758789</v>
      </c>
      <c r="F1634" s="137">
        <f>[1]flow_freeway!C1635</f>
        <v>18546.673827999999</v>
      </c>
      <c r="G1634" s="137">
        <f>[1]flow_freeway!D1635</f>
        <v>33736.074219000002</v>
      </c>
    </row>
    <row r="1635" spans="4:7" x14ac:dyDescent="0.25">
      <c r="D1635">
        <f>[1]flow_freeway!A1636</f>
        <v>31207</v>
      </c>
      <c r="E1635" s="137">
        <f>[1]flow_freeway!B1636</f>
        <v>115617.495117</v>
      </c>
      <c r="F1635" s="137">
        <f>[1]flow_freeway!C1636</f>
        <v>27703.894531000002</v>
      </c>
      <c r="G1635" s="137">
        <f>[1]flow_freeway!D1636</f>
        <v>22075.931640999999</v>
      </c>
    </row>
    <row r="1636" spans="4:7" x14ac:dyDescent="0.25">
      <c r="D1636">
        <f>[1]flow_freeway!A1637</f>
        <v>31208</v>
      </c>
      <c r="E1636" s="137">
        <f>[1]flow_freeway!B1637</f>
        <v>102389.11816399998</v>
      </c>
      <c r="F1636" s="137">
        <f>[1]flow_freeway!C1637</f>
        <v>25610.507812</v>
      </c>
      <c r="G1636" s="137">
        <f>[1]flow_freeway!D1637</f>
        <v>19453.318359000001</v>
      </c>
    </row>
    <row r="1637" spans="4:7" x14ac:dyDescent="0.25">
      <c r="D1637">
        <f>[1]flow_freeway!A1638</f>
        <v>31210</v>
      </c>
      <c r="E1637" s="137">
        <f>[1]flow_freeway!B1638</f>
        <v>90024.43994099999</v>
      </c>
      <c r="F1637" s="137">
        <f>[1]flow_freeway!C1638</f>
        <v>12091.806640999999</v>
      </c>
      <c r="G1637" s="137">
        <f>[1]flow_freeway!D1638</f>
        <v>27611.269531000002</v>
      </c>
    </row>
    <row r="1638" spans="4:7" x14ac:dyDescent="0.25">
      <c r="D1638" s="136">
        <f>[1]flow_freeway!A1639</f>
        <v>31211</v>
      </c>
      <c r="E1638" s="137">
        <f>[1]flow_freeway!B1639</f>
        <v>31325.550902999999</v>
      </c>
      <c r="F1638" s="137">
        <f>[1]flow_freeway!C1639</f>
        <v>8186.5375979999999</v>
      </c>
      <c r="G1638" s="137">
        <f>[1]flow_freeway!D1639</f>
        <v>5167.0859380000002</v>
      </c>
    </row>
    <row r="1639" spans="4:7" x14ac:dyDescent="0.25">
      <c r="D1639" s="136">
        <f>[1]flow_freeway!A1640</f>
        <v>31212</v>
      </c>
      <c r="E1639" s="137">
        <f>[1]flow_freeway!B1640</f>
        <v>86233.886352999994</v>
      </c>
      <c r="F1639" s="137">
        <f>[1]flow_freeway!C1640</f>
        <v>11240.518555000001</v>
      </c>
      <c r="G1639" s="137">
        <f>[1]flow_freeway!D1640</f>
        <v>26780.556640999999</v>
      </c>
    </row>
    <row r="1640" spans="4:7" x14ac:dyDescent="0.25">
      <c r="D1640" s="136">
        <f>[1]flow_freeway!A1641</f>
        <v>31213</v>
      </c>
      <c r="E1640" s="137">
        <f>[1]flow_freeway!B1641</f>
        <v>86318.728516000003</v>
      </c>
      <c r="F1640" s="137">
        <f>[1]flow_freeway!C1641</f>
        <v>21357.535156000002</v>
      </c>
      <c r="G1640" s="137">
        <f>[1]flow_freeway!D1641</f>
        <v>14145.419921999999</v>
      </c>
    </row>
    <row r="1641" spans="4:7" x14ac:dyDescent="0.25">
      <c r="D1641" s="136">
        <f>[1]flow_freeway!A1642</f>
        <v>31308</v>
      </c>
      <c r="E1641" s="137">
        <f>[1]flow_freeway!B1642</f>
        <v>79684.667235999994</v>
      </c>
      <c r="F1641" s="137">
        <f>[1]flow_freeway!C1642</f>
        <v>14384.403319999999</v>
      </c>
      <c r="G1641" s="137">
        <f>[1]flow_freeway!D1642</f>
        <v>21085.214843999998</v>
      </c>
    </row>
    <row r="1642" spans="4:7" x14ac:dyDescent="0.25">
      <c r="D1642" s="136">
        <f>[1]flow_freeway!A1643</f>
        <v>31310</v>
      </c>
      <c r="E1642" s="137">
        <f>[1]flow_freeway!B1643</f>
        <v>34312.578613999998</v>
      </c>
      <c r="F1642" s="137">
        <f>[1]flow_freeway!C1643</f>
        <v>6694.3994140000004</v>
      </c>
      <c r="G1642" s="137">
        <f>[1]flow_freeway!D1643</f>
        <v>6076.7934569999998</v>
      </c>
    </row>
    <row r="1643" spans="4:7" x14ac:dyDescent="0.25">
      <c r="D1643">
        <f>[1]flow_freeway!A1644</f>
        <v>31311</v>
      </c>
      <c r="E1643" s="137">
        <f>[1]flow_freeway!B1644</f>
        <v>91707.798340999987</v>
      </c>
      <c r="F1643" s="137">
        <f>[1]flow_freeway!C1644</f>
        <v>18637.072265999999</v>
      </c>
      <c r="G1643" s="137">
        <f>[1]flow_freeway!D1644</f>
        <v>23503.652343999998</v>
      </c>
    </row>
    <row r="1644" spans="4:7" x14ac:dyDescent="0.25">
      <c r="D1644">
        <f>[1]flow_freeway!A1645</f>
        <v>31312</v>
      </c>
      <c r="E1644" s="137">
        <f>[1]flow_freeway!B1645</f>
        <v>36140.441284</v>
      </c>
      <c r="F1644" s="137">
        <f>[1]flow_freeway!C1645</f>
        <v>5248.7978519999997</v>
      </c>
      <c r="G1644" s="137">
        <f>[1]flow_freeway!D1645</f>
        <v>10999.694336</v>
      </c>
    </row>
    <row r="1645" spans="4:7" x14ac:dyDescent="0.25">
      <c r="D1645">
        <f>[1]flow_freeway!A1646</f>
        <v>36079</v>
      </c>
      <c r="E1645" s="137">
        <f>[1]flow_freeway!B1646</f>
        <v>22615.388672000001</v>
      </c>
      <c r="F1645" s="137">
        <f>[1]flow_freeway!C1646</f>
        <v>2761.9411620000001</v>
      </c>
      <c r="G1645" s="137">
        <f>[1]flow_freeway!D1646</f>
        <v>7320.6557620000003</v>
      </c>
    </row>
    <row r="1646" spans="4:7" x14ac:dyDescent="0.25">
      <c r="D1646" s="136">
        <f>[1]flow_freeway!A1647</f>
        <v>0</v>
      </c>
      <c r="E1646" s="137">
        <f>[1]flow_freeway!B1647</f>
        <v>0</v>
      </c>
      <c r="F1646" s="137">
        <f>[1]flow_freeway!C1647</f>
        <v>0</v>
      </c>
      <c r="G1646" s="137">
        <f>[1]flow_freeway!D1647</f>
        <v>0</v>
      </c>
    </row>
    <row r="1647" spans="4:7" x14ac:dyDescent="0.25">
      <c r="D1647" s="136">
        <f>[1]flow_freeway!A1648</f>
        <v>0</v>
      </c>
      <c r="E1647" s="137">
        <f>[1]flow_freeway!B1648</f>
        <v>0</v>
      </c>
      <c r="F1647" s="137">
        <f>[1]flow_freeway!C1648</f>
        <v>0</v>
      </c>
      <c r="G1647" s="137">
        <f>[1]flow_freeway!D1648</f>
        <v>0</v>
      </c>
    </row>
    <row r="1648" spans="4:7" x14ac:dyDescent="0.25">
      <c r="D1648" s="136"/>
      <c r="E1648" s="137"/>
      <c r="F1648" s="137"/>
      <c r="G1648" s="137"/>
    </row>
    <row r="1649" spans="5:7" x14ac:dyDescent="0.25">
      <c r="E1649" s="137"/>
      <c r="F1649" s="137"/>
      <c r="G1649" s="137"/>
    </row>
  </sheetData>
  <dataValidations count="1">
    <dataValidation type="decimal" allowBlank="1" showErrorMessage="1" promptTitle="Scenario_id" prompt="Input your scenario_id here" sqref="A2">
      <formula1>1</formula1>
      <formula2>1000</formula2>
    </dataValidation>
  </dataValidations>
  <hyperlinks>
    <hyperlink ref="B20" r:id="rId1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E914"/>
  <sheetViews>
    <sheetView showGridLines="0" topLeftCell="J1" zoomScaleNormal="100" workbookViewId="0">
      <pane ySplit="1" topLeftCell="A2" activePane="bottomLeft" state="frozen"/>
      <selection activeCell="J23" sqref="J23"/>
      <selection pane="bottomLeft" activeCell="K4" sqref="K4"/>
    </sheetView>
  </sheetViews>
  <sheetFormatPr defaultColWidth="9.140625" defaultRowHeight="15" x14ac:dyDescent="0.25"/>
  <cols>
    <col min="1" max="1" width="10.140625" style="43" customWidth="1"/>
    <col min="2" max="2" width="10.140625" style="5" customWidth="1"/>
    <col min="3" max="3" width="12.5703125" style="43" customWidth="1"/>
    <col min="4" max="4" width="5.28515625" style="43" customWidth="1"/>
    <col min="5" max="5" width="7.140625" style="43" bestFit="1" customWidth="1"/>
    <col min="6" max="6" width="11.7109375" style="43" bestFit="1" customWidth="1"/>
    <col min="7" max="7" width="8.140625" style="42" customWidth="1"/>
    <col min="8" max="8" width="9.7109375" style="43" customWidth="1"/>
    <col min="9" max="10" width="23.7109375" style="43" customWidth="1"/>
    <col min="11" max="11" width="12.42578125" style="46" bestFit="1" customWidth="1"/>
    <col min="12" max="12" width="11.42578125" style="57" bestFit="1" customWidth="1"/>
    <col min="13" max="13" width="9.140625" style="90"/>
    <col min="14" max="14" width="12" style="91" customWidth="1"/>
    <col min="15" max="16" width="9.140625" style="43"/>
    <col min="17" max="17" width="10" style="43" bestFit="1" customWidth="1"/>
    <col min="18" max="18" width="9.140625" style="43"/>
    <col min="19" max="19" width="13.140625" style="43" bestFit="1" customWidth="1"/>
    <col min="20" max="20" width="16.28515625" style="43" bestFit="1" customWidth="1"/>
    <col min="21" max="21" width="12" style="43" customWidth="1"/>
    <col min="22" max="22" width="12.5703125" style="43" bestFit="1" customWidth="1"/>
    <col min="23" max="23" width="12" style="43" customWidth="1"/>
    <col min="24" max="24" width="12.5703125" style="43" bestFit="1" customWidth="1"/>
    <col min="25" max="25" width="12" style="43" customWidth="1"/>
    <col min="26" max="26" width="12.5703125" style="43" bestFit="1" customWidth="1"/>
    <col min="27" max="27" width="12" style="43" customWidth="1"/>
    <col min="28" max="28" width="17.7109375" style="43" bestFit="1" customWidth="1"/>
    <col min="29" max="29" width="16.5703125" style="43" bestFit="1" customWidth="1"/>
    <col min="30" max="30" width="17.7109375" style="43" bestFit="1" customWidth="1"/>
    <col min="31" max="31" width="16.5703125" style="43" bestFit="1" customWidth="1"/>
    <col min="32" max="16384" width="9.140625" style="43"/>
  </cols>
  <sheetData>
    <row r="1" spans="1:31" x14ac:dyDescent="0.25">
      <c r="A1" s="86" t="s">
        <v>97</v>
      </c>
      <c r="B1" s="120" t="s">
        <v>118</v>
      </c>
      <c r="C1" s="86" t="s">
        <v>53</v>
      </c>
      <c r="D1" s="86" t="s">
        <v>121</v>
      </c>
      <c r="E1" s="86" t="s">
        <v>120</v>
      </c>
      <c r="F1" s="86" t="s">
        <v>123</v>
      </c>
      <c r="G1" s="87" t="s">
        <v>263</v>
      </c>
      <c r="H1" s="86" t="s">
        <v>119</v>
      </c>
      <c r="I1" s="86" t="s">
        <v>130</v>
      </c>
      <c r="J1" s="86" t="s">
        <v>131</v>
      </c>
      <c r="K1" s="98" t="s">
        <v>134</v>
      </c>
      <c r="L1" s="92" t="s">
        <v>17</v>
      </c>
      <c r="M1" s="93" t="s">
        <v>50</v>
      </c>
      <c r="N1" s="85" t="s">
        <v>105</v>
      </c>
      <c r="O1" s="187" t="s">
        <v>243</v>
      </c>
      <c r="P1" s="187" t="s">
        <v>245</v>
      </c>
      <c r="Q1" s="187" t="s">
        <v>174</v>
      </c>
      <c r="S1"/>
      <c r="T1" s="273" t="s">
        <v>269</v>
      </c>
      <c r="U1"/>
      <c r="V1"/>
      <c r="W1"/>
      <c r="X1"/>
      <c r="Y1"/>
      <c r="Z1"/>
      <c r="AA1"/>
      <c r="AB1"/>
      <c r="AC1"/>
      <c r="AD1"/>
      <c r="AE1"/>
    </row>
    <row r="2" spans="1:31" x14ac:dyDescent="0.25">
      <c r="A2" s="136">
        <f>'[2]All Counts'!C2</f>
        <v>21</v>
      </c>
      <c r="B2" s="136">
        <f>'[2]All Counts'!D2</f>
        <v>3</v>
      </c>
      <c r="C2" s="136">
        <f>'[2]All Counts'!E2</f>
        <v>9041</v>
      </c>
      <c r="D2" s="136">
        <f>'[2]All Counts'!F2</f>
        <v>1</v>
      </c>
      <c r="E2" s="136">
        <f>'[2]All Counts'!G2</f>
        <v>1</v>
      </c>
      <c r="F2" s="136" t="str">
        <f>'[2]All Counts'!H2</f>
        <v>SR-94 WB</v>
      </c>
      <c r="G2" s="136">
        <f>'[2]All Counts'!I2</f>
        <v>1</v>
      </c>
      <c r="H2" s="136">
        <f>'[2]All Counts'!J2</f>
        <v>0</v>
      </c>
      <c r="I2" s="136" t="str">
        <f>'[2]All Counts'!K2</f>
        <v>SR-125 SB</v>
      </c>
      <c r="J2" s="136" t="str">
        <f>'[2]All Counts'!L2</f>
        <v>SR-125 SB</v>
      </c>
      <c r="K2" s="136">
        <f>'[2]All Counts'!O2</f>
        <v>6056</v>
      </c>
      <c r="L2" s="57">
        <f>VLOOKUP(ws[[#This Row],[hwycov_id]],readme!D:G,4,FALSE)</f>
        <v>9656.4921880000002</v>
      </c>
      <c r="M2" s="88">
        <f>ws[[#This Row],[flow]]/ws[[#This Row],[count]]-1</f>
        <v>0.59453305614266849</v>
      </c>
      <c r="N2" s="89">
        <f>POWER((ws[[#This Row],[flow]]-ws[[#This Row],[count]]),2)</f>
        <v>12963543.995849028</v>
      </c>
      <c r="O2" s="43">
        <f>VLOOKUP(ws[[#This Row],[hwycov_id]],count[],6,FALSE)</f>
        <v>0</v>
      </c>
      <c r="P2" s="43">
        <v>169</v>
      </c>
      <c r="Q2" s="43" t="str">
        <f>'[2]All Counts'!P2</f>
        <v>PeMS2016</v>
      </c>
      <c r="S2"/>
      <c r="T2" s="136">
        <v>1</v>
      </c>
      <c r="U2"/>
      <c r="V2" s="136">
        <v>2</v>
      </c>
      <c r="W2"/>
      <c r="X2" s="136">
        <v>3</v>
      </c>
      <c r="Y2"/>
      <c r="Z2" s="136">
        <v>4</v>
      </c>
      <c r="AA2"/>
      <c r="AB2" s="136" t="s">
        <v>271</v>
      </c>
      <c r="AC2" s="136" t="s">
        <v>272</v>
      </c>
      <c r="AD2"/>
      <c r="AE2"/>
    </row>
    <row r="3" spans="1:31" x14ac:dyDescent="0.25">
      <c r="A3" s="136">
        <f>'[2]All Counts'!C3</f>
        <v>21</v>
      </c>
      <c r="B3" s="136">
        <f>'[2]All Counts'!D3</f>
        <v>3</v>
      </c>
      <c r="C3" s="136">
        <f>'[2]All Counts'!E3</f>
        <v>28016</v>
      </c>
      <c r="D3" s="136">
        <f>'[2]All Counts'!F3</f>
        <v>1</v>
      </c>
      <c r="E3" s="136">
        <f>'[2]All Counts'!G3</f>
        <v>1</v>
      </c>
      <c r="F3" s="136" t="str">
        <f>'[2]All Counts'!H3</f>
        <v>SR-94 WB</v>
      </c>
      <c r="G3" s="136">
        <f>'[2]All Counts'!I3</f>
        <v>2</v>
      </c>
      <c r="H3" s="136">
        <f>'[2]All Counts'!J3</f>
        <v>0</v>
      </c>
      <c r="I3" s="136" t="str">
        <f>'[2]All Counts'!K3</f>
        <v>SR-125 SB</v>
      </c>
      <c r="J3" s="136" t="str">
        <f>'[2]All Counts'!L3</f>
        <v>SR-125 NB</v>
      </c>
      <c r="K3" s="136">
        <f>'[2]All Counts'!O3</f>
        <v>10717</v>
      </c>
      <c r="L3" s="57">
        <f>VLOOKUP(ws[[#This Row],[hwycov_id]],readme!D:G,4,FALSE)</f>
        <v>13709.029296999999</v>
      </c>
      <c r="M3" s="88">
        <f>ws[[#This Row],[flow]]/ws[[#This Row],[count]]-1</f>
        <v>0.27918534076700552</v>
      </c>
      <c r="N3" s="89">
        <f>POWER((ws[[#This Row],[flow]]-ws[[#This Row],[count]]),2)</f>
        <v>8952239.3141063098</v>
      </c>
      <c r="O3" s="43">
        <f>VLOOKUP(ws[[#This Row],[hwycov_id]],count[],6,FALSE)</f>
        <v>0</v>
      </c>
      <c r="P3" s="43">
        <v>78</v>
      </c>
      <c r="Q3" s="43" t="str">
        <f>'[2]All Counts'!P3</f>
        <v>PeMS2016</v>
      </c>
      <c r="S3" s="273" t="s">
        <v>267</v>
      </c>
      <c r="T3" s="136" t="s">
        <v>270</v>
      </c>
      <c r="U3" s="136" t="s">
        <v>273</v>
      </c>
      <c r="V3" s="136" t="s">
        <v>270</v>
      </c>
      <c r="W3" s="136" t="s">
        <v>273</v>
      </c>
      <c r="X3" s="136" t="s">
        <v>270</v>
      </c>
      <c r="Y3" s="136" t="s">
        <v>273</v>
      </c>
      <c r="Z3" s="136" t="s">
        <v>270</v>
      </c>
      <c r="AA3" s="136" t="s">
        <v>273</v>
      </c>
      <c r="AB3"/>
      <c r="AC3"/>
      <c r="AD3"/>
      <c r="AE3"/>
    </row>
    <row r="4" spans="1:31" x14ac:dyDescent="0.25">
      <c r="A4" s="136">
        <f>'[2]All Counts'!C4</f>
        <v>21</v>
      </c>
      <c r="B4" s="136">
        <f>'[2]All Counts'!D4</f>
        <v>3</v>
      </c>
      <c r="C4" s="136">
        <f>'[2]All Counts'!E4</f>
        <v>28011</v>
      </c>
      <c r="D4" s="136">
        <f>'[2]All Counts'!F4</f>
        <v>1</v>
      </c>
      <c r="E4" s="136">
        <f>'[2]All Counts'!G4</f>
        <v>1</v>
      </c>
      <c r="F4" s="136" t="str">
        <f>'[2]All Counts'!H4</f>
        <v>SR-94 WB</v>
      </c>
      <c r="G4" s="136">
        <f>'[2]All Counts'!I4</f>
        <v>3</v>
      </c>
      <c r="H4" s="136">
        <f>'[2]All Counts'!J4</f>
        <v>0</v>
      </c>
      <c r="I4" s="136" t="str">
        <f>'[2]All Counts'!K4</f>
        <v>GROVE</v>
      </c>
      <c r="J4" s="136" t="str">
        <f>'[2]All Counts'!L4</f>
        <v>GROVE</v>
      </c>
      <c r="K4" s="136">
        <f>'[2]All Counts'!O4</f>
        <v>10717</v>
      </c>
      <c r="L4" s="57">
        <f>VLOOKUP(ws[[#This Row],[hwycov_id]],readme!D:G,4,FALSE)</f>
        <v>15583.491211</v>
      </c>
      <c r="M4" s="88">
        <f>ws[[#This Row],[flow]]/ws[[#This Row],[count]]-1</f>
        <v>0.45409081002146134</v>
      </c>
      <c r="N4" s="89">
        <f>POWER((ws[[#This Row],[flow]]-ws[[#This Row],[count]]),2)</f>
        <v>23682736.706740253</v>
      </c>
      <c r="O4" s="43">
        <f>VLOOKUP(ws[[#This Row],[hwycov_id]],count[],6,FALSE)</f>
        <v>0</v>
      </c>
      <c r="P4" s="43">
        <v>398</v>
      </c>
      <c r="Q4" s="43" t="str">
        <f>'[2]All Counts'!P4</f>
        <v>PeMS2016</v>
      </c>
      <c r="S4" s="94">
        <v>59</v>
      </c>
      <c r="T4" s="17">
        <v>14405</v>
      </c>
      <c r="U4" s="17">
        <v>21330.474609000001</v>
      </c>
      <c r="V4" s="17"/>
      <c r="W4" s="17"/>
      <c r="X4" s="17"/>
      <c r="Y4" s="17"/>
      <c r="Z4" s="17"/>
      <c r="AA4" s="17"/>
      <c r="AB4" s="17">
        <v>14405</v>
      </c>
      <c r="AC4" s="17">
        <v>21330.474609000001</v>
      </c>
      <c r="AD4"/>
      <c r="AE4"/>
    </row>
    <row r="5" spans="1:31" x14ac:dyDescent="0.25">
      <c r="A5" s="136">
        <f>'[2]All Counts'!C5</f>
        <v>21</v>
      </c>
      <c r="B5" s="136">
        <f>'[2]All Counts'!D5</f>
        <v>3</v>
      </c>
      <c r="C5" s="136">
        <f>'[2]All Counts'!E5</f>
        <v>28007</v>
      </c>
      <c r="D5" s="136">
        <f>'[2]All Counts'!F5</f>
        <v>1</v>
      </c>
      <c r="E5" s="136">
        <f>'[2]All Counts'!G5</f>
        <v>1</v>
      </c>
      <c r="F5" s="136" t="str">
        <f>'[2]All Counts'!H5</f>
        <v>SR-94 WB</v>
      </c>
      <c r="G5" s="136">
        <f>'[2]All Counts'!I5</f>
        <v>4</v>
      </c>
      <c r="H5" s="136">
        <f>'[2]All Counts'!J5</f>
        <v>0</v>
      </c>
      <c r="I5" s="136" t="str">
        <f>'[2]All Counts'!K5</f>
        <v>LEMON GROVE</v>
      </c>
      <c r="J5" s="136" t="str">
        <f>'[2]All Counts'!L5</f>
        <v>LEMON GROVE</v>
      </c>
      <c r="K5" s="136">
        <f>'[2]All Counts'!O5</f>
        <v>12928</v>
      </c>
      <c r="L5" s="57">
        <f>VLOOKUP(ws[[#This Row],[hwycov_id]],readme!D:G,4,FALSE)</f>
        <v>13342.835938</v>
      </c>
      <c r="M5" s="88">
        <f>ws[[#This Row],[flow]]/ws[[#This Row],[count]]-1</f>
        <v>3.2088175897277305E-2</v>
      </c>
      <c r="N5" s="89">
        <f>POWER((ws[[#This Row],[flow]]-ws[[#This Row],[count]]),2)</f>
        <v>172088.85545633998</v>
      </c>
      <c r="O5" s="43">
        <f>VLOOKUP(ws[[#This Row],[hwycov_id]],count[],6,FALSE)</f>
        <v>0</v>
      </c>
      <c r="P5" s="43">
        <v>395</v>
      </c>
      <c r="Q5" s="43" t="str">
        <f>'[2]All Counts'!P5</f>
        <v>PeMS2016</v>
      </c>
      <c r="S5" s="94">
        <v>457</v>
      </c>
      <c r="T5" s="17"/>
      <c r="U5" s="17"/>
      <c r="V5" s="17"/>
      <c r="W5" s="17"/>
      <c r="X5" s="17">
        <v>5669</v>
      </c>
      <c r="Y5" s="17">
        <v>7121.3784180000002</v>
      </c>
      <c r="Z5" s="17"/>
      <c r="AA5" s="17"/>
      <c r="AB5" s="17">
        <v>5669</v>
      </c>
      <c r="AC5" s="17">
        <v>7121.3784180000002</v>
      </c>
      <c r="AD5"/>
      <c r="AE5"/>
    </row>
    <row r="6" spans="1:31" x14ac:dyDescent="0.25">
      <c r="A6" s="136">
        <f>'[2]All Counts'!C6</f>
        <v>21</v>
      </c>
      <c r="B6" s="136">
        <f>'[2]All Counts'!D6</f>
        <v>3</v>
      </c>
      <c r="C6" s="136">
        <f>'[2]All Counts'!E6</f>
        <v>28000</v>
      </c>
      <c r="D6" s="136">
        <f>'[2]All Counts'!F6</f>
        <v>1</v>
      </c>
      <c r="E6" s="136">
        <f>'[2]All Counts'!G6</f>
        <v>1</v>
      </c>
      <c r="F6" s="136" t="str">
        <f>'[2]All Counts'!H6</f>
        <v>SR-94 WB</v>
      </c>
      <c r="G6" s="136">
        <f>'[2]All Counts'!I6</f>
        <v>5</v>
      </c>
      <c r="H6" s="136">
        <f>'[2]All Counts'!J6</f>
        <v>0</v>
      </c>
      <c r="I6" s="136" t="str">
        <f>'[2]All Counts'!K6</f>
        <v>LEMON GROVE</v>
      </c>
      <c r="J6" s="136" t="str">
        <f>'[2]All Counts'!L6</f>
        <v>WAITE</v>
      </c>
      <c r="K6" s="136">
        <f>'[2]All Counts'!O6</f>
        <v>15038</v>
      </c>
      <c r="L6" s="57">
        <f>VLOOKUP(ws[[#This Row],[hwycov_id]],readme!D:G,4,FALSE)</f>
        <v>14596.053711</v>
      </c>
      <c r="M6" s="88">
        <f>ws[[#This Row],[flow]]/ws[[#This Row],[count]]-1</f>
        <v>-2.938863472536235E-2</v>
      </c>
      <c r="N6" s="89">
        <f>POWER((ws[[#This Row],[flow]]-ws[[#This Row],[count]]),2)</f>
        <v>195316.52236087111</v>
      </c>
      <c r="O6" s="43">
        <f>VLOOKUP(ws[[#This Row],[hwycov_id]],count[],6,FALSE)</f>
        <v>0</v>
      </c>
      <c r="P6" s="43">
        <v>399</v>
      </c>
      <c r="Q6" s="43" t="str">
        <f>'[2]All Counts'!P6</f>
        <v>Caltran</v>
      </c>
      <c r="S6" s="94">
        <v>459</v>
      </c>
      <c r="T6" s="17">
        <v>8857</v>
      </c>
      <c r="U6" s="17">
        <v>9682.6972659999992</v>
      </c>
      <c r="V6" s="17"/>
      <c r="W6" s="17"/>
      <c r="X6" s="17"/>
      <c r="Y6" s="17"/>
      <c r="Z6" s="17"/>
      <c r="AA6" s="17"/>
      <c r="AB6" s="17">
        <v>8857</v>
      </c>
      <c r="AC6" s="17">
        <v>9682.6972659999992</v>
      </c>
      <c r="AD6"/>
      <c r="AE6"/>
    </row>
    <row r="7" spans="1:31" x14ac:dyDescent="0.25">
      <c r="A7" s="136">
        <f>'[2]All Counts'!C7</f>
        <v>21</v>
      </c>
      <c r="B7" s="136">
        <f>'[2]All Counts'!D7</f>
        <v>3</v>
      </c>
      <c r="C7" s="136">
        <f>'[2]All Counts'!E7</f>
        <v>27988</v>
      </c>
      <c r="D7" s="136">
        <f>'[2]All Counts'!F7</f>
        <v>1</v>
      </c>
      <c r="E7" s="136">
        <f>'[2]All Counts'!G7</f>
        <v>1</v>
      </c>
      <c r="F7" s="136" t="str">
        <f>'[2]All Counts'!H7</f>
        <v>SR-94 WB</v>
      </c>
      <c r="G7" s="136">
        <f>'[2]All Counts'!I7</f>
        <v>7</v>
      </c>
      <c r="H7" s="136">
        <f>'[2]All Counts'!J7</f>
        <v>0</v>
      </c>
      <c r="I7" s="136" t="str">
        <f>'[2]All Counts'!K7</f>
        <v>MASSACHUSETTS</v>
      </c>
      <c r="J7" s="136" t="str">
        <f>'[2]All Counts'!L7</f>
        <v>MASSACHUSETTS</v>
      </c>
      <c r="K7" s="136">
        <f>'[2]All Counts'!O7</f>
        <v>14242</v>
      </c>
      <c r="L7" s="57">
        <f>VLOOKUP(ws[[#This Row],[hwycov_id]],readme!D:G,4,FALSE)</f>
        <v>14042.169921999999</v>
      </c>
      <c r="M7" s="88">
        <f>ws[[#This Row],[flow]]/ws[[#This Row],[count]]-1</f>
        <v>-1.4031040443757914E-2</v>
      </c>
      <c r="N7" s="89">
        <f>POWER((ws[[#This Row],[flow]]-ws[[#This Row],[count]]),2)</f>
        <v>39932.060073486427</v>
      </c>
      <c r="O7" s="43">
        <f>VLOOKUP(ws[[#This Row],[hwycov_id]],count[],6,FALSE)</f>
        <v>0</v>
      </c>
      <c r="P7" s="43">
        <v>401</v>
      </c>
      <c r="Q7" s="43" t="str">
        <f>'[2]All Counts'!P7</f>
        <v>PeMS2016</v>
      </c>
      <c r="S7" s="94">
        <v>460</v>
      </c>
      <c r="T7" s="17">
        <v>6812</v>
      </c>
      <c r="U7" s="17">
        <v>9642.2431639999995</v>
      </c>
      <c r="V7" s="17"/>
      <c r="W7" s="17"/>
      <c r="X7" s="17"/>
      <c r="Y7" s="17"/>
      <c r="Z7" s="17"/>
      <c r="AA7" s="17"/>
      <c r="AB7" s="17">
        <v>6812</v>
      </c>
      <c r="AC7" s="17">
        <v>9642.2431639999995</v>
      </c>
      <c r="AD7"/>
      <c r="AE7"/>
    </row>
    <row r="8" spans="1:31" x14ac:dyDescent="0.25">
      <c r="A8" s="136">
        <f>'[2]All Counts'!C8</f>
        <v>21</v>
      </c>
      <c r="B8" s="136">
        <f>'[2]All Counts'!D8</f>
        <v>3</v>
      </c>
      <c r="C8" s="136">
        <f>'[2]All Counts'!E8</f>
        <v>27987</v>
      </c>
      <c r="D8" s="136">
        <f>'[2]All Counts'!F8</f>
        <v>1</v>
      </c>
      <c r="E8" s="136">
        <f>'[2]All Counts'!G8</f>
        <v>1</v>
      </c>
      <c r="F8" s="136" t="str">
        <f>'[2]All Counts'!H8</f>
        <v>SR-94 WB</v>
      </c>
      <c r="G8" s="136">
        <f>'[2]All Counts'!I8</f>
        <v>8</v>
      </c>
      <c r="H8" s="136">
        <f>'[2]All Counts'!J8</f>
        <v>0</v>
      </c>
      <c r="I8" s="136" t="str">
        <f>'[2]All Counts'!K8</f>
        <v>MASSACHUSETTS</v>
      </c>
      <c r="J8" s="136" t="str">
        <f>'[2]All Counts'!L8</f>
        <v>COLLEGE</v>
      </c>
      <c r="K8" s="136">
        <f>'[2]All Counts'!O8</f>
        <v>13093</v>
      </c>
      <c r="L8" s="57">
        <f>VLOOKUP(ws[[#This Row],[hwycov_id]],readme!D:G,4,FALSE)</f>
        <v>15519.583008</v>
      </c>
      <c r="M8" s="88">
        <f>ws[[#This Row],[flow]]/ws[[#This Row],[count]]-1</f>
        <v>0.18533437775910788</v>
      </c>
      <c r="N8" s="89">
        <f>POWER((ws[[#This Row],[flow]]-ws[[#This Row],[count]]),2)</f>
        <v>5888305.0947143259</v>
      </c>
      <c r="O8" s="43">
        <f>VLOOKUP(ws[[#This Row],[hwycov_id]],count[],6,FALSE)</f>
        <v>0</v>
      </c>
      <c r="P8" s="43">
        <v>402</v>
      </c>
      <c r="Q8" s="43" t="str">
        <f>'[2]All Counts'!P8</f>
        <v>PeMS2016</v>
      </c>
      <c r="S8" s="94">
        <v>461</v>
      </c>
      <c r="T8" s="17">
        <v>9658</v>
      </c>
      <c r="U8" s="17">
        <v>9682.6972659999992</v>
      </c>
      <c r="V8" s="17"/>
      <c r="W8" s="17"/>
      <c r="X8" s="17"/>
      <c r="Y8" s="17"/>
      <c r="Z8" s="17"/>
      <c r="AA8" s="17"/>
      <c r="AB8" s="17">
        <v>9658</v>
      </c>
      <c r="AC8" s="17">
        <v>9682.6972659999992</v>
      </c>
      <c r="AD8"/>
      <c r="AE8"/>
    </row>
    <row r="9" spans="1:31" x14ac:dyDescent="0.25">
      <c r="A9" s="136">
        <f>'[2]All Counts'!C9</f>
        <v>21</v>
      </c>
      <c r="B9" s="136">
        <f>'[2]All Counts'!D9</f>
        <v>3</v>
      </c>
      <c r="C9" s="136">
        <f>'[2]All Counts'!E9</f>
        <v>29016</v>
      </c>
      <c r="D9" s="136">
        <f>'[2]All Counts'!F9</f>
        <v>1</v>
      </c>
      <c r="E9" s="136">
        <f>'[2]All Counts'!G9</f>
        <v>1</v>
      </c>
      <c r="F9" s="136" t="str">
        <f>'[2]All Counts'!H9</f>
        <v>SR-94 WB</v>
      </c>
      <c r="G9" s="136">
        <f>'[2]All Counts'!I9</f>
        <v>13</v>
      </c>
      <c r="H9" s="136">
        <f>'[2]All Counts'!J9</f>
        <v>1</v>
      </c>
      <c r="I9" s="136" t="str">
        <f>'[2]All Counts'!K9</f>
        <v>COLLEGE GROVE</v>
      </c>
      <c r="J9" s="136" t="str">
        <f>'[2]All Counts'!L9</f>
        <v>FEDERAL</v>
      </c>
      <c r="K9" s="136">
        <f>'[2]All Counts'!O9</f>
        <v>14371</v>
      </c>
      <c r="L9" s="57">
        <f>VLOOKUP(ws[[#This Row],[hwycov_id]],readme!D:G,4,FALSE)</f>
        <v>15430.521484000001</v>
      </c>
      <c r="M9" s="88">
        <f>ws[[#This Row],[flow]]/ws[[#This Row],[count]]-1</f>
        <v>7.3726357525572439E-2</v>
      </c>
      <c r="N9" s="89">
        <f>POWER((ws[[#This Row],[flow]]-ws[[#This Row],[count]]),2)</f>
        <v>1122585.775057564</v>
      </c>
      <c r="O9" s="43">
        <f>VLOOKUP(ws[[#This Row],[hwycov_id]],count[],6,FALSE)</f>
        <v>0</v>
      </c>
      <c r="P9" s="43">
        <v>403</v>
      </c>
      <c r="Q9" s="43" t="str">
        <f>'[2]All Counts'!P9</f>
        <v>PeMS2016</v>
      </c>
      <c r="S9" s="94">
        <v>464</v>
      </c>
      <c r="T9" s="17">
        <v>7848</v>
      </c>
      <c r="U9" s="17">
        <v>8813.7617190000001</v>
      </c>
      <c r="V9" s="17"/>
      <c r="W9" s="17"/>
      <c r="X9" s="17"/>
      <c r="Y9" s="17"/>
      <c r="Z9" s="17"/>
      <c r="AA9" s="17"/>
      <c r="AB9" s="17">
        <v>7848</v>
      </c>
      <c r="AC9" s="17">
        <v>8813.7617190000001</v>
      </c>
      <c r="AD9"/>
      <c r="AE9"/>
    </row>
    <row r="10" spans="1:31" x14ac:dyDescent="0.25">
      <c r="A10" s="136">
        <f>'[2]All Counts'!C10</f>
        <v>21</v>
      </c>
      <c r="B10" s="136">
        <f>'[2]All Counts'!D10</f>
        <v>3</v>
      </c>
      <c r="C10" s="136">
        <f>'[2]All Counts'!E10</f>
        <v>29028</v>
      </c>
      <c r="D10" s="136">
        <f>'[2]All Counts'!F10</f>
        <v>1</v>
      </c>
      <c r="E10" s="136">
        <f>'[2]All Counts'!G10</f>
        <v>1</v>
      </c>
      <c r="F10" s="136" t="str">
        <f>'[2]All Counts'!H10</f>
        <v>SR-94 WB</v>
      </c>
      <c r="G10" s="136">
        <f>'[2]All Counts'!I10</f>
        <v>16</v>
      </c>
      <c r="H10" s="136">
        <f>'[2]All Counts'!J10</f>
        <v>0</v>
      </c>
      <c r="I10" s="136" t="str">
        <f>'[2]All Counts'!K10</f>
        <v>KELTON</v>
      </c>
      <c r="J10" s="136" t="str">
        <f>'[2]All Counts'!L10</f>
        <v>EUCLID</v>
      </c>
      <c r="K10" s="136">
        <f>'[2]All Counts'!O10</f>
        <v>15747</v>
      </c>
      <c r="L10" s="57">
        <f>VLOOKUP(ws[[#This Row],[hwycov_id]],readme!D:G,4,FALSE)</f>
        <v>17249.279297000001</v>
      </c>
      <c r="M10" s="88">
        <f>ws[[#This Row],[flow]]/ws[[#This Row],[count]]-1</f>
        <v>9.5400984123960253E-2</v>
      </c>
      <c r="N10" s="89">
        <f>POWER((ws[[#This Row],[flow]]-ws[[#This Row],[count]]),2)</f>
        <v>2256843.086194817</v>
      </c>
      <c r="O10" s="43">
        <f>VLOOKUP(ws[[#This Row],[hwycov_id]],count[],6,FALSE)</f>
        <v>0</v>
      </c>
      <c r="P10" s="43">
        <v>404</v>
      </c>
      <c r="Q10" s="43" t="str">
        <f>'[2]All Counts'!P10</f>
        <v>PeMS2016</v>
      </c>
      <c r="S10" s="94">
        <v>468</v>
      </c>
      <c r="T10" s="17">
        <v>9271</v>
      </c>
      <c r="U10" s="17">
        <v>8230.4082030000009</v>
      </c>
      <c r="V10" s="17"/>
      <c r="W10" s="17"/>
      <c r="X10" s="17"/>
      <c r="Y10" s="17"/>
      <c r="Z10" s="17"/>
      <c r="AA10" s="17"/>
      <c r="AB10" s="17">
        <v>9271</v>
      </c>
      <c r="AC10" s="17">
        <v>8230.4082030000009</v>
      </c>
      <c r="AD10"/>
      <c r="AE10"/>
    </row>
    <row r="11" spans="1:31" x14ac:dyDescent="0.25">
      <c r="A11" s="136">
        <f>'[2]All Counts'!C11</f>
        <v>21</v>
      </c>
      <c r="B11" s="136">
        <f>'[2]All Counts'!D11</f>
        <v>3</v>
      </c>
      <c r="C11" s="136">
        <f>'[2]All Counts'!E11</f>
        <v>29037</v>
      </c>
      <c r="D11" s="136">
        <f>'[2]All Counts'!F11</f>
        <v>1</v>
      </c>
      <c r="E11" s="136">
        <f>'[2]All Counts'!G11</f>
        <v>1</v>
      </c>
      <c r="F11" s="136" t="str">
        <f>'[2]All Counts'!H11</f>
        <v>SR-94 WB</v>
      </c>
      <c r="G11" s="136">
        <f>'[2]All Counts'!I11</f>
        <v>18</v>
      </c>
      <c r="H11" s="136">
        <f>'[2]All Counts'!J11</f>
        <v>0</v>
      </c>
      <c r="I11" s="136" t="str">
        <f>'[2]All Counts'!K11</f>
        <v>EUCLID</v>
      </c>
      <c r="J11" s="136" t="str">
        <f>'[2]All Counts'!L11</f>
        <v>EUCLID</v>
      </c>
      <c r="K11" s="136">
        <f>'[2]All Counts'!O11</f>
        <v>15038</v>
      </c>
      <c r="L11" s="57">
        <f>VLOOKUP(ws[[#This Row],[hwycov_id]],readme!D:G,4,FALSE)</f>
        <v>16941.630859000001</v>
      </c>
      <c r="M11" s="88">
        <f>ws[[#This Row],[flow]]/ws[[#This Row],[count]]-1</f>
        <v>0.1265880342465755</v>
      </c>
      <c r="N11" s="89">
        <f>POWER((ws[[#This Row],[flow]]-ws[[#This Row],[count]]),2)</f>
        <v>3623810.4473370807</v>
      </c>
      <c r="O11" s="43">
        <f>VLOOKUP(ws[[#This Row],[hwycov_id]],count[],6,FALSE)</f>
        <v>0</v>
      </c>
      <c r="P11" s="43">
        <v>406</v>
      </c>
      <c r="Q11" s="43" t="str">
        <f>'[2]All Counts'!P11</f>
        <v>PeMS2016</v>
      </c>
      <c r="S11" s="94">
        <v>469</v>
      </c>
      <c r="T11" s="17">
        <v>8031</v>
      </c>
      <c r="U11" s="17">
        <v>11116.642578000001</v>
      </c>
      <c r="V11" s="17"/>
      <c r="W11" s="17"/>
      <c r="X11" s="17"/>
      <c r="Y11" s="17"/>
      <c r="Z11" s="17"/>
      <c r="AA11" s="17"/>
      <c r="AB11" s="17">
        <v>8031</v>
      </c>
      <c r="AC11" s="17">
        <v>11116.642578000001</v>
      </c>
      <c r="AD11"/>
      <c r="AE11"/>
    </row>
    <row r="12" spans="1:31" x14ac:dyDescent="0.25">
      <c r="A12" s="136">
        <f>'[2]All Counts'!C12</f>
        <v>21</v>
      </c>
      <c r="B12" s="136">
        <f>'[2]All Counts'!D12</f>
        <v>3</v>
      </c>
      <c r="C12" s="136">
        <f>'[2]All Counts'!E12</f>
        <v>29041</v>
      </c>
      <c r="D12" s="136">
        <f>'[2]All Counts'!F12</f>
        <v>1</v>
      </c>
      <c r="E12" s="136">
        <f>'[2]All Counts'!G12</f>
        <v>1</v>
      </c>
      <c r="F12" s="136" t="str">
        <f>'[2]All Counts'!H12</f>
        <v>SR-94 WB</v>
      </c>
      <c r="G12" s="136">
        <f>'[2]All Counts'!I12</f>
        <v>19</v>
      </c>
      <c r="H12" s="136">
        <f>'[2]All Counts'!J12</f>
        <v>0</v>
      </c>
      <c r="I12" s="136" t="str">
        <f>'[2]All Counts'!K12</f>
        <v>EUCLID</v>
      </c>
      <c r="J12" s="136" t="str">
        <f>'[2]All Counts'!L12</f>
        <v>47TH</v>
      </c>
      <c r="K12" s="136">
        <f>'[2]All Counts'!O12</f>
        <v>18588</v>
      </c>
      <c r="L12" s="57">
        <f>VLOOKUP(ws[[#This Row],[hwycov_id]],readme!D:G,4,FALSE)</f>
        <v>18551.257812</v>
      </c>
      <c r="M12" s="88">
        <f>ws[[#This Row],[flow]]/ws[[#This Row],[count]]-1</f>
        <v>-1.9766617172369827E-3</v>
      </c>
      <c r="N12" s="89">
        <f>POWER((ws[[#This Row],[flow]]-ws[[#This Row],[count]]),2)</f>
        <v>1349.9883790273564</v>
      </c>
      <c r="O12" s="43">
        <f>VLOOKUP(ws[[#This Row],[hwycov_id]],count[],6,FALSE)</f>
        <v>0</v>
      </c>
      <c r="P12" s="43">
        <v>41</v>
      </c>
      <c r="Q12" s="43" t="str">
        <f>'[2]All Counts'!P12</f>
        <v>PeMS2016</v>
      </c>
      <c r="S12" s="94">
        <v>470</v>
      </c>
      <c r="T12" s="17">
        <v>9947</v>
      </c>
      <c r="U12" s="17">
        <v>10056.764648</v>
      </c>
      <c r="V12" s="17"/>
      <c r="W12" s="17"/>
      <c r="X12" s="17"/>
      <c r="Y12" s="17"/>
      <c r="Z12" s="17"/>
      <c r="AA12" s="17"/>
      <c r="AB12" s="17">
        <v>9947</v>
      </c>
      <c r="AC12" s="17">
        <v>10056.764648</v>
      </c>
      <c r="AD12"/>
      <c r="AE12"/>
    </row>
    <row r="13" spans="1:31" x14ac:dyDescent="0.25">
      <c r="A13" s="136">
        <f>'[2]All Counts'!C13</f>
        <v>21</v>
      </c>
      <c r="B13" s="136">
        <f>'[2]All Counts'!D13</f>
        <v>3</v>
      </c>
      <c r="C13" s="136">
        <f>'[2]All Counts'!E13</f>
        <v>29046</v>
      </c>
      <c r="D13" s="136">
        <f>'[2]All Counts'!F13</f>
        <v>1</v>
      </c>
      <c r="E13" s="136">
        <f>'[2]All Counts'!G13</f>
        <v>1</v>
      </c>
      <c r="F13" s="136" t="str">
        <f>'[2]All Counts'!H13</f>
        <v>SR-94 WB</v>
      </c>
      <c r="G13" s="136">
        <f>'[2]All Counts'!I13</f>
        <v>23</v>
      </c>
      <c r="H13" s="136">
        <f>'[2]All Counts'!J13</f>
        <v>0</v>
      </c>
      <c r="I13" s="136" t="str">
        <f>'[2]All Counts'!K13</f>
        <v>I-805 NB</v>
      </c>
      <c r="J13" s="136" t="str">
        <f>'[2]All Counts'!L13</f>
        <v>I-805 NB</v>
      </c>
      <c r="K13" s="136">
        <f>'[2]All Counts'!O13</f>
        <v>9141</v>
      </c>
      <c r="L13" s="57">
        <f>VLOOKUP(ws[[#This Row],[hwycov_id]],readme!D:G,4,FALSE)</f>
        <v>11687.135742</v>
      </c>
      <c r="M13" s="88">
        <f>ws[[#This Row],[flow]]/ws[[#This Row],[count]]-1</f>
        <v>0.2785401752543486</v>
      </c>
      <c r="N13" s="89">
        <f>POWER((ws[[#This Row],[flow]]-ws[[#This Row],[count]]),2)</f>
        <v>6482807.2166898921</v>
      </c>
      <c r="O13" s="43">
        <f>VLOOKUP(ws[[#This Row],[hwycov_id]],count[],6,FALSE)</f>
        <v>0</v>
      </c>
      <c r="P13" s="43">
        <v>407</v>
      </c>
      <c r="Q13" s="43" t="str">
        <f>'[2]All Counts'!P13</f>
        <v>PeMS2016</v>
      </c>
      <c r="S13" s="94">
        <v>473</v>
      </c>
      <c r="T13" s="17">
        <v>9971</v>
      </c>
      <c r="U13" s="17">
        <v>8831.734375</v>
      </c>
      <c r="V13" s="17"/>
      <c r="W13" s="17"/>
      <c r="X13" s="17"/>
      <c r="Y13" s="17"/>
      <c r="Z13" s="17"/>
      <c r="AA13" s="17"/>
      <c r="AB13" s="17">
        <v>9971</v>
      </c>
      <c r="AC13" s="17">
        <v>8831.734375</v>
      </c>
      <c r="AD13"/>
      <c r="AE13"/>
    </row>
    <row r="14" spans="1:31" x14ac:dyDescent="0.25">
      <c r="A14" s="136">
        <f>'[2]All Counts'!C14</f>
        <v>21</v>
      </c>
      <c r="B14" s="136">
        <f>'[2]All Counts'!D14</f>
        <v>3</v>
      </c>
      <c r="C14" s="136">
        <f>'[2]All Counts'!E14</f>
        <v>29049</v>
      </c>
      <c r="D14" s="136">
        <f>'[2]All Counts'!F14</f>
        <v>1</v>
      </c>
      <c r="E14" s="136">
        <f>'[2]All Counts'!G14</f>
        <v>1</v>
      </c>
      <c r="F14" s="136" t="str">
        <f>'[2]All Counts'!H14</f>
        <v>SR-94 WB</v>
      </c>
      <c r="G14" s="136">
        <f>'[2]All Counts'!I14</f>
        <v>24</v>
      </c>
      <c r="H14" s="136">
        <f>'[2]All Counts'!J14</f>
        <v>0</v>
      </c>
      <c r="I14" s="136" t="str">
        <f>'[2]All Counts'!K14</f>
        <v>I-805 NB</v>
      </c>
      <c r="J14" s="136" t="str">
        <f>'[2]All Counts'!L14</f>
        <v>HOME</v>
      </c>
      <c r="K14" s="136">
        <f>'[2]All Counts'!O14</f>
        <v>12622</v>
      </c>
      <c r="L14" s="57">
        <f>VLOOKUP(ws[[#This Row],[hwycov_id]],readme!D:G,4,FALSE)</f>
        <v>13892.342773</v>
      </c>
      <c r="M14" s="88">
        <f>ws[[#This Row],[flow]]/ws[[#This Row],[count]]-1</f>
        <v>0.1006451254159404</v>
      </c>
      <c r="N14" s="89">
        <f>POWER((ws[[#This Row],[flow]]-ws[[#This Row],[count]]),2)</f>
        <v>1613770.7609133304</v>
      </c>
      <c r="O14" s="43">
        <f>VLOOKUP(ws[[#This Row],[hwycov_id]],count[],6,FALSE)</f>
        <v>0</v>
      </c>
      <c r="P14" s="43">
        <v>400</v>
      </c>
      <c r="Q14" s="43" t="str">
        <f>'[2]All Counts'!P14</f>
        <v>PeMS2016</v>
      </c>
      <c r="S14" s="94">
        <v>474</v>
      </c>
      <c r="T14" s="17"/>
      <c r="U14" s="17"/>
      <c r="V14" s="17"/>
      <c r="W14" s="17"/>
      <c r="X14" s="17">
        <v>15802</v>
      </c>
      <c r="Y14" s="17">
        <v>19872.023438</v>
      </c>
      <c r="Z14" s="17"/>
      <c r="AA14" s="17"/>
      <c r="AB14" s="17">
        <v>15802</v>
      </c>
      <c r="AC14" s="17">
        <v>19872.023438</v>
      </c>
      <c r="AD14"/>
      <c r="AE14"/>
    </row>
    <row r="15" spans="1:31" x14ac:dyDescent="0.25">
      <c r="A15" s="136">
        <f>'[2]All Counts'!C15</f>
        <v>21</v>
      </c>
      <c r="B15" s="136">
        <f>'[2]All Counts'!D15</f>
        <v>3</v>
      </c>
      <c r="C15" s="136">
        <f>'[2]All Counts'!E15</f>
        <v>27614</v>
      </c>
      <c r="D15" s="136">
        <f>'[2]All Counts'!F15</f>
        <v>1</v>
      </c>
      <c r="E15" s="136">
        <f>'[2]All Counts'!G15</f>
        <v>1</v>
      </c>
      <c r="F15" s="136" t="str">
        <f>'[2]All Counts'!H15</f>
        <v>SR-94 WB</v>
      </c>
      <c r="G15" s="136">
        <f>'[2]All Counts'!I15</f>
        <v>26</v>
      </c>
      <c r="H15" s="136">
        <f>'[2]All Counts'!J15</f>
        <v>0</v>
      </c>
      <c r="I15" s="136" t="str">
        <f>'[2]All Counts'!K15</f>
        <v>HOME</v>
      </c>
      <c r="J15" s="136" t="str">
        <f>'[2]All Counts'!L15</f>
        <v>SR-15 NB</v>
      </c>
      <c r="K15" s="136">
        <f>'[2]All Counts'!O15</f>
        <v>14485</v>
      </c>
      <c r="L15" s="57">
        <f>VLOOKUP(ws[[#This Row],[hwycov_id]],readme!D:G,4,FALSE)</f>
        <v>15504.049805000001</v>
      </c>
      <c r="M15" s="88">
        <f>ws[[#This Row],[flow]]/ws[[#This Row],[count]]-1</f>
        <v>7.0352074905074335E-2</v>
      </c>
      <c r="N15" s="89">
        <f>POWER((ws[[#This Row],[flow]]-ws[[#This Row],[count]]),2)</f>
        <v>1038462.5050705392</v>
      </c>
      <c r="O15" s="43">
        <f>VLOOKUP(ws[[#This Row],[hwycov_id]],count[],6,FALSE)</f>
        <v>0</v>
      </c>
      <c r="P15" s="43">
        <v>412</v>
      </c>
      <c r="Q15" s="43" t="str">
        <f>'[2]All Counts'!P15</f>
        <v>PeMS2016</v>
      </c>
      <c r="S15" s="94">
        <v>510</v>
      </c>
      <c r="T15" s="17">
        <v>9553</v>
      </c>
      <c r="U15" s="17">
        <v>9763.4189449999994</v>
      </c>
      <c r="V15" s="17"/>
      <c r="W15" s="17"/>
      <c r="X15" s="17"/>
      <c r="Y15" s="17"/>
      <c r="Z15" s="17"/>
      <c r="AA15" s="17"/>
      <c r="AB15" s="17">
        <v>9553</v>
      </c>
      <c r="AC15" s="17">
        <v>9763.4189449999994</v>
      </c>
      <c r="AD15"/>
      <c r="AE15"/>
    </row>
    <row r="16" spans="1:31" x14ac:dyDescent="0.25">
      <c r="A16" s="136">
        <f>'[2]All Counts'!C16</f>
        <v>21</v>
      </c>
      <c r="B16" s="136">
        <f>'[2]All Counts'!D16</f>
        <v>3</v>
      </c>
      <c r="C16" s="136">
        <f>'[2]All Counts'!E16</f>
        <v>29051</v>
      </c>
      <c r="D16" s="136">
        <f>'[2]All Counts'!F16</f>
        <v>1</v>
      </c>
      <c r="E16" s="136">
        <f>'[2]All Counts'!G16</f>
        <v>1</v>
      </c>
      <c r="F16" s="136" t="str">
        <f>'[2]All Counts'!H16</f>
        <v>SR-94 WB</v>
      </c>
      <c r="G16" s="136">
        <f>'[2]All Counts'!I16</f>
        <v>27</v>
      </c>
      <c r="H16" s="136">
        <f>'[2]All Counts'!J16</f>
        <v>0</v>
      </c>
      <c r="I16" s="136" t="str">
        <f>'[2]All Counts'!K16</f>
        <v>SR-15 SB</v>
      </c>
      <c r="J16" s="136" t="str">
        <f>'[2]All Counts'!L16</f>
        <v>SR-15 SB</v>
      </c>
      <c r="K16" s="136">
        <f>'[2]All Counts'!O16</f>
        <v>11868</v>
      </c>
      <c r="L16" s="57">
        <f>VLOOKUP(ws[[#This Row],[hwycov_id]],readme!D:G,4,FALSE)</f>
        <v>12675.560546999999</v>
      </c>
      <c r="M16" s="88">
        <f>ws[[#This Row],[flow]]/ws[[#This Row],[count]]-1</f>
        <v>6.8045209555106068E-2</v>
      </c>
      <c r="N16" s="89">
        <f>POWER((ws[[#This Row],[flow]]-ws[[#This Row],[count]]),2)</f>
        <v>652154.0370709378</v>
      </c>
      <c r="O16" s="43">
        <f>VLOOKUP(ws[[#This Row],[hwycov_id]],count[],6,FALSE)</f>
        <v>0</v>
      </c>
      <c r="P16" s="43">
        <v>368</v>
      </c>
      <c r="Q16" s="43" t="str">
        <f>'[2]All Counts'!P16</f>
        <v>PeMS2016</v>
      </c>
      <c r="S16" s="94">
        <v>512</v>
      </c>
      <c r="T16" s="17">
        <v>8158</v>
      </c>
      <c r="U16" s="17">
        <v>9136.4882809999999</v>
      </c>
      <c r="V16" s="17"/>
      <c r="W16" s="17"/>
      <c r="X16" s="17"/>
      <c r="Y16" s="17"/>
      <c r="Z16" s="17"/>
      <c r="AA16" s="17"/>
      <c r="AB16" s="17">
        <v>8158</v>
      </c>
      <c r="AC16" s="17">
        <v>9136.4882809999999</v>
      </c>
      <c r="AD16"/>
      <c r="AE16"/>
    </row>
    <row r="17" spans="1:31" x14ac:dyDescent="0.25">
      <c r="A17" s="136">
        <f>'[2]All Counts'!C17</f>
        <v>21</v>
      </c>
      <c r="B17" s="136">
        <f>'[2]All Counts'!D17</f>
        <v>3</v>
      </c>
      <c r="C17" s="136">
        <f>'[2]All Counts'!E17</f>
        <v>15854</v>
      </c>
      <c r="D17" s="136">
        <f>'[2]All Counts'!F17</f>
        <v>1</v>
      </c>
      <c r="E17" s="136">
        <f>'[2]All Counts'!G17</f>
        <v>1</v>
      </c>
      <c r="F17" s="136" t="str">
        <f>'[2]All Counts'!H17</f>
        <v>SR-94 WB</v>
      </c>
      <c r="G17" s="136">
        <f>'[2]All Counts'!I17</f>
        <v>31</v>
      </c>
      <c r="H17" s="136">
        <f>'[2]All Counts'!J17</f>
        <v>0</v>
      </c>
      <c r="I17" s="136" t="str">
        <f>'[2]All Counts'!K17</f>
        <v>32ND</v>
      </c>
      <c r="J17" s="136" t="str">
        <f>'[2]All Counts'!L17</f>
        <v>28TH</v>
      </c>
      <c r="K17" s="136">
        <f>'[2]All Counts'!O17</f>
        <v>13758</v>
      </c>
      <c r="L17" s="57">
        <f>VLOOKUP(ws[[#This Row],[hwycov_id]],readme!D:G,4,FALSE)</f>
        <v>14145.419921999999</v>
      </c>
      <c r="M17" s="88">
        <f>ws[[#This Row],[flow]]/ws[[#This Row],[count]]-1</f>
        <v>2.8159610553859515E-2</v>
      </c>
      <c r="N17" s="89">
        <f>POWER((ws[[#This Row],[flow]]-ws[[#This Row],[count]]),2)</f>
        <v>150094.19596248542</v>
      </c>
      <c r="O17" s="43">
        <f>VLOOKUP(ws[[#This Row],[hwycov_id]],count[],6,FALSE)</f>
        <v>0</v>
      </c>
      <c r="P17" s="43">
        <v>415</v>
      </c>
      <c r="Q17" s="43" t="str">
        <f>'[2]All Counts'!P17</f>
        <v>PeMS2016</v>
      </c>
      <c r="S17" s="94">
        <v>513</v>
      </c>
      <c r="T17" s="17"/>
      <c r="U17" s="17"/>
      <c r="V17" s="17">
        <v>2933</v>
      </c>
      <c r="W17" s="17">
        <v>2260.2270509999998</v>
      </c>
      <c r="X17" s="17"/>
      <c r="Y17" s="17"/>
      <c r="Z17" s="17"/>
      <c r="AA17" s="17"/>
      <c r="AB17" s="17">
        <v>2933</v>
      </c>
      <c r="AC17" s="17">
        <v>2260.2270509999998</v>
      </c>
      <c r="AD17"/>
      <c r="AE17"/>
    </row>
    <row r="18" spans="1:31" x14ac:dyDescent="0.25">
      <c r="A18" s="136">
        <f>'[2]All Counts'!C18</f>
        <v>21</v>
      </c>
      <c r="B18" s="136">
        <f>'[2]All Counts'!D18</f>
        <v>3</v>
      </c>
      <c r="C18" s="136">
        <f>'[2]All Counts'!E18</f>
        <v>15856</v>
      </c>
      <c r="D18" s="136">
        <f>'[2]All Counts'!F18</f>
        <v>1</v>
      </c>
      <c r="E18" s="136">
        <f>'[2]All Counts'!G18</f>
        <v>1</v>
      </c>
      <c r="F18" s="136" t="str">
        <f>'[2]All Counts'!H18</f>
        <v>SR-94 WB</v>
      </c>
      <c r="G18" s="136">
        <f>'[2]All Counts'!I18</f>
        <v>32</v>
      </c>
      <c r="H18" s="136">
        <f>'[2]All Counts'!J18</f>
        <v>0</v>
      </c>
      <c r="I18" s="136" t="str">
        <f>'[2]All Counts'!K18</f>
        <v>28TH</v>
      </c>
      <c r="J18" s="136" t="str">
        <f>'[2]All Counts'!L18</f>
        <v>28TH</v>
      </c>
      <c r="K18" s="136">
        <f>'[2]All Counts'!O18</f>
        <v>12035</v>
      </c>
      <c r="L18" s="57">
        <f>VLOOKUP(ws[[#This Row],[hwycov_id]],readme!D:G,4,FALSE)</f>
        <v>12521.715819999999</v>
      </c>
      <c r="M18" s="88">
        <f>ws[[#This Row],[flow]]/ws[[#This Row],[count]]-1</f>
        <v>4.0441696717905984E-2</v>
      </c>
      <c r="N18" s="89">
        <f>POWER((ws[[#This Row],[flow]]-ws[[#This Row],[count]]),2)</f>
        <v>236892.28943827187</v>
      </c>
      <c r="O18" s="43">
        <f>VLOOKUP(ws[[#This Row],[hwycov_id]],count[],6,FALSE)</f>
        <v>0</v>
      </c>
      <c r="P18" s="43">
        <v>396</v>
      </c>
      <c r="Q18" s="43" t="str">
        <f>'[2]All Counts'!P18</f>
        <v>PeMS2016</v>
      </c>
      <c r="S18" s="94">
        <v>516</v>
      </c>
      <c r="T18" s="17">
        <v>24337</v>
      </c>
      <c r="U18" s="17">
        <v>30733.279297000001</v>
      </c>
      <c r="V18" s="17"/>
      <c r="W18" s="17"/>
      <c r="X18" s="17"/>
      <c r="Y18" s="17"/>
      <c r="Z18" s="17"/>
      <c r="AA18" s="17"/>
      <c r="AB18" s="17">
        <v>24337</v>
      </c>
      <c r="AC18" s="17">
        <v>30733.279297000001</v>
      </c>
      <c r="AD18"/>
      <c r="AE18"/>
    </row>
    <row r="19" spans="1:31" x14ac:dyDescent="0.25">
      <c r="A19" s="136">
        <f>'[2]All Counts'!C19</f>
        <v>21</v>
      </c>
      <c r="B19" s="136">
        <f>'[2]All Counts'!D19</f>
        <v>3</v>
      </c>
      <c r="C19" s="136">
        <f>'[2]All Counts'!E19</f>
        <v>15857</v>
      </c>
      <c r="D19" s="136">
        <f>'[2]All Counts'!F19</f>
        <v>1</v>
      </c>
      <c r="E19" s="136">
        <f>'[2]All Counts'!G19</f>
        <v>1</v>
      </c>
      <c r="F19" s="136" t="str">
        <f>'[2]All Counts'!H19</f>
        <v>SR-94 WB</v>
      </c>
      <c r="G19" s="136">
        <f>'[2]All Counts'!I19</f>
        <v>33</v>
      </c>
      <c r="H19" s="136">
        <f>'[2]All Counts'!J19</f>
        <v>0</v>
      </c>
      <c r="I19" s="136" t="str">
        <f>'[2]All Counts'!K19</f>
        <v>28TH</v>
      </c>
      <c r="J19" s="136" t="str">
        <f>'[2]All Counts'!L19</f>
        <v>25TH</v>
      </c>
      <c r="K19" s="136">
        <f>'[2]All Counts'!O19</f>
        <v>12035</v>
      </c>
      <c r="L19" s="57">
        <f>VLOOKUP(ws[[#This Row],[hwycov_id]],readme!D:G,4,FALSE)</f>
        <v>12742.094727</v>
      </c>
      <c r="M19" s="88">
        <f>ws[[#This Row],[flow]]/ws[[#This Row],[count]]-1</f>
        <v>5.875319709181559E-2</v>
      </c>
      <c r="N19" s="89">
        <f>POWER((ws[[#This Row],[flow]]-ws[[#This Row],[count]]),2)</f>
        <v>499982.95295120409</v>
      </c>
      <c r="O19" s="43">
        <f>VLOOKUP(ws[[#This Row],[hwycov_id]],count[],6,FALSE)</f>
        <v>0</v>
      </c>
      <c r="P19" s="43">
        <v>416</v>
      </c>
      <c r="Q19" s="43" t="str">
        <f>'[2]All Counts'!P19</f>
        <v>PeMS2016</v>
      </c>
      <c r="S19" s="94">
        <v>525</v>
      </c>
      <c r="T19" s="17"/>
      <c r="U19" s="17"/>
      <c r="V19" s="17">
        <v>5214</v>
      </c>
      <c r="W19" s="17">
        <v>4912.2539059999999</v>
      </c>
      <c r="X19" s="17"/>
      <c r="Y19" s="17"/>
      <c r="Z19" s="17"/>
      <c r="AA19" s="17"/>
      <c r="AB19" s="17">
        <v>5214</v>
      </c>
      <c r="AC19" s="17">
        <v>4912.2539059999999</v>
      </c>
      <c r="AD19"/>
      <c r="AE19"/>
    </row>
    <row r="20" spans="1:31" x14ac:dyDescent="0.25">
      <c r="A20" s="136">
        <f>'[2]All Counts'!C20</f>
        <v>21</v>
      </c>
      <c r="B20" s="136">
        <f>'[2]All Counts'!D20</f>
        <v>3</v>
      </c>
      <c r="C20" s="136">
        <f>'[2]All Counts'!E20</f>
        <v>15862</v>
      </c>
      <c r="D20" s="136">
        <f>'[2]All Counts'!F20</f>
        <v>1</v>
      </c>
      <c r="E20" s="136">
        <f>'[2]All Counts'!G20</f>
        <v>1</v>
      </c>
      <c r="F20" s="136" t="str">
        <f>'[2]All Counts'!H20</f>
        <v>SR-94 WB</v>
      </c>
      <c r="G20" s="136">
        <f>'[2]All Counts'!I20</f>
        <v>34</v>
      </c>
      <c r="H20" s="136">
        <f>'[2]All Counts'!J20</f>
        <v>0</v>
      </c>
      <c r="I20" s="136" t="str">
        <f>'[2]All Counts'!K20</f>
        <v>25TH</v>
      </c>
      <c r="J20" s="136" t="str">
        <f>'[2]All Counts'!L20</f>
        <v>I-5 NB</v>
      </c>
      <c r="K20" s="136">
        <f>'[2]All Counts'!O20</f>
        <v>11230</v>
      </c>
      <c r="L20" s="57">
        <f>VLOOKUP(ws[[#This Row],[hwycov_id]],readme!D:G,4,FALSE)</f>
        <v>11834.413086</v>
      </c>
      <c r="M20" s="88">
        <f>ws[[#This Row],[flow]]/ws[[#This Row],[count]]-1</f>
        <v>5.3821289937667105E-2</v>
      </c>
      <c r="N20" s="89">
        <f>POWER((ws[[#This Row],[flow]]-ws[[#This Row],[count]]),2)</f>
        <v>365315.17852804397</v>
      </c>
      <c r="O20" s="43">
        <f>VLOOKUP(ws[[#This Row],[hwycov_id]],count[],6,FALSE)</f>
        <v>0</v>
      </c>
      <c r="P20" s="43">
        <v>375</v>
      </c>
      <c r="Q20" s="43" t="str">
        <f>'[2]All Counts'!P20</f>
        <v>PeMS2016</v>
      </c>
      <c r="S20" s="94">
        <v>526</v>
      </c>
      <c r="T20" s="17">
        <v>8034</v>
      </c>
      <c r="U20" s="17">
        <v>9712.640625</v>
      </c>
      <c r="V20" s="17"/>
      <c r="W20" s="17"/>
      <c r="X20" s="17"/>
      <c r="Y20" s="17"/>
      <c r="Z20" s="17"/>
      <c r="AA20" s="17"/>
      <c r="AB20" s="17">
        <v>8034</v>
      </c>
      <c r="AC20" s="17">
        <v>9712.640625</v>
      </c>
      <c r="AD20"/>
      <c r="AE20"/>
    </row>
    <row r="21" spans="1:31" x14ac:dyDescent="0.25">
      <c r="A21" s="136">
        <f>'[2]All Counts'!C21</f>
        <v>21</v>
      </c>
      <c r="B21" s="136">
        <f>'[2]All Counts'!D21</f>
        <v>3</v>
      </c>
      <c r="C21" s="136">
        <f>'[2]All Counts'!E21</f>
        <v>15863</v>
      </c>
      <c r="D21" s="136">
        <f>'[2]All Counts'!F21</f>
        <v>1</v>
      </c>
      <c r="E21" s="136">
        <f>'[2]All Counts'!G21</f>
        <v>1</v>
      </c>
      <c r="F21" s="136" t="str">
        <f>'[2]All Counts'!H21</f>
        <v>SR-94 WB</v>
      </c>
      <c r="G21" s="136">
        <f>'[2]All Counts'!I21</f>
        <v>36</v>
      </c>
      <c r="H21" s="136">
        <f>'[2]All Counts'!J21</f>
        <v>0</v>
      </c>
      <c r="I21" s="136" t="str">
        <f>'[2]All Counts'!K21</f>
        <v>F</v>
      </c>
      <c r="J21" s="136" t="str">
        <f>'[2]All Counts'!L21</f>
        <v>F</v>
      </c>
      <c r="K21" s="136">
        <f>'[2]All Counts'!O21</f>
        <v>4738</v>
      </c>
      <c r="L21" s="57">
        <f>VLOOKUP(ws[[#This Row],[hwycov_id]],readme!D:G,4,FALSE)</f>
        <v>5167.0859380000002</v>
      </c>
      <c r="M21" s="88">
        <f>ws[[#This Row],[flow]]/ws[[#This Row],[count]]-1</f>
        <v>9.0562671591388755E-2</v>
      </c>
      <c r="N21" s="89">
        <f>POWER((ws[[#This Row],[flow]]-ws[[#This Row],[count]]),2)</f>
        <v>184114.74218934</v>
      </c>
      <c r="O21" s="43">
        <f>VLOOKUP(ws[[#This Row],[hwycov_id]],count[],6,FALSE)</f>
        <v>0</v>
      </c>
      <c r="P21" s="43">
        <v>381</v>
      </c>
      <c r="Q21" s="43" t="str">
        <f>'[2]All Counts'!P21</f>
        <v>PeMS2016</v>
      </c>
      <c r="S21" s="94">
        <v>553</v>
      </c>
      <c r="T21" s="17"/>
      <c r="U21" s="17"/>
      <c r="V21" s="17">
        <v>5376</v>
      </c>
      <c r="W21" s="17">
        <v>4118.1098629999997</v>
      </c>
      <c r="X21" s="17"/>
      <c r="Y21" s="17"/>
      <c r="Z21" s="17"/>
      <c r="AA21" s="17"/>
      <c r="AB21" s="17">
        <v>5376</v>
      </c>
      <c r="AC21" s="17">
        <v>4118.1098629999997</v>
      </c>
      <c r="AD21"/>
      <c r="AE21"/>
    </row>
    <row r="22" spans="1:31" x14ac:dyDescent="0.25">
      <c r="A22" s="136">
        <f>'[2]All Counts'!C22</f>
        <v>20</v>
      </c>
      <c r="B22" s="136">
        <f>'[2]All Counts'!D22</f>
        <v>3</v>
      </c>
      <c r="C22" s="136">
        <f>'[2]All Counts'!E22</f>
        <v>10015</v>
      </c>
      <c r="D22" s="136">
        <f>'[2]All Counts'!F22</f>
        <v>1</v>
      </c>
      <c r="E22" s="136">
        <f>'[2]All Counts'!G22</f>
        <v>1</v>
      </c>
      <c r="F22" s="136" t="str">
        <f>'[2]All Counts'!H22</f>
        <v>SR-905 WB</v>
      </c>
      <c r="G22" s="136">
        <f>'[2]All Counts'!I22</f>
        <v>1</v>
      </c>
      <c r="H22" s="136">
        <f>'[2]All Counts'!J22</f>
        <v>0</v>
      </c>
      <c r="I22" s="136" t="str">
        <f>'[2]All Counts'!K22</f>
        <v>MEXICAN BORDER</v>
      </c>
      <c r="J22" s="136" t="str">
        <f>'[2]All Counts'!L22</f>
        <v>LRT-905</v>
      </c>
      <c r="K22" s="136">
        <f>'[2]All Counts'!O22</f>
        <v>3469</v>
      </c>
      <c r="L22" s="57">
        <f>VLOOKUP(ws[[#This Row],[hwycov_id]],readme!D:G,4,FALSE)</f>
        <v>1967.7967530000001</v>
      </c>
      <c r="M22" s="88">
        <f>ws[[#This Row],[flow]]/ws[[#This Row],[count]]-1</f>
        <v>-0.43274812539636776</v>
      </c>
      <c r="N22" s="89">
        <f>POWER((ws[[#This Row],[flow]]-ws[[#This Row],[count]]),2)</f>
        <v>2253611.1888033426</v>
      </c>
      <c r="O22" s="43">
        <f>VLOOKUP(ws[[#This Row],[hwycov_id]],count[],6,FALSE)</f>
        <v>0</v>
      </c>
      <c r="P22" s="43">
        <v>385</v>
      </c>
      <c r="Q22" s="43" t="str">
        <f>'[2]All Counts'!P22</f>
        <v>Caltran</v>
      </c>
      <c r="S22" s="94">
        <v>554</v>
      </c>
      <c r="T22" s="17">
        <v>28594</v>
      </c>
      <c r="U22" s="17">
        <v>34795.949219000002</v>
      </c>
      <c r="V22" s="17"/>
      <c r="W22" s="17"/>
      <c r="X22" s="17"/>
      <c r="Y22" s="17"/>
      <c r="Z22" s="17"/>
      <c r="AA22" s="17"/>
      <c r="AB22" s="17">
        <v>28594</v>
      </c>
      <c r="AC22" s="17">
        <v>34795.949219000002</v>
      </c>
      <c r="AD22"/>
      <c r="AE22"/>
    </row>
    <row r="23" spans="1:31" x14ac:dyDescent="0.25">
      <c r="A23" s="136">
        <f>'[2]All Counts'!C23</f>
        <v>20</v>
      </c>
      <c r="B23" s="136">
        <f>'[2]All Counts'!D23</f>
        <v>3</v>
      </c>
      <c r="C23" s="136">
        <f>'[2]All Counts'!E23</f>
        <v>8185</v>
      </c>
      <c r="D23" s="136">
        <f>'[2]All Counts'!F23</f>
        <v>1</v>
      </c>
      <c r="E23" s="136">
        <f>'[2]All Counts'!G23</f>
        <v>1</v>
      </c>
      <c r="F23" s="136" t="str">
        <f>'[2]All Counts'!H23</f>
        <v>SR-905 WB</v>
      </c>
      <c r="G23" s="136">
        <f>'[2]All Counts'!I23</f>
        <v>2</v>
      </c>
      <c r="H23" s="136">
        <f>'[2]All Counts'!J23</f>
        <v>0</v>
      </c>
      <c r="I23" s="136" t="str">
        <f>'[2]All Counts'!K23</f>
        <v>LRT-905</v>
      </c>
      <c r="J23" s="136" t="str">
        <f>'[2]All Counts'!L23</f>
        <v>LRT-905</v>
      </c>
      <c r="K23" s="136">
        <f>'[2]All Counts'!O23</f>
        <v>3809</v>
      </c>
      <c r="L23" s="57">
        <f>VLOOKUP(ws[[#This Row],[hwycov_id]],readme!D:G,4,FALSE)</f>
        <v>1783.061279</v>
      </c>
      <c r="M23" s="88">
        <f>ws[[#This Row],[flow]]/ws[[#This Row],[count]]-1</f>
        <v>-0.53188204804410599</v>
      </c>
      <c r="N23" s="89">
        <f>POWER((ws[[#This Row],[flow]]-ws[[#This Row],[count]]),2)</f>
        <v>4104427.7012471156</v>
      </c>
      <c r="O23" s="43">
        <f>VLOOKUP(ws[[#This Row],[hwycov_id]],count[],6,FALSE)</f>
        <v>0</v>
      </c>
      <c r="P23" s="43">
        <v>439</v>
      </c>
      <c r="Q23" s="43" t="str">
        <f>'[2]All Counts'!P23</f>
        <v>PeMS2016</v>
      </c>
      <c r="S23" s="94">
        <v>556</v>
      </c>
      <c r="T23" s="17">
        <v>25479</v>
      </c>
      <c r="U23" s="17">
        <v>30023.519531000002</v>
      </c>
      <c r="V23" s="17"/>
      <c r="W23" s="17"/>
      <c r="X23" s="17"/>
      <c r="Y23" s="17"/>
      <c r="Z23" s="17"/>
      <c r="AA23" s="17"/>
      <c r="AB23" s="17">
        <v>25479</v>
      </c>
      <c r="AC23" s="17">
        <v>30023.519531000002</v>
      </c>
      <c r="AD23"/>
      <c r="AE23"/>
    </row>
    <row r="24" spans="1:31" x14ac:dyDescent="0.25">
      <c r="A24" s="136">
        <f>'[2]All Counts'!C24</f>
        <v>20</v>
      </c>
      <c r="B24" s="136">
        <f>'[2]All Counts'!D24</f>
        <v>3</v>
      </c>
      <c r="C24" s="136">
        <f>'[2]All Counts'!E24</f>
        <v>10002</v>
      </c>
      <c r="D24" s="136">
        <f>'[2]All Counts'!F24</f>
        <v>1</v>
      </c>
      <c r="E24" s="136">
        <f>'[2]All Counts'!G24</f>
        <v>1</v>
      </c>
      <c r="F24" s="136" t="str">
        <f>'[2]All Counts'!H24</f>
        <v>SR-905 WB</v>
      </c>
      <c r="G24" s="136">
        <f>'[2]All Counts'!I24</f>
        <v>3</v>
      </c>
      <c r="H24" s="136">
        <f>'[2]All Counts'!J24</f>
        <v>0</v>
      </c>
      <c r="I24" s="136" t="str">
        <f>'[2]All Counts'!K24</f>
        <v>LRT-905</v>
      </c>
      <c r="J24" s="136" t="str">
        <f>'[2]All Counts'!L24</f>
        <v>SR-125 NB</v>
      </c>
      <c r="K24" s="136">
        <f>'[2]All Counts'!O24</f>
        <v>6715</v>
      </c>
      <c r="L24" s="57">
        <f>VLOOKUP(ws[[#This Row],[hwycov_id]],readme!D:G,4,FALSE)</f>
        <v>3780.9726559999999</v>
      </c>
      <c r="M24" s="88">
        <f>ws[[#This Row],[flow]]/ws[[#This Row],[count]]-1</f>
        <v>-0.43693631332836935</v>
      </c>
      <c r="N24" s="89">
        <f>POWER((ws[[#This Row],[flow]]-ws[[#This Row],[count]]),2)</f>
        <v>8608516.4553396944</v>
      </c>
      <c r="O24" s="43">
        <f>VLOOKUP(ws[[#This Row],[hwycov_id]],count[],6,FALSE)</f>
        <v>0</v>
      </c>
      <c r="P24" s="43">
        <v>448</v>
      </c>
      <c r="Q24" s="43" t="str">
        <f>'[2]All Counts'!P24</f>
        <v>PeMS2016</v>
      </c>
      <c r="S24" s="94">
        <v>558</v>
      </c>
      <c r="T24" s="17">
        <v>19188</v>
      </c>
      <c r="U24" s="17">
        <v>17664.904297000001</v>
      </c>
      <c r="V24" s="17"/>
      <c r="W24" s="17"/>
      <c r="X24" s="17"/>
      <c r="Y24" s="17"/>
      <c r="Z24" s="17"/>
      <c r="AA24" s="17"/>
      <c r="AB24" s="17">
        <v>19188</v>
      </c>
      <c r="AC24" s="17">
        <v>17664.904297000001</v>
      </c>
      <c r="AD24"/>
      <c r="AE24"/>
    </row>
    <row r="25" spans="1:31" x14ac:dyDescent="0.25">
      <c r="A25" s="136">
        <f>'[2]All Counts'!C25</f>
        <v>20</v>
      </c>
      <c r="B25" s="136">
        <f>'[2]All Counts'!D25</f>
        <v>3</v>
      </c>
      <c r="C25" s="136">
        <f>'[2]All Counts'!E25</f>
        <v>29158</v>
      </c>
      <c r="D25" s="136">
        <f>'[2]All Counts'!F25</f>
        <v>1</v>
      </c>
      <c r="E25" s="136">
        <f>'[2]All Counts'!G25</f>
        <v>1</v>
      </c>
      <c r="F25" s="136" t="str">
        <f>'[2]All Counts'!H25</f>
        <v>SR-905 WB</v>
      </c>
      <c r="G25" s="136">
        <f>'[2]All Counts'!I25</f>
        <v>5</v>
      </c>
      <c r="H25" s="136">
        <f>'[2]All Counts'!J25</f>
        <v>0</v>
      </c>
      <c r="I25" s="136">
        <f>'[2]All Counts'!K25</f>
        <v>0</v>
      </c>
      <c r="J25" s="136" t="str">
        <f>'[2]All Counts'!L25</f>
        <v>SR-125 SB</v>
      </c>
      <c r="K25" s="136">
        <f>'[2]All Counts'!O25</f>
        <v>5378</v>
      </c>
      <c r="L25" s="57">
        <f>VLOOKUP(ws[[#This Row],[hwycov_id]],readme!D:G,4,FALSE)</f>
        <v>3744.255615</v>
      </c>
      <c r="M25" s="88">
        <f>ws[[#This Row],[flow]]/ws[[#This Row],[count]]-1</f>
        <v>-0.30378289047973228</v>
      </c>
      <c r="N25" s="89">
        <f>POWER((ws[[#This Row],[flow]]-ws[[#This Row],[count]]),2)</f>
        <v>2669120.7155190283</v>
      </c>
      <c r="O25" s="43">
        <f>VLOOKUP(ws[[#This Row],[hwycov_id]],count[],6,FALSE)</f>
        <v>0</v>
      </c>
      <c r="P25" s="43">
        <v>353</v>
      </c>
      <c r="Q25" s="43" t="str">
        <f>'[2]All Counts'!P25</f>
        <v>PeMS2016</v>
      </c>
      <c r="S25" s="94">
        <v>568</v>
      </c>
      <c r="T25" s="17"/>
      <c r="U25" s="17"/>
      <c r="V25" s="17">
        <v>18692</v>
      </c>
      <c r="W25" s="17">
        <v>20140.960938</v>
      </c>
      <c r="X25" s="17"/>
      <c r="Y25" s="17"/>
      <c r="Z25" s="17"/>
      <c r="AA25" s="17"/>
      <c r="AB25" s="17">
        <v>18692</v>
      </c>
      <c r="AC25" s="17">
        <v>20140.960938</v>
      </c>
      <c r="AD25"/>
      <c r="AE25"/>
    </row>
    <row r="26" spans="1:31" x14ac:dyDescent="0.25">
      <c r="A26" s="136">
        <f>'[2]All Counts'!C26</f>
        <v>20</v>
      </c>
      <c r="B26" s="136">
        <f>'[2]All Counts'!D26</f>
        <v>3</v>
      </c>
      <c r="C26" s="136">
        <f>'[2]All Counts'!E26</f>
        <v>27724</v>
      </c>
      <c r="D26" s="136">
        <f>'[2]All Counts'!F26</f>
        <v>1</v>
      </c>
      <c r="E26" s="136">
        <f>'[2]All Counts'!G26</f>
        <v>1</v>
      </c>
      <c r="F26" s="136" t="str">
        <f>'[2]All Counts'!H26</f>
        <v>SR-905 WB</v>
      </c>
      <c r="G26" s="136">
        <f>'[2]All Counts'!I26</f>
        <v>8</v>
      </c>
      <c r="H26" s="136">
        <f>'[2]All Counts'!J26</f>
        <v>0</v>
      </c>
      <c r="I26" s="136" t="str">
        <f>'[2]All Counts'!K26</f>
        <v>SR-125 SB</v>
      </c>
      <c r="J26" s="136" t="str">
        <f>'[2]All Counts'!L26</f>
        <v>LA MEDIA</v>
      </c>
      <c r="K26" s="136">
        <f>'[2]All Counts'!O26</f>
        <v>6293</v>
      </c>
      <c r="L26" s="57">
        <f>VLOOKUP(ws[[#This Row],[hwycov_id]],readme!D:G,4,FALSE)</f>
        <v>6076.7934569999998</v>
      </c>
      <c r="M26" s="88">
        <f>ws[[#This Row],[flow]]/ws[[#This Row],[count]]-1</f>
        <v>-3.4356672969966695E-2</v>
      </c>
      <c r="N26" s="89">
        <f>POWER((ws[[#This Row],[flow]]-ws[[#This Row],[count]]),2)</f>
        <v>46745.26923601095</v>
      </c>
      <c r="O26" s="43">
        <f>VLOOKUP(ws[[#This Row],[hwycov_id]],count[],6,FALSE)</f>
        <v>0</v>
      </c>
      <c r="P26" s="43">
        <v>481</v>
      </c>
      <c r="Q26" s="43" t="str">
        <f>'[2]All Counts'!P26</f>
        <v>PeMS2016</v>
      </c>
      <c r="S26" s="94">
        <v>570</v>
      </c>
      <c r="T26" s="17"/>
      <c r="U26" s="17"/>
      <c r="V26" s="17">
        <v>23334</v>
      </c>
      <c r="W26" s="17">
        <v>20131.929688</v>
      </c>
      <c r="X26" s="17"/>
      <c r="Y26" s="17"/>
      <c r="Z26" s="17"/>
      <c r="AA26" s="17"/>
      <c r="AB26" s="17">
        <v>23334</v>
      </c>
      <c r="AC26" s="17">
        <v>20131.929688</v>
      </c>
      <c r="AD26"/>
      <c r="AE26"/>
    </row>
    <row r="27" spans="1:31" x14ac:dyDescent="0.25">
      <c r="A27" s="136">
        <f>'[2]All Counts'!C27</f>
        <v>20</v>
      </c>
      <c r="B27" s="136">
        <f>'[2]All Counts'!D27</f>
        <v>3</v>
      </c>
      <c r="C27" s="136">
        <f>'[2]All Counts'!E27</f>
        <v>27721</v>
      </c>
      <c r="D27" s="136">
        <f>'[2]All Counts'!F27</f>
        <v>1</v>
      </c>
      <c r="E27" s="136">
        <f>'[2]All Counts'!G27</f>
        <v>1</v>
      </c>
      <c r="F27" s="136" t="str">
        <f>'[2]All Counts'!H27</f>
        <v>SR-905 WB</v>
      </c>
      <c r="G27" s="136">
        <f>'[2]All Counts'!I27</f>
        <v>10</v>
      </c>
      <c r="H27" s="136">
        <f>'[2]All Counts'!J27</f>
        <v>0</v>
      </c>
      <c r="I27" s="136" t="str">
        <f>'[2]All Counts'!K27</f>
        <v>LA MEDIA</v>
      </c>
      <c r="J27" s="136" t="str">
        <f>'[2]All Counts'!L27</f>
        <v>BRITANNIA</v>
      </c>
      <c r="K27" s="136">
        <f>'[2]All Counts'!O27</f>
        <v>8477</v>
      </c>
      <c r="L27" s="57">
        <f>VLOOKUP(ws[[#This Row],[hwycov_id]],readme!D:G,4,FALSE)</f>
        <v>7753.8090819999998</v>
      </c>
      <c r="M27" s="88">
        <f>ws[[#This Row],[flow]]/ws[[#This Row],[count]]-1</f>
        <v>-8.5312129055090224E-2</v>
      </c>
      <c r="N27" s="89">
        <f>POWER((ws[[#This Row],[flow]]-ws[[#This Row],[count]]),2)</f>
        <v>523005.10387768305</v>
      </c>
      <c r="O27" s="43">
        <f>VLOOKUP(ws[[#This Row],[hwycov_id]],count[],6,FALSE)</f>
        <v>0</v>
      </c>
      <c r="P27" s="43">
        <v>174</v>
      </c>
      <c r="Q27" s="43" t="str">
        <f>'[2]All Counts'!P27</f>
        <v>PeMS2016</v>
      </c>
      <c r="S27" s="94">
        <v>574</v>
      </c>
      <c r="T27" s="17">
        <v>36352</v>
      </c>
      <c r="U27" s="17">
        <v>45436.929687999997</v>
      </c>
      <c r="V27" s="17"/>
      <c r="W27" s="17"/>
      <c r="X27" s="17"/>
      <c r="Y27" s="17"/>
      <c r="Z27" s="17"/>
      <c r="AA27" s="17"/>
      <c r="AB27" s="17">
        <v>36352</v>
      </c>
      <c r="AC27" s="17">
        <v>45436.929687999997</v>
      </c>
      <c r="AD27"/>
      <c r="AE27"/>
    </row>
    <row r="28" spans="1:31" x14ac:dyDescent="0.25">
      <c r="A28" s="136">
        <f>'[2]All Counts'!C28</f>
        <v>20</v>
      </c>
      <c r="B28" s="136">
        <f>'[2]All Counts'!D28</f>
        <v>3</v>
      </c>
      <c r="C28" s="136">
        <f>'[2]All Counts'!E28</f>
        <v>27716</v>
      </c>
      <c r="D28" s="136">
        <f>'[2]All Counts'!F28</f>
        <v>1</v>
      </c>
      <c r="E28" s="136">
        <f>'[2]All Counts'!G28</f>
        <v>1</v>
      </c>
      <c r="F28" s="136" t="str">
        <f>'[2]All Counts'!H28</f>
        <v>SR-905 WB</v>
      </c>
      <c r="G28" s="136">
        <f>'[2]All Counts'!I28</f>
        <v>11</v>
      </c>
      <c r="H28" s="136">
        <f>'[2]All Counts'!J28</f>
        <v>0</v>
      </c>
      <c r="I28" s="136" t="str">
        <f>'[2]All Counts'!K28</f>
        <v>BRITANNIA</v>
      </c>
      <c r="J28" s="136" t="str">
        <f>'[2]All Counts'!L28</f>
        <v>BRITANNIA</v>
      </c>
      <c r="K28" s="136">
        <f>'[2]All Counts'!O28</f>
        <v>7444</v>
      </c>
      <c r="L28" s="57">
        <f>VLOOKUP(ws[[#This Row],[hwycov_id]],readme!D:G,4,FALSE)</f>
        <v>7584.6748049999997</v>
      </c>
      <c r="M28" s="88">
        <f>ws[[#This Row],[flow]]/ws[[#This Row],[count]]-1</f>
        <v>1.8897743820526447E-2</v>
      </c>
      <c r="N28" s="89">
        <f>POWER((ws[[#This Row],[flow]]-ws[[#This Row],[count]]),2)</f>
        <v>19789.400761787925</v>
      </c>
      <c r="O28" s="43">
        <f>VLOOKUP(ws[[#This Row],[hwycov_id]],count[],6,FALSE)</f>
        <v>0</v>
      </c>
      <c r="P28" s="43">
        <v>305</v>
      </c>
      <c r="Q28" s="43" t="str">
        <f>'[2]All Counts'!P28</f>
        <v>PeMS2016</v>
      </c>
      <c r="S28" s="94">
        <v>579</v>
      </c>
      <c r="T28" s="17"/>
      <c r="U28" s="17"/>
      <c r="V28" s="17">
        <v>14033</v>
      </c>
      <c r="W28" s="17">
        <v>15734.662109000001</v>
      </c>
      <c r="X28" s="17"/>
      <c r="Y28" s="17"/>
      <c r="Z28" s="17"/>
      <c r="AA28" s="17"/>
      <c r="AB28" s="17">
        <v>14033</v>
      </c>
      <c r="AC28" s="17">
        <v>15734.662109000001</v>
      </c>
      <c r="AD28"/>
      <c r="AE28"/>
    </row>
    <row r="29" spans="1:31" x14ac:dyDescent="0.25">
      <c r="A29" s="136">
        <f>'[2]All Counts'!C29</f>
        <v>20</v>
      </c>
      <c r="B29" s="136">
        <f>'[2]All Counts'!D29</f>
        <v>3</v>
      </c>
      <c r="C29" s="136">
        <f>'[2]All Counts'!E29</f>
        <v>27719</v>
      </c>
      <c r="D29" s="136">
        <f>'[2]All Counts'!F29</f>
        <v>1</v>
      </c>
      <c r="E29" s="136">
        <f>'[2]All Counts'!G29</f>
        <v>1</v>
      </c>
      <c r="F29" s="136" t="str">
        <f>'[2]All Counts'!H29</f>
        <v>SR-905 WB</v>
      </c>
      <c r="G29" s="136">
        <f>'[2]All Counts'!I29</f>
        <v>12</v>
      </c>
      <c r="H29" s="136">
        <f>'[2]All Counts'!J29</f>
        <v>0</v>
      </c>
      <c r="I29" s="136" t="str">
        <f>'[2]All Counts'!K29</f>
        <v>BRITANNIA</v>
      </c>
      <c r="J29" s="136" t="str">
        <f>'[2]All Counts'!L29</f>
        <v>HERITAGE</v>
      </c>
      <c r="K29" s="136">
        <f>'[2]All Counts'!O29</f>
        <v>12493</v>
      </c>
      <c r="L29" s="57">
        <f>VLOOKUP(ws[[#This Row],[hwycov_id]],readme!D:G,4,FALSE)</f>
        <v>9526.1855469999991</v>
      </c>
      <c r="M29" s="88">
        <f>ws[[#This Row],[flow]]/ws[[#This Row],[count]]-1</f>
        <v>-0.23747814400064038</v>
      </c>
      <c r="N29" s="89">
        <f>POWER((ws[[#This Row],[flow]]-ws[[#This Row],[count]]),2)</f>
        <v>8801987.998529695</v>
      </c>
      <c r="O29" s="43">
        <f>VLOOKUP(ws[[#This Row],[hwycov_id]],count[],6,FALSE)</f>
        <v>0</v>
      </c>
      <c r="P29" s="43">
        <v>507</v>
      </c>
      <c r="Q29" s="43" t="str">
        <f>'[2]All Counts'!P29</f>
        <v>PeMS2016</v>
      </c>
      <c r="S29" s="94">
        <v>589</v>
      </c>
      <c r="T29" s="17">
        <v>11504</v>
      </c>
      <c r="U29" s="17">
        <v>20098.789062</v>
      </c>
      <c r="V29" s="17"/>
      <c r="W29" s="17"/>
      <c r="X29" s="17"/>
      <c r="Y29" s="17"/>
      <c r="Z29" s="17"/>
      <c r="AA29" s="17"/>
      <c r="AB29" s="17">
        <v>11504</v>
      </c>
      <c r="AC29" s="17">
        <v>20098.789062</v>
      </c>
      <c r="AD29"/>
      <c r="AE29"/>
    </row>
    <row r="30" spans="1:31" x14ac:dyDescent="0.25">
      <c r="A30" s="136">
        <f>'[2]All Counts'!C30</f>
        <v>20</v>
      </c>
      <c r="B30" s="136">
        <f>'[2]All Counts'!D30</f>
        <v>3</v>
      </c>
      <c r="C30" s="136">
        <f>'[2]All Counts'!E30</f>
        <v>27741</v>
      </c>
      <c r="D30" s="136">
        <f>'[2]All Counts'!F30</f>
        <v>1</v>
      </c>
      <c r="E30" s="136">
        <f>'[2]All Counts'!G30</f>
        <v>1</v>
      </c>
      <c r="F30" s="136" t="str">
        <f>'[2]All Counts'!H30</f>
        <v>SR-905 WB</v>
      </c>
      <c r="G30" s="136">
        <f>'[2]All Counts'!I30</f>
        <v>14</v>
      </c>
      <c r="H30" s="136">
        <f>'[2]All Counts'!J30</f>
        <v>0</v>
      </c>
      <c r="I30" s="136" t="str">
        <f>'[2]All Counts'!K30</f>
        <v>HERITAGE</v>
      </c>
      <c r="J30" s="136" t="str">
        <f>'[2]All Counts'!L30</f>
        <v>CALIENTE</v>
      </c>
      <c r="K30" s="136">
        <f>'[2]All Counts'!O30</f>
        <v>9861</v>
      </c>
      <c r="L30" s="57">
        <f>VLOOKUP(ws[[#This Row],[hwycov_id]],readme!D:G,4,FALSE)</f>
        <v>9526.1855469999991</v>
      </c>
      <c r="M30" s="88">
        <f>ws[[#This Row],[flow]]/ws[[#This Row],[count]]-1</f>
        <v>-3.3953397525605999E-2</v>
      </c>
      <c r="N30" s="89">
        <f>POWER((ws[[#This Row],[flow]]-ws[[#This Row],[count]]),2)</f>
        <v>112100.71793768978</v>
      </c>
      <c r="O30" s="43">
        <f>VLOOKUP(ws[[#This Row],[hwycov_id]],count[],6,FALSE)</f>
        <v>0</v>
      </c>
      <c r="P30" s="43">
        <v>512</v>
      </c>
      <c r="Q30" s="43" t="str">
        <f>'[2]All Counts'!P30</f>
        <v>PeMS2016</v>
      </c>
      <c r="S30" s="94">
        <v>615</v>
      </c>
      <c r="T30" s="17">
        <v>22142</v>
      </c>
      <c r="U30" s="17">
        <v>28702.935547000001</v>
      </c>
      <c r="V30" s="17"/>
      <c r="W30" s="17"/>
      <c r="X30" s="17"/>
      <c r="Y30" s="17"/>
      <c r="Z30" s="17"/>
      <c r="AA30" s="17"/>
      <c r="AB30" s="17">
        <v>22142</v>
      </c>
      <c r="AC30" s="17">
        <v>28702.935547000001</v>
      </c>
      <c r="AD30"/>
      <c r="AE30"/>
    </row>
    <row r="31" spans="1:31" x14ac:dyDescent="0.25">
      <c r="A31" s="136">
        <f>'[2]All Counts'!C31</f>
        <v>20</v>
      </c>
      <c r="B31" s="136">
        <f>'[2]All Counts'!D31</f>
        <v>3</v>
      </c>
      <c r="C31" s="136">
        <f>'[2]All Counts'!E31</f>
        <v>27742</v>
      </c>
      <c r="D31" s="136">
        <f>'[2]All Counts'!F31</f>
        <v>1</v>
      </c>
      <c r="E31" s="136">
        <f>'[2]All Counts'!G31</f>
        <v>1</v>
      </c>
      <c r="F31" s="136" t="str">
        <f>'[2]All Counts'!H31</f>
        <v>SR-905 WB</v>
      </c>
      <c r="G31" s="136">
        <f>'[2]All Counts'!I31</f>
        <v>15</v>
      </c>
      <c r="H31" s="136">
        <f>'[2]All Counts'!J31</f>
        <v>0</v>
      </c>
      <c r="I31" s="136" t="str">
        <f>'[2]All Counts'!K31</f>
        <v>CALIENTE</v>
      </c>
      <c r="J31" s="136" t="str">
        <f>'[2]All Counts'!L31</f>
        <v>CALIENTE</v>
      </c>
      <c r="K31" s="136">
        <f>'[2]All Counts'!O31</f>
        <v>9980</v>
      </c>
      <c r="L31" s="57">
        <f>VLOOKUP(ws[[#This Row],[hwycov_id]],readme!D:G,4,FALSE)</f>
        <v>9390.5439449999994</v>
      </c>
      <c r="M31" s="88">
        <f>ws[[#This Row],[flow]]/ws[[#This Row],[count]]-1</f>
        <v>-5.9063732965931925E-2</v>
      </c>
      <c r="N31" s="89">
        <f>POWER((ws[[#This Row],[flow]]-ws[[#This Row],[count]]),2)</f>
        <v>347458.44077616371</v>
      </c>
      <c r="O31" s="43">
        <f>VLOOKUP(ws[[#This Row],[hwycov_id]],count[],6,FALSE)</f>
        <v>0</v>
      </c>
      <c r="P31" s="43">
        <v>179</v>
      </c>
      <c r="Q31" s="43" t="str">
        <f>'[2]All Counts'!P31</f>
        <v>PeMS2016</v>
      </c>
      <c r="S31" s="94">
        <v>621</v>
      </c>
      <c r="T31" s="17"/>
      <c r="U31" s="17"/>
      <c r="V31" s="17">
        <v>19711</v>
      </c>
      <c r="W31" s="17">
        <v>18388.466797000001</v>
      </c>
      <c r="X31" s="17"/>
      <c r="Y31" s="17"/>
      <c r="Z31" s="17"/>
      <c r="AA31" s="17"/>
      <c r="AB31" s="17">
        <v>19711</v>
      </c>
      <c r="AC31" s="17">
        <v>18388.466797000001</v>
      </c>
      <c r="AD31"/>
      <c r="AE31"/>
    </row>
    <row r="32" spans="1:31" x14ac:dyDescent="0.25">
      <c r="A32" s="136">
        <f>'[2]All Counts'!C32</f>
        <v>20</v>
      </c>
      <c r="B32" s="136">
        <f>'[2]All Counts'!D32</f>
        <v>3</v>
      </c>
      <c r="C32" s="136">
        <f>'[2]All Counts'!E32</f>
        <v>9904</v>
      </c>
      <c r="D32" s="136">
        <f>'[2]All Counts'!F32</f>
        <v>1</v>
      </c>
      <c r="E32" s="136">
        <f>'[2]All Counts'!G32</f>
        <v>1</v>
      </c>
      <c r="F32" s="136" t="str">
        <f>'[2]All Counts'!H32</f>
        <v>SR-905 WB</v>
      </c>
      <c r="G32" s="136">
        <f>'[2]All Counts'!I32</f>
        <v>2</v>
      </c>
      <c r="H32" s="136">
        <f>'[2]All Counts'!J32</f>
        <v>0</v>
      </c>
      <c r="I32" s="136" t="str">
        <f>'[2]All Counts'!K32</f>
        <v>CALIENTE</v>
      </c>
      <c r="J32" s="136" t="str">
        <f>'[2]All Counts'!L32</f>
        <v>I-805 NB</v>
      </c>
      <c r="K32" s="136">
        <f>'[2]All Counts'!O32</f>
        <v>9515</v>
      </c>
      <c r="L32" s="57">
        <f>VLOOKUP(ws[[#This Row],[hwycov_id]],readme!D:G,4,FALSE)</f>
        <v>10515.410156</v>
      </c>
      <c r="M32" s="88">
        <f>ws[[#This Row],[flow]]/ws[[#This Row],[count]]-1</f>
        <v>0.10514032117708871</v>
      </c>
      <c r="N32" s="89">
        <f>POWER((ws[[#This Row],[flow]]-ws[[#This Row],[count]]),2)</f>
        <v>1000820.4802279442</v>
      </c>
      <c r="O32" s="43">
        <f>VLOOKUP(ws[[#This Row],[hwycov_id]],count[],6,FALSE)</f>
        <v>0</v>
      </c>
      <c r="P32" s="43">
        <v>382</v>
      </c>
      <c r="Q32" s="43" t="str">
        <f>'[2]All Counts'!P32</f>
        <v>PeMS2016</v>
      </c>
      <c r="S32" s="94">
        <v>643</v>
      </c>
      <c r="T32" s="17"/>
      <c r="U32" s="17"/>
      <c r="V32" s="17">
        <v>21001</v>
      </c>
      <c r="W32" s="17">
        <v>20615.837890999999</v>
      </c>
      <c r="X32" s="17"/>
      <c r="Y32" s="17"/>
      <c r="Z32" s="17"/>
      <c r="AA32" s="17"/>
      <c r="AB32" s="17">
        <v>21001</v>
      </c>
      <c r="AC32" s="17">
        <v>20615.837890999999</v>
      </c>
      <c r="AD32"/>
      <c r="AE32"/>
    </row>
    <row r="33" spans="1:31" x14ac:dyDescent="0.25">
      <c r="A33" s="136">
        <f>'[2]All Counts'!C33</f>
        <v>20</v>
      </c>
      <c r="B33" s="136">
        <f>'[2]All Counts'!D33</f>
        <v>3</v>
      </c>
      <c r="C33" s="136">
        <f>'[2]All Counts'!E33</f>
        <v>23435</v>
      </c>
      <c r="D33" s="136">
        <f>'[2]All Counts'!F33</f>
        <v>1</v>
      </c>
      <c r="E33" s="136">
        <f>'[2]All Counts'!G33</f>
        <v>1</v>
      </c>
      <c r="F33" s="136" t="str">
        <f>'[2]All Counts'!H33</f>
        <v>SR-905 WB</v>
      </c>
      <c r="G33" s="136">
        <f>'[2]All Counts'!I33</f>
        <v>3</v>
      </c>
      <c r="H33" s="136">
        <f>'[2]All Counts'!J33</f>
        <v>0</v>
      </c>
      <c r="I33" s="136" t="str">
        <f>'[2]All Counts'!K33</f>
        <v>I-805 NB</v>
      </c>
      <c r="J33" s="136" t="str">
        <f>'[2]All Counts'!L33</f>
        <v>I-805 SB</v>
      </c>
      <c r="K33" s="136">
        <f>'[2]All Counts'!O33</f>
        <v>4828</v>
      </c>
      <c r="L33" s="57">
        <f>VLOOKUP(ws[[#This Row],[hwycov_id]],readme!D:G,4,FALSE)</f>
        <v>4749.0805659999996</v>
      </c>
      <c r="M33" s="88">
        <f>ws[[#This Row],[flow]]/ws[[#This Row],[count]]-1</f>
        <v>-1.6346195940348029E-2</v>
      </c>
      <c r="N33" s="89">
        <f>POWER((ws[[#This Row],[flow]]-ws[[#This Row],[count]]),2)</f>
        <v>6228.2770628804137</v>
      </c>
      <c r="O33" s="43">
        <f>VLOOKUP(ws[[#This Row],[hwycov_id]],count[],6,FALSE)</f>
        <v>0</v>
      </c>
      <c r="P33" s="43">
        <v>309</v>
      </c>
      <c r="Q33" s="43" t="str">
        <f>'[2]All Counts'!P33</f>
        <v>PeMS2016</v>
      </c>
      <c r="S33" s="94">
        <v>663</v>
      </c>
      <c r="T33" s="17">
        <v>4186</v>
      </c>
      <c r="U33" s="17">
        <v>4319.5708009999998</v>
      </c>
      <c r="V33" s="17"/>
      <c r="W33" s="17"/>
      <c r="X33" s="17"/>
      <c r="Y33" s="17"/>
      <c r="Z33" s="17"/>
      <c r="AA33" s="17"/>
      <c r="AB33" s="17">
        <v>4186</v>
      </c>
      <c r="AC33" s="17">
        <v>4319.5708009999998</v>
      </c>
      <c r="AD33"/>
      <c r="AE33"/>
    </row>
    <row r="34" spans="1:31" x14ac:dyDescent="0.25">
      <c r="A34" s="136">
        <f>'[2]All Counts'!C34</f>
        <v>20</v>
      </c>
      <c r="B34" s="136">
        <f>'[2]All Counts'!D34</f>
        <v>3</v>
      </c>
      <c r="C34" s="136">
        <f>'[2]All Counts'!E34</f>
        <v>27856</v>
      </c>
      <c r="D34" s="136">
        <f>'[2]All Counts'!F34</f>
        <v>1</v>
      </c>
      <c r="E34" s="136">
        <f>'[2]All Counts'!G34</f>
        <v>1</v>
      </c>
      <c r="F34" s="136" t="str">
        <f>'[2]All Counts'!H34</f>
        <v>SR-905 WB</v>
      </c>
      <c r="G34" s="136">
        <f>'[2]All Counts'!I34</f>
        <v>10</v>
      </c>
      <c r="H34" s="136">
        <f>'[2]All Counts'!J34</f>
        <v>0</v>
      </c>
      <c r="I34" s="136" t="str">
        <f>'[2]All Counts'!K34</f>
        <v>BEYER</v>
      </c>
      <c r="J34" s="136" t="str">
        <f>'[2]All Counts'!L34</f>
        <v>I-5 NB</v>
      </c>
      <c r="K34" s="136">
        <f>'[2]All Counts'!O34</f>
        <v>7458</v>
      </c>
      <c r="L34" s="57">
        <f>VLOOKUP(ws[[#This Row],[hwycov_id]],readme!D:G,4,FALSE)</f>
        <v>6313.6069340000004</v>
      </c>
      <c r="M34" s="88">
        <f>ws[[#This Row],[flow]]/ws[[#This Row],[count]]-1</f>
        <v>-0.15344503432555645</v>
      </c>
      <c r="N34" s="89">
        <f>POWER((ws[[#This Row],[flow]]-ws[[#This Row],[count]]),2)</f>
        <v>1309635.4895088796</v>
      </c>
      <c r="O34" s="43">
        <f>VLOOKUP(ws[[#This Row],[hwycov_id]],count[],6,FALSE)</f>
        <v>0</v>
      </c>
      <c r="P34" s="43">
        <v>314</v>
      </c>
      <c r="Q34" s="43" t="str">
        <f>'[2]All Counts'!P34</f>
        <v>Caltran</v>
      </c>
      <c r="S34" s="94">
        <v>669</v>
      </c>
      <c r="T34" s="17">
        <v>25100</v>
      </c>
      <c r="U34" s="17">
        <v>28008.777343999998</v>
      </c>
      <c r="V34" s="17"/>
      <c r="W34" s="17"/>
      <c r="X34" s="17"/>
      <c r="Y34" s="17"/>
      <c r="Z34" s="17"/>
      <c r="AA34" s="17"/>
      <c r="AB34" s="17">
        <v>25100</v>
      </c>
      <c r="AC34" s="17">
        <v>28008.777343999998</v>
      </c>
      <c r="AD34"/>
      <c r="AE34"/>
    </row>
    <row r="35" spans="1:31" x14ac:dyDescent="0.25">
      <c r="A35" s="136">
        <f>'[2]All Counts'!C35</f>
        <v>16</v>
      </c>
      <c r="B35" s="136">
        <f>'[2]All Counts'!D35</f>
        <v>3</v>
      </c>
      <c r="C35" s="136">
        <f>'[2]All Counts'!E35</f>
        <v>12823</v>
      </c>
      <c r="D35" s="136">
        <f>'[2]All Counts'!F35</f>
        <v>1</v>
      </c>
      <c r="E35" s="136">
        <f>'[2]All Counts'!G35</f>
        <v>1</v>
      </c>
      <c r="F35" s="136" t="str">
        <f>'[2]All Counts'!H35</f>
        <v>SR-78 WB</v>
      </c>
      <c r="G35" s="136">
        <f>'[2]All Counts'!I35</f>
        <v>2</v>
      </c>
      <c r="H35" s="136">
        <f>'[2]All Counts'!J35</f>
        <v>0</v>
      </c>
      <c r="I35" s="136" t="str">
        <f>'[2]All Counts'!K35</f>
        <v>CENTRE CITY</v>
      </c>
      <c r="J35" s="136" t="str">
        <f>'[2]All Counts'!L35</f>
        <v>CENTRE CITY</v>
      </c>
      <c r="K35" s="136">
        <f>'[2]All Counts'!O35</f>
        <v>8363</v>
      </c>
      <c r="L35" s="57">
        <f>VLOOKUP(ws[[#This Row],[hwycov_id]],readme!D:G,4,FALSE)</f>
        <v>9939.8212889999995</v>
      </c>
      <c r="M35" s="88">
        <f>ws[[#This Row],[flow]]/ws[[#This Row],[count]]-1</f>
        <v>0.18854732619873249</v>
      </c>
      <c r="N35" s="89">
        <f>POWER((ws[[#This Row],[flow]]-ws[[#This Row],[count]]),2)</f>
        <v>2486365.37744362</v>
      </c>
      <c r="O35" s="43">
        <f>VLOOKUP(ws[[#This Row],[hwycov_id]],count[],6,FALSE)</f>
        <v>0</v>
      </c>
      <c r="P35" s="43">
        <v>499</v>
      </c>
      <c r="Q35" s="43" t="str">
        <f>'[2]All Counts'!P35</f>
        <v>PeMS2016</v>
      </c>
      <c r="S35" s="94">
        <v>671</v>
      </c>
      <c r="T35" s="17">
        <v>20344</v>
      </c>
      <c r="U35" s="17">
        <v>27788.960938</v>
      </c>
      <c r="V35" s="17"/>
      <c r="W35" s="17"/>
      <c r="X35" s="17"/>
      <c r="Y35" s="17"/>
      <c r="Z35" s="17"/>
      <c r="AA35" s="17"/>
      <c r="AB35" s="17">
        <v>20344</v>
      </c>
      <c r="AC35" s="17">
        <v>27788.960938</v>
      </c>
      <c r="AD35"/>
      <c r="AE35"/>
    </row>
    <row r="36" spans="1:31" x14ac:dyDescent="0.25">
      <c r="A36" s="136">
        <f>'[2]All Counts'!C36</f>
        <v>16</v>
      </c>
      <c r="B36" s="136">
        <f>'[2]All Counts'!D36</f>
        <v>3</v>
      </c>
      <c r="C36" s="136">
        <f>'[2]All Counts'!E36</f>
        <v>21942</v>
      </c>
      <c r="D36" s="136">
        <f>'[2]All Counts'!F36</f>
        <v>1</v>
      </c>
      <c r="E36" s="136">
        <f>'[2]All Counts'!G36</f>
        <v>1</v>
      </c>
      <c r="F36" s="136" t="str">
        <f>'[2]All Counts'!H36</f>
        <v>SR-78 WB</v>
      </c>
      <c r="G36" s="136">
        <f>'[2]All Counts'!I36</f>
        <v>4</v>
      </c>
      <c r="H36" s="136">
        <f>'[2]All Counts'!J36</f>
        <v>0</v>
      </c>
      <c r="I36" s="136" t="str">
        <f>'[2]All Counts'!K36</f>
        <v>I-15 NB</v>
      </c>
      <c r="J36" s="136" t="str">
        <f>'[2]All Counts'!L36</f>
        <v>I-15 SB</v>
      </c>
      <c r="K36" s="136">
        <f>'[2]All Counts'!O36</f>
        <v>5453</v>
      </c>
      <c r="L36" s="57">
        <f>VLOOKUP(ws[[#This Row],[hwycov_id]],readme!D:G,4,FALSE)</f>
        <v>8255.8037110000005</v>
      </c>
      <c r="M36" s="88">
        <f>ws[[#This Row],[flow]]/ws[[#This Row],[count]]-1</f>
        <v>0.51399297836053548</v>
      </c>
      <c r="N36" s="89">
        <f>POWER((ws[[#This Row],[flow]]-ws[[#This Row],[count]]),2)</f>
        <v>7855708.6423953744</v>
      </c>
      <c r="O36" s="43">
        <f>VLOOKUP(ws[[#This Row],[hwycov_id]],count[],6,FALSE)</f>
        <v>0</v>
      </c>
      <c r="P36" s="43">
        <v>498</v>
      </c>
      <c r="Q36" s="43" t="str">
        <f>'[2]All Counts'!P36</f>
        <v>PeMS2016</v>
      </c>
      <c r="S36" s="94">
        <v>673</v>
      </c>
      <c r="T36" s="17">
        <v>20930</v>
      </c>
      <c r="U36" s="17">
        <v>26519.716797000001</v>
      </c>
      <c r="V36" s="17"/>
      <c r="W36" s="17"/>
      <c r="X36" s="17"/>
      <c r="Y36" s="17"/>
      <c r="Z36" s="17"/>
      <c r="AA36" s="17"/>
      <c r="AB36" s="17">
        <v>20930</v>
      </c>
      <c r="AC36" s="17">
        <v>26519.716797000001</v>
      </c>
      <c r="AD36"/>
      <c r="AE36"/>
    </row>
    <row r="37" spans="1:31" x14ac:dyDescent="0.25">
      <c r="A37" s="136">
        <f>'[2]All Counts'!C37</f>
        <v>16</v>
      </c>
      <c r="B37" s="136">
        <f>'[2]All Counts'!D37</f>
        <v>3</v>
      </c>
      <c r="C37" s="136">
        <f>'[2]All Counts'!E37</f>
        <v>12837</v>
      </c>
      <c r="D37" s="136">
        <f>'[2]All Counts'!F37</f>
        <v>1</v>
      </c>
      <c r="E37" s="136">
        <f>'[2]All Counts'!G37</f>
        <v>1</v>
      </c>
      <c r="F37" s="136" t="str">
        <f>'[2]All Counts'!H37</f>
        <v>SR-78 WB</v>
      </c>
      <c r="G37" s="136">
        <f>'[2]All Counts'!I37</f>
        <v>5</v>
      </c>
      <c r="H37" s="136">
        <f>'[2]All Counts'!J37</f>
        <v>0</v>
      </c>
      <c r="I37" s="136" t="str">
        <f>'[2]All Counts'!K37</f>
        <v>I-15 SB</v>
      </c>
      <c r="J37" s="136" t="str">
        <f>'[2]All Counts'!L37</f>
        <v>NORDAHL</v>
      </c>
      <c r="K37" s="136">
        <f>'[2]All Counts'!O37</f>
        <v>18328</v>
      </c>
      <c r="L37" s="57">
        <f>VLOOKUP(ws[[#This Row],[hwycov_id]],readme!D:G,4,FALSE)</f>
        <v>22530.097656000002</v>
      </c>
      <c r="M37" s="88">
        <f>ws[[#This Row],[flow]]/ws[[#This Row],[count]]-1</f>
        <v>0.22927202400698388</v>
      </c>
      <c r="N37" s="89">
        <f>POWER((ws[[#This Row],[flow]]-ws[[#This Row],[count]]),2)</f>
        <v>17657624.710560709</v>
      </c>
      <c r="O37" s="43">
        <f>VLOOKUP(ws[[#This Row],[hwycov_id]],count[],6,FALSE)</f>
        <v>0</v>
      </c>
      <c r="P37" s="43">
        <v>135</v>
      </c>
      <c r="Q37" s="43" t="str">
        <f>'[2]All Counts'!P37</f>
        <v>PeMS2016</v>
      </c>
      <c r="S37" s="94">
        <v>674</v>
      </c>
      <c r="T37" s="17"/>
      <c r="U37" s="17"/>
      <c r="V37" s="17">
        <v>17352</v>
      </c>
      <c r="W37" s="17">
        <v>16250.509765999999</v>
      </c>
      <c r="X37" s="17"/>
      <c r="Y37" s="17"/>
      <c r="Z37" s="17"/>
      <c r="AA37" s="17"/>
      <c r="AB37" s="17">
        <v>17352</v>
      </c>
      <c r="AC37" s="17">
        <v>16250.509765999999</v>
      </c>
      <c r="AD37"/>
      <c r="AE37"/>
    </row>
    <row r="38" spans="1:31" x14ac:dyDescent="0.25">
      <c r="A38" s="136">
        <f>'[2]All Counts'!C38</f>
        <v>16</v>
      </c>
      <c r="B38" s="136">
        <f>'[2]All Counts'!D38</f>
        <v>3</v>
      </c>
      <c r="C38" s="136">
        <f>'[2]All Counts'!E38</f>
        <v>8054</v>
      </c>
      <c r="D38" s="136">
        <f>'[2]All Counts'!F38</f>
        <v>1</v>
      </c>
      <c r="E38" s="136">
        <f>'[2]All Counts'!G38</f>
        <v>1</v>
      </c>
      <c r="F38" s="136" t="str">
        <f>'[2]All Counts'!H38</f>
        <v>SR-78 WB</v>
      </c>
      <c r="G38" s="136">
        <f>'[2]All Counts'!I38</f>
        <v>6</v>
      </c>
      <c r="H38" s="136">
        <f>'[2]All Counts'!J38</f>
        <v>0</v>
      </c>
      <c r="I38" s="136" t="str">
        <f>'[2]All Counts'!K38</f>
        <v>NORDAHL</v>
      </c>
      <c r="J38" s="136" t="str">
        <f>'[2]All Counts'!L38</f>
        <v>NORDAHL</v>
      </c>
      <c r="K38" s="136">
        <f>'[2]All Counts'!O38</f>
        <v>15330</v>
      </c>
      <c r="L38" s="57">
        <f>VLOOKUP(ws[[#This Row],[hwycov_id]],readme!D:G,4,FALSE)</f>
        <v>20062.041015999999</v>
      </c>
      <c r="M38" s="88">
        <f>ws[[#This Row],[flow]]/ws[[#This Row],[count]]-1</f>
        <v>0.30867847462491849</v>
      </c>
      <c r="N38" s="89">
        <f>POWER((ws[[#This Row],[flow]]-ws[[#This Row],[count]]),2)</f>
        <v>22392212.177106306</v>
      </c>
      <c r="O38" s="43">
        <f>VLOOKUP(ws[[#This Row],[hwycov_id]],count[],6,FALSE)</f>
        <v>0</v>
      </c>
      <c r="P38" s="43">
        <v>136</v>
      </c>
      <c r="Q38" s="43" t="str">
        <f>'[2]All Counts'!P38</f>
        <v>PeMS2016</v>
      </c>
      <c r="S38" s="94">
        <v>675</v>
      </c>
      <c r="T38" s="17"/>
      <c r="U38" s="17"/>
      <c r="V38" s="17">
        <v>18707</v>
      </c>
      <c r="W38" s="17">
        <v>17459.945312</v>
      </c>
      <c r="X38" s="17"/>
      <c r="Y38" s="17"/>
      <c r="Z38" s="17"/>
      <c r="AA38" s="17"/>
      <c r="AB38" s="17">
        <v>18707</v>
      </c>
      <c r="AC38" s="17">
        <v>17459.945312</v>
      </c>
      <c r="AD38"/>
      <c r="AE38"/>
    </row>
    <row r="39" spans="1:31" x14ac:dyDescent="0.25">
      <c r="A39" s="136">
        <f>'[2]All Counts'!C39</f>
        <v>16</v>
      </c>
      <c r="B39" s="136">
        <f>'[2]All Counts'!D39</f>
        <v>3</v>
      </c>
      <c r="C39" s="136">
        <f>'[2]All Counts'!E39</f>
        <v>23557</v>
      </c>
      <c r="D39" s="136">
        <f>'[2]All Counts'!F39</f>
        <v>1</v>
      </c>
      <c r="E39" s="136">
        <f>'[2]All Counts'!G39</f>
        <v>1</v>
      </c>
      <c r="F39" s="136" t="str">
        <f>'[2]All Counts'!H39</f>
        <v>SR-78 WB</v>
      </c>
      <c r="G39" s="136">
        <f>'[2]All Counts'!I39</f>
        <v>7</v>
      </c>
      <c r="H39" s="136">
        <f>'[2]All Counts'!J39</f>
        <v>0</v>
      </c>
      <c r="I39" s="136" t="str">
        <f>'[2]All Counts'!K39</f>
        <v>NORDAHL</v>
      </c>
      <c r="J39" s="136" t="str">
        <f>'[2]All Counts'!L39</f>
        <v>WOODLAND</v>
      </c>
      <c r="K39" s="136">
        <f>'[2]All Counts'!O39</f>
        <v>14890</v>
      </c>
      <c r="L39" s="57">
        <f>VLOOKUP(ws[[#This Row],[hwycov_id]],readme!D:G,4,FALSE)</f>
        <v>22982.552734000001</v>
      </c>
      <c r="M39" s="88">
        <f>ws[[#This Row],[flow]]/ws[[#This Row],[count]]-1</f>
        <v>0.5434891023505708</v>
      </c>
      <c r="N39" s="89">
        <f>POWER((ws[[#This Row],[flow]]-ws[[#This Row],[count]]),2)</f>
        <v>65489409.75257089</v>
      </c>
      <c r="O39" s="43">
        <f>VLOOKUP(ws[[#This Row],[hwycov_id]],count[],6,FALSE)</f>
        <v>0</v>
      </c>
      <c r="P39" s="43">
        <v>137</v>
      </c>
      <c r="Q39" s="43" t="str">
        <f>'[2]All Counts'!P39</f>
        <v>PeMS2016</v>
      </c>
      <c r="S39" s="94">
        <v>685</v>
      </c>
      <c r="T39" s="17">
        <v>3303</v>
      </c>
      <c r="U39" s="17">
        <v>4544.6948240000002</v>
      </c>
      <c r="V39" s="17"/>
      <c r="W39" s="17"/>
      <c r="X39" s="17"/>
      <c r="Y39" s="17"/>
      <c r="Z39" s="17"/>
      <c r="AA39" s="17"/>
      <c r="AB39" s="17">
        <v>3303</v>
      </c>
      <c r="AC39" s="17">
        <v>4544.6948240000002</v>
      </c>
      <c r="AD39"/>
      <c r="AE39"/>
    </row>
    <row r="40" spans="1:31" x14ac:dyDescent="0.25">
      <c r="A40" s="136">
        <f>'[2]All Counts'!C40</f>
        <v>16</v>
      </c>
      <c r="B40" s="136">
        <f>'[2]All Counts'!D40</f>
        <v>3</v>
      </c>
      <c r="C40" s="136">
        <f>'[2]All Counts'!E40</f>
        <v>8056</v>
      </c>
      <c r="D40" s="136">
        <f>'[2]All Counts'!F40</f>
        <v>1</v>
      </c>
      <c r="E40" s="136">
        <f>'[2]All Counts'!G40</f>
        <v>1</v>
      </c>
      <c r="F40" s="136" t="str">
        <f>'[2]All Counts'!H40</f>
        <v>SR-78 WB</v>
      </c>
      <c r="G40" s="136">
        <f>'[2]All Counts'!I40</f>
        <v>9</v>
      </c>
      <c r="H40" s="136">
        <f>'[2]All Counts'!J40</f>
        <v>0</v>
      </c>
      <c r="I40" s="136" t="str">
        <f>'[2]All Counts'!K40</f>
        <v>WOODLAND</v>
      </c>
      <c r="J40" s="136" t="str">
        <f>'[2]All Counts'!L40</f>
        <v>WOODLAND</v>
      </c>
      <c r="K40" s="136">
        <f>'[2]All Counts'!O40</f>
        <v>17628</v>
      </c>
      <c r="L40" s="57">
        <f>VLOOKUP(ws[[#This Row],[hwycov_id]],readme!D:G,4,FALSE)</f>
        <v>21649.298827999999</v>
      </c>
      <c r="M40" s="88">
        <f>ws[[#This Row],[flow]]/ws[[#This Row],[count]]-1</f>
        <v>0.22811996982073968</v>
      </c>
      <c r="N40" s="89">
        <f>POWER((ws[[#This Row],[flow]]-ws[[#This Row],[count]]),2)</f>
        <v>16170844.264074165</v>
      </c>
      <c r="O40" s="43">
        <f>VLOOKUP(ws[[#This Row],[hwycov_id]],count[],6,FALSE)</f>
        <v>0</v>
      </c>
      <c r="P40" s="43">
        <v>138</v>
      </c>
      <c r="Q40" s="43" t="str">
        <f>'[2]All Counts'!P40</f>
        <v>PeMS2016</v>
      </c>
      <c r="S40" s="94">
        <v>686</v>
      </c>
      <c r="T40" s="17">
        <v>6647</v>
      </c>
      <c r="U40" s="17">
        <v>6969.0131840000004</v>
      </c>
      <c r="V40" s="17"/>
      <c r="W40" s="17"/>
      <c r="X40" s="17"/>
      <c r="Y40" s="17"/>
      <c r="Z40" s="17"/>
      <c r="AA40" s="17"/>
      <c r="AB40" s="17">
        <v>6647</v>
      </c>
      <c r="AC40" s="17">
        <v>6969.0131840000004</v>
      </c>
      <c r="AD40"/>
      <c r="AE40"/>
    </row>
    <row r="41" spans="1:31" x14ac:dyDescent="0.25">
      <c r="A41" s="136">
        <f>'[2]All Counts'!C41</f>
        <v>16</v>
      </c>
      <c r="B41" s="136">
        <f>'[2]All Counts'!D41</f>
        <v>3</v>
      </c>
      <c r="C41" s="136">
        <f>'[2]All Counts'!E41</f>
        <v>30080</v>
      </c>
      <c r="D41" s="136">
        <f>'[2]All Counts'!F41</f>
        <v>1</v>
      </c>
      <c r="E41" s="136">
        <f>'[2]All Counts'!G41</f>
        <v>1</v>
      </c>
      <c r="F41" s="136" t="str">
        <f>'[2]All Counts'!H41</f>
        <v>SR-78 WB</v>
      </c>
      <c r="G41" s="136">
        <f>'[2]All Counts'!I41</f>
        <v>12</v>
      </c>
      <c r="H41" s="136">
        <f>'[2]All Counts'!J41</f>
        <v>0</v>
      </c>
      <c r="I41" s="136" t="str">
        <f>'[2]All Counts'!K41</f>
        <v>TWIN OAKS VALLEY</v>
      </c>
      <c r="J41" s="136" t="str">
        <f>'[2]All Counts'!L41</f>
        <v>TWIN OAKS VALLEY</v>
      </c>
      <c r="K41" s="136">
        <f>'[2]All Counts'!O41</f>
        <v>16167</v>
      </c>
      <c r="L41" s="57">
        <f>VLOOKUP(ws[[#This Row],[hwycov_id]],readme!D:G,4,FALSE)</f>
        <v>20594.105468999998</v>
      </c>
      <c r="M41" s="88">
        <f>ws[[#This Row],[flow]]/ws[[#This Row],[count]]-1</f>
        <v>0.27383592930042666</v>
      </c>
      <c r="N41" s="89">
        <f>POWER((ws[[#This Row],[flow]]-ws[[#This Row],[count]]),2)</f>
        <v>19599262.833649695</v>
      </c>
      <c r="O41" s="43">
        <f>VLOOKUP(ws[[#This Row],[hwycov_id]],count[],6,FALSE)</f>
        <v>0</v>
      </c>
      <c r="P41" s="43">
        <v>139</v>
      </c>
      <c r="Q41" s="43" t="str">
        <f>'[2]All Counts'!P41</f>
        <v>PeMS2016</v>
      </c>
      <c r="S41" s="94">
        <v>687</v>
      </c>
      <c r="T41" s="17">
        <v>10163</v>
      </c>
      <c r="U41" s="17">
        <v>6142.1508789999998</v>
      </c>
      <c r="V41" s="17"/>
      <c r="W41" s="17"/>
      <c r="X41" s="17"/>
      <c r="Y41" s="17"/>
      <c r="Z41" s="17"/>
      <c r="AA41" s="17"/>
      <c r="AB41" s="17">
        <v>10163</v>
      </c>
      <c r="AC41" s="17">
        <v>6142.1508789999998</v>
      </c>
      <c r="AD41"/>
      <c r="AE41"/>
    </row>
    <row r="42" spans="1:31" x14ac:dyDescent="0.25">
      <c r="A42" s="136">
        <f>'[2]All Counts'!C42</f>
        <v>16</v>
      </c>
      <c r="B42" s="136">
        <f>'[2]All Counts'!D42</f>
        <v>3</v>
      </c>
      <c r="C42" s="136">
        <f>'[2]All Counts'!E42</f>
        <v>474</v>
      </c>
      <c r="D42" s="136">
        <f>'[2]All Counts'!F42</f>
        <v>1</v>
      </c>
      <c r="E42" s="136">
        <f>'[2]All Counts'!G42</f>
        <v>1</v>
      </c>
      <c r="F42" s="136" t="str">
        <f>'[2]All Counts'!H42</f>
        <v>SR-78 WB</v>
      </c>
      <c r="G42" s="136">
        <f>'[2]All Counts'!I42</f>
        <v>15</v>
      </c>
      <c r="H42" s="136">
        <f>'[2]All Counts'!J42</f>
        <v>0</v>
      </c>
      <c r="I42" s="136" t="str">
        <f>'[2]All Counts'!K42</f>
        <v>SAN MARCOS</v>
      </c>
      <c r="J42" s="136" t="str">
        <f>'[2]All Counts'!L42</f>
        <v>SAN MARCOS</v>
      </c>
      <c r="K42" s="136">
        <f>'[2]All Counts'!O42</f>
        <v>15802</v>
      </c>
      <c r="L42" s="57">
        <f>VLOOKUP(ws[[#This Row],[hwycov_id]],readme!D:G,4,FALSE)</f>
        <v>19872.023438</v>
      </c>
      <c r="M42" s="88">
        <f>ws[[#This Row],[flow]]/ws[[#This Row],[count]]-1</f>
        <v>0.25756381711175802</v>
      </c>
      <c r="N42" s="89">
        <f>POWER((ws[[#This Row],[flow]]-ws[[#This Row],[count]]),2)</f>
        <v>16565090.785869341</v>
      </c>
      <c r="O42" s="43">
        <f>VLOOKUP(ws[[#This Row],[hwycov_id]],count[],6,FALSE)</f>
        <v>0</v>
      </c>
      <c r="P42" s="43">
        <v>141</v>
      </c>
      <c r="Q42" s="43" t="str">
        <f>'[2]All Counts'!P42</f>
        <v>PeMS2016</v>
      </c>
      <c r="S42" s="94">
        <v>688</v>
      </c>
      <c r="T42" s="17">
        <v>15546</v>
      </c>
      <c r="U42" s="17">
        <v>13926.9375</v>
      </c>
      <c r="V42" s="17"/>
      <c r="W42" s="17"/>
      <c r="X42" s="17"/>
      <c r="Y42" s="17"/>
      <c r="Z42" s="17"/>
      <c r="AA42" s="17"/>
      <c r="AB42" s="17">
        <v>15546</v>
      </c>
      <c r="AC42" s="17">
        <v>13926.9375</v>
      </c>
      <c r="AD42"/>
      <c r="AE42"/>
    </row>
    <row r="43" spans="1:31" x14ac:dyDescent="0.25">
      <c r="A43" s="136">
        <f>'[2]All Counts'!C43</f>
        <v>16</v>
      </c>
      <c r="B43" s="136">
        <f>'[2]All Counts'!D43</f>
        <v>3</v>
      </c>
      <c r="C43" s="136">
        <f>'[2]All Counts'!E43</f>
        <v>8057</v>
      </c>
      <c r="D43" s="136">
        <f>'[2]All Counts'!F43</f>
        <v>1</v>
      </c>
      <c r="E43" s="136">
        <f>'[2]All Counts'!G43</f>
        <v>1</v>
      </c>
      <c r="F43" s="136" t="str">
        <f>'[2]All Counts'!H43</f>
        <v>SR-78 WB</v>
      </c>
      <c r="G43" s="136">
        <f>'[2]All Counts'!I43</f>
        <v>16</v>
      </c>
      <c r="H43" s="136">
        <f>'[2]All Counts'!J43</f>
        <v>0</v>
      </c>
      <c r="I43" s="136" t="str">
        <f>'[2]All Counts'!K43</f>
        <v>SAN MARCOS</v>
      </c>
      <c r="J43" s="136" t="str">
        <f>'[2]All Counts'!L43</f>
        <v>SAN MARCOS</v>
      </c>
      <c r="K43" s="136">
        <f>'[2]All Counts'!O43</f>
        <v>16187</v>
      </c>
      <c r="L43" s="57">
        <f>VLOOKUP(ws[[#This Row],[hwycov_id]],readme!D:G,4,FALSE)</f>
        <v>20437.679688</v>
      </c>
      <c r="M43" s="88">
        <f>ws[[#This Row],[flow]]/ws[[#This Row],[count]]-1</f>
        <v>0.26259836214245991</v>
      </c>
      <c r="N43" s="89">
        <f>POWER((ws[[#This Row],[flow]]-ws[[#This Row],[count]]),2)</f>
        <v>18068277.809975781</v>
      </c>
      <c r="O43" s="43">
        <f>VLOOKUP(ws[[#This Row],[hwycov_id]],count[],6,FALSE)</f>
        <v>0</v>
      </c>
      <c r="P43" s="43">
        <v>142</v>
      </c>
      <c r="Q43" s="43" t="str">
        <f>'[2]All Counts'!P43</f>
        <v>PeMS2016</v>
      </c>
      <c r="S43" s="94">
        <v>689</v>
      </c>
      <c r="T43" s="17">
        <v>12495</v>
      </c>
      <c r="U43" s="17">
        <v>12750.075194999999</v>
      </c>
      <c r="V43" s="17"/>
      <c r="W43" s="17"/>
      <c r="X43" s="17"/>
      <c r="Y43" s="17"/>
      <c r="Z43" s="17"/>
      <c r="AA43" s="17"/>
      <c r="AB43" s="17">
        <v>12495</v>
      </c>
      <c r="AC43" s="17">
        <v>12750.075194999999</v>
      </c>
      <c r="AD43"/>
      <c r="AE43"/>
    </row>
    <row r="44" spans="1:31" x14ac:dyDescent="0.25">
      <c r="A44" s="136">
        <f>'[2]All Counts'!C44</f>
        <v>16</v>
      </c>
      <c r="B44" s="136">
        <f>'[2]All Counts'!D44</f>
        <v>3</v>
      </c>
      <c r="C44" s="136">
        <f>'[2]All Counts'!E44</f>
        <v>16430</v>
      </c>
      <c r="D44" s="136">
        <f>'[2]All Counts'!F44</f>
        <v>1</v>
      </c>
      <c r="E44" s="136">
        <f>'[2]All Counts'!G44</f>
        <v>1</v>
      </c>
      <c r="F44" s="136" t="str">
        <f>'[2]All Counts'!H44</f>
        <v>SR-78 WB</v>
      </c>
      <c r="G44" s="136">
        <f>'[2]All Counts'!I44</f>
        <v>21</v>
      </c>
      <c r="H44" s="136">
        <f>'[2]All Counts'!J44</f>
        <v>0</v>
      </c>
      <c r="I44" s="136" t="str">
        <f>'[2]All Counts'!K44</f>
        <v>LAS POSAS</v>
      </c>
      <c r="J44" s="136" t="str">
        <f>'[2]All Counts'!L44</f>
        <v>LAS POSAS</v>
      </c>
      <c r="K44" s="136">
        <f>'[2]All Counts'!O44</f>
        <v>13498</v>
      </c>
      <c r="L44" s="57">
        <f>VLOOKUP(ws[[#This Row],[hwycov_id]],readme!D:G,4,FALSE)</f>
        <v>16431.582031000002</v>
      </c>
      <c r="M44" s="88">
        <f>ws[[#This Row],[flow]]/ws[[#This Row],[count]]-1</f>
        <v>0.21733457038079718</v>
      </c>
      <c r="N44" s="89">
        <f>POWER((ws[[#This Row],[flow]]-ws[[#This Row],[count]]),2)</f>
        <v>8605903.5326060951</v>
      </c>
      <c r="O44" s="43">
        <f>VLOOKUP(ws[[#This Row],[hwycov_id]],count[],6,FALSE)</f>
        <v>0</v>
      </c>
      <c r="P44" s="43">
        <v>144</v>
      </c>
      <c r="Q44" s="43" t="str">
        <f>'[2]All Counts'!P44</f>
        <v>PeMS2016</v>
      </c>
      <c r="S44" s="94">
        <v>699</v>
      </c>
      <c r="T44" s="17">
        <v>15375</v>
      </c>
      <c r="U44" s="17">
        <v>15148.833984000001</v>
      </c>
      <c r="V44" s="17"/>
      <c r="W44" s="17"/>
      <c r="X44" s="17"/>
      <c r="Y44" s="17"/>
      <c r="Z44" s="17"/>
      <c r="AA44" s="17"/>
      <c r="AB44" s="17">
        <v>15375</v>
      </c>
      <c r="AC44" s="17">
        <v>15148.833984000001</v>
      </c>
      <c r="AD44"/>
      <c r="AE44"/>
    </row>
    <row r="45" spans="1:31" x14ac:dyDescent="0.25">
      <c r="A45" s="136">
        <f>'[2]All Counts'!C45</f>
        <v>16</v>
      </c>
      <c r="B45" s="136">
        <f>'[2]All Counts'!D45</f>
        <v>3</v>
      </c>
      <c r="C45" s="136">
        <f>'[2]All Counts'!E45</f>
        <v>16427</v>
      </c>
      <c r="D45" s="136">
        <f>'[2]All Counts'!F45</f>
        <v>1</v>
      </c>
      <c r="E45" s="136">
        <f>'[2]All Counts'!G45</f>
        <v>1</v>
      </c>
      <c r="F45" s="136" t="str">
        <f>'[2]All Counts'!H45</f>
        <v>SR-78 WB</v>
      </c>
      <c r="G45" s="136">
        <f>'[2]All Counts'!I45</f>
        <v>22</v>
      </c>
      <c r="H45" s="136">
        <f>'[2]All Counts'!J45</f>
        <v>0</v>
      </c>
      <c r="I45" s="136" t="str">
        <f>'[2]All Counts'!K45</f>
        <v>LAS POSAS</v>
      </c>
      <c r="J45" s="136" t="str">
        <f>'[2]All Counts'!L45</f>
        <v>RANCHO SANTA FE</v>
      </c>
      <c r="K45" s="136">
        <f>'[2]All Counts'!O45</f>
        <v>18053</v>
      </c>
      <c r="L45" s="57">
        <f>VLOOKUP(ws[[#This Row],[hwycov_id]],readme!D:G,4,FALSE)</f>
        <v>16431.582031000002</v>
      </c>
      <c r="M45" s="88">
        <f>ws[[#This Row],[flow]]/ws[[#This Row],[count]]-1</f>
        <v>-8.9814322771838428E-2</v>
      </c>
      <c r="N45" s="89">
        <f>POWER((ws[[#This Row],[flow]]-ws[[#This Row],[count]]),2)</f>
        <v>2628996.2301960792</v>
      </c>
      <c r="O45" s="43">
        <f>VLOOKUP(ws[[#This Row],[hwycov_id]],count[],6,FALSE)</f>
        <v>0</v>
      </c>
      <c r="P45" s="43">
        <v>145</v>
      </c>
      <c r="Q45" s="43" t="str">
        <f>'[2]All Counts'!P45</f>
        <v>Caltran</v>
      </c>
      <c r="S45" s="94">
        <v>702</v>
      </c>
      <c r="T45" s="17">
        <v>17130</v>
      </c>
      <c r="U45" s="17">
        <v>17950.041015999999</v>
      </c>
      <c r="V45" s="17"/>
      <c r="W45" s="17"/>
      <c r="X45" s="17"/>
      <c r="Y45" s="17"/>
      <c r="Z45" s="17"/>
      <c r="AA45" s="17"/>
      <c r="AB45" s="17">
        <v>17130</v>
      </c>
      <c r="AC45" s="17">
        <v>17950.041015999999</v>
      </c>
      <c r="AD45"/>
      <c r="AE45"/>
    </row>
    <row r="46" spans="1:31" x14ac:dyDescent="0.25">
      <c r="A46" s="136">
        <f>'[2]All Counts'!C46</f>
        <v>16</v>
      </c>
      <c r="B46" s="136">
        <f>'[2]All Counts'!D46</f>
        <v>3</v>
      </c>
      <c r="C46" s="136">
        <f>'[2]All Counts'!E46</f>
        <v>29183</v>
      </c>
      <c r="D46" s="136">
        <f>'[2]All Counts'!F46</f>
        <v>1</v>
      </c>
      <c r="E46" s="136">
        <f>'[2]All Counts'!G46</f>
        <v>1</v>
      </c>
      <c r="F46" s="136" t="str">
        <f>'[2]All Counts'!H46</f>
        <v>SR-78 WB</v>
      </c>
      <c r="G46" s="136">
        <f>'[2]All Counts'!I46</f>
        <v>24</v>
      </c>
      <c r="H46" s="136">
        <f>'[2]All Counts'!J46</f>
        <v>0</v>
      </c>
      <c r="I46" s="136" t="str">
        <f>'[2]All Counts'!K46</f>
        <v>RANCHO SANTA FE</v>
      </c>
      <c r="J46" s="136" t="str">
        <f>'[2]All Counts'!L46</f>
        <v>RANCHO SANTA FE</v>
      </c>
      <c r="K46" s="136">
        <f>'[2]All Counts'!O46</f>
        <v>16131</v>
      </c>
      <c r="L46" s="57">
        <f>VLOOKUP(ws[[#This Row],[hwycov_id]],readme!D:G,4,FALSE)</f>
        <v>18936.142577999999</v>
      </c>
      <c r="M46" s="88">
        <f>ws[[#This Row],[flow]]/ws[[#This Row],[count]]-1</f>
        <v>0.17389762432583211</v>
      </c>
      <c r="N46" s="89">
        <f>POWER((ws[[#This Row],[flow]]-ws[[#This Row],[count]]),2)</f>
        <v>7868824.8829084812</v>
      </c>
      <c r="O46" s="43">
        <f>VLOOKUP(ws[[#This Row],[hwycov_id]],count[],6,FALSE)</f>
        <v>0</v>
      </c>
      <c r="P46" s="43">
        <v>146</v>
      </c>
      <c r="Q46" s="43" t="str">
        <f>'[2]All Counts'!P46</f>
        <v>PeMS2016</v>
      </c>
      <c r="S46" s="94">
        <v>705</v>
      </c>
      <c r="T46" s="17">
        <v>21748</v>
      </c>
      <c r="U46" s="17">
        <v>22324.302734000001</v>
      </c>
      <c r="V46" s="17"/>
      <c r="W46" s="17"/>
      <c r="X46" s="17"/>
      <c r="Y46" s="17"/>
      <c r="Z46" s="17"/>
      <c r="AA46" s="17"/>
      <c r="AB46" s="17">
        <v>21748</v>
      </c>
      <c r="AC46" s="17">
        <v>22324.302734000001</v>
      </c>
      <c r="AD46"/>
      <c r="AE46"/>
    </row>
    <row r="47" spans="1:31" x14ac:dyDescent="0.25">
      <c r="A47" s="136">
        <f>'[2]All Counts'!C47</f>
        <v>16</v>
      </c>
      <c r="B47" s="136">
        <f>'[2]All Counts'!D47</f>
        <v>3</v>
      </c>
      <c r="C47" s="136">
        <f>'[2]All Counts'!E47</f>
        <v>3207</v>
      </c>
      <c r="D47" s="136">
        <f>'[2]All Counts'!F47</f>
        <v>1</v>
      </c>
      <c r="E47" s="136">
        <f>'[2]All Counts'!G47</f>
        <v>1</v>
      </c>
      <c r="F47" s="136" t="str">
        <f>'[2]All Counts'!H47</f>
        <v>SR-78 WB</v>
      </c>
      <c r="G47" s="136">
        <f>'[2]All Counts'!I47</f>
        <v>25</v>
      </c>
      <c r="H47" s="136">
        <f>'[2]All Counts'!J47</f>
        <v>0</v>
      </c>
      <c r="I47" s="136" t="str">
        <f>'[2]All Counts'!K47</f>
        <v>RANCHO SANTA FE</v>
      </c>
      <c r="J47" s="136" t="str">
        <f>'[2]All Counts'!L47</f>
        <v>SYCAMORE</v>
      </c>
      <c r="K47" s="136">
        <f>'[2]All Counts'!O47</f>
        <v>17701</v>
      </c>
      <c r="L47" s="57">
        <f>VLOOKUP(ws[[#This Row],[hwycov_id]],readme!D:G,4,FALSE)</f>
        <v>21085.214843999998</v>
      </c>
      <c r="M47" s="88">
        <f>ws[[#This Row],[flow]]/ws[[#This Row],[count]]-1</f>
        <v>0.1911877771877295</v>
      </c>
      <c r="N47" s="89">
        <f>POWER((ws[[#This Row],[flow]]-ws[[#This Row],[count]]),2)</f>
        <v>11452910.110349933</v>
      </c>
      <c r="O47" s="43">
        <f>VLOOKUP(ws[[#This Row],[hwycov_id]],count[],6,FALSE)</f>
        <v>0</v>
      </c>
      <c r="P47" s="43">
        <v>149</v>
      </c>
      <c r="Q47" s="43" t="str">
        <f>'[2]All Counts'!P47</f>
        <v>Caltran</v>
      </c>
      <c r="S47" s="94">
        <v>706</v>
      </c>
      <c r="T47" s="17">
        <v>24359</v>
      </c>
      <c r="U47" s="17">
        <v>24022.767577999999</v>
      </c>
      <c r="V47" s="17"/>
      <c r="W47" s="17"/>
      <c r="X47" s="17"/>
      <c r="Y47" s="17"/>
      <c r="Z47" s="17"/>
      <c r="AA47" s="17"/>
      <c r="AB47" s="17">
        <v>24359</v>
      </c>
      <c r="AC47" s="17">
        <v>24022.767577999999</v>
      </c>
      <c r="AD47"/>
      <c r="AE47"/>
    </row>
    <row r="48" spans="1:31" x14ac:dyDescent="0.25">
      <c r="A48" s="136">
        <f>'[2]All Counts'!C48</f>
        <v>16</v>
      </c>
      <c r="B48" s="136">
        <f>'[2]All Counts'!D48</f>
        <v>3</v>
      </c>
      <c r="C48" s="136">
        <f>'[2]All Counts'!E48</f>
        <v>8839</v>
      </c>
      <c r="D48" s="136">
        <f>'[2]All Counts'!F48</f>
        <v>1</v>
      </c>
      <c r="E48" s="136">
        <f>'[2]All Counts'!G48</f>
        <v>1</v>
      </c>
      <c r="F48" s="136" t="str">
        <f>'[2]All Counts'!H48</f>
        <v>SR-78 WB</v>
      </c>
      <c r="G48" s="136">
        <f>'[2]All Counts'!I48</f>
        <v>29</v>
      </c>
      <c r="H48" s="136">
        <f>'[2]All Counts'!J48</f>
        <v>0</v>
      </c>
      <c r="I48" s="136" t="str">
        <f>'[2]All Counts'!K48</f>
        <v>SYCAMORE</v>
      </c>
      <c r="J48" s="136" t="str">
        <f>'[2]All Counts'!L48</f>
        <v>SYCAMORE</v>
      </c>
      <c r="K48" s="136">
        <f>'[2]All Counts'!O48</f>
        <v>14936</v>
      </c>
      <c r="L48" s="57">
        <f>VLOOKUP(ws[[#This Row],[hwycov_id]],readme!D:G,4,FALSE)</f>
        <v>17853.105468999998</v>
      </c>
      <c r="M48" s="88">
        <f>ws[[#This Row],[flow]]/ws[[#This Row],[count]]-1</f>
        <v>0.19530700783342247</v>
      </c>
      <c r="N48" s="89">
        <f>POWER((ws[[#This Row],[flow]]-ws[[#This Row],[count]]),2)</f>
        <v>8509504.3172696996</v>
      </c>
      <c r="O48" s="43">
        <f>VLOOKUP(ws[[#This Row],[hwycov_id]],count[],6,FALSE)</f>
        <v>0</v>
      </c>
      <c r="P48" s="43">
        <v>150</v>
      </c>
      <c r="Q48" s="43" t="str">
        <f>'[2]All Counts'!P48</f>
        <v>PeMS2016</v>
      </c>
      <c r="S48" s="94">
        <v>708</v>
      </c>
      <c r="T48" s="17">
        <v>13364</v>
      </c>
      <c r="U48" s="17">
        <v>15648.295898</v>
      </c>
      <c r="V48" s="17"/>
      <c r="W48" s="17"/>
      <c r="X48" s="17"/>
      <c r="Y48" s="17"/>
      <c r="Z48" s="17"/>
      <c r="AA48" s="17"/>
      <c r="AB48" s="17">
        <v>13364</v>
      </c>
      <c r="AC48" s="17">
        <v>15648.295898</v>
      </c>
      <c r="AD48"/>
      <c r="AE48"/>
    </row>
    <row r="49" spans="1:31" x14ac:dyDescent="0.25">
      <c r="A49" s="136">
        <f>'[2]All Counts'!C49</f>
        <v>16</v>
      </c>
      <c r="B49" s="136">
        <f>'[2]All Counts'!D49</f>
        <v>3</v>
      </c>
      <c r="C49" s="136">
        <f>'[2]All Counts'!E49</f>
        <v>8058</v>
      </c>
      <c r="D49" s="136">
        <f>'[2]All Counts'!F49</f>
        <v>1</v>
      </c>
      <c r="E49" s="136">
        <f>'[2]All Counts'!G49</f>
        <v>1</v>
      </c>
      <c r="F49" s="136" t="str">
        <f>'[2]All Counts'!H49</f>
        <v>SR-78 WB</v>
      </c>
      <c r="G49" s="136">
        <f>'[2]All Counts'!I49</f>
        <v>31</v>
      </c>
      <c r="H49" s="136">
        <f>'[2]All Counts'!J49</f>
        <v>0</v>
      </c>
      <c r="I49" s="136" t="str">
        <f>'[2]All Counts'!K49</f>
        <v>MAR VISTA</v>
      </c>
      <c r="J49" s="136" t="str">
        <f>'[2]All Counts'!L49</f>
        <v>MAR VISTA</v>
      </c>
      <c r="K49" s="136">
        <f>'[2]All Counts'!O49</f>
        <v>17762</v>
      </c>
      <c r="L49" s="57">
        <f>VLOOKUP(ws[[#This Row],[hwycov_id]],readme!D:G,4,FALSE)</f>
        <v>18103.460938</v>
      </c>
      <c r="M49" s="88">
        <f>ws[[#This Row],[flow]]/ws[[#This Row],[count]]-1</f>
        <v>1.9224239274856503E-2</v>
      </c>
      <c r="N49" s="89">
        <f>POWER((ws[[#This Row],[flow]]-ws[[#This Row],[count]]),2)</f>
        <v>116595.57217983996</v>
      </c>
      <c r="O49" s="43">
        <f>VLOOKUP(ws[[#This Row],[hwycov_id]],count[],6,FALSE)</f>
        <v>0</v>
      </c>
      <c r="P49" s="43">
        <v>378</v>
      </c>
      <c r="Q49" s="43" t="str">
        <f>'[2]All Counts'!P49</f>
        <v>PeMS2016</v>
      </c>
      <c r="S49" s="94">
        <v>716</v>
      </c>
      <c r="T49" s="17">
        <v>23486</v>
      </c>
      <c r="U49" s="17">
        <v>22947.023438</v>
      </c>
      <c r="V49" s="17"/>
      <c r="W49" s="17"/>
      <c r="X49" s="17"/>
      <c r="Y49" s="17"/>
      <c r="Z49" s="17"/>
      <c r="AA49" s="17"/>
      <c r="AB49" s="17">
        <v>23486</v>
      </c>
      <c r="AC49" s="17">
        <v>22947.023438</v>
      </c>
      <c r="AD49"/>
      <c r="AE49"/>
    </row>
    <row r="50" spans="1:31" x14ac:dyDescent="0.25">
      <c r="A50" s="136">
        <f>'[2]All Counts'!C50</f>
        <v>16</v>
      </c>
      <c r="B50" s="136">
        <f>'[2]All Counts'!D50</f>
        <v>3</v>
      </c>
      <c r="C50" s="136">
        <f>'[2]All Counts'!E50</f>
        <v>8059</v>
      </c>
      <c r="D50" s="136">
        <f>'[2]All Counts'!F50</f>
        <v>1</v>
      </c>
      <c r="E50" s="136">
        <f>'[2]All Counts'!G50</f>
        <v>1</v>
      </c>
      <c r="F50" s="136" t="str">
        <f>'[2]All Counts'!H50</f>
        <v>SR-78 WB</v>
      </c>
      <c r="G50" s="136">
        <f>'[2]All Counts'!I50</f>
        <v>33</v>
      </c>
      <c r="H50" s="136">
        <f>'[2]All Counts'!J50</f>
        <v>0</v>
      </c>
      <c r="I50" s="136" t="str">
        <f>'[2]All Counts'!K50</f>
        <v>SUNSET</v>
      </c>
      <c r="J50" s="136" t="str">
        <f>'[2]All Counts'!L50</f>
        <v>SUNSET</v>
      </c>
      <c r="K50" s="136">
        <f>'[2]All Counts'!O50</f>
        <v>15856</v>
      </c>
      <c r="L50" s="57">
        <f>VLOOKUP(ws[[#This Row],[hwycov_id]],readme!D:G,4,FALSE)</f>
        <v>15585.291992</v>
      </c>
      <c r="M50" s="88">
        <f>ws[[#This Row],[flow]]/ws[[#This Row],[count]]-1</f>
        <v>-1.7072906659939435E-2</v>
      </c>
      <c r="N50" s="89">
        <f>POWER((ws[[#This Row],[flow]]-ws[[#This Row],[count]]),2)</f>
        <v>73282.825595327857</v>
      </c>
      <c r="O50" s="43">
        <f>VLOOKUP(ws[[#This Row],[hwycov_id]],count[],6,FALSE)</f>
        <v>0</v>
      </c>
      <c r="P50" s="43">
        <v>152</v>
      </c>
      <c r="Q50" s="43" t="str">
        <f>'[2]All Counts'!P50</f>
        <v>PeMS2016</v>
      </c>
      <c r="S50" s="94">
        <v>717</v>
      </c>
      <c r="T50" s="17">
        <v>20143</v>
      </c>
      <c r="U50" s="17">
        <v>22242.964843999998</v>
      </c>
      <c r="V50" s="17"/>
      <c r="W50" s="17"/>
      <c r="X50" s="17"/>
      <c r="Y50" s="17"/>
      <c r="Z50" s="17"/>
      <c r="AA50" s="17"/>
      <c r="AB50" s="17">
        <v>20143</v>
      </c>
      <c r="AC50" s="17">
        <v>22242.964843999998</v>
      </c>
      <c r="AD50"/>
      <c r="AE50"/>
    </row>
    <row r="51" spans="1:31" x14ac:dyDescent="0.25">
      <c r="A51" s="136">
        <f>'[2]All Counts'!C51</f>
        <v>16</v>
      </c>
      <c r="B51" s="136">
        <f>'[2]All Counts'!D51</f>
        <v>3</v>
      </c>
      <c r="C51" s="136">
        <f>'[2]All Counts'!E51</f>
        <v>8834</v>
      </c>
      <c r="D51" s="136">
        <f>'[2]All Counts'!F51</f>
        <v>1</v>
      </c>
      <c r="E51" s="136">
        <f>'[2]All Counts'!G51</f>
        <v>1</v>
      </c>
      <c r="F51" s="136" t="str">
        <f>'[2]All Counts'!H51</f>
        <v>SR-78 WB</v>
      </c>
      <c r="G51" s="136">
        <f>'[2]All Counts'!I51</f>
        <v>35</v>
      </c>
      <c r="H51" s="136">
        <f>'[2]All Counts'!J51</f>
        <v>0</v>
      </c>
      <c r="I51" s="136" t="str">
        <f>'[2]All Counts'!K51</f>
        <v>MELROSE</v>
      </c>
      <c r="J51" s="136" t="str">
        <f>'[2]All Counts'!L51</f>
        <v>MELROSE</v>
      </c>
      <c r="K51" s="136">
        <f>'[2]All Counts'!O51</f>
        <v>12472</v>
      </c>
      <c r="L51" s="57">
        <f>VLOOKUP(ws[[#This Row],[hwycov_id]],readme!D:G,4,FALSE)</f>
        <v>13471.100586</v>
      </c>
      <c r="M51" s="88">
        <f>ws[[#This Row],[flow]]/ws[[#This Row],[count]]-1</f>
        <v>8.0107487652341325E-2</v>
      </c>
      <c r="N51" s="89">
        <f>POWER((ws[[#This Row],[flow]]-ws[[#This Row],[count]]),2)</f>
        <v>998201.98094554432</v>
      </c>
      <c r="O51" s="43">
        <f>VLOOKUP(ws[[#This Row],[hwycov_id]],count[],6,FALSE)</f>
        <v>0</v>
      </c>
      <c r="P51" s="43">
        <v>153</v>
      </c>
      <c r="Q51" s="43" t="str">
        <f>'[2]All Counts'!P51</f>
        <v>PeMS2016</v>
      </c>
      <c r="S51" s="94">
        <v>721</v>
      </c>
      <c r="T51" s="17">
        <v>26470</v>
      </c>
      <c r="U51" s="17">
        <v>32537.75</v>
      </c>
      <c r="V51" s="17"/>
      <c r="W51" s="17"/>
      <c r="X51" s="17"/>
      <c r="Y51" s="17"/>
      <c r="Z51" s="17"/>
      <c r="AA51" s="17"/>
      <c r="AB51" s="17">
        <v>26470</v>
      </c>
      <c r="AC51" s="17">
        <v>32537.75</v>
      </c>
      <c r="AD51"/>
      <c r="AE51"/>
    </row>
    <row r="52" spans="1:31" x14ac:dyDescent="0.25">
      <c r="A52" s="136">
        <f>'[2]All Counts'!C52</f>
        <v>16</v>
      </c>
      <c r="B52" s="136">
        <f>'[2]All Counts'!D52</f>
        <v>3</v>
      </c>
      <c r="C52" s="136">
        <f>'[2]All Counts'!E52</f>
        <v>27248</v>
      </c>
      <c r="D52" s="136">
        <f>'[2]All Counts'!F52</f>
        <v>1</v>
      </c>
      <c r="E52" s="136">
        <f>'[2]All Counts'!G52</f>
        <v>1</v>
      </c>
      <c r="F52" s="136" t="str">
        <f>'[2]All Counts'!H52</f>
        <v>SR-78 WB</v>
      </c>
      <c r="G52" s="136">
        <f>'[2]All Counts'!I52</f>
        <v>36</v>
      </c>
      <c r="H52" s="136">
        <f>'[2]All Counts'!J52</f>
        <v>0</v>
      </c>
      <c r="I52" s="136" t="str">
        <f>'[2]All Counts'!K52</f>
        <v>MELROSE</v>
      </c>
      <c r="J52" s="136" t="str">
        <f>'[2]All Counts'!L52</f>
        <v>MELROSE</v>
      </c>
      <c r="K52" s="136">
        <f>'[2]All Counts'!O52</f>
        <v>12472</v>
      </c>
      <c r="L52" s="57">
        <f>VLOOKUP(ws[[#This Row],[hwycov_id]],readme!D:G,4,FALSE)</f>
        <v>13471.100586</v>
      </c>
      <c r="M52" s="88">
        <f>ws[[#This Row],[flow]]/ws[[#This Row],[count]]-1</f>
        <v>8.0107487652341325E-2</v>
      </c>
      <c r="N52" s="89">
        <f>POWER((ws[[#This Row],[flow]]-ws[[#This Row],[count]]),2)</f>
        <v>998201.98094554432</v>
      </c>
      <c r="O52" s="43">
        <f>VLOOKUP(ws[[#This Row],[hwycov_id]],count[],6,FALSE)</f>
        <v>0</v>
      </c>
      <c r="P52" s="43">
        <v>155</v>
      </c>
      <c r="Q52" s="43" t="str">
        <f>'[2]All Counts'!P52</f>
        <v>PeMS2016</v>
      </c>
      <c r="S52" s="94">
        <v>726</v>
      </c>
      <c r="T52" s="17">
        <v>18438</v>
      </c>
      <c r="U52" s="17">
        <v>22874.732422000001</v>
      </c>
      <c r="V52" s="17"/>
      <c r="W52" s="17"/>
      <c r="X52" s="17"/>
      <c r="Y52" s="17"/>
      <c r="Z52" s="17"/>
      <c r="AA52" s="17"/>
      <c r="AB52" s="17">
        <v>18438</v>
      </c>
      <c r="AC52" s="17">
        <v>22874.732422000001</v>
      </c>
      <c r="AD52"/>
      <c r="AE52"/>
    </row>
    <row r="53" spans="1:31" x14ac:dyDescent="0.25">
      <c r="A53" s="136">
        <f>'[2]All Counts'!C53</f>
        <v>16</v>
      </c>
      <c r="B53" s="136">
        <f>'[2]All Counts'!D53</f>
        <v>3</v>
      </c>
      <c r="C53" s="136">
        <f>'[2]All Counts'!E53</f>
        <v>28849</v>
      </c>
      <c r="D53" s="136">
        <f>'[2]All Counts'!F53</f>
        <v>1</v>
      </c>
      <c r="E53" s="136">
        <f>'[2]All Counts'!G53</f>
        <v>1</v>
      </c>
      <c r="F53" s="136" t="str">
        <f>'[2]All Counts'!H53</f>
        <v>SR-78 WB</v>
      </c>
      <c r="G53" s="136">
        <f>'[2]All Counts'!I53</f>
        <v>37</v>
      </c>
      <c r="H53" s="136">
        <f>'[2]All Counts'!J53</f>
        <v>0</v>
      </c>
      <c r="I53" s="136" t="str">
        <f>'[2]All Counts'!K53</f>
        <v>MELROSE</v>
      </c>
      <c r="J53" s="136" t="str">
        <f>'[2]All Counts'!L53</f>
        <v>MELROSE</v>
      </c>
      <c r="K53" s="136">
        <f>'[2]All Counts'!O53</f>
        <v>14491</v>
      </c>
      <c r="L53" s="57">
        <f>VLOOKUP(ws[[#This Row],[hwycov_id]],readme!D:G,4,FALSE)</f>
        <v>14762.392578000001</v>
      </c>
      <c r="M53" s="88">
        <f>ws[[#This Row],[flow]]/ws[[#This Row],[count]]-1</f>
        <v>1.8728354012835569E-2</v>
      </c>
      <c r="N53" s="89">
        <f>POWER((ws[[#This Row],[flow]]-ws[[#This Row],[count]]),2)</f>
        <v>73653.931393486549</v>
      </c>
      <c r="O53" s="43">
        <f>VLOOKUP(ws[[#This Row],[hwycov_id]],count[],6,FALSE)</f>
        <v>0</v>
      </c>
      <c r="P53" s="43">
        <v>158</v>
      </c>
      <c r="Q53" s="43" t="str">
        <f>'[2]All Counts'!P53</f>
        <v>PeMS2016</v>
      </c>
      <c r="S53" s="94">
        <v>728</v>
      </c>
      <c r="T53" s="17">
        <v>22257</v>
      </c>
      <c r="U53" s="17">
        <v>23706.666015999999</v>
      </c>
      <c r="V53" s="17"/>
      <c r="W53" s="17"/>
      <c r="X53" s="17"/>
      <c r="Y53" s="17"/>
      <c r="Z53" s="17"/>
      <c r="AA53" s="17"/>
      <c r="AB53" s="17">
        <v>22257</v>
      </c>
      <c r="AC53" s="17">
        <v>23706.666015999999</v>
      </c>
      <c r="AD53"/>
      <c r="AE53"/>
    </row>
    <row r="54" spans="1:31" x14ac:dyDescent="0.25">
      <c r="A54" s="136">
        <f>'[2]All Counts'!C54</f>
        <v>16</v>
      </c>
      <c r="B54" s="136">
        <f>'[2]All Counts'!D54</f>
        <v>3</v>
      </c>
      <c r="C54" s="136">
        <f>'[2]All Counts'!E54</f>
        <v>16564</v>
      </c>
      <c r="D54" s="136">
        <f>'[2]All Counts'!F54</f>
        <v>1</v>
      </c>
      <c r="E54" s="136">
        <f>'[2]All Counts'!G54</f>
        <v>1</v>
      </c>
      <c r="F54" s="136" t="str">
        <f>'[2]All Counts'!H54</f>
        <v>SR-78 WB</v>
      </c>
      <c r="G54" s="136">
        <f>'[2]All Counts'!I54</f>
        <v>39</v>
      </c>
      <c r="H54" s="136">
        <f>'[2]All Counts'!J54</f>
        <v>0</v>
      </c>
      <c r="I54" s="136" t="str">
        <f>'[2]All Counts'!K54</f>
        <v>EMERALD</v>
      </c>
      <c r="J54" s="136" t="str">
        <f>'[2]All Counts'!L54</f>
        <v>EMERALD</v>
      </c>
      <c r="K54" s="136">
        <f>'[2]All Counts'!O54</f>
        <v>12863</v>
      </c>
      <c r="L54" s="57">
        <f>VLOOKUP(ws[[#This Row],[hwycov_id]],readme!D:G,4,FALSE)</f>
        <v>12627.659180000001</v>
      </c>
      <c r="M54" s="88">
        <f>ws[[#This Row],[flow]]/ws[[#This Row],[count]]-1</f>
        <v>-1.8295951177796699E-2</v>
      </c>
      <c r="N54" s="89">
        <f>POWER((ws[[#This Row],[flow]]-ws[[#This Row],[count]]),2)</f>
        <v>55385.301558272135</v>
      </c>
      <c r="O54" s="43">
        <f>VLOOKUP(ws[[#This Row],[hwycov_id]],count[],6,FALSE)</f>
        <v>0</v>
      </c>
      <c r="P54" s="43">
        <v>159</v>
      </c>
      <c r="Q54" s="43" t="str">
        <f>'[2]All Counts'!P54</f>
        <v>PeMS2016</v>
      </c>
      <c r="S54" s="94">
        <v>733</v>
      </c>
      <c r="T54" s="17">
        <v>16337</v>
      </c>
      <c r="U54" s="17">
        <v>18197.052734000001</v>
      </c>
      <c r="V54" s="17"/>
      <c r="W54" s="17"/>
      <c r="X54" s="17"/>
      <c r="Y54" s="17"/>
      <c r="Z54" s="17"/>
      <c r="AA54" s="17"/>
      <c r="AB54" s="17">
        <v>16337</v>
      </c>
      <c r="AC54" s="17">
        <v>18197.052734000001</v>
      </c>
      <c r="AD54"/>
      <c r="AE54"/>
    </row>
    <row r="55" spans="1:31" x14ac:dyDescent="0.25">
      <c r="A55" s="136">
        <f>'[2]All Counts'!C55</f>
        <v>16</v>
      </c>
      <c r="B55" s="136">
        <f>'[2]All Counts'!D55</f>
        <v>3</v>
      </c>
      <c r="C55" s="136">
        <f>'[2]All Counts'!E55</f>
        <v>12578</v>
      </c>
      <c r="D55" s="136">
        <f>'[2]All Counts'!F55</f>
        <v>1</v>
      </c>
      <c r="E55" s="136">
        <f>'[2]All Counts'!G55</f>
        <v>1</v>
      </c>
      <c r="F55" s="136" t="str">
        <f>'[2]All Counts'!H55</f>
        <v>SR-78 WB</v>
      </c>
      <c r="G55" s="136">
        <f>'[2]All Counts'!I55</f>
        <v>41</v>
      </c>
      <c r="H55" s="136">
        <f>'[2]All Counts'!J55</f>
        <v>0</v>
      </c>
      <c r="I55" s="136" t="str">
        <f>'[2]All Counts'!K55</f>
        <v>VISTA WY</v>
      </c>
      <c r="J55" s="136" t="str">
        <f>'[2]All Counts'!L55</f>
        <v>VISTA WY</v>
      </c>
      <c r="K55" s="136">
        <f>'[2]All Counts'!O55</f>
        <v>11913</v>
      </c>
      <c r="L55" s="57">
        <f>VLOOKUP(ws[[#This Row],[hwycov_id]],readme!D:G,4,FALSE)</f>
        <v>11507.895508</v>
      </c>
      <c r="M55" s="88">
        <f>ws[[#This Row],[flow]]/ws[[#This Row],[count]]-1</f>
        <v>-3.4005245697977027E-2</v>
      </c>
      <c r="N55" s="89">
        <f>POWER((ws[[#This Row],[flow]]-ws[[#This Row],[count]]),2)</f>
        <v>164109.64943857837</v>
      </c>
      <c r="O55" s="43">
        <f>VLOOKUP(ws[[#This Row],[hwycov_id]],count[],6,FALSE)</f>
        <v>0</v>
      </c>
      <c r="P55" s="43">
        <v>160</v>
      </c>
      <c r="Q55" s="43" t="str">
        <f>'[2]All Counts'!P55</f>
        <v>PeMS2016</v>
      </c>
      <c r="S55" s="94">
        <v>738</v>
      </c>
      <c r="T55" s="17">
        <v>13944</v>
      </c>
      <c r="U55" s="17">
        <v>14083.180664</v>
      </c>
      <c r="V55" s="17"/>
      <c r="W55" s="17"/>
      <c r="X55" s="17"/>
      <c r="Y55" s="17"/>
      <c r="Z55" s="17"/>
      <c r="AA55" s="17"/>
      <c r="AB55" s="17">
        <v>13944</v>
      </c>
      <c r="AC55" s="17">
        <v>14083.180664</v>
      </c>
      <c r="AD55"/>
      <c r="AE55"/>
    </row>
    <row r="56" spans="1:31" x14ac:dyDescent="0.25">
      <c r="A56" s="136">
        <f>'[2]All Counts'!C56</f>
        <v>16</v>
      </c>
      <c r="B56" s="136">
        <f>'[2]All Counts'!D56</f>
        <v>3</v>
      </c>
      <c r="C56" s="136">
        <f>'[2]All Counts'!E56</f>
        <v>12579</v>
      </c>
      <c r="D56" s="136">
        <f>'[2]All Counts'!F56</f>
        <v>1</v>
      </c>
      <c r="E56" s="136">
        <f>'[2]All Counts'!G56</f>
        <v>1</v>
      </c>
      <c r="F56" s="136" t="str">
        <f>'[2]All Counts'!H56</f>
        <v>SR-78 WB</v>
      </c>
      <c r="G56" s="136">
        <f>'[2]All Counts'!I56</f>
        <v>42</v>
      </c>
      <c r="H56" s="136">
        <f>'[2]All Counts'!J56</f>
        <v>0</v>
      </c>
      <c r="I56" s="136" t="str">
        <f>'[2]All Counts'!K56</f>
        <v>VISTA WY</v>
      </c>
      <c r="J56" s="136" t="str">
        <f>'[2]All Counts'!L56</f>
        <v>COLLEGE</v>
      </c>
      <c r="K56" s="136">
        <f>'[2]All Counts'!O56</f>
        <v>13748</v>
      </c>
      <c r="L56" s="57">
        <f>VLOOKUP(ws[[#This Row],[hwycov_id]],readme!D:G,4,FALSE)</f>
        <v>12686.825194999999</v>
      </c>
      <c r="M56" s="88">
        <f>ws[[#This Row],[flow]]/ws[[#This Row],[count]]-1</f>
        <v>-7.7187576738434682E-2</v>
      </c>
      <c r="N56" s="89">
        <f>POWER((ws[[#This Row],[flow]]-ws[[#This Row],[count]]),2)</f>
        <v>1126091.9667667893</v>
      </c>
      <c r="O56" s="43">
        <f>VLOOKUP(ws[[#This Row],[hwycov_id]],count[],6,FALSE)</f>
        <v>0</v>
      </c>
      <c r="P56" s="43">
        <v>162</v>
      </c>
      <c r="Q56" s="43" t="str">
        <f>'[2]All Counts'!P56</f>
        <v>PeMS2016</v>
      </c>
      <c r="S56" s="94">
        <v>744</v>
      </c>
      <c r="T56" s="17">
        <v>15765</v>
      </c>
      <c r="U56" s="17">
        <v>16937.144531000002</v>
      </c>
      <c r="V56" s="17"/>
      <c r="W56" s="17"/>
      <c r="X56" s="17"/>
      <c r="Y56" s="17"/>
      <c r="Z56" s="17"/>
      <c r="AA56" s="17"/>
      <c r="AB56" s="17">
        <v>15765</v>
      </c>
      <c r="AC56" s="17">
        <v>16937.144531000002</v>
      </c>
      <c r="AD56"/>
      <c r="AE56"/>
    </row>
    <row r="57" spans="1:31" x14ac:dyDescent="0.25">
      <c r="A57" s="136">
        <f>'[2]All Counts'!C57</f>
        <v>16</v>
      </c>
      <c r="B57" s="136">
        <f>'[2]All Counts'!D57</f>
        <v>3</v>
      </c>
      <c r="C57" s="136">
        <f>'[2]All Counts'!E57</f>
        <v>12571</v>
      </c>
      <c r="D57" s="136">
        <f>'[2]All Counts'!F57</f>
        <v>1</v>
      </c>
      <c r="E57" s="136">
        <f>'[2]All Counts'!G57</f>
        <v>1</v>
      </c>
      <c r="F57" s="136" t="str">
        <f>'[2]All Counts'!H57</f>
        <v>SR-78 WB</v>
      </c>
      <c r="G57" s="136">
        <f>'[2]All Counts'!I57</f>
        <v>45</v>
      </c>
      <c r="H57" s="136">
        <f>'[2]All Counts'!J57</f>
        <v>0</v>
      </c>
      <c r="I57" s="136" t="str">
        <f>'[2]All Counts'!K57</f>
        <v>RANCHO DEL ORO</v>
      </c>
      <c r="J57" s="136" t="str">
        <f>'[2]All Counts'!L57</f>
        <v>EL CAMINO REAL</v>
      </c>
      <c r="K57" s="136">
        <f>'[2]All Counts'!O57</f>
        <v>15506</v>
      </c>
      <c r="L57" s="57">
        <f>VLOOKUP(ws[[#This Row],[hwycov_id]],readme!D:G,4,FALSE)</f>
        <v>14225.608398</v>
      </c>
      <c r="M57" s="88">
        <f>ws[[#This Row],[flow]]/ws[[#This Row],[count]]-1</f>
        <v>-8.2573945698439344E-2</v>
      </c>
      <c r="N57" s="89">
        <f>POWER((ws[[#This Row],[flow]]-ws[[#This Row],[count]]),2)</f>
        <v>1639402.6544721257</v>
      </c>
      <c r="O57" s="43">
        <f>VLOOKUP(ws[[#This Row],[hwycov_id]],count[],6,FALSE)</f>
        <v>0</v>
      </c>
      <c r="P57" s="43">
        <v>163</v>
      </c>
      <c r="Q57" s="43" t="str">
        <f>'[2]All Counts'!P57</f>
        <v>Caltran</v>
      </c>
      <c r="S57" s="94">
        <v>746</v>
      </c>
      <c r="T57" s="17">
        <v>18283</v>
      </c>
      <c r="U57" s="17">
        <v>18960.5625</v>
      </c>
      <c r="V57" s="17"/>
      <c r="W57" s="17"/>
      <c r="X57" s="17"/>
      <c r="Y57" s="17"/>
      <c r="Z57" s="17"/>
      <c r="AA57" s="17"/>
      <c r="AB57" s="17">
        <v>18283</v>
      </c>
      <c r="AC57" s="17">
        <v>18960.5625</v>
      </c>
      <c r="AD57"/>
      <c r="AE57"/>
    </row>
    <row r="58" spans="1:31" x14ac:dyDescent="0.25">
      <c r="A58" s="136">
        <f>'[2]All Counts'!C58</f>
        <v>16</v>
      </c>
      <c r="B58" s="136">
        <f>'[2]All Counts'!D58</f>
        <v>3</v>
      </c>
      <c r="C58" s="136">
        <f>'[2]All Counts'!E58</f>
        <v>28540</v>
      </c>
      <c r="D58" s="136">
        <f>'[2]All Counts'!F58</f>
        <v>1</v>
      </c>
      <c r="E58" s="136">
        <f>'[2]All Counts'!G58</f>
        <v>1</v>
      </c>
      <c r="F58" s="136" t="str">
        <f>'[2]All Counts'!H58</f>
        <v>SR-78 WB</v>
      </c>
      <c r="G58" s="136">
        <f>'[2]All Counts'!I58</f>
        <v>46</v>
      </c>
      <c r="H58" s="136">
        <f>'[2]All Counts'!J58</f>
        <v>0</v>
      </c>
      <c r="I58" s="136" t="str">
        <f>'[2]All Counts'!K58</f>
        <v>EL CAMINO REAL</v>
      </c>
      <c r="J58" s="136" t="str">
        <f>'[2]All Counts'!L58</f>
        <v>EL CAMINO REAL</v>
      </c>
      <c r="K58" s="136">
        <f>'[2]All Counts'!O58</f>
        <v>11514</v>
      </c>
      <c r="L58" s="57">
        <f>VLOOKUP(ws[[#This Row],[hwycov_id]],readme!D:G,4,FALSE)</f>
        <v>11301.975586</v>
      </c>
      <c r="M58" s="88">
        <f>ws[[#This Row],[flow]]/ws[[#This Row],[count]]-1</f>
        <v>-1.8414487927740142E-2</v>
      </c>
      <c r="N58" s="89">
        <f>POWER((ws[[#This Row],[flow]]-ws[[#This Row],[count]]),2)</f>
        <v>44954.352132043197</v>
      </c>
      <c r="O58" s="43">
        <f>VLOOKUP(ws[[#This Row],[hwycov_id]],count[],6,FALSE)</f>
        <v>0</v>
      </c>
      <c r="P58" s="43">
        <v>164</v>
      </c>
      <c r="Q58" s="43" t="str">
        <f>'[2]All Counts'!P58</f>
        <v>PeMS2016</v>
      </c>
      <c r="S58" s="94">
        <v>751</v>
      </c>
      <c r="T58" s="17">
        <v>18002</v>
      </c>
      <c r="U58" s="17">
        <v>23431.509765999999</v>
      </c>
      <c r="V58" s="17"/>
      <c r="W58" s="17"/>
      <c r="X58" s="17"/>
      <c r="Y58" s="17"/>
      <c r="Z58" s="17"/>
      <c r="AA58" s="17"/>
      <c r="AB58" s="17">
        <v>18002</v>
      </c>
      <c r="AC58" s="17">
        <v>23431.509765999999</v>
      </c>
      <c r="AD58"/>
      <c r="AE58"/>
    </row>
    <row r="59" spans="1:31" x14ac:dyDescent="0.25">
      <c r="A59" s="136">
        <f>'[2]All Counts'!C59</f>
        <v>16</v>
      </c>
      <c r="B59" s="136">
        <f>'[2]All Counts'!D59</f>
        <v>3</v>
      </c>
      <c r="C59" s="136">
        <f>'[2]All Counts'!E59</f>
        <v>27543</v>
      </c>
      <c r="D59" s="136">
        <f>'[2]All Counts'!F59</f>
        <v>1</v>
      </c>
      <c r="E59" s="136">
        <f>'[2]All Counts'!G59</f>
        <v>1</v>
      </c>
      <c r="F59" s="136" t="str">
        <f>'[2]All Counts'!H59</f>
        <v>SR-78 WB</v>
      </c>
      <c r="G59" s="136">
        <f>'[2]All Counts'!I59</f>
        <v>47</v>
      </c>
      <c r="H59" s="136">
        <f>'[2]All Counts'!J59</f>
        <v>0</v>
      </c>
      <c r="I59" s="136" t="str">
        <f>'[2]All Counts'!K59</f>
        <v>EL CAMINO REAL</v>
      </c>
      <c r="J59" s="136" t="str">
        <f>'[2]All Counts'!L59</f>
        <v>JEFFERSON</v>
      </c>
      <c r="K59" s="136">
        <f>'[2]All Counts'!O59</f>
        <v>13713</v>
      </c>
      <c r="L59" s="57">
        <f>VLOOKUP(ws[[#This Row],[hwycov_id]],readme!D:G,4,FALSE)</f>
        <v>12539.163086</v>
      </c>
      <c r="M59" s="88">
        <f>ws[[#This Row],[flow]]/ws[[#This Row],[count]]-1</f>
        <v>-8.5600300007292351E-2</v>
      </c>
      <c r="N59" s="89">
        <f>POWER((ws[[#This Row],[flow]]-ws[[#This Row],[count]]),2)</f>
        <v>1377893.1006690422</v>
      </c>
      <c r="O59" s="43">
        <f>VLOOKUP(ws[[#This Row],[hwycov_id]],count[],6,FALSE)</f>
        <v>0</v>
      </c>
      <c r="P59" s="43">
        <v>166</v>
      </c>
      <c r="Q59" s="43" t="str">
        <f>'[2]All Counts'!P59</f>
        <v>Caltran</v>
      </c>
      <c r="S59" s="94">
        <v>752</v>
      </c>
      <c r="T59" s="17">
        <v>16381</v>
      </c>
      <c r="U59" s="17">
        <v>21650.863281000002</v>
      </c>
      <c r="V59" s="17"/>
      <c r="W59" s="17"/>
      <c r="X59" s="17"/>
      <c r="Y59" s="17"/>
      <c r="Z59" s="17"/>
      <c r="AA59" s="17"/>
      <c r="AB59" s="17">
        <v>16381</v>
      </c>
      <c r="AC59" s="17">
        <v>21650.863281000002</v>
      </c>
      <c r="AD59"/>
      <c r="AE59"/>
    </row>
    <row r="60" spans="1:31" x14ac:dyDescent="0.25">
      <c r="A60" s="136">
        <f>'[2]All Counts'!C60</f>
        <v>16</v>
      </c>
      <c r="B60" s="136">
        <f>'[2]All Counts'!D60</f>
        <v>3</v>
      </c>
      <c r="C60" s="136">
        <f>'[2]All Counts'!E60</f>
        <v>28534</v>
      </c>
      <c r="D60" s="136">
        <f>'[2]All Counts'!F60</f>
        <v>1</v>
      </c>
      <c r="E60" s="136">
        <f>'[2]All Counts'!G60</f>
        <v>1</v>
      </c>
      <c r="F60" s="136" t="str">
        <f>'[2]All Counts'!H60</f>
        <v>SR-78 WB</v>
      </c>
      <c r="G60" s="136">
        <f>'[2]All Counts'!I60</f>
        <v>48</v>
      </c>
      <c r="H60" s="136">
        <f>'[2]All Counts'!J60</f>
        <v>0</v>
      </c>
      <c r="I60" s="136" t="str">
        <f>'[2]All Counts'!K60</f>
        <v>JEFFERSON</v>
      </c>
      <c r="J60" s="136" t="str">
        <f>'[2]All Counts'!L60</f>
        <v>JEFFERSON</v>
      </c>
      <c r="K60" s="136">
        <f>'[2]All Counts'!O60</f>
        <v>11696</v>
      </c>
      <c r="L60" s="57">
        <f>VLOOKUP(ws[[#This Row],[hwycov_id]],readme!D:G,4,FALSE)</f>
        <v>11245.690430000001</v>
      </c>
      <c r="M60" s="88">
        <f>ws[[#This Row],[flow]]/ws[[#This Row],[count]]-1</f>
        <v>-3.8501160225718145E-2</v>
      </c>
      <c r="N60" s="89">
        <f>POWER((ws[[#This Row],[flow]]-ws[[#This Row],[count]]),2)</f>
        <v>202778.70883358439</v>
      </c>
      <c r="O60" s="43">
        <f>VLOOKUP(ws[[#This Row],[hwycov_id]],count[],6,FALSE)</f>
        <v>0</v>
      </c>
      <c r="P60" s="43">
        <v>167</v>
      </c>
      <c r="Q60" s="43" t="str">
        <f>'[2]All Counts'!P60</f>
        <v>PeMS2016</v>
      </c>
      <c r="S60" s="94">
        <v>754</v>
      </c>
      <c r="T60" s="17">
        <v>15252</v>
      </c>
      <c r="U60" s="17">
        <v>20242.072265999999</v>
      </c>
      <c r="V60" s="17"/>
      <c r="W60" s="17"/>
      <c r="X60" s="17"/>
      <c r="Y60" s="17"/>
      <c r="Z60" s="17"/>
      <c r="AA60" s="17"/>
      <c r="AB60" s="17">
        <v>15252</v>
      </c>
      <c r="AC60" s="17">
        <v>20242.072265999999</v>
      </c>
      <c r="AD60"/>
      <c r="AE60"/>
    </row>
    <row r="61" spans="1:31" x14ac:dyDescent="0.25">
      <c r="A61" s="136">
        <f>'[2]All Counts'!C61</f>
        <v>16</v>
      </c>
      <c r="B61" s="136">
        <f>'[2]All Counts'!D61</f>
        <v>3</v>
      </c>
      <c r="C61" s="136">
        <f>'[2]All Counts'!E61</f>
        <v>12547</v>
      </c>
      <c r="D61" s="136">
        <f>'[2]All Counts'!F61</f>
        <v>1</v>
      </c>
      <c r="E61" s="136">
        <f>'[2]All Counts'!G61</f>
        <v>1</v>
      </c>
      <c r="F61" s="136" t="str">
        <f>'[2]All Counts'!H61</f>
        <v>SR-78 WB</v>
      </c>
      <c r="G61" s="136">
        <f>'[2]All Counts'!I61</f>
        <v>49</v>
      </c>
      <c r="H61" s="136">
        <f>'[2]All Counts'!J61</f>
        <v>0</v>
      </c>
      <c r="I61" s="136" t="str">
        <f>'[2]All Counts'!K61</f>
        <v>JEFFERSON</v>
      </c>
      <c r="J61" s="136" t="str">
        <f>'[2]All Counts'!L61</f>
        <v>I-5 NB</v>
      </c>
      <c r="K61" s="136">
        <f>'[2]All Counts'!O61</f>
        <v>11402</v>
      </c>
      <c r="L61" s="57">
        <f>VLOOKUP(ws[[#This Row],[hwycov_id]],readme!D:G,4,FALSE)</f>
        <v>12113.695312</v>
      </c>
      <c r="M61" s="88">
        <f>ws[[#This Row],[flow]]/ws[[#This Row],[count]]-1</f>
        <v>6.2418462725837509E-2</v>
      </c>
      <c r="N61" s="89">
        <f>POWER((ws[[#This Row],[flow]]-ws[[#This Row],[count]]),2)</f>
        <v>506510.21712277707</v>
      </c>
      <c r="O61" s="43">
        <f>VLOOKUP(ws[[#This Row],[hwycov_id]],count[],6,FALSE)</f>
        <v>0</v>
      </c>
      <c r="P61" s="43">
        <v>168</v>
      </c>
      <c r="Q61" s="43" t="str">
        <f>'[2]All Counts'!P61</f>
        <v>PeMS2016</v>
      </c>
      <c r="S61" s="94">
        <v>757</v>
      </c>
      <c r="T61" s="17">
        <v>14910</v>
      </c>
      <c r="U61" s="17">
        <v>20545.136718999998</v>
      </c>
      <c r="V61" s="17"/>
      <c r="W61" s="17"/>
      <c r="X61" s="17"/>
      <c r="Y61" s="17"/>
      <c r="Z61" s="17"/>
      <c r="AA61" s="17"/>
      <c r="AB61" s="17">
        <v>14910</v>
      </c>
      <c r="AC61" s="17">
        <v>20545.136718999998</v>
      </c>
      <c r="AD61"/>
      <c r="AE61"/>
    </row>
    <row r="62" spans="1:31" x14ac:dyDescent="0.25">
      <c r="A62" s="136">
        <f>'[2]All Counts'!C62</f>
        <v>7</v>
      </c>
      <c r="B62" s="136">
        <f>'[2]All Counts'!D62</f>
        <v>1</v>
      </c>
      <c r="C62" s="136">
        <f>'[2]All Counts'!E62</f>
        <v>14232</v>
      </c>
      <c r="D62" s="136">
        <f>'[2]All Counts'!F62</f>
        <v>1</v>
      </c>
      <c r="E62" s="136">
        <f>'[2]All Counts'!G62</f>
        <v>1</v>
      </c>
      <c r="F62" s="136" t="str">
        <f>'[2]All Counts'!H62</f>
        <v>SR-75 NB</v>
      </c>
      <c r="G62" s="136">
        <f>'[2]All Counts'!I62</f>
        <v>3</v>
      </c>
      <c r="H62" s="136">
        <f>'[2]All Counts'!J62</f>
        <v>0</v>
      </c>
      <c r="I62" s="136" t="str">
        <f>'[2]All Counts'!K62</f>
        <v>04TH</v>
      </c>
      <c r="J62" s="136" t="str">
        <f>'[2]All Counts'!L62</f>
        <v>GLORIETTA</v>
      </c>
      <c r="K62" s="136">
        <f>'[2]All Counts'!O62</f>
        <v>7304</v>
      </c>
      <c r="L62" s="57">
        <f>VLOOKUP(ws[[#This Row],[hwycov_id]],readme!D:G,4,FALSE)</f>
        <v>11540.101562</v>
      </c>
      <c r="M62" s="88">
        <f>ws[[#This Row],[flow]]/ws[[#This Row],[count]]-1</f>
        <v>0.57997009337349392</v>
      </c>
      <c r="N62" s="89">
        <f>POWER((ws[[#This Row],[flow]]-ws[[#This Row],[count]]),2)</f>
        <v>17944556.443578839</v>
      </c>
      <c r="O62" s="43">
        <f>VLOOKUP(ws[[#This Row],[hwycov_id]],count[],6,FALSE)</f>
        <v>0</v>
      </c>
      <c r="P62" s="43">
        <v>609</v>
      </c>
      <c r="Q62" s="43" t="str">
        <f>'[2]All Counts'!P62</f>
        <v>Caltran</v>
      </c>
      <c r="S62" s="94">
        <v>760</v>
      </c>
      <c r="T62" s="17">
        <v>16603</v>
      </c>
      <c r="U62" s="17">
        <v>24893.716797000001</v>
      </c>
      <c r="V62" s="17"/>
      <c r="W62" s="17"/>
      <c r="X62" s="17"/>
      <c r="Y62" s="17"/>
      <c r="Z62" s="17"/>
      <c r="AA62" s="17"/>
      <c r="AB62" s="17">
        <v>16603</v>
      </c>
      <c r="AC62" s="17">
        <v>24893.716797000001</v>
      </c>
      <c r="AD62"/>
      <c r="AE62"/>
    </row>
    <row r="63" spans="1:31" x14ac:dyDescent="0.25">
      <c r="A63" s="136">
        <f>'[2]All Counts'!C63</f>
        <v>6</v>
      </c>
      <c r="B63" s="136">
        <f>'[2]All Counts'!D63</f>
        <v>1</v>
      </c>
      <c r="C63" s="136">
        <f>'[2]All Counts'!E63</f>
        <v>13046</v>
      </c>
      <c r="D63" s="136">
        <f>'[2]All Counts'!F63</f>
        <v>1</v>
      </c>
      <c r="E63" s="136">
        <f>'[2]All Counts'!G63</f>
        <v>1</v>
      </c>
      <c r="F63" s="136" t="str">
        <f>'[2]All Counts'!H63</f>
        <v>SR-67 NB</v>
      </c>
      <c r="G63" s="136">
        <f>'[2]All Counts'!I63</f>
        <v>5</v>
      </c>
      <c r="H63" s="136">
        <f>'[2]All Counts'!J63</f>
        <v>0</v>
      </c>
      <c r="I63" s="136" t="str">
        <f>'[2]All Counts'!K63</f>
        <v>BRADLEY</v>
      </c>
      <c r="J63" s="136" t="str">
        <f>'[2]All Counts'!L63</f>
        <v>BRADLEY</v>
      </c>
      <c r="K63" s="136">
        <f>'[2]All Counts'!O63</f>
        <v>13046</v>
      </c>
      <c r="L63" s="57">
        <f>VLOOKUP(ws[[#This Row],[hwycov_id]],readme!D:G,4,FALSE)</f>
        <v>12374.019531</v>
      </c>
      <c r="M63" s="88">
        <f>ws[[#This Row],[flow]]/ws[[#This Row],[count]]-1</f>
        <v>-5.1508544304767701E-2</v>
      </c>
      <c r="N63" s="89">
        <f>POWER((ws[[#This Row],[flow]]-ws[[#This Row],[count]]),2)</f>
        <v>451557.75071746006</v>
      </c>
      <c r="O63" s="43">
        <f>VLOOKUP(ws[[#This Row],[hwycov_id]],count[],6,FALSE)</f>
        <v>0</v>
      </c>
      <c r="P63" s="43">
        <v>610</v>
      </c>
      <c r="Q63" s="43" t="str">
        <f>'[2]All Counts'!P63</f>
        <v>Caltran</v>
      </c>
      <c r="S63" s="94">
        <v>762</v>
      </c>
      <c r="T63" s="17">
        <v>17573</v>
      </c>
      <c r="U63" s="17">
        <v>20602.693359000001</v>
      </c>
      <c r="V63" s="17"/>
      <c r="W63" s="17"/>
      <c r="X63" s="17"/>
      <c r="Y63" s="17"/>
      <c r="Z63" s="17"/>
      <c r="AA63" s="17"/>
      <c r="AB63" s="17">
        <v>17573</v>
      </c>
      <c r="AC63" s="17">
        <v>20602.693359000001</v>
      </c>
      <c r="AD63"/>
      <c r="AE63"/>
    </row>
    <row r="64" spans="1:31" x14ac:dyDescent="0.25">
      <c r="A64" s="136">
        <f>'[2]All Counts'!C64</f>
        <v>6</v>
      </c>
      <c r="B64" s="136">
        <f>'[2]All Counts'!D64</f>
        <v>1</v>
      </c>
      <c r="C64" s="136">
        <f>'[2]All Counts'!E64</f>
        <v>13037</v>
      </c>
      <c r="D64" s="136">
        <f>'[2]All Counts'!F64</f>
        <v>1</v>
      </c>
      <c r="E64" s="136">
        <f>'[2]All Counts'!G64</f>
        <v>1</v>
      </c>
      <c r="F64" s="136" t="str">
        <f>'[2]All Counts'!H64</f>
        <v>SR-67 NB</v>
      </c>
      <c r="G64" s="136">
        <f>'[2]All Counts'!I64</f>
        <v>6</v>
      </c>
      <c r="H64" s="136">
        <f>'[2]All Counts'!J64</f>
        <v>0</v>
      </c>
      <c r="I64" s="136" t="str">
        <f>'[2]All Counts'!K64</f>
        <v>BRADLEY</v>
      </c>
      <c r="J64" s="136" t="str">
        <f>'[2]All Counts'!L64</f>
        <v>SR-52 WB</v>
      </c>
      <c r="K64" s="136">
        <f>'[2]All Counts'!O64</f>
        <v>11690</v>
      </c>
      <c r="L64" s="57">
        <f>VLOOKUP(ws[[#This Row],[hwycov_id]],readme!D:G,4,FALSE)</f>
        <v>14824.036133</v>
      </c>
      <c r="M64" s="88">
        <f>ws[[#This Row],[flow]]/ws[[#This Row],[count]]-1</f>
        <v>0.26809547758768182</v>
      </c>
      <c r="N64" s="89">
        <f>POWER((ws[[#This Row],[flow]]-ws[[#This Row],[count]]),2)</f>
        <v>9822182.4829495903</v>
      </c>
      <c r="O64" s="43">
        <f>VLOOKUP(ws[[#This Row],[hwycov_id]],count[],6,FALSE)</f>
        <v>0</v>
      </c>
      <c r="P64" s="43">
        <v>611</v>
      </c>
      <c r="Q64" s="43" t="str">
        <f>'[2]All Counts'!P64</f>
        <v>Caltran</v>
      </c>
      <c r="S64" s="94">
        <v>770</v>
      </c>
      <c r="T64" s="17"/>
      <c r="U64" s="17"/>
      <c r="V64" s="17">
        <v>19295</v>
      </c>
      <c r="W64" s="17">
        <v>26809.523438</v>
      </c>
      <c r="X64" s="17"/>
      <c r="Y64" s="17"/>
      <c r="Z64" s="17"/>
      <c r="AA64" s="17"/>
      <c r="AB64" s="17">
        <v>19295</v>
      </c>
      <c r="AC64" s="17">
        <v>26809.523438</v>
      </c>
      <c r="AD64"/>
      <c r="AE64"/>
    </row>
    <row r="65" spans="1:31" x14ac:dyDescent="0.25">
      <c r="A65" s="136">
        <f>'[2]All Counts'!C65</f>
        <v>6</v>
      </c>
      <c r="B65" s="136">
        <f>'[2]All Counts'!D65</f>
        <v>1</v>
      </c>
      <c r="C65" s="136">
        <f>'[2]All Counts'!E65</f>
        <v>9036</v>
      </c>
      <c r="D65" s="136">
        <f>'[2]All Counts'!F65</f>
        <v>1</v>
      </c>
      <c r="E65" s="136">
        <f>'[2]All Counts'!G65</f>
        <v>1</v>
      </c>
      <c r="F65" s="136" t="str">
        <f>'[2]All Counts'!H65</f>
        <v>SR-67 NB</v>
      </c>
      <c r="G65" s="136">
        <f>'[2]All Counts'!I65</f>
        <v>8</v>
      </c>
      <c r="H65" s="136">
        <f>'[2]All Counts'!J65</f>
        <v>0</v>
      </c>
      <c r="I65" s="136" t="str">
        <f>'[2]All Counts'!K65</f>
        <v>SR-52 EB</v>
      </c>
      <c r="J65" s="136" t="str">
        <f>'[2]All Counts'!L65</f>
        <v>WOODSIDE</v>
      </c>
      <c r="K65" s="136">
        <f>'[2]All Counts'!O65</f>
        <v>10194</v>
      </c>
      <c r="L65" s="57">
        <f>VLOOKUP(ws[[#This Row],[hwycov_id]],readme!D:G,4,FALSE)</f>
        <v>11192.773438</v>
      </c>
      <c r="M65" s="88">
        <f>ws[[#This Row],[flow]]/ws[[#This Row],[count]]-1</f>
        <v>9.7976597802629017E-2</v>
      </c>
      <c r="N65" s="89">
        <f>POWER((ws[[#This Row],[flow]]-ws[[#This Row],[count]]),2)</f>
        <v>997548.38045434013</v>
      </c>
      <c r="O65" s="43">
        <f>VLOOKUP(ws[[#This Row],[hwycov_id]],count[],6,FALSE)</f>
        <v>0</v>
      </c>
      <c r="P65" s="43">
        <v>612</v>
      </c>
      <c r="Q65" s="43" t="str">
        <f>'[2]All Counts'!P65</f>
        <v>Caltran</v>
      </c>
      <c r="S65" s="94">
        <v>771</v>
      </c>
      <c r="T65" s="17"/>
      <c r="U65" s="17"/>
      <c r="V65" s="17">
        <v>20237</v>
      </c>
      <c r="W65" s="17">
        <v>30883.025390999999</v>
      </c>
      <c r="X65" s="17"/>
      <c r="Y65" s="17"/>
      <c r="Z65" s="17"/>
      <c r="AA65" s="17"/>
      <c r="AB65" s="17">
        <v>20237</v>
      </c>
      <c r="AC65" s="17">
        <v>30883.025390999999</v>
      </c>
      <c r="AD65"/>
      <c r="AE65"/>
    </row>
    <row r="66" spans="1:31" x14ac:dyDescent="0.25">
      <c r="A66" s="136">
        <f>'[2]All Counts'!C66</f>
        <v>19</v>
      </c>
      <c r="B66" s="136">
        <f>'[2]All Counts'!D66</f>
        <v>3</v>
      </c>
      <c r="C66" s="136">
        <f>'[2]All Counts'!E66</f>
        <v>7664</v>
      </c>
      <c r="D66" s="136">
        <f>'[2]All Counts'!F66</f>
        <v>1</v>
      </c>
      <c r="E66" s="136">
        <f>'[2]All Counts'!G66</f>
        <v>1</v>
      </c>
      <c r="F66" s="136" t="str">
        <f>'[2]All Counts'!H66</f>
        <v>SR-56 WB</v>
      </c>
      <c r="G66" s="136">
        <f>'[2]All Counts'!I66</f>
        <v>3</v>
      </c>
      <c r="H66" s="136">
        <f>'[2]All Counts'!J66</f>
        <v>0</v>
      </c>
      <c r="I66" s="136" t="str">
        <f>'[2]All Counts'!K66</f>
        <v>I-15 SB</v>
      </c>
      <c r="J66" s="136" t="str">
        <f>'[2]All Counts'!L66</f>
        <v>RANCHO PENASQUITOS</v>
      </c>
      <c r="K66" s="136">
        <f>'[2]All Counts'!O66</f>
        <v>8295</v>
      </c>
      <c r="L66" s="57">
        <f>VLOOKUP(ws[[#This Row],[hwycov_id]],readme!D:G,4,FALSE)</f>
        <v>9277.9501949999994</v>
      </c>
      <c r="M66" s="88">
        <f>ws[[#This Row],[flow]]/ws[[#This Row],[count]]-1</f>
        <v>0.11849911934900526</v>
      </c>
      <c r="N66" s="89">
        <f>POWER((ws[[#This Row],[flow]]-ws[[#This Row],[count]]),2)</f>
        <v>966191.08585053694</v>
      </c>
      <c r="O66" s="43">
        <f>VLOOKUP(ws[[#This Row],[hwycov_id]],count[],6,FALSE)</f>
        <v>0</v>
      </c>
      <c r="P66" s="43">
        <v>614</v>
      </c>
      <c r="Q66" s="43" t="str">
        <f>'[2]All Counts'!P66</f>
        <v>PeMS2016</v>
      </c>
      <c r="S66" s="94">
        <v>772</v>
      </c>
      <c r="T66" s="17"/>
      <c r="U66" s="17"/>
      <c r="V66" s="17">
        <v>20101</v>
      </c>
      <c r="W66" s="17">
        <v>26490.0625</v>
      </c>
      <c r="X66" s="17"/>
      <c r="Y66" s="17"/>
      <c r="Z66" s="17"/>
      <c r="AA66" s="17"/>
      <c r="AB66" s="17">
        <v>20101</v>
      </c>
      <c r="AC66" s="17">
        <v>26490.0625</v>
      </c>
      <c r="AD66"/>
      <c r="AE66"/>
    </row>
    <row r="67" spans="1:31" x14ac:dyDescent="0.25">
      <c r="A67" s="136">
        <f>'[2]All Counts'!C67</f>
        <v>19</v>
      </c>
      <c r="B67" s="136">
        <f>'[2]All Counts'!D67</f>
        <v>3</v>
      </c>
      <c r="C67" s="136">
        <f>'[2]All Counts'!E67</f>
        <v>7665</v>
      </c>
      <c r="D67" s="136">
        <f>'[2]All Counts'!F67</f>
        <v>1</v>
      </c>
      <c r="E67" s="136">
        <f>'[2]All Counts'!G67</f>
        <v>1</v>
      </c>
      <c r="F67" s="136" t="str">
        <f>'[2]All Counts'!H67</f>
        <v>SR-56 WB</v>
      </c>
      <c r="G67" s="136">
        <f>'[2]All Counts'!I67</f>
        <v>4</v>
      </c>
      <c r="H67" s="136">
        <f>'[2]All Counts'!J67</f>
        <v>0</v>
      </c>
      <c r="I67" s="136" t="str">
        <f>'[2]All Counts'!K67</f>
        <v>RANCHO PENASQUITOS</v>
      </c>
      <c r="J67" s="136" t="str">
        <f>'[2]All Counts'!L67</f>
        <v>RANCHO PENASQUITOS</v>
      </c>
      <c r="K67" s="136">
        <f>'[2]All Counts'!O67</f>
        <v>6773</v>
      </c>
      <c r="L67" s="57">
        <f>VLOOKUP(ws[[#This Row],[hwycov_id]],readme!D:G,4,FALSE)</f>
        <v>7423.748047</v>
      </c>
      <c r="M67" s="88">
        <f>ws[[#This Row],[flow]]/ws[[#This Row],[count]]-1</f>
        <v>9.6079735272405209E-2</v>
      </c>
      <c r="N67" s="89">
        <f>POWER((ws[[#This Row],[flow]]-ws[[#This Row],[count]]),2)</f>
        <v>423473.02067431429</v>
      </c>
      <c r="O67" s="43">
        <f>VLOOKUP(ws[[#This Row],[hwycov_id]],count[],6,FALSE)</f>
        <v>0</v>
      </c>
      <c r="P67" s="43">
        <v>615</v>
      </c>
      <c r="Q67" s="43" t="str">
        <f>'[2]All Counts'!P67</f>
        <v>PeMS2016</v>
      </c>
      <c r="S67" s="94">
        <v>777</v>
      </c>
      <c r="T67" s="17"/>
      <c r="U67" s="17"/>
      <c r="V67" s="17">
        <v>23020</v>
      </c>
      <c r="W67" s="17">
        <v>31576.833984000001</v>
      </c>
      <c r="X67" s="17"/>
      <c r="Y67" s="17"/>
      <c r="Z67" s="17"/>
      <c r="AA67" s="17"/>
      <c r="AB67" s="17">
        <v>23020</v>
      </c>
      <c r="AC67" s="17">
        <v>31576.833984000001</v>
      </c>
      <c r="AD67"/>
      <c r="AE67"/>
    </row>
    <row r="68" spans="1:31" x14ac:dyDescent="0.25">
      <c r="A68" s="136">
        <f>'[2]All Counts'!C68</f>
        <v>19</v>
      </c>
      <c r="B68" s="136">
        <f>'[2]All Counts'!D68</f>
        <v>3</v>
      </c>
      <c r="C68" s="136">
        <f>'[2]All Counts'!E68</f>
        <v>11382</v>
      </c>
      <c r="D68" s="136">
        <f>'[2]All Counts'!F68</f>
        <v>1</v>
      </c>
      <c r="E68" s="136">
        <f>'[2]All Counts'!G68</f>
        <v>1</v>
      </c>
      <c r="F68" s="136" t="str">
        <f>'[2]All Counts'!H68</f>
        <v>SR-56 WB</v>
      </c>
      <c r="G68" s="136">
        <f>'[2]All Counts'!I68</f>
        <v>5</v>
      </c>
      <c r="H68" s="136">
        <f>'[2]All Counts'!J68</f>
        <v>0</v>
      </c>
      <c r="I68" s="136" t="str">
        <f>'[2]All Counts'!K68</f>
        <v>RANCHO PENASQUITOS</v>
      </c>
      <c r="J68" s="136" t="str">
        <f>'[2]All Counts'!L68</f>
        <v>BLACK MOUNTAIN</v>
      </c>
      <c r="K68" s="136">
        <f>'[2]All Counts'!O68</f>
        <v>8306</v>
      </c>
      <c r="L68" s="57">
        <f>VLOOKUP(ws[[#This Row],[hwycov_id]],readme!D:G,4,FALSE)</f>
        <v>8477.9013670000004</v>
      </c>
      <c r="M68" s="88">
        <f>ws[[#This Row],[flow]]/ws[[#This Row],[count]]-1</f>
        <v>2.06960470744042E-2</v>
      </c>
      <c r="N68" s="89">
        <f>POWER((ws[[#This Row],[flow]]-ws[[#This Row],[count]]),2)</f>
        <v>29550.079976468824</v>
      </c>
      <c r="O68" s="43">
        <f>VLOOKUP(ws[[#This Row],[hwycov_id]],count[],6,FALSE)</f>
        <v>0</v>
      </c>
      <c r="P68" s="43">
        <v>616</v>
      </c>
      <c r="Q68" s="43" t="str">
        <f>'[2]All Counts'!P68</f>
        <v>Caltran</v>
      </c>
      <c r="S68" s="94">
        <v>778</v>
      </c>
      <c r="T68" s="17"/>
      <c r="U68" s="17"/>
      <c r="V68" s="17">
        <v>18107</v>
      </c>
      <c r="W68" s="17">
        <v>24890.080077999999</v>
      </c>
      <c r="X68" s="17"/>
      <c r="Y68" s="17"/>
      <c r="Z68" s="17"/>
      <c r="AA68" s="17"/>
      <c r="AB68" s="17">
        <v>18107</v>
      </c>
      <c r="AC68" s="17">
        <v>24890.080077999999</v>
      </c>
      <c r="AD68"/>
      <c r="AE68"/>
    </row>
    <row r="69" spans="1:31" x14ac:dyDescent="0.25">
      <c r="A69" s="136">
        <f>'[2]All Counts'!C69</f>
        <v>19</v>
      </c>
      <c r="B69" s="136">
        <f>'[2]All Counts'!D69</f>
        <v>3</v>
      </c>
      <c r="C69" s="136">
        <f>'[2]All Counts'!E69</f>
        <v>16354</v>
      </c>
      <c r="D69" s="136">
        <f>'[2]All Counts'!F69</f>
        <v>1</v>
      </c>
      <c r="E69" s="136">
        <f>'[2]All Counts'!G69</f>
        <v>1</v>
      </c>
      <c r="F69" s="136" t="str">
        <f>'[2]All Counts'!H69</f>
        <v>SR-56 WB</v>
      </c>
      <c r="G69" s="136">
        <f>'[2]All Counts'!I69</f>
        <v>6</v>
      </c>
      <c r="H69" s="136">
        <f>'[2]All Counts'!J69</f>
        <v>0</v>
      </c>
      <c r="I69" s="136" t="str">
        <f>'[2]All Counts'!K69</f>
        <v>BLACK MOUNTAIN</v>
      </c>
      <c r="J69" s="136" t="str">
        <f>'[2]All Counts'!L69</f>
        <v>BLACK MOUNTAIN</v>
      </c>
      <c r="K69" s="136">
        <f>'[2]All Counts'!O69</f>
        <v>5505</v>
      </c>
      <c r="L69" s="57">
        <f>VLOOKUP(ws[[#This Row],[hwycov_id]],readme!D:G,4,FALSE)</f>
        <v>6504.1083980000003</v>
      </c>
      <c r="M69" s="88">
        <f>ws[[#This Row],[flow]]/ws[[#This Row],[count]]-1</f>
        <v>0.18149108047229801</v>
      </c>
      <c r="N69" s="89">
        <f>POWER((ws[[#This Row],[flow]]-ws[[#This Row],[count]]),2)</f>
        <v>998217.59095412702</v>
      </c>
      <c r="O69" s="43">
        <f>VLOOKUP(ws[[#This Row],[hwycov_id]],count[],6,FALSE)</f>
        <v>0</v>
      </c>
      <c r="P69" s="43">
        <v>617</v>
      </c>
      <c r="Q69" s="43" t="str">
        <f>'[2]All Counts'!P69</f>
        <v>PeMS2016</v>
      </c>
      <c r="S69" s="94">
        <v>779</v>
      </c>
      <c r="T69" s="17"/>
      <c r="U69" s="17"/>
      <c r="V69" s="17">
        <v>18499</v>
      </c>
      <c r="W69" s="17">
        <v>34519.601562000003</v>
      </c>
      <c r="X69" s="17"/>
      <c r="Y69" s="17"/>
      <c r="Z69" s="17"/>
      <c r="AA69" s="17"/>
      <c r="AB69" s="17">
        <v>18499</v>
      </c>
      <c r="AC69" s="17">
        <v>34519.601562000003</v>
      </c>
      <c r="AD69"/>
      <c r="AE69"/>
    </row>
    <row r="70" spans="1:31" x14ac:dyDescent="0.25">
      <c r="A70" s="136">
        <f>'[2]All Counts'!C70</f>
        <v>19</v>
      </c>
      <c r="B70" s="136">
        <f>'[2]All Counts'!D70</f>
        <v>3</v>
      </c>
      <c r="C70" s="136">
        <f>'[2]All Counts'!E70</f>
        <v>16352</v>
      </c>
      <c r="D70" s="136">
        <f>'[2]All Counts'!F70</f>
        <v>1</v>
      </c>
      <c r="E70" s="136">
        <f>'[2]All Counts'!G70</f>
        <v>1</v>
      </c>
      <c r="F70" s="136" t="str">
        <f>'[2]All Counts'!H70</f>
        <v>SR-56 WB</v>
      </c>
      <c r="G70" s="136">
        <f>'[2]All Counts'!I70</f>
        <v>7</v>
      </c>
      <c r="H70" s="136">
        <f>'[2]All Counts'!J70</f>
        <v>0</v>
      </c>
      <c r="I70" s="136" t="str">
        <f>'[2]All Counts'!K70</f>
        <v>BLACK MOUNTAIN</v>
      </c>
      <c r="J70" s="136" t="str">
        <f>'[2]All Counts'!L70</f>
        <v>CAMINO RUIZ</v>
      </c>
      <c r="K70" s="136">
        <f>'[2]All Counts'!O70</f>
        <v>7385</v>
      </c>
      <c r="L70" s="57">
        <f>VLOOKUP(ws[[#This Row],[hwycov_id]],readme!D:G,4,FALSE)</f>
        <v>9097.2070309999999</v>
      </c>
      <c r="M70" s="88">
        <f>ws[[#This Row],[flow]]/ws[[#This Row],[count]]-1</f>
        <v>0.23184929329722404</v>
      </c>
      <c r="N70" s="89">
        <f>POWER((ws[[#This Row],[flow]]-ws[[#This Row],[count]]),2)</f>
        <v>2931652.9170058346</v>
      </c>
      <c r="O70" s="43">
        <f>VLOOKUP(ws[[#This Row],[hwycov_id]],count[],6,FALSE)</f>
        <v>0</v>
      </c>
      <c r="P70" s="43">
        <v>618</v>
      </c>
      <c r="Q70" s="43" t="str">
        <f>'[2]All Counts'!P70</f>
        <v>Caltran</v>
      </c>
      <c r="S70" s="94">
        <v>786</v>
      </c>
      <c r="T70" s="17"/>
      <c r="U70" s="17"/>
      <c r="V70" s="17">
        <v>29959</v>
      </c>
      <c r="W70" s="17">
        <v>37906.003905999998</v>
      </c>
      <c r="X70" s="17"/>
      <c r="Y70" s="17"/>
      <c r="Z70" s="17"/>
      <c r="AA70" s="17"/>
      <c r="AB70" s="17">
        <v>29959</v>
      </c>
      <c r="AC70" s="17">
        <v>37906.003905999998</v>
      </c>
      <c r="AD70"/>
      <c r="AE70"/>
    </row>
    <row r="71" spans="1:31" x14ac:dyDescent="0.25">
      <c r="A71" s="136">
        <f>'[2]All Counts'!C71</f>
        <v>19</v>
      </c>
      <c r="B71" s="136">
        <f>'[2]All Counts'!D71</f>
        <v>3</v>
      </c>
      <c r="C71" s="136">
        <f>'[2]All Counts'!E71</f>
        <v>29171</v>
      </c>
      <c r="D71" s="136">
        <f>'[2]All Counts'!F71</f>
        <v>1</v>
      </c>
      <c r="E71" s="136">
        <f>'[2]All Counts'!G71</f>
        <v>1</v>
      </c>
      <c r="F71" s="136" t="str">
        <f>'[2]All Counts'!H71</f>
        <v>SR-56 WB</v>
      </c>
      <c r="G71" s="136">
        <f>'[2]All Counts'!I71</f>
        <v>8</v>
      </c>
      <c r="H71" s="136">
        <f>'[2]All Counts'!J71</f>
        <v>0</v>
      </c>
      <c r="I71" s="136" t="str">
        <f>'[2]All Counts'!K71</f>
        <v>CAMINO RUIZ</v>
      </c>
      <c r="J71" s="136" t="str">
        <f>'[2]All Counts'!L71</f>
        <v>CAMINO RUIZ</v>
      </c>
      <c r="K71" s="136">
        <f>'[2]All Counts'!O71</f>
        <v>4831</v>
      </c>
      <c r="L71" s="57">
        <f>VLOOKUP(ws[[#This Row],[hwycov_id]],readme!D:G,4,FALSE)</f>
        <v>6530.1904299999997</v>
      </c>
      <c r="M71" s="88">
        <f>ws[[#This Row],[flow]]/ws[[#This Row],[count]]-1</f>
        <v>0.35172643966052575</v>
      </c>
      <c r="N71" s="89">
        <f>POWER((ws[[#This Row],[flow]]-ws[[#This Row],[count]]),2)</f>
        <v>2887248.1174035836</v>
      </c>
      <c r="O71" s="43">
        <f>VLOOKUP(ws[[#This Row],[hwycov_id]],count[],6,FALSE)</f>
        <v>0</v>
      </c>
      <c r="P71" s="43">
        <v>451</v>
      </c>
      <c r="Q71" s="43" t="str">
        <f>'[2]All Counts'!P71</f>
        <v>PeMS2016</v>
      </c>
      <c r="S71" s="94">
        <v>787</v>
      </c>
      <c r="T71" s="17"/>
      <c r="U71" s="17"/>
      <c r="V71" s="17">
        <v>29030</v>
      </c>
      <c r="W71" s="17">
        <v>36127.359375</v>
      </c>
      <c r="X71" s="17"/>
      <c r="Y71" s="17"/>
      <c r="Z71" s="17"/>
      <c r="AA71" s="17"/>
      <c r="AB71" s="17">
        <v>29030</v>
      </c>
      <c r="AC71" s="17">
        <v>36127.359375</v>
      </c>
      <c r="AD71"/>
      <c r="AE71"/>
    </row>
    <row r="72" spans="1:31" x14ac:dyDescent="0.25">
      <c r="A72" s="136">
        <f>'[2]All Counts'!C72</f>
        <v>19</v>
      </c>
      <c r="B72" s="136">
        <f>'[2]All Counts'!D72</f>
        <v>3</v>
      </c>
      <c r="C72" s="136">
        <f>'[2]All Counts'!E72</f>
        <v>29172</v>
      </c>
      <c r="D72" s="136">
        <f>'[2]All Counts'!F72</f>
        <v>1</v>
      </c>
      <c r="E72" s="136">
        <f>'[2]All Counts'!G72</f>
        <v>1</v>
      </c>
      <c r="F72" s="136" t="str">
        <f>'[2]All Counts'!H72</f>
        <v>SR-56 WB</v>
      </c>
      <c r="G72" s="136">
        <f>'[2]All Counts'!I72</f>
        <v>9</v>
      </c>
      <c r="H72" s="136">
        <f>'[2]All Counts'!J72</f>
        <v>0</v>
      </c>
      <c r="I72" s="136" t="str">
        <f>'[2]All Counts'!K72</f>
        <v>CAMINO RUIZ</v>
      </c>
      <c r="J72" s="136" t="str">
        <f>'[2]All Counts'!L72</f>
        <v>CAMINO RUIZ</v>
      </c>
      <c r="K72" s="136">
        <f>'[2]All Counts'!O72</f>
        <v>4856</v>
      </c>
      <c r="L72" s="57">
        <f>VLOOKUP(ws[[#This Row],[hwycov_id]],readme!D:G,4,FALSE)</f>
        <v>6530.1904299999997</v>
      </c>
      <c r="M72" s="88">
        <f>ws[[#This Row],[flow]]/ws[[#This Row],[count]]-1</f>
        <v>0.34476738673805585</v>
      </c>
      <c r="N72" s="89">
        <f>POWER((ws[[#This Row],[flow]]-ws[[#This Row],[count]]),2)</f>
        <v>2802913.5959035838</v>
      </c>
      <c r="O72" s="43">
        <f>VLOOKUP(ws[[#This Row],[hwycov_id]],count[],6,FALSE)</f>
        <v>0</v>
      </c>
      <c r="P72" s="43">
        <v>620</v>
      </c>
      <c r="Q72" s="43" t="str">
        <f>'[2]All Counts'!P72</f>
        <v>PeMS2016</v>
      </c>
      <c r="S72" s="94">
        <v>788</v>
      </c>
      <c r="T72" s="17"/>
      <c r="U72" s="17"/>
      <c r="V72" s="17">
        <v>30741</v>
      </c>
      <c r="W72" s="17">
        <v>37786.039062000003</v>
      </c>
      <c r="X72" s="17"/>
      <c r="Y72" s="17"/>
      <c r="Z72" s="17"/>
      <c r="AA72" s="17"/>
      <c r="AB72" s="17">
        <v>30741</v>
      </c>
      <c r="AC72" s="17">
        <v>37786.039062000003</v>
      </c>
      <c r="AD72"/>
      <c r="AE72"/>
    </row>
    <row r="73" spans="1:31" x14ac:dyDescent="0.25">
      <c r="A73" s="136">
        <f>'[2]All Counts'!C73</f>
        <v>19</v>
      </c>
      <c r="B73" s="136">
        <f>'[2]All Counts'!D73</f>
        <v>3</v>
      </c>
      <c r="C73" s="136">
        <f>'[2]All Counts'!E73</f>
        <v>16351</v>
      </c>
      <c r="D73" s="136">
        <f>'[2]All Counts'!F73</f>
        <v>1</v>
      </c>
      <c r="E73" s="136">
        <f>'[2]All Counts'!G73</f>
        <v>1</v>
      </c>
      <c r="F73" s="136" t="str">
        <f>'[2]All Counts'!H73</f>
        <v>SR-56 WB</v>
      </c>
      <c r="G73" s="136">
        <f>'[2]All Counts'!I73</f>
        <v>11</v>
      </c>
      <c r="H73" s="136">
        <f>'[2]All Counts'!J73</f>
        <v>0</v>
      </c>
      <c r="I73" s="136" t="str">
        <f>'[2]All Counts'!K73</f>
        <v>CAMINO RUIZ</v>
      </c>
      <c r="J73" s="136" t="str">
        <f>'[2]All Counts'!L73</f>
        <v>CAMINO SANTA FE</v>
      </c>
      <c r="K73" s="136">
        <f>'[2]All Counts'!O73</f>
        <v>5806</v>
      </c>
      <c r="L73" s="57">
        <f>VLOOKUP(ws[[#This Row],[hwycov_id]],readme!D:G,4,FALSE)</f>
        <v>7528.3403319999998</v>
      </c>
      <c r="M73" s="88">
        <f>ws[[#This Row],[flow]]/ws[[#This Row],[count]]-1</f>
        <v>0.29664835204960371</v>
      </c>
      <c r="N73" s="89">
        <f>POWER((ws[[#This Row],[flow]]-ws[[#This Row],[count]]),2)</f>
        <v>2966456.2192338696</v>
      </c>
      <c r="O73" s="43">
        <f>VLOOKUP(ws[[#This Row],[hwycov_id]],count[],6,FALSE)</f>
        <v>0</v>
      </c>
      <c r="P73" s="43">
        <v>621</v>
      </c>
      <c r="Q73" s="43" t="str">
        <f>'[2]All Counts'!P73</f>
        <v>PeMS2016</v>
      </c>
      <c r="S73" s="94">
        <v>789</v>
      </c>
      <c r="T73" s="17"/>
      <c r="U73" s="17"/>
      <c r="V73" s="17">
        <v>27068</v>
      </c>
      <c r="W73" s="17">
        <v>24104.873047000001</v>
      </c>
      <c r="X73" s="17"/>
      <c r="Y73" s="17"/>
      <c r="Z73" s="17"/>
      <c r="AA73" s="17"/>
      <c r="AB73" s="17">
        <v>27068</v>
      </c>
      <c r="AC73" s="17">
        <v>24104.873047000001</v>
      </c>
      <c r="AD73"/>
      <c r="AE73"/>
    </row>
    <row r="74" spans="1:31" x14ac:dyDescent="0.25">
      <c r="A74" s="136">
        <f>'[2]All Counts'!C74</f>
        <v>19</v>
      </c>
      <c r="B74" s="136">
        <f>'[2]All Counts'!D74</f>
        <v>3</v>
      </c>
      <c r="C74" s="136">
        <f>'[2]All Counts'!E74</f>
        <v>16358</v>
      </c>
      <c r="D74" s="136">
        <f>'[2]All Counts'!F74</f>
        <v>1</v>
      </c>
      <c r="E74" s="136">
        <f>'[2]All Counts'!G74</f>
        <v>1</v>
      </c>
      <c r="F74" s="136" t="str">
        <f>'[2]All Counts'!H74</f>
        <v>SR-56 WB</v>
      </c>
      <c r="G74" s="136">
        <f>'[2]All Counts'!I74</f>
        <v>12</v>
      </c>
      <c r="H74" s="136">
        <f>'[2]All Counts'!J74</f>
        <v>0</v>
      </c>
      <c r="I74" s="136" t="str">
        <f>'[2]All Counts'!K74</f>
        <v>CAMINO RUIZ</v>
      </c>
      <c r="J74" s="136" t="str">
        <f>'[2]All Counts'!L74</f>
        <v>CAMINO SANTA FE</v>
      </c>
      <c r="K74" s="136">
        <f>'[2]All Counts'!O74</f>
        <v>5188</v>
      </c>
      <c r="L74" s="57">
        <f>VLOOKUP(ws[[#This Row],[hwycov_id]],readme!D:G,4,FALSE)</f>
        <v>7528.3403319999998</v>
      </c>
      <c r="M74" s="88">
        <f>ws[[#This Row],[flow]]/ws[[#This Row],[count]]-1</f>
        <v>0.45110646337702387</v>
      </c>
      <c r="N74" s="89">
        <f>POWER((ws[[#This Row],[flow]]-ws[[#This Row],[count]]),2)</f>
        <v>5477192.8695858689</v>
      </c>
      <c r="O74" s="43">
        <f>VLOOKUP(ws[[#This Row],[hwycov_id]],count[],6,FALSE)</f>
        <v>0</v>
      </c>
      <c r="P74" s="43">
        <v>622</v>
      </c>
      <c r="Q74" s="43" t="str">
        <f>'[2]All Counts'!P74</f>
        <v>Caltran</v>
      </c>
      <c r="S74" s="94">
        <v>792</v>
      </c>
      <c r="T74" s="17"/>
      <c r="U74" s="17"/>
      <c r="V74" s="17">
        <v>29038</v>
      </c>
      <c r="W74" s="17">
        <v>33287.972655999998</v>
      </c>
      <c r="X74" s="17"/>
      <c r="Y74" s="17"/>
      <c r="Z74" s="17"/>
      <c r="AA74" s="17"/>
      <c r="AB74" s="17">
        <v>29038</v>
      </c>
      <c r="AC74" s="17">
        <v>33287.972655999998</v>
      </c>
      <c r="AD74"/>
      <c r="AE74"/>
    </row>
    <row r="75" spans="1:31" x14ac:dyDescent="0.25">
      <c r="A75" s="136">
        <f>'[2]All Counts'!C75</f>
        <v>19</v>
      </c>
      <c r="B75" s="136">
        <f>'[2]All Counts'!D75</f>
        <v>3</v>
      </c>
      <c r="C75" s="136">
        <f>'[2]All Counts'!E75</f>
        <v>16359</v>
      </c>
      <c r="D75" s="136">
        <f>'[2]All Counts'!F75</f>
        <v>1</v>
      </c>
      <c r="E75" s="136">
        <f>'[2]All Counts'!G75</f>
        <v>1</v>
      </c>
      <c r="F75" s="136" t="str">
        <f>'[2]All Counts'!H75</f>
        <v>SR-56 WB</v>
      </c>
      <c r="G75" s="136">
        <f>'[2]All Counts'!I75</f>
        <v>13</v>
      </c>
      <c r="H75" s="136">
        <f>'[2]All Counts'!J75</f>
        <v>0</v>
      </c>
      <c r="I75" s="136" t="str">
        <f>'[2]All Counts'!K75</f>
        <v>CAMINO SANTA FE</v>
      </c>
      <c r="J75" s="136" t="str">
        <f>'[2]All Counts'!L75</f>
        <v>CAMINO SANTA FE</v>
      </c>
      <c r="K75" s="136">
        <f>'[2]All Counts'!O75</f>
        <v>5917</v>
      </c>
      <c r="L75" s="57">
        <f>VLOOKUP(ws[[#This Row],[hwycov_id]],readme!D:G,4,FALSE)</f>
        <v>6405.9536129999997</v>
      </c>
      <c r="M75" s="88">
        <f>ws[[#This Row],[flow]]/ws[[#This Row],[count]]-1</f>
        <v>8.2635391752577281E-2</v>
      </c>
      <c r="N75" s="89">
        <f>POWER((ws[[#This Row],[flow]]-ws[[#This Row],[count]]),2)</f>
        <v>239075.63566575345</v>
      </c>
      <c r="O75" s="43">
        <f>VLOOKUP(ws[[#This Row],[hwycov_id]],count[],6,FALSE)</f>
        <v>0</v>
      </c>
      <c r="P75" s="43">
        <v>623</v>
      </c>
      <c r="Q75" s="43" t="str">
        <f>'[2]All Counts'!P75</f>
        <v>PeMS2016</v>
      </c>
      <c r="S75" s="94">
        <v>797</v>
      </c>
      <c r="T75" s="17"/>
      <c r="U75" s="17"/>
      <c r="V75" s="17">
        <v>28272</v>
      </c>
      <c r="W75" s="17">
        <v>33477.5625</v>
      </c>
      <c r="X75" s="17"/>
      <c r="Y75" s="17"/>
      <c r="Z75" s="17"/>
      <c r="AA75" s="17"/>
      <c r="AB75" s="17">
        <v>28272</v>
      </c>
      <c r="AC75" s="17">
        <v>33477.5625</v>
      </c>
      <c r="AD75"/>
      <c r="AE75"/>
    </row>
    <row r="76" spans="1:31" x14ac:dyDescent="0.25">
      <c r="A76" s="136">
        <f>'[2]All Counts'!C76</f>
        <v>19</v>
      </c>
      <c r="B76" s="136">
        <f>'[2]All Counts'!D76</f>
        <v>3</v>
      </c>
      <c r="C76" s="136">
        <f>'[2]All Counts'!E76</f>
        <v>16357</v>
      </c>
      <c r="D76" s="136">
        <f>'[2]All Counts'!F76</f>
        <v>1</v>
      </c>
      <c r="E76" s="136">
        <f>'[2]All Counts'!G76</f>
        <v>1</v>
      </c>
      <c r="F76" s="136" t="str">
        <f>'[2]All Counts'!H76</f>
        <v>SR-56 WB</v>
      </c>
      <c r="G76" s="136">
        <f>'[2]All Counts'!I76</f>
        <v>14</v>
      </c>
      <c r="H76" s="136">
        <f>'[2]All Counts'!J76</f>
        <v>0</v>
      </c>
      <c r="I76" s="136" t="str">
        <f>'[2]All Counts'!K76</f>
        <v>CAMINO SANTA FE</v>
      </c>
      <c r="J76" s="136" t="str">
        <f>'[2]All Counts'!L76</f>
        <v>CARMEL COUNTRY</v>
      </c>
      <c r="K76" s="136">
        <f>'[2]All Counts'!O76</f>
        <v>5886</v>
      </c>
      <c r="L76" s="57">
        <f>VLOOKUP(ws[[#This Row],[hwycov_id]],readme!D:G,4,FALSE)</f>
        <v>8087.0600590000004</v>
      </c>
      <c r="M76" s="88">
        <f>ws[[#This Row],[flow]]/ws[[#This Row],[count]]-1</f>
        <v>0.37394836204553172</v>
      </c>
      <c r="N76" s="89">
        <f>POWER((ws[[#This Row],[flow]]-ws[[#This Row],[count]]),2)</f>
        <v>4844665.383325085</v>
      </c>
      <c r="O76" s="43">
        <f>VLOOKUP(ws[[#This Row],[hwycov_id]],count[],6,FALSE)</f>
        <v>0</v>
      </c>
      <c r="P76" s="43">
        <v>624</v>
      </c>
      <c r="Q76" s="43" t="str">
        <f>'[2]All Counts'!P76</f>
        <v>Caltran</v>
      </c>
      <c r="S76" s="94">
        <v>801</v>
      </c>
      <c r="T76" s="17"/>
      <c r="U76" s="17"/>
      <c r="V76" s="17">
        <v>23425</v>
      </c>
      <c r="W76" s="17">
        <v>26420.966797000001</v>
      </c>
      <c r="X76" s="17"/>
      <c r="Y76" s="17"/>
      <c r="Z76" s="17"/>
      <c r="AA76" s="17"/>
      <c r="AB76" s="17">
        <v>23425</v>
      </c>
      <c r="AC76" s="17">
        <v>26420.966797000001</v>
      </c>
      <c r="AD76"/>
      <c r="AE76"/>
    </row>
    <row r="77" spans="1:31" x14ac:dyDescent="0.25">
      <c r="A77" s="136">
        <f>'[2]All Counts'!C77</f>
        <v>19</v>
      </c>
      <c r="B77" s="136">
        <f>'[2]All Counts'!D77</f>
        <v>3</v>
      </c>
      <c r="C77" s="136">
        <f>'[2]All Counts'!E77</f>
        <v>29167</v>
      </c>
      <c r="D77" s="136">
        <f>'[2]All Counts'!F77</f>
        <v>1</v>
      </c>
      <c r="E77" s="136">
        <f>'[2]All Counts'!G77</f>
        <v>1</v>
      </c>
      <c r="F77" s="136" t="str">
        <f>'[2]All Counts'!H77</f>
        <v>SR-56 WB</v>
      </c>
      <c r="G77" s="136">
        <f>'[2]All Counts'!I77</f>
        <v>15</v>
      </c>
      <c r="H77" s="136">
        <f>'[2]All Counts'!J77</f>
        <v>0</v>
      </c>
      <c r="I77" s="136" t="str">
        <f>'[2]All Counts'!K77</f>
        <v>CARMEL COUNTRY</v>
      </c>
      <c r="J77" s="136" t="str">
        <f>'[2]All Counts'!L77</f>
        <v>CARMEL COUNTRY</v>
      </c>
      <c r="K77" s="136">
        <f>'[2]All Counts'!O77</f>
        <v>5024</v>
      </c>
      <c r="L77" s="57">
        <f>VLOOKUP(ws[[#This Row],[hwycov_id]],readme!D:G,4,FALSE)</f>
        <v>6414.8808589999999</v>
      </c>
      <c r="M77" s="88">
        <f>ws[[#This Row],[flow]]/ws[[#This Row],[count]]-1</f>
        <v>0.27684730473726105</v>
      </c>
      <c r="N77" s="89">
        <f>POWER((ws[[#This Row],[flow]]-ws[[#This Row],[count]]),2)</f>
        <v>1934549.5639325776</v>
      </c>
      <c r="O77" s="43">
        <f>VLOOKUP(ws[[#This Row],[hwycov_id]],count[],6,FALSE)</f>
        <v>0</v>
      </c>
      <c r="P77" s="43">
        <v>625</v>
      </c>
      <c r="Q77" s="43" t="str">
        <f>'[2]All Counts'!P77</f>
        <v>PeMS2016</v>
      </c>
      <c r="S77" s="94">
        <v>802</v>
      </c>
      <c r="T77" s="17"/>
      <c r="U77" s="17"/>
      <c r="V77" s="17">
        <v>32716</v>
      </c>
      <c r="W77" s="17">
        <v>39846.75</v>
      </c>
      <c r="X77" s="17"/>
      <c r="Y77" s="17"/>
      <c r="Z77" s="17"/>
      <c r="AA77" s="17"/>
      <c r="AB77" s="17">
        <v>32716</v>
      </c>
      <c r="AC77" s="17">
        <v>39846.75</v>
      </c>
      <c r="AD77"/>
      <c r="AE77"/>
    </row>
    <row r="78" spans="1:31" x14ac:dyDescent="0.25">
      <c r="A78" s="136">
        <f>'[2]All Counts'!C78</f>
        <v>19</v>
      </c>
      <c r="B78" s="136">
        <f>'[2]All Counts'!D78</f>
        <v>3</v>
      </c>
      <c r="C78" s="136">
        <f>'[2]All Counts'!E78</f>
        <v>8647</v>
      </c>
      <c r="D78" s="136">
        <f>'[2]All Counts'!F78</f>
        <v>1</v>
      </c>
      <c r="E78" s="136">
        <f>'[2]All Counts'!G78</f>
        <v>1</v>
      </c>
      <c r="F78" s="136" t="str">
        <f>'[2]All Counts'!H78</f>
        <v>SR-56 WB</v>
      </c>
      <c r="G78" s="136">
        <f>'[2]All Counts'!I78</f>
        <v>16</v>
      </c>
      <c r="H78" s="136">
        <f>'[2]All Counts'!J78</f>
        <v>0</v>
      </c>
      <c r="I78" s="136" t="str">
        <f>'[2]All Counts'!K78</f>
        <v>CARMEL COUNTRY</v>
      </c>
      <c r="J78" s="136" t="str">
        <f>'[2]All Counts'!L78</f>
        <v>CARMEL CREEK</v>
      </c>
      <c r="K78" s="136">
        <f>'[2]All Counts'!O78</f>
        <v>6492</v>
      </c>
      <c r="L78" s="57">
        <f>VLOOKUP(ws[[#This Row],[hwycov_id]],readme!D:G,4,FALSE)</f>
        <v>7865.9296880000002</v>
      </c>
      <c r="M78" s="88">
        <f>ws[[#This Row],[flow]]/ws[[#This Row],[count]]-1</f>
        <v>0.21163427110289579</v>
      </c>
      <c r="N78" s="89">
        <f>POWER((ws[[#This Row],[flow]]-ws[[#This Row],[count]]),2)</f>
        <v>1887682.7875677778</v>
      </c>
      <c r="O78" s="43">
        <f>VLOOKUP(ws[[#This Row],[hwycov_id]],count[],6,FALSE)</f>
        <v>0</v>
      </c>
      <c r="P78" s="43">
        <v>626</v>
      </c>
      <c r="Q78" s="43" t="str">
        <f>'[2]All Counts'!P78</f>
        <v>Caltran</v>
      </c>
      <c r="S78" s="94">
        <v>804</v>
      </c>
      <c r="T78" s="17"/>
      <c r="U78" s="17"/>
      <c r="V78" s="17">
        <v>21789</v>
      </c>
      <c r="W78" s="17">
        <v>28762.302734000001</v>
      </c>
      <c r="X78" s="17"/>
      <c r="Y78" s="17"/>
      <c r="Z78" s="17"/>
      <c r="AA78" s="17"/>
      <c r="AB78" s="17">
        <v>21789</v>
      </c>
      <c r="AC78" s="17">
        <v>28762.302734000001</v>
      </c>
      <c r="AD78"/>
      <c r="AE78"/>
    </row>
    <row r="79" spans="1:31" x14ac:dyDescent="0.25">
      <c r="A79" s="136">
        <f>'[2]All Counts'!C79</f>
        <v>19</v>
      </c>
      <c r="B79" s="136">
        <f>'[2]All Counts'!D79</f>
        <v>3</v>
      </c>
      <c r="C79" s="136">
        <f>'[2]All Counts'!E79</f>
        <v>457</v>
      </c>
      <c r="D79" s="136">
        <f>'[2]All Counts'!F79</f>
        <v>1</v>
      </c>
      <c r="E79" s="136">
        <f>'[2]All Counts'!G79</f>
        <v>1</v>
      </c>
      <c r="F79" s="136" t="str">
        <f>'[2]All Counts'!H79</f>
        <v>SR-56 WB</v>
      </c>
      <c r="G79" s="136">
        <f>'[2]All Counts'!I79</f>
        <v>17</v>
      </c>
      <c r="H79" s="136">
        <f>'[2]All Counts'!J79</f>
        <v>0</v>
      </c>
      <c r="I79" s="136" t="str">
        <f>'[2]All Counts'!K79</f>
        <v>CARMEL CREEK</v>
      </c>
      <c r="J79" s="136" t="str">
        <f>'[2]All Counts'!L79</f>
        <v>CARMEL CREEK</v>
      </c>
      <c r="K79" s="136">
        <f>'[2]All Counts'!O79</f>
        <v>5669</v>
      </c>
      <c r="L79" s="57">
        <f>VLOOKUP(ws[[#This Row],[hwycov_id]],readme!D:G,4,FALSE)</f>
        <v>7121.3784180000002</v>
      </c>
      <c r="M79" s="88">
        <f>ws[[#This Row],[flow]]/ws[[#This Row],[count]]-1</f>
        <v>0.25619658105485987</v>
      </c>
      <c r="N79" s="89">
        <f>POWER((ws[[#This Row],[flow]]-ws[[#This Row],[count]]),2)</f>
        <v>2109403.0690721832</v>
      </c>
      <c r="O79" s="43">
        <f>VLOOKUP(ws[[#This Row],[hwycov_id]],count[],6,FALSE)</f>
        <v>0</v>
      </c>
      <c r="P79" s="43">
        <v>628</v>
      </c>
      <c r="Q79" s="43" t="str">
        <f>'[2]All Counts'!P79</f>
        <v>PeMS2016</v>
      </c>
      <c r="S79" s="94">
        <v>806</v>
      </c>
      <c r="T79" s="17"/>
      <c r="U79" s="17"/>
      <c r="V79" s="17">
        <v>19717</v>
      </c>
      <c r="W79" s="17">
        <v>26552.71875</v>
      </c>
      <c r="X79" s="17"/>
      <c r="Y79" s="17"/>
      <c r="Z79" s="17"/>
      <c r="AA79" s="17"/>
      <c r="AB79" s="17">
        <v>19717</v>
      </c>
      <c r="AC79" s="17">
        <v>26552.71875</v>
      </c>
      <c r="AD79"/>
      <c r="AE79"/>
    </row>
    <row r="80" spans="1:31" x14ac:dyDescent="0.25">
      <c r="A80" s="136">
        <f>'[2]All Counts'!C80</f>
        <v>19</v>
      </c>
      <c r="B80" s="136">
        <f>'[2]All Counts'!D80</f>
        <v>3</v>
      </c>
      <c r="C80" s="136">
        <f>'[2]All Counts'!E80</f>
        <v>7666</v>
      </c>
      <c r="D80" s="136">
        <f>'[2]All Counts'!F80</f>
        <v>1</v>
      </c>
      <c r="E80" s="136">
        <f>'[2]All Counts'!G80</f>
        <v>1</v>
      </c>
      <c r="F80" s="136" t="str">
        <f>'[2]All Counts'!H80</f>
        <v>SR-56 WB</v>
      </c>
      <c r="G80" s="136">
        <f>'[2]All Counts'!I80</f>
        <v>19</v>
      </c>
      <c r="H80" s="136">
        <f>'[2]All Counts'!J80</f>
        <v>0</v>
      </c>
      <c r="I80" s="136" t="str">
        <f>'[2]All Counts'!K80</f>
        <v>CARMEL CREEK</v>
      </c>
      <c r="J80" s="136" t="str">
        <f>'[2]All Counts'!L80</f>
        <v>EL CAMINO REAL</v>
      </c>
      <c r="K80" s="136">
        <f>'[2]All Counts'!O80</f>
        <v>7326</v>
      </c>
      <c r="L80" s="57">
        <f>VLOOKUP(ws[[#This Row],[hwycov_id]],readme!D:G,4,FALSE)</f>
        <v>8740.6875</v>
      </c>
      <c r="M80" s="88">
        <f>ws[[#This Row],[flow]]/ws[[#This Row],[count]]-1</f>
        <v>0.19310503685503688</v>
      </c>
      <c r="N80" s="89">
        <f>POWER((ws[[#This Row],[flow]]-ws[[#This Row],[count]]),2)</f>
        <v>2001340.72265625</v>
      </c>
      <c r="O80" s="43">
        <f>VLOOKUP(ws[[#This Row],[hwycov_id]],count[],6,FALSE)</f>
        <v>0</v>
      </c>
      <c r="P80" s="43">
        <v>629</v>
      </c>
      <c r="Q80" s="43" t="str">
        <f>'[2]All Counts'!P80</f>
        <v>Caltran</v>
      </c>
      <c r="S80" s="94">
        <v>807</v>
      </c>
      <c r="T80" s="17"/>
      <c r="U80" s="17"/>
      <c r="V80" s="17">
        <v>32011</v>
      </c>
      <c r="W80" s="17">
        <v>35267.824219000002</v>
      </c>
      <c r="X80" s="17"/>
      <c r="Y80" s="17"/>
      <c r="Z80" s="17"/>
      <c r="AA80" s="17"/>
      <c r="AB80" s="17">
        <v>32011</v>
      </c>
      <c r="AC80" s="17">
        <v>35267.824219000002</v>
      </c>
      <c r="AD80"/>
      <c r="AE80"/>
    </row>
    <row r="81" spans="1:31" x14ac:dyDescent="0.25">
      <c r="A81" s="136">
        <f>'[2]All Counts'!C81</f>
        <v>18</v>
      </c>
      <c r="B81" s="136">
        <f>'[2]All Counts'!D81</f>
        <v>3</v>
      </c>
      <c r="C81" s="136">
        <f>'[2]All Counts'!E81</f>
        <v>14176</v>
      </c>
      <c r="D81" s="136">
        <f>'[2]All Counts'!F81</f>
        <v>1</v>
      </c>
      <c r="E81" s="136">
        <f>'[2]All Counts'!G81</f>
        <v>1</v>
      </c>
      <c r="F81" s="136" t="str">
        <f>'[2]All Counts'!H81</f>
        <v>SR-54 WB</v>
      </c>
      <c r="G81" s="136">
        <f>'[2]All Counts'!I81</f>
        <v>4</v>
      </c>
      <c r="H81" s="136">
        <f>'[2]All Counts'!J81</f>
        <v>0</v>
      </c>
      <c r="I81" s="136" t="str">
        <f>'[2]All Counts'!K81</f>
        <v>SR-125 NB</v>
      </c>
      <c r="J81" s="136" t="str">
        <f>'[2]All Counts'!L81</f>
        <v>BRIARWOOD</v>
      </c>
      <c r="K81" s="136">
        <f>'[2]All Counts'!O81</f>
        <v>13806</v>
      </c>
      <c r="L81" s="57">
        <f>VLOOKUP(ws[[#This Row],[hwycov_id]],readme!D:G,4,FALSE)</f>
        <v>12125.403319999999</v>
      </c>
      <c r="M81" s="88">
        <f>ws[[#This Row],[flow]]/ws[[#This Row],[count]]-1</f>
        <v>-0.1217294422714762</v>
      </c>
      <c r="N81" s="89">
        <f>POWER((ws[[#This Row],[flow]]-ws[[#This Row],[count]]),2)</f>
        <v>2824405.2008270244</v>
      </c>
      <c r="O81" s="43">
        <f>VLOOKUP(ws[[#This Row],[hwycov_id]],count[],6,FALSE)</f>
        <v>0</v>
      </c>
      <c r="P81" s="43">
        <v>632</v>
      </c>
      <c r="Q81" s="43" t="str">
        <f>'[2]All Counts'!P81</f>
        <v>Caltran</v>
      </c>
      <c r="S81" s="94">
        <v>813</v>
      </c>
      <c r="T81" s="17"/>
      <c r="U81" s="17"/>
      <c r="V81" s="17">
        <v>27118</v>
      </c>
      <c r="W81" s="17">
        <v>30525.400390999999</v>
      </c>
      <c r="X81" s="17"/>
      <c r="Y81" s="17"/>
      <c r="Z81" s="17"/>
      <c r="AA81" s="17"/>
      <c r="AB81" s="17">
        <v>27118</v>
      </c>
      <c r="AC81" s="17">
        <v>30525.400390999999</v>
      </c>
      <c r="AD81"/>
      <c r="AE81"/>
    </row>
    <row r="82" spans="1:31" x14ac:dyDescent="0.25">
      <c r="A82" s="136">
        <f>'[2]All Counts'!C82</f>
        <v>18</v>
      </c>
      <c r="B82" s="136">
        <f>'[2]All Counts'!D82</f>
        <v>3</v>
      </c>
      <c r="C82" s="136">
        <f>'[2]All Counts'!E82</f>
        <v>14155</v>
      </c>
      <c r="D82" s="136">
        <f>'[2]All Counts'!F82</f>
        <v>1</v>
      </c>
      <c r="E82" s="136">
        <f>'[2]All Counts'!G82</f>
        <v>1</v>
      </c>
      <c r="F82" s="136" t="str">
        <f>'[2]All Counts'!H82</f>
        <v>SR-54 WB</v>
      </c>
      <c r="G82" s="136">
        <f>'[2]All Counts'!I82</f>
        <v>5</v>
      </c>
      <c r="H82" s="136">
        <f>'[2]All Counts'!J82</f>
        <v>0</v>
      </c>
      <c r="I82" s="136" t="str">
        <f>'[2]All Counts'!K82</f>
        <v>BRIARWOOD</v>
      </c>
      <c r="J82" s="136" t="str">
        <f>'[2]All Counts'!L82</f>
        <v>BRIARWOOD</v>
      </c>
      <c r="K82" s="136">
        <f>'[2]All Counts'!O82</f>
        <v>12547</v>
      </c>
      <c r="L82" s="57">
        <f>VLOOKUP(ws[[#This Row],[hwycov_id]],readme!D:G,4,FALSE)</f>
        <v>9904.4990230000003</v>
      </c>
      <c r="M82" s="88">
        <f>ws[[#This Row],[flow]]/ws[[#This Row],[count]]-1</f>
        <v>-0.21060819136048459</v>
      </c>
      <c r="N82" s="89">
        <f>POWER((ws[[#This Row],[flow]]-ws[[#This Row],[count]]),2)</f>
        <v>6982811.4134459533</v>
      </c>
      <c r="O82" s="43">
        <f>VLOOKUP(ws[[#This Row],[hwycov_id]],count[],6,FALSE)</f>
        <v>0</v>
      </c>
      <c r="P82" s="43">
        <v>633</v>
      </c>
      <c r="Q82" s="43" t="str">
        <f>'[2]All Counts'!P82</f>
        <v>PeMS2016</v>
      </c>
      <c r="S82" s="94">
        <v>815</v>
      </c>
      <c r="T82" s="17"/>
      <c r="U82" s="17"/>
      <c r="V82" s="17">
        <v>31203</v>
      </c>
      <c r="W82" s="17">
        <v>32409.998047000001</v>
      </c>
      <c r="X82" s="17"/>
      <c r="Y82" s="17"/>
      <c r="Z82" s="17"/>
      <c r="AA82" s="17"/>
      <c r="AB82" s="17">
        <v>31203</v>
      </c>
      <c r="AC82" s="17">
        <v>32409.998047000001</v>
      </c>
      <c r="AD82"/>
      <c r="AE82"/>
    </row>
    <row r="83" spans="1:31" x14ac:dyDescent="0.25">
      <c r="A83" s="136">
        <f>'[2]All Counts'!C83</f>
        <v>18</v>
      </c>
      <c r="B83" s="136">
        <f>'[2]All Counts'!D83</f>
        <v>3</v>
      </c>
      <c r="C83" s="136">
        <f>'[2]All Counts'!E83</f>
        <v>14144</v>
      </c>
      <c r="D83" s="136">
        <f>'[2]All Counts'!F83</f>
        <v>1</v>
      </c>
      <c r="E83" s="136">
        <f>'[2]All Counts'!G83</f>
        <v>1</v>
      </c>
      <c r="F83" s="136" t="str">
        <f>'[2]All Counts'!H83</f>
        <v>SR-54 WB</v>
      </c>
      <c r="G83" s="136">
        <f>'[2]All Counts'!I83</f>
        <v>7</v>
      </c>
      <c r="H83" s="136">
        <f>'[2]All Counts'!J83</f>
        <v>0</v>
      </c>
      <c r="I83" s="136" t="str">
        <f>'[2]All Counts'!K83</f>
        <v>WOODMAN</v>
      </c>
      <c r="J83" s="136" t="str">
        <f>'[2]All Counts'!L83</f>
        <v>WOODMAN</v>
      </c>
      <c r="K83" s="136">
        <f>'[2]All Counts'!O83</f>
        <v>13595</v>
      </c>
      <c r="L83" s="57">
        <f>VLOOKUP(ws[[#This Row],[hwycov_id]],readme!D:G,4,FALSE)</f>
        <v>10434.219727</v>
      </c>
      <c r="M83" s="88">
        <f>ws[[#This Row],[flow]]/ws[[#This Row],[count]]-1</f>
        <v>-0.23249579058477388</v>
      </c>
      <c r="N83" s="89">
        <f>POWER((ws[[#This Row],[flow]]-ws[[#This Row],[count]]),2)</f>
        <v>9990531.9341859557</v>
      </c>
      <c r="O83" s="43">
        <f>VLOOKUP(ws[[#This Row],[hwycov_id]],count[],6,FALSE)</f>
        <v>0</v>
      </c>
      <c r="P83" s="43">
        <v>635</v>
      </c>
      <c r="Q83" s="43" t="str">
        <f>'[2]All Counts'!P83</f>
        <v>PeMS2016</v>
      </c>
      <c r="S83" s="94">
        <v>835</v>
      </c>
      <c r="T83" s="17"/>
      <c r="U83" s="17"/>
      <c r="V83" s="17">
        <v>35806</v>
      </c>
      <c r="W83" s="17">
        <v>32834.386719000002</v>
      </c>
      <c r="X83" s="17"/>
      <c r="Y83" s="17"/>
      <c r="Z83" s="17"/>
      <c r="AA83" s="17"/>
      <c r="AB83" s="17">
        <v>35806</v>
      </c>
      <c r="AC83" s="17">
        <v>32834.386719000002</v>
      </c>
      <c r="AD83"/>
      <c r="AE83"/>
    </row>
    <row r="84" spans="1:31" x14ac:dyDescent="0.25">
      <c r="A84" s="136">
        <f>'[2]All Counts'!C84</f>
        <v>18</v>
      </c>
      <c r="B84" s="136">
        <f>'[2]All Counts'!D84</f>
        <v>3</v>
      </c>
      <c r="C84" s="136">
        <f>'[2]All Counts'!E84</f>
        <v>14142</v>
      </c>
      <c r="D84" s="136">
        <f>'[2]All Counts'!F84</f>
        <v>1</v>
      </c>
      <c r="E84" s="136">
        <f>'[2]All Counts'!G84</f>
        <v>1</v>
      </c>
      <c r="F84" s="136" t="str">
        <f>'[2]All Counts'!H84</f>
        <v>SR-54 WB</v>
      </c>
      <c r="G84" s="136">
        <f>'[2]All Counts'!I84</f>
        <v>8</v>
      </c>
      <c r="H84" s="136">
        <f>'[2]All Counts'!J84</f>
        <v>0</v>
      </c>
      <c r="I84" s="136" t="str">
        <f>'[2]All Counts'!K84</f>
        <v>WOODMAN</v>
      </c>
      <c r="J84" s="136" t="str">
        <f>'[2]All Counts'!L84</f>
        <v>VALLEY</v>
      </c>
      <c r="K84" s="136">
        <f>'[2]All Counts'!O84</f>
        <v>15144</v>
      </c>
      <c r="L84" s="57">
        <f>VLOOKUP(ws[[#This Row],[hwycov_id]],readme!D:G,4,FALSE)</f>
        <v>11792.741211</v>
      </c>
      <c r="M84" s="88">
        <f>ws[[#This Row],[flow]]/ws[[#This Row],[count]]-1</f>
        <v>-0.2212928413232963</v>
      </c>
      <c r="N84" s="89">
        <f>POWER((ws[[#This Row],[flow]]-ws[[#This Row],[count]]),2)</f>
        <v>11230935.470849743</v>
      </c>
      <c r="O84" s="43">
        <f>VLOOKUP(ws[[#This Row],[hwycov_id]],count[],6,FALSE)</f>
        <v>0</v>
      </c>
      <c r="P84" s="43">
        <v>637</v>
      </c>
      <c r="Q84" s="43" t="str">
        <f>'[2]All Counts'!P84</f>
        <v>Caltran</v>
      </c>
      <c r="S84" s="94">
        <v>836</v>
      </c>
      <c r="T84" s="17"/>
      <c r="U84" s="17"/>
      <c r="V84" s="17">
        <v>30376</v>
      </c>
      <c r="W84" s="17">
        <v>30056.591797000001</v>
      </c>
      <c r="X84" s="17"/>
      <c r="Y84" s="17"/>
      <c r="Z84" s="17"/>
      <c r="AA84" s="17"/>
      <c r="AB84" s="17">
        <v>30376</v>
      </c>
      <c r="AC84" s="17">
        <v>30056.591797000001</v>
      </c>
      <c r="AD84"/>
      <c r="AE84"/>
    </row>
    <row r="85" spans="1:31" x14ac:dyDescent="0.25">
      <c r="A85" s="136">
        <f>'[2]All Counts'!C85</f>
        <v>18</v>
      </c>
      <c r="B85" s="136">
        <f>'[2]All Counts'!D85</f>
        <v>3</v>
      </c>
      <c r="C85" s="136">
        <f>'[2]All Counts'!E85</f>
        <v>28675</v>
      </c>
      <c r="D85" s="136">
        <f>'[2]All Counts'!F85</f>
        <v>1</v>
      </c>
      <c r="E85" s="136">
        <f>'[2]All Counts'!G85</f>
        <v>1</v>
      </c>
      <c r="F85" s="136" t="str">
        <f>'[2]All Counts'!H85</f>
        <v>SR-54 WB</v>
      </c>
      <c r="G85" s="136">
        <f>'[2]All Counts'!I85</f>
        <v>9</v>
      </c>
      <c r="H85" s="136">
        <f>'[2]All Counts'!J85</f>
        <v>0</v>
      </c>
      <c r="I85" s="136" t="str">
        <f>'[2]All Counts'!K85</f>
        <v>VALLEY</v>
      </c>
      <c r="J85" s="136" t="str">
        <f>'[2]All Counts'!L85</f>
        <v>VALLEY</v>
      </c>
      <c r="K85" s="136">
        <f>'[2]All Counts'!O85</f>
        <v>13756</v>
      </c>
      <c r="L85" s="57">
        <f>VLOOKUP(ws[[#This Row],[hwycov_id]],readme!D:G,4,FALSE)</f>
        <v>10629.482421999999</v>
      </c>
      <c r="M85" s="88">
        <f>ws[[#This Row],[flow]]/ws[[#This Row],[count]]-1</f>
        <v>-0.22728391814480964</v>
      </c>
      <c r="N85" s="89">
        <f>POWER((ws[[#This Row],[flow]]-ws[[#This Row],[count]]),2)</f>
        <v>9775112.1655429918</v>
      </c>
      <c r="O85" s="43">
        <f>VLOOKUP(ws[[#This Row],[hwycov_id]],count[],6,FALSE)</f>
        <v>0</v>
      </c>
      <c r="P85" s="43">
        <v>638</v>
      </c>
      <c r="Q85" s="43" t="str">
        <f>'[2]All Counts'!P85</f>
        <v>PeMS2016</v>
      </c>
      <c r="S85" s="94">
        <v>841</v>
      </c>
      <c r="T85" s="17"/>
      <c r="U85" s="17"/>
      <c r="V85" s="17">
        <v>26224</v>
      </c>
      <c r="W85" s="17">
        <v>25396.898438</v>
      </c>
      <c r="X85" s="17"/>
      <c r="Y85" s="17"/>
      <c r="Z85" s="17"/>
      <c r="AA85" s="17"/>
      <c r="AB85" s="17">
        <v>26224</v>
      </c>
      <c r="AC85" s="17">
        <v>25396.898438</v>
      </c>
      <c r="AD85"/>
      <c r="AE85"/>
    </row>
    <row r="86" spans="1:31" x14ac:dyDescent="0.25">
      <c r="A86" s="136">
        <f>'[2]All Counts'!C86</f>
        <v>18</v>
      </c>
      <c r="B86" s="136">
        <f>'[2]All Counts'!D86</f>
        <v>3</v>
      </c>
      <c r="C86" s="136">
        <f>'[2]All Counts'!E86</f>
        <v>28677</v>
      </c>
      <c r="D86" s="136">
        <f>'[2]All Counts'!F86</f>
        <v>1</v>
      </c>
      <c r="E86" s="136">
        <f>'[2]All Counts'!G86</f>
        <v>1</v>
      </c>
      <c r="F86" s="136" t="str">
        <f>'[2]All Counts'!H86</f>
        <v>SR-54 WB</v>
      </c>
      <c r="G86" s="136">
        <f>'[2]All Counts'!I86</f>
        <v>11</v>
      </c>
      <c r="H86" s="136">
        <f>'[2]All Counts'!J86</f>
        <v>0</v>
      </c>
      <c r="I86" s="136" t="str">
        <f>'[2]All Counts'!K86</f>
        <v>VALLEY</v>
      </c>
      <c r="J86" s="136" t="str">
        <f>'[2]All Counts'!L86</f>
        <v>I-805 NB</v>
      </c>
      <c r="K86" s="136">
        <f>'[2]All Counts'!O86</f>
        <v>15465</v>
      </c>
      <c r="L86" s="57">
        <f>VLOOKUP(ws[[#This Row],[hwycov_id]],readme!D:G,4,FALSE)</f>
        <v>11886.195312</v>
      </c>
      <c r="M86" s="88">
        <f>ws[[#This Row],[flow]]/ws[[#This Row],[count]]-1</f>
        <v>-0.23141317090203684</v>
      </c>
      <c r="N86" s="89">
        <f>POWER((ws[[#This Row],[flow]]-ws[[#This Row],[count]]),2)</f>
        <v>12807842.994850779</v>
      </c>
      <c r="O86" s="43">
        <f>VLOOKUP(ws[[#This Row],[hwycov_id]],count[],6,FALSE)</f>
        <v>0</v>
      </c>
      <c r="P86" s="43">
        <v>639</v>
      </c>
      <c r="Q86" s="43" t="str">
        <f>'[2]All Counts'!P86</f>
        <v>Caltran</v>
      </c>
      <c r="S86" s="94">
        <v>843</v>
      </c>
      <c r="T86" s="17"/>
      <c r="U86" s="17"/>
      <c r="V86" s="17">
        <v>16630</v>
      </c>
      <c r="W86" s="17">
        <v>16984.791015999999</v>
      </c>
      <c r="X86" s="17"/>
      <c r="Y86" s="17"/>
      <c r="Z86" s="17"/>
      <c r="AA86" s="17"/>
      <c r="AB86" s="17">
        <v>16630</v>
      </c>
      <c r="AC86" s="17">
        <v>16984.791015999999</v>
      </c>
      <c r="AD86"/>
      <c r="AE86"/>
    </row>
    <row r="87" spans="1:31" x14ac:dyDescent="0.25">
      <c r="A87" s="136">
        <f>'[2]All Counts'!C87</f>
        <v>18</v>
      </c>
      <c r="B87" s="136">
        <f>'[2]All Counts'!D87</f>
        <v>3</v>
      </c>
      <c r="C87" s="136">
        <f>'[2]All Counts'!E87</f>
        <v>27956</v>
      </c>
      <c r="D87" s="136">
        <f>'[2]All Counts'!F87</f>
        <v>1</v>
      </c>
      <c r="E87" s="136">
        <f>'[2]All Counts'!G87</f>
        <v>1</v>
      </c>
      <c r="F87" s="136" t="str">
        <f>'[2]All Counts'!H87</f>
        <v>SR-54 WB</v>
      </c>
      <c r="G87" s="136">
        <f>'[2]All Counts'!I87</f>
        <v>17</v>
      </c>
      <c r="H87" s="136">
        <f>'[2]All Counts'!J87</f>
        <v>0</v>
      </c>
      <c r="I87" s="136" t="str">
        <f>'[2]All Counts'!K87</f>
        <v>NATIONAL CITY</v>
      </c>
      <c r="J87" s="136" t="str">
        <f>'[2]All Counts'!L87</f>
        <v>I-5 NB</v>
      </c>
      <c r="K87" s="136">
        <f>'[2]All Counts'!O87</f>
        <v>10619</v>
      </c>
      <c r="L87" s="57">
        <f>VLOOKUP(ws[[#This Row],[hwycov_id]],readme!D:G,4,FALSE)</f>
        <v>9153.0332030000009</v>
      </c>
      <c r="M87" s="88">
        <f>ws[[#This Row],[flow]]/ws[[#This Row],[count]]-1</f>
        <v>-0.1380513039834258</v>
      </c>
      <c r="N87" s="89">
        <f>POWER((ws[[#This Row],[flow]]-ws[[#This Row],[count]]),2)</f>
        <v>2149058.6499064364</v>
      </c>
      <c r="O87" s="43">
        <f>VLOOKUP(ws[[#This Row],[hwycov_id]],count[],6,FALSE)</f>
        <v>0</v>
      </c>
      <c r="P87" s="43">
        <v>640</v>
      </c>
      <c r="Q87" s="43" t="str">
        <f>'[2]All Counts'!P87</f>
        <v>Caltran</v>
      </c>
      <c r="S87" s="94">
        <v>851</v>
      </c>
      <c r="T87" s="17"/>
      <c r="U87" s="17"/>
      <c r="V87" s="17">
        <v>17965</v>
      </c>
      <c r="W87" s="17">
        <v>17630.005859000001</v>
      </c>
      <c r="X87" s="17"/>
      <c r="Y87" s="17"/>
      <c r="Z87" s="17"/>
      <c r="AA87" s="17"/>
      <c r="AB87" s="17">
        <v>17965</v>
      </c>
      <c r="AC87" s="17">
        <v>17630.005859000001</v>
      </c>
      <c r="AD87"/>
      <c r="AE87"/>
    </row>
    <row r="88" spans="1:31" x14ac:dyDescent="0.25">
      <c r="A88" s="136">
        <f>'[2]All Counts'!C88</f>
        <v>17</v>
      </c>
      <c r="B88" s="136">
        <f>'[2]All Counts'!D88</f>
        <v>3</v>
      </c>
      <c r="C88" s="136">
        <f>'[2]All Counts'!E88</f>
        <v>27223</v>
      </c>
      <c r="D88" s="136">
        <f>'[2]All Counts'!F88</f>
        <v>1</v>
      </c>
      <c r="E88" s="136">
        <f>'[2]All Counts'!G88</f>
        <v>1</v>
      </c>
      <c r="F88" s="136" t="str">
        <f>'[2]All Counts'!H88</f>
        <v>SR-52 WB</v>
      </c>
      <c r="G88" s="136">
        <f>'[2]All Counts'!I88</f>
        <v>2</v>
      </c>
      <c r="H88" s="136">
        <f>'[2]All Counts'!J88</f>
        <v>0</v>
      </c>
      <c r="I88" s="136" t="str">
        <f>'[2]All Counts'!K88</f>
        <v>MAGNOLIA</v>
      </c>
      <c r="J88" s="136" t="str">
        <f>'[2]All Counts'!L88</f>
        <v>CUYAMACA</v>
      </c>
      <c r="K88" s="136">
        <f>'[2]All Counts'!O88</f>
        <v>8170</v>
      </c>
      <c r="L88" s="57">
        <f>VLOOKUP(ws[[#This Row],[hwycov_id]],readme!D:G,4,FALSE)</f>
        <v>8879.09375</v>
      </c>
      <c r="M88" s="88">
        <f>ws[[#This Row],[flow]]/ws[[#This Row],[count]]-1</f>
        <v>8.6792380660954738E-2</v>
      </c>
      <c r="N88" s="89">
        <f>POWER((ws[[#This Row],[flow]]-ws[[#This Row],[count]]),2)</f>
        <v>502813.9462890625</v>
      </c>
      <c r="O88" s="43">
        <f>VLOOKUP(ws[[#This Row],[hwycov_id]],count[],6,FALSE)</f>
        <v>0</v>
      </c>
      <c r="P88" s="43">
        <v>642</v>
      </c>
      <c r="Q88" s="43" t="str">
        <f>'[2]All Counts'!P88</f>
        <v>Caltran</v>
      </c>
      <c r="S88" s="94">
        <v>853</v>
      </c>
      <c r="T88" s="17"/>
      <c r="U88" s="17"/>
      <c r="V88" s="17">
        <v>13679</v>
      </c>
      <c r="W88" s="17">
        <v>15539.817383</v>
      </c>
      <c r="X88" s="17"/>
      <c r="Y88" s="17"/>
      <c r="Z88" s="17"/>
      <c r="AA88" s="17"/>
      <c r="AB88" s="17">
        <v>13679</v>
      </c>
      <c r="AC88" s="17">
        <v>15539.817383</v>
      </c>
      <c r="AD88"/>
      <c r="AE88"/>
    </row>
    <row r="89" spans="1:31" x14ac:dyDescent="0.25">
      <c r="A89" s="136">
        <f>'[2]All Counts'!C89</f>
        <v>17</v>
      </c>
      <c r="B89" s="136">
        <f>'[2]All Counts'!D89</f>
        <v>3</v>
      </c>
      <c r="C89" s="136">
        <f>'[2]All Counts'!E89</f>
        <v>27241</v>
      </c>
      <c r="D89" s="136">
        <f>'[2]All Counts'!F89</f>
        <v>1</v>
      </c>
      <c r="E89" s="136">
        <f>'[2]All Counts'!G89</f>
        <v>1</v>
      </c>
      <c r="F89" s="136" t="str">
        <f>'[2]All Counts'!H89</f>
        <v>SR-52 WB</v>
      </c>
      <c r="G89" s="136">
        <f>'[2]All Counts'!I89</f>
        <v>5</v>
      </c>
      <c r="H89" s="136">
        <f>'[2]All Counts'!J89</f>
        <v>0</v>
      </c>
      <c r="I89" s="136" t="str">
        <f>'[2]All Counts'!K89</f>
        <v>CUYAMACA</v>
      </c>
      <c r="J89" s="136" t="str">
        <f>'[2]All Counts'!L89</f>
        <v>FANITA</v>
      </c>
      <c r="K89" s="136">
        <f>'[2]All Counts'!O89</f>
        <v>8710</v>
      </c>
      <c r="L89" s="57">
        <f>VLOOKUP(ws[[#This Row],[hwycov_id]],readme!D:G,4,FALSE)</f>
        <v>9422.9111329999996</v>
      </c>
      <c r="M89" s="88">
        <f>ws[[#This Row],[flow]]/ws[[#This Row],[count]]-1</f>
        <v>8.1849728243398312E-2</v>
      </c>
      <c r="N89" s="89">
        <f>POWER((ws[[#This Row],[flow]]-ws[[#This Row],[count]]),2)</f>
        <v>508242.28355534311</v>
      </c>
      <c r="O89" s="43">
        <f>VLOOKUP(ws[[#This Row],[hwycov_id]],count[],6,FALSE)</f>
        <v>0</v>
      </c>
      <c r="P89" s="43">
        <v>643</v>
      </c>
      <c r="Q89" s="43" t="str">
        <f>'[2]All Counts'!P89</f>
        <v>Caltran</v>
      </c>
      <c r="S89" s="94">
        <v>854</v>
      </c>
      <c r="T89" s="17"/>
      <c r="U89" s="17"/>
      <c r="V89" s="17">
        <v>14280</v>
      </c>
      <c r="W89" s="17">
        <v>18086.373047000001</v>
      </c>
      <c r="X89" s="17"/>
      <c r="Y89" s="17"/>
      <c r="Z89" s="17"/>
      <c r="AA89" s="17"/>
      <c r="AB89" s="17">
        <v>14280</v>
      </c>
      <c r="AC89" s="17">
        <v>18086.373047000001</v>
      </c>
      <c r="AD89"/>
      <c r="AE89"/>
    </row>
    <row r="90" spans="1:31" x14ac:dyDescent="0.25">
      <c r="A90" s="136">
        <f>'[2]All Counts'!C90</f>
        <v>17</v>
      </c>
      <c r="B90" s="136">
        <f>'[2]All Counts'!D90</f>
        <v>3</v>
      </c>
      <c r="C90" s="136">
        <f>'[2]All Counts'!E90</f>
        <v>15277</v>
      </c>
      <c r="D90" s="136">
        <f>'[2]All Counts'!F90</f>
        <v>1</v>
      </c>
      <c r="E90" s="136">
        <f>'[2]All Counts'!G90</f>
        <v>1</v>
      </c>
      <c r="F90" s="136" t="str">
        <f>'[2]All Counts'!H90</f>
        <v>SR-52 WB</v>
      </c>
      <c r="G90" s="136">
        <f>'[2]All Counts'!I90</f>
        <v>10</v>
      </c>
      <c r="H90" s="136">
        <f>'[2]All Counts'!J90</f>
        <v>0</v>
      </c>
      <c r="I90" s="136" t="str">
        <f>'[2]All Counts'!K90</f>
        <v>NEW MISSION GORGE</v>
      </c>
      <c r="J90" s="136" t="str">
        <f>'[2]All Counts'!L90</f>
        <v>MISSION GORGE</v>
      </c>
      <c r="K90" s="136">
        <f>'[2]All Counts'!O90</f>
        <v>7448</v>
      </c>
      <c r="L90" s="57">
        <f>VLOOKUP(ws[[#This Row],[hwycov_id]],readme!D:G,4,FALSE)</f>
        <v>11403.620117</v>
      </c>
      <c r="M90" s="88">
        <f>ws[[#This Row],[flow]]/ws[[#This Row],[count]]-1</f>
        <v>0.5310982971267455</v>
      </c>
      <c r="N90" s="89">
        <f>POWER((ws[[#This Row],[flow]]-ws[[#This Row],[count]]),2)</f>
        <v>15646930.510015097</v>
      </c>
      <c r="O90" s="43">
        <f>VLOOKUP(ws[[#This Row],[hwycov_id]],count[],6,FALSE)</f>
        <v>0</v>
      </c>
      <c r="P90" s="43">
        <v>232</v>
      </c>
      <c r="Q90" s="43" t="str">
        <f>'[2]All Counts'!P90</f>
        <v>Caltran</v>
      </c>
      <c r="S90" s="94">
        <v>857</v>
      </c>
      <c r="T90" s="17"/>
      <c r="U90" s="17"/>
      <c r="V90" s="17">
        <v>12542</v>
      </c>
      <c r="W90" s="17">
        <v>8546.2949219999991</v>
      </c>
      <c r="X90" s="17"/>
      <c r="Y90" s="17"/>
      <c r="Z90" s="17"/>
      <c r="AA90" s="17"/>
      <c r="AB90" s="17">
        <v>12542</v>
      </c>
      <c r="AC90" s="17">
        <v>8546.2949219999991</v>
      </c>
      <c r="AD90"/>
      <c r="AE90"/>
    </row>
    <row r="91" spans="1:31" x14ac:dyDescent="0.25">
      <c r="A91" s="136">
        <f>'[2]All Counts'!C91</f>
        <v>17</v>
      </c>
      <c r="B91" s="136">
        <f>'[2]All Counts'!D91</f>
        <v>3</v>
      </c>
      <c r="C91" s="136">
        <f>'[2]All Counts'!E91</f>
        <v>11123</v>
      </c>
      <c r="D91" s="136">
        <f>'[2]All Counts'!F91</f>
        <v>1</v>
      </c>
      <c r="E91" s="136">
        <f>'[2]All Counts'!G91</f>
        <v>1</v>
      </c>
      <c r="F91" s="136" t="str">
        <f>'[2]All Counts'!H91</f>
        <v>SR-52 WB</v>
      </c>
      <c r="G91" s="136">
        <f>'[2]All Counts'!I91</f>
        <v>11</v>
      </c>
      <c r="H91" s="136">
        <f>'[2]All Counts'!J91</f>
        <v>0</v>
      </c>
      <c r="I91" s="136" t="str">
        <f>'[2]All Counts'!K91</f>
        <v>MISSION GORGE</v>
      </c>
      <c r="J91" s="136" t="str">
        <f>'[2]All Counts'!L91</f>
        <v>MAST</v>
      </c>
      <c r="K91" s="136">
        <f>'[2]All Counts'!O91</f>
        <v>7477</v>
      </c>
      <c r="L91" s="57">
        <f>VLOOKUP(ws[[#This Row],[hwycov_id]],readme!D:G,4,FALSE)</f>
        <v>11403.620117</v>
      </c>
      <c r="M91" s="88">
        <f>ws[[#This Row],[flow]]/ws[[#This Row],[count]]-1</f>
        <v>0.5251598391065937</v>
      </c>
      <c r="N91" s="89">
        <f>POWER((ws[[#This Row],[flow]]-ws[[#This Row],[count]]),2)</f>
        <v>15418345.543229098</v>
      </c>
      <c r="O91" s="43">
        <f>VLOOKUP(ws[[#This Row],[hwycov_id]],count[],6,FALSE)</f>
        <v>0</v>
      </c>
      <c r="P91" s="43">
        <v>479</v>
      </c>
      <c r="Q91" s="43" t="str">
        <f>'[2]All Counts'!P91</f>
        <v>Caltran</v>
      </c>
      <c r="S91" s="94">
        <v>858</v>
      </c>
      <c r="T91" s="17"/>
      <c r="U91" s="17"/>
      <c r="V91" s="17">
        <v>6694</v>
      </c>
      <c r="W91" s="17">
        <v>6825.9545900000003</v>
      </c>
      <c r="X91" s="17"/>
      <c r="Y91" s="17"/>
      <c r="Z91" s="17"/>
      <c r="AA91" s="17"/>
      <c r="AB91" s="17">
        <v>6694</v>
      </c>
      <c r="AC91" s="17">
        <v>6825.9545900000003</v>
      </c>
      <c r="AD91"/>
      <c r="AE91"/>
    </row>
    <row r="92" spans="1:31" x14ac:dyDescent="0.25">
      <c r="A92" s="136">
        <f>'[2]All Counts'!C92</f>
        <v>17</v>
      </c>
      <c r="B92" s="136">
        <f>'[2]All Counts'!D92</f>
        <v>3</v>
      </c>
      <c r="C92" s="136">
        <f>'[2]All Counts'!E92</f>
        <v>7501</v>
      </c>
      <c r="D92" s="136">
        <f>'[2]All Counts'!F92</f>
        <v>1</v>
      </c>
      <c r="E92" s="136">
        <f>'[2]All Counts'!G92</f>
        <v>1</v>
      </c>
      <c r="F92" s="136" t="str">
        <f>'[2]All Counts'!H92</f>
        <v>SR-52 WB</v>
      </c>
      <c r="G92" s="136">
        <f>'[2]All Counts'!I92</f>
        <v>12</v>
      </c>
      <c r="H92" s="136">
        <f>'[2]All Counts'!J92</f>
        <v>0</v>
      </c>
      <c r="I92" s="136" t="str">
        <f>'[2]All Counts'!K92</f>
        <v>MAST</v>
      </c>
      <c r="J92" s="136" t="str">
        <f>'[2]All Counts'!L92</f>
        <v>MAST</v>
      </c>
      <c r="K92" s="136">
        <f>'[2]All Counts'!O92</f>
        <v>6513</v>
      </c>
      <c r="L92" s="57">
        <f>VLOOKUP(ws[[#This Row],[hwycov_id]],readme!D:G,4,FALSE)</f>
        <v>11044.945312</v>
      </c>
      <c r="M92" s="88">
        <f>ws[[#This Row],[flow]]/ws[[#This Row],[count]]-1</f>
        <v>0.69583069430370026</v>
      </c>
      <c r="N92" s="89">
        <f>POWER((ws[[#This Row],[flow]]-ws[[#This Row],[count]]),2)</f>
        <v>20538528.310958777</v>
      </c>
      <c r="O92" s="43">
        <f>VLOOKUP(ws[[#This Row],[hwycov_id]],count[],6,FALSE)</f>
        <v>0</v>
      </c>
      <c r="P92" s="43">
        <v>503</v>
      </c>
      <c r="Q92" s="43" t="str">
        <f>'[2]All Counts'!P92</f>
        <v>PeMS2016</v>
      </c>
      <c r="S92" s="94">
        <v>1042</v>
      </c>
      <c r="T92" s="17">
        <v>5367</v>
      </c>
      <c r="U92" s="17">
        <v>8373.4824219999991</v>
      </c>
      <c r="V92" s="17"/>
      <c r="W92" s="17"/>
      <c r="X92" s="17"/>
      <c r="Y92" s="17"/>
      <c r="Z92" s="17"/>
      <c r="AA92" s="17"/>
      <c r="AB92" s="17">
        <v>5367</v>
      </c>
      <c r="AC92" s="17">
        <v>8373.4824219999991</v>
      </c>
      <c r="AD92"/>
      <c r="AE92"/>
    </row>
    <row r="93" spans="1:31" x14ac:dyDescent="0.25">
      <c r="A93" s="136">
        <f>'[2]All Counts'!C93</f>
        <v>17</v>
      </c>
      <c r="B93" s="136">
        <f>'[2]All Counts'!D93</f>
        <v>3</v>
      </c>
      <c r="C93" s="136">
        <f>'[2]All Counts'!E93</f>
        <v>15238</v>
      </c>
      <c r="D93" s="136">
        <f>'[2]All Counts'!F93</f>
        <v>1</v>
      </c>
      <c r="E93" s="136">
        <f>'[2]All Counts'!G93</f>
        <v>1</v>
      </c>
      <c r="F93" s="136" t="str">
        <f>'[2]All Counts'!H93</f>
        <v>SR-52 WB</v>
      </c>
      <c r="G93" s="136">
        <f>'[2]All Counts'!I93</f>
        <v>13</v>
      </c>
      <c r="H93" s="136">
        <f>'[2]All Counts'!J93</f>
        <v>0</v>
      </c>
      <c r="I93" s="136" t="str">
        <f>'[2]All Counts'!K93</f>
        <v>MAST</v>
      </c>
      <c r="J93" s="136" t="str">
        <f>'[2]All Counts'!L93</f>
        <v>SANTO</v>
      </c>
      <c r="K93" s="136">
        <f>'[2]All Counts'!O93</f>
        <v>7702</v>
      </c>
      <c r="L93" s="57">
        <f>VLOOKUP(ws[[#This Row],[hwycov_id]],readme!D:G,4,FALSE)</f>
        <v>13229.370117</v>
      </c>
      <c r="M93" s="88">
        <f>ws[[#This Row],[flow]]/ws[[#This Row],[count]]-1</f>
        <v>0.71765387133212166</v>
      </c>
      <c r="N93" s="89">
        <f>POWER((ws[[#This Row],[flow]]-ws[[#This Row],[count]]),2)</f>
        <v>30551820.410304599</v>
      </c>
      <c r="O93" s="43">
        <f>VLOOKUP(ws[[#This Row],[hwycov_id]],count[],6,FALSE)</f>
        <v>0</v>
      </c>
      <c r="P93" s="43">
        <v>154</v>
      </c>
      <c r="Q93" s="43" t="str">
        <f>'[2]All Counts'!P93</f>
        <v>Caltran</v>
      </c>
      <c r="S93" s="94">
        <v>1173</v>
      </c>
      <c r="T93" s="17"/>
      <c r="U93" s="17"/>
      <c r="V93" s="17">
        <v>17864</v>
      </c>
      <c r="W93" s="17">
        <v>17153.404297000001</v>
      </c>
      <c r="X93" s="17"/>
      <c r="Y93" s="17"/>
      <c r="Z93" s="17"/>
      <c r="AA93" s="17"/>
      <c r="AB93" s="17">
        <v>17864</v>
      </c>
      <c r="AC93" s="17">
        <v>17153.404297000001</v>
      </c>
      <c r="AD93"/>
      <c r="AE93"/>
    </row>
    <row r="94" spans="1:31" x14ac:dyDescent="0.25">
      <c r="A94" s="136">
        <f>'[2]All Counts'!C94</f>
        <v>17</v>
      </c>
      <c r="B94" s="136">
        <f>'[2]All Counts'!D94</f>
        <v>3</v>
      </c>
      <c r="C94" s="136">
        <f>'[2]All Counts'!E94</f>
        <v>8103</v>
      </c>
      <c r="D94" s="136">
        <f>'[2]All Counts'!F94</f>
        <v>1</v>
      </c>
      <c r="E94" s="136">
        <f>'[2]All Counts'!G94</f>
        <v>1</v>
      </c>
      <c r="F94" s="136" t="str">
        <f>'[2]All Counts'!H94</f>
        <v>SR-52 WB</v>
      </c>
      <c r="G94" s="136">
        <f>'[2]All Counts'!I94</f>
        <v>17</v>
      </c>
      <c r="H94" s="136">
        <f>'[2]All Counts'!J94</f>
        <v>1</v>
      </c>
      <c r="I94" s="136" t="str">
        <f>'[2]All Counts'!K94</f>
        <v>MAST</v>
      </c>
      <c r="J94" s="136" t="str">
        <f>'[2]All Counts'!L94</f>
        <v>SANTO</v>
      </c>
      <c r="K94" s="136">
        <f>'[2]All Counts'!O94</f>
        <v>7547</v>
      </c>
      <c r="L94" s="57">
        <f>VLOOKUP(ws[[#This Row],[hwycov_id]],readme!D:G,4,FALSE)</f>
        <v>13229.370117</v>
      </c>
      <c r="M94" s="88">
        <f>ws[[#This Row],[flow]]/ws[[#This Row],[count]]-1</f>
        <v>0.75293098144958259</v>
      </c>
      <c r="N94" s="89">
        <f>POWER((ws[[#This Row],[flow]]-ws[[#This Row],[count]]),2)</f>
        <v>32289330.146574598</v>
      </c>
      <c r="O94" s="43">
        <f>VLOOKUP(ws[[#This Row],[hwycov_id]],count[],6,FALSE)</f>
        <v>0</v>
      </c>
      <c r="P94" s="43">
        <v>46</v>
      </c>
      <c r="Q94" s="43" t="str">
        <f>'[2]All Counts'!P94</f>
        <v>Caltran</v>
      </c>
      <c r="S94" s="94">
        <v>1250</v>
      </c>
      <c r="T94" s="17"/>
      <c r="U94" s="17"/>
      <c r="V94" s="17">
        <v>18732</v>
      </c>
      <c r="W94" s="17">
        <v>19867.166015999999</v>
      </c>
      <c r="X94" s="17"/>
      <c r="Y94" s="17"/>
      <c r="Z94" s="17"/>
      <c r="AA94" s="17"/>
      <c r="AB94" s="17">
        <v>18732</v>
      </c>
      <c r="AC94" s="17">
        <v>19867.166015999999</v>
      </c>
      <c r="AD94"/>
      <c r="AE94"/>
    </row>
    <row r="95" spans="1:31" x14ac:dyDescent="0.25">
      <c r="A95" s="136">
        <f>'[2]All Counts'!C95</f>
        <v>17</v>
      </c>
      <c r="B95" s="136">
        <f>'[2]All Counts'!D95</f>
        <v>3</v>
      </c>
      <c r="C95" s="136">
        <f>'[2]All Counts'!E95</f>
        <v>25938</v>
      </c>
      <c r="D95" s="136">
        <f>'[2]All Counts'!F95</f>
        <v>1</v>
      </c>
      <c r="E95" s="136">
        <f>'[2]All Counts'!G95</f>
        <v>1</v>
      </c>
      <c r="F95" s="136" t="str">
        <f>'[2]All Counts'!H95</f>
        <v>SR-52 WB</v>
      </c>
      <c r="G95" s="136">
        <f>'[2]All Counts'!I95</f>
        <v>20</v>
      </c>
      <c r="H95" s="136">
        <f>'[2]All Counts'!J95</f>
        <v>0</v>
      </c>
      <c r="I95" s="136" t="str">
        <f>'[2]All Counts'!K95</f>
        <v>SANTO</v>
      </c>
      <c r="J95" s="136" t="str">
        <f>'[2]All Counts'!L95</f>
        <v>I-15 NB</v>
      </c>
      <c r="K95" s="136">
        <f>'[2]All Counts'!O95</f>
        <v>7928</v>
      </c>
      <c r="L95" s="57">
        <f>VLOOKUP(ws[[#This Row],[hwycov_id]],readme!D:G,4,FALSE)</f>
        <v>14314.711914</v>
      </c>
      <c r="M95" s="88">
        <f>ws[[#This Row],[flow]]/ws[[#This Row],[count]]-1</f>
        <v>0.80558929288597381</v>
      </c>
      <c r="N95" s="89">
        <f>POWER((ws[[#This Row],[flow]]-ws[[#This Row],[count]]),2)</f>
        <v>40790089.072429538</v>
      </c>
      <c r="O95" s="43">
        <f>VLOOKUP(ws[[#This Row],[hwycov_id]],count[],6,FALSE)</f>
        <v>0</v>
      </c>
      <c r="P95" s="43">
        <v>627</v>
      </c>
      <c r="Q95" s="43" t="str">
        <f>'[2]All Counts'!P95</f>
        <v>Caltran</v>
      </c>
      <c r="S95" s="94">
        <v>3206</v>
      </c>
      <c r="T95" s="17">
        <v>16682</v>
      </c>
      <c r="U95" s="17">
        <v>18735.220702999999</v>
      </c>
      <c r="V95" s="17"/>
      <c r="W95" s="17"/>
      <c r="X95" s="17"/>
      <c r="Y95" s="17"/>
      <c r="Z95" s="17"/>
      <c r="AA95" s="17"/>
      <c r="AB95" s="17">
        <v>16682</v>
      </c>
      <c r="AC95" s="17">
        <v>18735.220702999999</v>
      </c>
      <c r="AD95"/>
      <c r="AE95"/>
    </row>
    <row r="96" spans="1:31" x14ac:dyDescent="0.25">
      <c r="A96" s="136">
        <f>'[2]All Counts'!C96</f>
        <v>17</v>
      </c>
      <c r="B96" s="136">
        <f>'[2]All Counts'!D96</f>
        <v>3</v>
      </c>
      <c r="C96" s="136">
        <f>'[2]All Counts'!E96</f>
        <v>9029</v>
      </c>
      <c r="D96" s="136">
        <f>'[2]All Counts'!F96</f>
        <v>1</v>
      </c>
      <c r="E96" s="136">
        <f>'[2]All Counts'!G96</f>
        <v>1</v>
      </c>
      <c r="F96" s="136" t="str">
        <f>'[2]All Counts'!H96</f>
        <v>SR-52 WB</v>
      </c>
      <c r="G96" s="136">
        <f>'[2]All Counts'!I96</f>
        <v>21</v>
      </c>
      <c r="H96" s="136">
        <f>'[2]All Counts'!J96</f>
        <v>0</v>
      </c>
      <c r="I96" s="136" t="str">
        <f>'[2]All Counts'!K96</f>
        <v>SANTO</v>
      </c>
      <c r="J96" s="136" t="str">
        <f>'[2]All Counts'!L96</f>
        <v>I-15 NB</v>
      </c>
      <c r="K96" s="136">
        <f>'[2]All Counts'!O96</f>
        <v>8018</v>
      </c>
      <c r="L96" s="57">
        <f>VLOOKUP(ws[[#This Row],[hwycov_id]],readme!D:G,4,FALSE)</f>
        <v>14314.711914</v>
      </c>
      <c r="M96" s="88">
        <f>ws[[#This Row],[flow]]/ws[[#This Row],[count]]-1</f>
        <v>0.7853220147168869</v>
      </c>
      <c r="N96" s="89">
        <f>POWER((ws[[#This Row],[flow]]-ws[[#This Row],[count]]),2)</f>
        <v>39648580.927909538</v>
      </c>
      <c r="O96" s="43">
        <f>VLOOKUP(ws[[#This Row],[hwycov_id]],count[],6,FALSE)</f>
        <v>0</v>
      </c>
      <c r="P96" s="43">
        <v>365</v>
      </c>
      <c r="Q96" s="43" t="str">
        <f>'[2]All Counts'!P96</f>
        <v>PeMS2016</v>
      </c>
      <c r="S96" s="94">
        <v>3207</v>
      </c>
      <c r="T96" s="17"/>
      <c r="U96" s="17"/>
      <c r="V96" s="17"/>
      <c r="W96" s="17"/>
      <c r="X96" s="17">
        <v>17701</v>
      </c>
      <c r="Y96" s="17">
        <v>21085.214843999998</v>
      </c>
      <c r="Z96" s="17"/>
      <c r="AA96" s="17"/>
      <c r="AB96" s="17">
        <v>17701</v>
      </c>
      <c r="AC96" s="17">
        <v>21085.214843999998</v>
      </c>
      <c r="AD96"/>
      <c r="AE96"/>
    </row>
    <row r="97" spans="1:31" x14ac:dyDescent="0.25">
      <c r="A97" s="136">
        <f>'[2]All Counts'!C97</f>
        <v>17</v>
      </c>
      <c r="B97" s="136">
        <f>'[2]All Counts'!D97</f>
        <v>3</v>
      </c>
      <c r="C97" s="136">
        <f>'[2]All Counts'!E97</f>
        <v>23867</v>
      </c>
      <c r="D97" s="136">
        <f>'[2]All Counts'!F97</f>
        <v>1</v>
      </c>
      <c r="E97" s="136">
        <f>'[2]All Counts'!G97</f>
        <v>1</v>
      </c>
      <c r="F97" s="136" t="str">
        <f>'[2]All Counts'!H97</f>
        <v>SR-52 WB</v>
      </c>
      <c r="G97" s="136">
        <f>'[2]All Counts'!I97</f>
        <v>23</v>
      </c>
      <c r="H97" s="136">
        <f>'[2]All Counts'!J97</f>
        <v>0</v>
      </c>
      <c r="I97" s="136" t="str">
        <f>'[2]All Counts'!K97</f>
        <v>I-15 NB</v>
      </c>
      <c r="J97" s="136" t="str">
        <f>'[2]All Counts'!L97</f>
        <v>SR-163 SB</v>
      </c>
      <c r="K97" s="136">
        <f>'[2]All Counts'!O97</f>
        <v>6082</v>
      </c>
      <c r="L97" s="57">
        <f>VLOOKUP(ws[[#This Row],[hwycov_id]],readme!D:G,4,FALSE)</f>
        <v>7529.5283200000003</v>
      </c>
      <c r="M97" s="88">
        <f>ws[[#This Row],[flow]]/ws[[#This Row],[count]]-1</f>
        <v>0.23800202564945749</v>
      </c>
      <c r="N97" s="89">
        <f>POWER((ws[[#This Row],[flow]]-ws[[#This Row],[count]]),2)</f>
        <v>2095338.2372020234</v>
      </c>
      <c r="O97" s="43">
        <f>VLOOKUP(ws[[#This Row],[hwycov_id]],count[],6,FALSE)</f>
        <v>0</v>
      </c>
      <c r="P97" s="43">
        <v>288</v>
      </c>
      <c r="Q97" s="43" t="str">
        <f>'[2]All Counts'!P97</f>
        <v>PeMS2016</v>
      </c>
      <c r="S97" s="94">
        <v>3222</v>
      </c>
      <c r="T97" s="17"/>
      <c r="U97" s="17"/>
      <c r="V97" s="17">
        <v>21475</v>
      </c>
      <c r="W97" s="17">
        <v>29358.111327999999</v>
      </c>
      <c r="X97" s="17"/>
      <c r="Y97" s="17"/>
      <c r="Z97" s="17"/>
      <c r="AA97" s="17"/>
      <c r="AB97" s="17">
        <v>21475</v>
      </c>
      <c r="AC97" s="17">
        <v>29358.111327999999</v>
      </c>
      <c r="AD97"/>
      <c r="AE97"/>
    </row>
    <row r="98" spans="1:31" x14ac:dyDescent="0.25">
      <c r="A98" s="136">
        <f>'[2]All Counts'!C98</f>
        <v>17</v>
      </c>
      <c r="B98" s="136">
        <f>'[2]All Counts'!D98</f>
        <v>3</v>
      </c>
      <c r="C98" s="136">
        <f>'[2]All Counts'!E98</f>
        <v>24091</v>
      </c>
      <c r="D98" s="136">
        <f>'[2]All Counts'!F98</f>
        <v>1</v>
      </c>
      <c r="E98" s="136">
        <f>'[2]All Counts'!G98</f>
        <v>1</v>
      </c>
      <c r="F98" s="136" t="str">
        <f>'[2]All Counts'!H98</f>
        <v>SR-52 WB</v>
      </c>
      <c r="G98" s="136">
        <f>'[2]All Counts'!I98</f>
        <v>28</v>
      </c>
      <c r="H98" s="136">
        <f>'[2]All Counts'!J98</f>
        <v>0</v>
      </c>
      <c r="I98" s="136" t="str">
        <f>'[2]All Counts'!K98</f>
        <v>CONVOY</v>
      </c>
      <c r="J98" s="136" t="str">
        <f>'[2]All Counts'!L98</f>
        <v>CONVOY</v>
      </c>
      <c r="K98" s="136">
        <f>'[2]All Counts'!O98</f>
        <v>11348</v>
      </c>
      <c r="L98" s="57">
        <f>VLOOKUP(ws[[#This Row],[hwycov_id]],readme!D:G,4,FALSE)</f>
        <v>13876.410156</v>
      </c>
      <c r="M98" s="88">
        <f>ws[[#This Row],[flow]]/ws[[#This Row],[count]]-1</f>
        <v>0.2228066757137821</v>
      </c>
      <c r="N98" s="89">
        <f>POWER((ws[[#This Row],[flow]]-ws[[#This Row],[count]]),2)</f>
        <v>6392857.9169639442</v>
      </c>
      <c r="O98" s="43">
        <f>VLOOKUP(ws[[#This Row],[hwycov_id]],count[],6,FALSE)</f>
        <v>0</v>
      </c>
      <c r="P98" s="43">
        <v>340</v>
      </c>
      <c r="Q98" s="43" t="str">
        <f>'[2]All Counts'!P98</f>
        <v>Caltran</v>
      </c>
      <c r="S98" s="94">
        <v>3968</v>
      </c>
      <c r="T98" s="17">
        <v>25764</v>
      </c>
      <c r="U98" s="17">
        <v>30967.765625</v>
      </c>
      <c r="V98" s="17"/>
      <c r="W98" s="17"/>
      <c r="X98" s="17"/>
      <c r="Y98" s="17"/>
      <c r="Z98" s="17"/>
      <c r="AA98" s="17"/>
      <c r="AB98" s="17">
        <v>25764</v>
      </c>
      <c r="AC98" s="17">
        <v>30967.765625</v>
      </c>
      <c r="AD98"/>
      <c r="AE98"/>
    </row>
    <row r="99" spans="1:31" x14ac:dyDescent="0.25">
      <c r="A99" s="136">
        <f>'[2]All Counts'!C99</f>
        <v>17</v>
      </c>
      <c r="B99" s="136">
        <f>'[2]All Counts'!D99</f>
        <v>3</v>
      </c>
      <c r="C99" s="136">
        <f>'[2]All Counts'!E99</f>
        <v>11106</v>
      </c>
      <c r="D99" s="136">
        <f>'[2]All Counts'!F99</f>
        <v>1</v>
      </c>
      <c r="E99" s="136">
        <f>'[2]All Counts'!G99</f>
        <v>1</v>
      </c>
      <c r="F99" s="136" t="str">
        <f>'[2]All Counts'!H99</f>
        <v>SR-52 WB</v>
      </c>
      <c r="G99" s="136">
        <f>'[2]All Counts'!I99</f>
        <v>29</v>
      </c>
      <c r="H99" s="136">
        <f>'[2]All Counts'!J99</f>
        <v>0</v>
      </c>
      <c r="I99" s="136" t="str">
        <f>'[2]All Counts'!K99</f>
        <v>CONVOY</v>
      </c>
      <c r="J99" s="136" t="str">
        <f>'[2]All Counts'!L99</f>
        <v>CONVOY</v>
      </c>
      <c r="K99" s="136">
        <f>'[2]All Counts'!O99</f>
        <v>11783</v>
      </c>
      <c r="L99" s="57">
        <f>VLOOKUP(ws[[#This Row],[hwycov_id]],readme!D:G,4,FALSE)</f>
        <v>13876.410156</v>
      </c>
      <c r="M99" s="88">
        <f>ws[[#This Row],[flow]]/ws[[#This Row],[count]]-1</f>
        <v>0.17766359636764828</v>
      </c>
      <c r="N99" s="89">
        <f>POWER((ws[[#This Row],[flow]]-ws[[#This Row],[count]]),2)</f>
        <v>4382366.0812439444</v>
      </c>
      <c r="O99" s="43">
        <f>VLOOKUP(ws[[#This Row],[hwycov_id]],count[],6,FALSE)</f>
        <v>0</v>
      </c>
      <c r="P99" s="43">
        <v>121</v>
      </c>
      <c r="Q99" s="43" t="str">
        <f>'[2]All Counts'!P99</f>
        <v>Caltran</v>
      </c>
      <c r="S99" s="94">
        <v>4887</v>
      </c>
      <c r="T99" s="17">
        <v>21677</v>
      </c>
      <c r="U99" s="17">
        <v>33521.027344000002</v>
      </c>
      <c r="V99" s="17"/>
      <c r="W99" s="17"/>
      <c r="X99" s="17"/>
      <c r="Y99" s="17"/>
      <c r="Z99" s="17"/>
      <c r="AA99" s="17"/>
      <c r="AB99" s="17">
        <v>21677</v>
      </c>
      <c r="AC99" s="17">
        <v>33521.027344000002</v>
      </c>
      <c r="AD99"/>
      <c r="AE99"/>
    </row>
    <row r="100" spans="1:31" x14ac:dyDescent="0.25">
      <c r="A100" s="136">
        <f>'[2]All Counts'!C100</f>
        <v>17</v>
      </c>
      <c r="B100" s="136">
        <f>'[2]All Counts'!D100</f>
        <v>3</v>
      </c>
      <c r="C100" s="136">
        <f>'[2]All Counts'!E100</f>
        <v>11102</v>
      </c>
      <c r="D100" s="136">
        <f>'[2]All Counts'!F100</f>
        <v>1</v>
      </c>
      <c r="E100" s="136">
        <f>'[2]All Counts'!G100</f>
        <v>1</v>
      </c>
      <c r="F100" s="136" t="str">
        <f>'[2]All Counts'!H100</f>
        <v>SR-52 WB</v>
      </c>
      <c r="G100" s="136">
        <f>'[2]All Counts'!I100</f>
        <v>30</v>
      </c>
      <c r="H100" s="136">
        <f>'[2]All Counts'!J100</f>
        <v>0</v>
      </c>
      <c r="I100" s="136" t="str">
        <f>'[2]All Counts'!K100</f>
        <v>CONVOY</v>
      </c>
      <c r="J100" s="136" t="str">
        <f>'[2]All Counts'!L100</f>
        <v>I-805 NB</v>
      </c>
      <c r="K100" s="136">
        <f>'[2]All Counts'!O100</f>
        <v>14191</v>
      </c>
      <c r="L100" s="57">
        <f>VLOOKUP(ws[[#This Row],[hwycov_id]],readme!D:G,4,FALSE)</f>
        <v>17090.572265999999</v>
      </c>
      <c r="M100" s="88">
        <f>ws[[#This Row],[flow]]/ws[[#This Row],[count]]-1</f>
        <v>0.20432473159044462</v>
      </c>
      <c r="N100" s="89">
        <f>POWER((ws[[#This Row],[flow]]-ws[[#This Row],[count]]),2)</f>
        <v>8407519.325756371</v>
      </c>
      <c r="O100" s="43">
        <f>VLOOKUP(ws[[#This Row],[hwycov_id]],count[],6,FALSE)</f>
        <v>0</v>
      </c>
      <c r="P100" s="43">
        <v>122</v>
      </c>
      <c r="Q100" s="43" t="str">
        <f>'[2]All Counts'!P100</f>
        <v>PeMS2016</v>
      </c>
      <c r="S100" s="94">
        <v>6852</v>
      </c>
      <c r="T100" s="17">
        <v>17236</v>
      </c>
      <c r="U100" s="17">
        <v>16837.259765999999</v>
      </c>
      <c r="V100" s="17"/>
      <c r="W100" s="17"/>
      <c r="X100" s="17"/>
      <c r="Y100" s="17"/>
      <c r="Z100" s="17"/>
      <c r="AA100" s="17"/>
      <c r="AB100" s="17">
        <v>17236</v>
      </c>
      <c r="AC100" s="17">
        <v>16837.259765999999</v>
      </c>
      <c r="AD100"/>
      <c r="AE100"/>
    </row>
    <row r="101" spans="1:31" x14ac:dyDescent="0.25">
      <c r="A101" s="136">
        <f>'[2]All Counts'!C101</f>
        <v>17</v>
      </c>
      <c r="B101" s="136">
        <f>'[2]All Counts'!D101</f>
        <v>3</v>
      </c>
      <c r="C101" s="136">
        <f>'[2]All Counts'!E101</f>
        <v>11100</v>
      </c>
      <c r="D101" s="136">
        <f>'[2]All Counts'!F101</f>
        <v>1</v>
      </c>
      <c r="E101" s="136">
        <f>'[2]All Counts'!G101</f>
        <v>1</v>
      </c>
      <c r="F101" s="136" t="str">
        <f>'[2]All Counts'!H101</f>
        <v>SR-52 WB</v>
      </c>
      <c r="G101" s="136">
        <f>'[2]All Counts'!I101</f>
        <v>31</v>
      </c>
      <c r="H101" s="136">
        <f>'[2]All Counts'!J101</f>
        <v>0</v>
      </c>
      <c r="I101" s="136" t="str">
        <f>'[2]All Counts'!K101</f>
        <v>I-805 NB</v>
      </c>
      <c r="J101" s="136" t="str">
        <f>'[2]All Counts'!L101</f>
        <v>I-805 NB</v>
      </c>
      <c r="K101" s="136">
        <f>'[2]All Counts'!O101</f>
        <v>6954</v>
      </c>
      <c r="L101" s="57">
        <f>VLOOKUP(ws[[#This Row],[hwycov_id]],readme!D:G,4,FALSE)</f>
        <v>7475.0463870000003</v>
      </c>
      <c r="M101" s="88">
        <f>ws[[#This Row],[flow]]/ws[[#This Row],[count]]-1</f>
        <v>7.4927579378774922E-2</v>
      </c>
      <c r="N101" s="89">
        <f>POWER((ws[[#This Row],[flow]]-ws[[#This Row],[count]]),2)</f>
        <v>271489.33740575408</v>
      </c>
      <c r="O101" s="43">
        <f>VLOOKUP(ws[[#This Row],[hwycov_id]],count[],6,FALSE)</f>
        <v>0</v>
      </c>
      <c r="P101" s="43">
        <v>123</v>
      </c>
      <c r="Q101" s="43" t="str">
        <f>'[2]All Counts'!P101</f>
        <v>PeMS2016</v>
      </c>
      <c r="S101" s="94">
        <v>7190</v>
      </c>
      <c r="T101" s="17">
        <v>12679</v>
      </c>
      <c r="U101" s="17">
        <v>14145.576171999999</v>
      </c>
      <c r="V101" s="17"/>
      <c r="W101" s="17"/>
      <c r="X101" s="17"/>
      <c r="Y101" s="17"/>
      <c r="Z101" s="17"/>
      <c r="AA101" s="17"/>
      <c r="AB101" s="17">
        <v>12679</v>
      </c>
      <c r="AC101" s="17">
        <v>14145.576171999999</v>
      </c>
      <c r="AD101"/>
      <c r="AE101"/>
    </row>
    <row r="102" spans="1:31" x14ac:dyDescent="0.25">
      <c r="A102" s="136">
        <f>'[2]All Counts'!C102</f>
        <v>17</v>
      </c>
      <c r="B102" s="136">
        <f>'[2]All Counts'!D102</f>
        <v>3</v>
      </c>
      <c r="C102" s="136">
        <f>'[2]All Counts'!E102</f>
        <v>15157</v>
      </c>
      <c r="D102" s="136">
        <f>'[2]All Counts'!F102</f>
        <v>1</v>
      </c>
      <c r="E102" s="136">
        <f>'[2]All Counts'!G102</f>
        <v>1</v>
      </c>
      <c r="F102" s="136" t="str">
        <f>'[2]All Counts'!H102</f>
        <v>SR-52 WB</v>
      </c>
      <c r="G102" s="136">
        <f>'[2]All Counts'!I102</f>
        <v>33</v>
      </c>
      <c r="H102" s="136">
        <f>'[2]All Counts'!J102</f>
        <v>0</v>
      </c>
      <c r="I102" s="136" t="str">
        <f>'[2]All Counts'!K102</f>
        <v>I-805 SB</v>
      </c>
      <c r="J102" s="136" t="str">
        <f>'[2]All Counts'!L102</f>
        <v>GENESEE</v>
      </c>
      <c r="K102" s="136">
        <f>'[2]All Counts'!O102</f>
        <v>10718</v>
      </c>
      <c r="L102" s="57">
        <f>VLOOKUP(ws[[#This Row],[hwycov_id]],readme!D:G,4,FALSE)</f>
        <v>12089.399414</v>
      </c>
      <c r="M102" s="88">
        <f>ws[[#This Row],[flow]]/ws[[#This Row],[count]]-1</f>
        <v>0.12795292162716931</v>
      </c>
      <c r="N102" s="89">
        <f>POWER((ws[[#This Row],[flow]]-ws[[#This Row],[count]]),2)</f>
        <v>1880736.3527195421</v>
      </c>
      <c r="O102" s="43">
        <f>VLOOKUP(ws[[#This Row],[hwycov_id]],count[],6,FALSE)</f>
        <v>0</v>
      </c>
      <c r="P102" s="43">
        <v>654</v>
      </c>
      <c r="Q102" s="43" t="str">
        <f>'[2]All Counts'!P102</f>
        <v>PeMS2016</v>
      </c>
      <c r="S102" s="94">
        <v>7215</v>
      </c>
      <c r="T102" s="17">
        <v>10284</v>
      </c>
      <c r="U102" s="17">
        <v>11759.694336</v>
      </c>
      <c r="V102" s="17"/>
      <c r="W102" s="17"/>
      <c r="X102" s="17"/>
      <c r="Y102" s="17"/>
      <c r="Z102" s="17"/>
      <c r="AA102" s="17"/>
      <c r="AB102" s="17">
        <v>10284</v>
      </c>
      <c r="AC102" s="17">
        <v>11759.694336</v>
      </c>
      <c r="AD102"/>
      <c r="AE102"/>
    </row>
    <row r="103" spans="1:31" x14ac:dyDescent="0.25">
      <c r="A103" s="136">
        <f>'[2]All Counts'!C103</f>
        <v>17</v>
      </c>
      <c r="B103" s="136">
        <f>'[2]All Counts'!D103</f>
        <v>3</v>
      </c>
      <c r="C103" s="136">
        <f>'[2]All Counts'!E103</f>
        <v>28868</v>
      </c>
      <c r="D103" s="136">
        <f>'[2]All Counts'!F103</f>
        <v>1</v>
      </c>
      <c r="E103" s="136">
        <f>'[2]All Counts'!G103</f>
        <v>1</v>
      </c>
      <c r="F103" s="136" t="str">
        <f>'[2]All Counts'!H103</f>
        <v>SR-52 WB</v>
      </c>
      <c r="G103" s="136">
        <f>'[2]All Counts'!I103</f>
        <v>34</v>
      </c>
      <c r="H103" s="136">
        <f>'[2]All Counts'!J103</f>
        <v>0</v>
      </c>
      <c r="I103" s="136" t="str">
        <f>'[2]All Counts'!K103</f>
        <v>GENESEE</v>
      </c>
      <c r="J103" s="136" t="str">
        <f>'[2]All Counts'!L103</f>
        <v>GENESEE</v>
      </c>
      <c r="K103" s="136">
        <f>'[2]All Counts'!O103</f>
        <v>9018</v>
      </c>
      <c r="L103" s="57">
        <f>VLOOKUP(ws[[#This Row],[hwycov_id]],readme!D:G,4,FALSE)</f>
        <v>8092.0366210000002</v>
      </c>
      <c r="M103" s="88">
        <f>ws[[#This Row],[flow]]/ws[[#This Row],[count]]-1</f>
        <v>-0.10267946096695491</v>
      </c>
      <c r="N103" s="89">
        <f>POWER((ws[[#This Row],[flow]]-ws[[#This Row],[count]]),2)</f>
        <v>857408.17924909724</v>
      </c>
      <c r="O103" s="43">
        <f>VLOOKUP(ws[[#This Row],[hwycov_id]],count[],6,FALSE)</f>
        <v>0</v>
      </c>
      <c r="P103" s="43">
        <v>655</v>
      </c>
      <c r="Q103" s="43" t="str">
        <f>'[2]All Counts'!P103</f>
        <v>PeMS2016</v>
      </c>
      <c r="S103" s="94">
        <v>7222</v>
      </c>
      <c r="T103" s="17">
        <v>10208</v>
      </c>
      <c r="U103" s="17">
        <v>10858.965819999999</v>
      </c>
      <c r="V103" s="17"/>
      <c r="W103" s="17"/>
      <c r="X103" s="17"/>
      <c r="Y103" s="17"/>
      <c r="Z103" s="17"/>
      <c r="AA103" s="17"/>
      <c r="AB103" s="17">
        <v>10208</v>
      </c>
      <c r="AC103" s="17">
        <v>10858.965819999999</v>
      </c>
      <c r="AD103"/>
      <c r="AE103"/>
    </row>
    <row r="104" spans="1:31" x14ac:dyDescent="0.25">
      <c r="A104" s="136">
        <f>'[2]All Counts'!C104</f>
        <v>17</v>
      </c>
      <c r="B104" s="136">
        <f>'[2]All Counts'!D104</f>
        <v>3</v>
      </c>
      <c r="C104" s="136">
        <f>'[2]All Counts'!E104</f>
        <v>28280</v>
      </c>
      <c r="D104" s="136">
        <f>'[2]All Counts'!F104</f>
        <v>1</v>
      </c>
      <c r="E104" s="136">
        <f>'[2]All Counts'!G104</f>
        <v>1</v>
      </c>
      <c r="F104" s="136" t="str">
        <f>'[2]All Counts'!H104</f>
        <v>SR-52 WB</v>
      </c>
      <c r="G104" s="136">
        <f>'[2]All Counts'!I104</f>
        <v>35</v>
      </c>
      <c r="H104" s="136">
        <f>'[2]All Counts'!J104</f>
        <v>0</v>
      </c>
      <c r="I104" s="136" t="str">
        <f>'[2]All Counts'!K104</f>
        <v>GENESEE</v>
      </c>
      <c r="J104" s="136" t="str">
        <f>'[2]All Counts'!L104</f>
        <v>REGENTS</v>
      </c>
      <c r="K104" s="136">
        <f>'[2]All Counts'!O104</f>
        <v>10361</v>
      </c>
      <c r="L104" s="57">
        <f>VLOOKUP(ws[[#This Row],[hwycov_id]],readme!D:G,4,FALSE)</f>
        <v>9955.1308590000008</v>
      </c>
      <c r="M104" s="88">
        <f>ws[[#This Row],[flow]]/ws[[#This Row],[count]]-1</f>
        <v>-3.917277685551579E-2</v>
      </c>
      <c r="N104" s="89">
        <f>POWER((ws[[#This Row],[flow]]-ws[[#This Row],[count]]),2)</f>
        <v>164729.75961607724</v>
      </c>
      <c r="O104" s="43">
        <f>VLOOKUP(ws[[#This Row],[hwycov_id]],count[],6,FALSE)</f>
        <v>0</v>
      </c>
      <c r="P104" s="43">
        <v>662</v>
      </c>
      <c r="Q104" s="43" t="str">
        <f>'[2]All Counts'!P104</f>
        <v>PeMS2016</v>
      </c>
      <c r="S104" s="94">
        <v>7258</v>
      </c>
      <c r="T104" s="17"/>
      <c r="U104" s="17"/>
      <c r="V104" s="17">
        <v>14935</v>
      </c>
      <c r="W104" s="17">
        <v>15151.928711</v>
      </c>
      <c r="X104" s="17"/>
      <c r="Y104" s="17"/>
      <c r="Z104" s="17"/>
      <c r="AA104" s="17"/>
      <c r="AB104" s="17">
        <v>14935</v>
      </c>
      <c r="AC104" s="17">
        <v>15151.928711</v>
      </c>
      <c r="AD104"/>
      <c r="AE104"/>
    </row>
    <row r="105" spans="1:31" x14ac:dyDescent="0.25">
      <c r="A105" s="136">
        <f>'[2]All Counts'!C105</f>
        <v>17</v>
      </c>
      <c r="B105" s="136">
        <f>'[2]All Counts'!D105</f>
        <v>3</v>
      </c>
      <c r="C105" s="136">
        <f>'[2]All Counts'!E105</f>
        <v>28279</v>
      </c>
      <c r="D105" s="136">
        <f>'[2]All Counts'!F105</f>
        <v>1</v>
      </c>
      <c r="E105" s="136">
        <f>'[2]All Counts'!G105</f>
        <v>1</v>
      </c>
      <c r="F105" s="136" t="str">
        <f>'[2]All Counts'!H105</f>
        <v>SR-52 WB</v>
      </c>
      <c r="G105" s="136">
        <f>'[2]All Counts'!I105</f>
        <v>36</v>
      </c>
      <c r="H105" s="136">
        <f>'[2]All Counts'!J105</f>
        <v>0</v>
      </c>
      <c r="I105" s="136" t="str">
        <f>'[2]All Counts'!K105</f>
        <v>REGENTS</v>
      </c>
      <c r="J105" s="136" t="str">
        <f>'[2]All Counts'!L105</f>
        <v>REGENTS</v>
      </c>
      <c r="K105" s="136">
        <f>'[2]All Counts'!O105</f>
        <v>7981</v>
      </c>
      <c r="L105" s="57">
        <f>VLOOKUP(ws[[#This Row],[hwycov_id]],readme!D:G,4,FALSE)</f>
        <v>8158.8969729999999</v>
      </c>
      <c r="M105" s="88">
        <f>ws[[#This Row],[flow]]/ws[[#This Row],[count]]-1</f>
        <v>2.2290060518731947E-2</v>
      </c>
      <c r="N105" s="89">
        <f>POWER((ws[[#This Row],[flow]]-ws[[#This Row],[count]]),2)</f>
        <v>31647.333002562689</v>
      </c>
      <c r="O105" s="43">
        <f>VLOOKUP(ws[[#This Row],[hwycov_id]],count[],6,FALSE)</f>
        <v>0</v>
      </c>
      <c r="P105" s="43">
        <v>685</v>
      </c>
      <c r="Q105" s="43" t="str">
        <f>'[2]All Counts'!P105</f>
        <v>PeMS2016</v>
      </c>
      <c r="S105" s="94">
        <v>7259</v>
      </c>
      <c r="T105" s="17"/>
      <c r="U105" s="17"/>
      <c r="V105" s="17">
        <v>14060</v>
      </c>
      <c r="W105" s="17">
        <v>12828.628906</v>
      </c>
      <c r="X105" s="17"/>
      <c r="Y105" s="17"/>
      <c r="Z105" s="17"/>
      <c r="AA105" s="17"/>
      <c r="AB105" s="17">
        <v>14060</v>
      </c>
      <c r="AC105" s="17">
        <v>12828.628906</v>
      </c>
      <c r="AD105"/>
      <c r="AE105"/>
    </row>
    <row r="106" spans="1:31" x14ac:dyDescent="0.25">
      <c r="A106" s="136">
        <f>'[2]All Counts'!C106</f>
        <v>4</v>
      </c>
      <c r="B106" s="136">
        <f>'[2]All Counts'!D106</f>
        <v>1</v>
      </c>
      <c r="C106" s="136">
        <f>'[2]All Counts'!E106</f>
        <v>13438</v>
      </c>
      <c r="D106" s="136">
        <f>'[2]All Counts'!F106</f>
        <v>1</v>
      </c>
      <c r="E106" s="136">
        <f>'[2]All Counts'!G106</f>
        <v>1</v>
      </c>
      <c r="F106" s="136" t="str">
        <f>'[2]All Counts'!H106</f>
        <v>SR-163 NB</v>
      </c>
      <c r="G106" s="136">
        <f>'[2]All Counts'!I106</f>
        <v>5</v>
      </c>
      <c r="H106" s="136">
        <f>'[2]All Counts'!J106</f>
        <v>0</v>
      </c>
      <c r="I106" s="136" t="str">
        <f>'[2]All Counts'!K106</f>
        <v>ROBINSON</v>
      </c>
      <c r="J106" s="136" t="str">
        <f>'[2]All Counts'!L106</f>
        <v>10TH</v>
      </c>
      <c r="K106" s="136">
        <f>'[2]All Counts'!O106</f>
        <v>11594</v>
      </c>
      <c r="L106" s="57">
        <f>VLOOKUP(ws[[#This Row],[hwycov_id]],readme!D:G,4,FALSE)</f>
        <v>13124.444336</v>
      </c>
      <c r="M106" s="88">
        <f>ws[[#This Row],[flow]]/ws[[#This Row],[count]]-1</f>
        <v>0.13200313403484576</v>
      </c>
      <c r="N106" s="89">
        <f>POWER((ws[[#This Row],[flow]]-ws[[#This Row],[count]]),2)</f>
        <v>2342259.8655944825</v>
      </c>
      <c r="O106" s="43">
        <f>VLOOKUP(ws[[#This Row],[hwycov_id]],count[],6,FALSE)</f>
        <v>0</v>
      </c>
      <c r="P106" s="43">
        <v>689</v>
      </c>
      <c r="Q106" s="43" t="str">
        <f>'[2]All Counts'!P106</f>
        <v>PeMS2016</v>
      </c>
      <c r="S106" s="94">
        <v>7374</v>
      </c>
      <c r="T106" s="17"/>
      <c r="U106" s="17"/>
      <c r="V106" s="17">
        <v>17739</v>
      </c>
      <c r="W106" s="17">
        <v>13165.798828000001</v>
      </c>
      <c r="X106" s="17"/>
      <c r="Y106" s="17"/>
      <c r="Z106" s="17"/>
      <c r="AA106" s="17"/>
      <c r="AB106" s="17">
        <v>17739</v>
      </c>
      <c r="AC106" s="17">
        <v>13165.798828000001</v>
      </c>
      <c r="AD106"/>
      <c r="AE106"/>
    </row>
    <row r="107" spans="1:31" x14ac:dyDescent="0.25">
      <c r="A107" s="136">
        <f>'[2]All Counts'!C107</f>
        <v>4</v>
      </c>
      <c r="B107" s="136">
        <f>'[2]All Counts'!D107</f>
        <v>1</v>
      </c>
      <c r="C107" s="136">
        <f>'[2]All Counts'!E107</f>
        <v>16046</v>
      </c>
      <c r="D107" s="136">
        <f>'[2]All Counts'!F107</f>
        <v>1</v>
      </c>
      <c r="E107" s="136">
        <f>'[2]All Counts'!G107</f>
        <v>1</v>
      </c>
      <c r="F107" s="136" t="str">
        <f>'[2]All Counts'!H107</f>
        <v>SR-163 NB</v>
      </c>
      <c r="G107" s="136">
        <f>'[2]All Counts'!I107</f>
        <v>7</v>
      </c>
      <c r="H107" s="136">
        <f>'[2]All Counts'!J107</f>
        <v>0</v>
      </c>
      <c r="I107" s="136" t="str">
        <f>'[2]All Counts'!K107</f>
        <v>WASHINGTON</v>
      </c>
      <c r="J107" s="136" t="str">
        <f>'[2]All Counts'!L107</f>
        <v>WASHINGTON</v>
      </c>
      <c r="K107" s="136">
        <f>'[2]All Counts'!O107</f>
        <v>13015</v>
      </c>
      <c r="L107" s="57">
        <f>VLOOKUP(ws[[#This Row],[hwycov_id]],readme!D:G,4,FALSE)</f>
        <v>15635.049805000001</v>
      </c>
      <c r="M107" s="88">
        <f>ws[[#This Row],[flow]]/ws[[#This Row],[count]]-1</f>
        <v>0.2013100119093354</v>
      </c>
      <c r="N107" s="89">
        <f>POWER((ws[[#This Row],[flow]]-ws[[#This Row],[count]]),2)</f>
        <v>6864660.9806805411</v>
      </c>
      <c r="O107" s="43">
        <f>VLOOKUP(ws[[#This Row],[hwycov_id]],count[],6,FALSE)</f>
        <v>0</v>
      </c>
      <c r="P107" s="43">
        <v>680</v>
      </c>
      <c r="Q107" s="43" t="str">
        <f>'[2]All Counts'!P107</f>
        <v>PeMS2016</v>
      </c>
      <c r="S107" s="94">
        <v>7375</v>
      </c>
      <c r="T107" s="17"/>
      <c r="U107" s="17"/>
      <c r="V107" s="17"/>
      <c r="W107" s="17"/>
      <c r="X107" s="17"/>
      <c r="Y107" s="17"/>
      <c r="Z107" s="17">
        <v>17410</v>
      </c>
      <c r="AA107" s="17">
        <v>20860.212890999999</v>
      </c>
      <c r="AB107" s="17">
        <v>17410</v>
      </c>
      <c r="AC107" s="17">
        <v>20860.212890999999</v>
      </c>
      <c r="AD107"/>
      <c r="AE107"/>
    </row>
    <row r="108" spans="1:31" x14ac:dyDescent="0.25">
      <c r="A108" s="136">
        <f>'[2]All Counts'!C108</f>
        <v>4</v>
      </c>
      <c r="B108" s="136">
        <f>'[2]All Counts'!D108</f>
        <v>1</v>
      </c>
      <c r="C108" s="136">
        <f>'[2]All Counts'!E108</f>
        <v>16038</v>
      </c>
      <c r="D108" s="136">
        <f>'[2]All Counts'!F108</f>
        <v>1</v>
      </c>
      <c r="E108" s="136">
        <f>'[2]All Counts'!G108</f>
        <v>1</v>
      </c>
      <c r="F108" s="136" t="str">
        <f>'[2]All Counts'!H108</f>
        <v>SR-163 NB</v>
      </c>
      <c r="G108" s="136">
        <f>'[2]All Counts'!I108</f>
        <v>9</v>
      </c>
      <c r="H108" s="136">
        <f>'[2]All Counts'!J108</f>
        <v>0</v>
      </c>
      <c r="I108" s="136" t="str">
        <f>'[2]All Counts'!K108</f>
        <v>06TH EX</v>
      </c>
      <c r="J108" s="136" t="str">
        <f>'[2]All Counts'!L108</f>
        <v>I-8 EB</v>
      </c>
      <c r="K108" s="136">
        <f>'[2]All Counts'!O108</f>
        <v>22459</v>
      </c>
      <c r="L108" s="57">
        <f>VLOOKUP(ws[[#This Row],[hwycov_id]],readme!D:G,4,FALSE)</f>
        <v>25766.71875</v>
      </c>
      <c r="M108" s="88">
        <f>ws[[#This Row],[flow]]/ws[[#This Row],[count]]-1</f>
        <v>0.14727809564094563</v>
      </c>
      <c r="N108" s="89">
        <f>POWER((ws[[#This Row],[flow]]-ws[[#This Row],[count]]),2)</f>
        <v>10941003.329101563</v>
      </c>
      <c r="O108" s="43">
        <f>VLOOKUP(ws[[#This Row],[hwycov_id]],count[],6,FALSE)</f>
        <v>0</v>
      </c>
      <c r="P108" s="43">
        <v>681</v>
      </c>
      <c r="Q108" s="43" t="str">
        <f>'[2]All Counts'!P108</f>
        <v>PeMS2016</v>
      </c>
      <c r="S108" s="94">
        <v>7377</v>
      </c>
      <c r="T108" s="17"/>
      <c r="U108" s="17"/>
      <c r="V108" s="17"/>
      <c r="W108" s="17"/>
      <c r="X108" s="17"/>
      <c r="Y108" s="17"/>
      <c r="Z108" s="17">
        <v>12887</v>
      </c>
      <c r="AA108" s="17">
        <v>15300.839844</v>
      </c>
      <c r="AB108" s="17">
        <v>12887</v>
      </c>
      <c r="AC108" s="17">
        <v>15300.839844</v>
      </c>
      <c r="AD108"/>
      <c r="AE108"/>
    </row>
    <row r="109" spans="1:31" x14ac:dyDescent="0.25">
      <c r="A109" s="136">
        <f>'[2]All Counts'!C109</f>
        <v>4</v>
      </c>
      <c r="B109" s="136">
        <f>'[2]All Counts'!D109</f>
        <v>1</v>
      </c>
      <c r="C109" s="136">
        <f>'[2]All Counts'!E109</f>
        <v>15714</v>
      </c>
      <c r="D109" s="136">
        <f>'[2]All Counts'!F109</f>
        <v>1</v>
      </c>
      <c r="E109" s="136">
        <f>'[2]All Counts'!G109</f>
        <v>1</v>
      </c>
      <c r="F109" s="136" t="str">
        <f>'[2]All Counts'!H109</f>
        <v>SR-163 NB</v>
      </c>
      <c r="G109" s="136">
        <f>'[2]All Counts'!I109</f>
        <v>17</v>
      </c>
      <c r="H109" s="136">
        <f>'[2]All Counts'!J109</f>
        <v>0</v>
      </c>
      <c r="I109" s="136" t="str">
        <f>'[2]All Counts'!K109</f>
        <v>FRIARS</v>
      </c>
      <c r="J109" s="136" t="str">
        <f>'[2]All Counts'!L109</f>
        <v>GENESEE</v>
      </c>
      <c r="K109" s="136">
        <f>'[2]All Counts'!O109</f>
        <v>23080</v>
      </c>
      <c r="L109" s="57">
        <f>VLOOKUP(ws[[#This Row],[hwycov_id]],readme!D:G,4,FALSE)</f>
        <v>28339.908202999999</v>
      </c>
      <c r="M109" s="88">
        <f>ws[[#This Row],[flow]]/ws[[#This Row],[count]]-1</f>
        <v>0.22789896893414197</v>
      </c>
      <c r="N109" s="89">
        <f>POWER((ws[[#This Row],[flow]]-ws[[#This Row],[count]]),2)</f>
        <v>27666634.30398668</v>
      </c>
      <c r="O109" s="43">
        <f>VLOOKUP(ws[[#This Row],[hwycov_id]],count[],6,FALSE)</f>
        <v>0</v>
      </c>
      <c r="P109" s="43">
        <v>91</v>
      </c>
      <c r="Q109" s="43" t="str">
        <f>'[2]All Counts'!P109</f>
        <v>PeMS2016</v>
      </c>
      <c r="S109" s="94">
        <v>7430</v>
      </c>
      <c r="T109" s="17"/>
      <c r="U109" s="17"/>
      <c r="V109" s="17"/>
      <c r="W109" s="17"/>
      <c r="X109" s="17"/>
      <c r="Y109" s="17"/>
      <c r="Z109" s="17">
        <v>15528</v>
      </c>
      <c r="AA109" s="17">
        <v>17831.539062</v>
      </c>
      <c r="AB109" s="17">
        <v>15528</v>
      </c>
      <c r="AC109" s="17">
        <v>17831.539062</v>
      </c>
      <c r="AD109"/>
      <c r="AE109"/>
    </row>
    <row r="110" spans="1:31" x14ac:dyDescent="0.25">
      <c r="A110" s="136">
        <f>'[2]All Counts'!C110</f>
        <v>4</v>
      </c>
      <c r="B110" s="136">
        <f>'[2]All Counts'!D110</f>
        <v>1</v>
      </c>
      <c r="C110" s="136">
        <f>'[2]All Counts'!E110</f>
        <v>15690</v>
      </c>
      <c r="D110" s="136">
        <f>'[2]All Counts'!F110</f>
        <v>1</v>
      </c>
      <c r="E110" s="136">
        <f>'[2]All Counts'!G110</f>
        <v>1</v>
      </c>
      <c r="F110" s="136" t="str">
        <f>'[2]All Counts'!H110</f>
        <v>SR-163 NB</v>
      </c>
      <c r="G110" s="136">
        <f>'[2]All Counts'!I110</f>
        <v>24</v>
      </c>
      <c r="H110" s="136">
        <f>'[2]All Counts'!J110</f>
        <v>0</v>
      </c>
      <c r="I110" s="136" t="str">
        <f>'[2]All Counts'!K110</f>
        <v>I-805 NB</v>
      </c>
      <c r="J110" s="136" t="str">
        <f>'[2]All Counts'!L110</f>
        <v>I-805 NB</v>
      </c>
      <c r="K110" s="136">
        <f>'[2]All Counts'!O110</f>
        <v>15413</v>
      </c>
      <c r="L110" s="57">
        <f>VLOOKUP(ws[[#This Row],[hwycov_id]],readme!D:G,4,FALSE)</f>
        <v>18458.734375</v>
      </c>
      <c r="M110" s="88">
        <f>ws[[#This Row],[flow]]/ws[[#This Row],[count]]-1</f>
        <v>0.19760814734315191</v>
      </c>
      <c r="N110" s="89">
        <f>POWER((ws[[#This Row],[flow]]-ws[[#This Row],[count]]),2)</f>
        <v>9276497.8830566406</v>
      </c>
      <c r="O110" s="43">
        <f>VLOOKUP(ws[[#This Row],[hwycov_id]],count[],6,FALSE)</f>
        <v>0</v>
      </c>
      <c r="P110" s="43">
        <v>697</v>
      </c>
      <c r="Q110" s="43" t="str">
        <f>'[2]All Counts'!P110</f>
        <v>PeMS2016</v>
      </c>
      <c r="S110" s="94">
        <v>7497</v>
      </c>
      <c r="T110" s="17"/>
      <c r="U110" s="17"/>
      <c r="V110" s="17"/>
      <c r="W110" s="17"/>
      <c r="X110" s="17"/>
      <c r="Y110" s="17"/>
      <c r="Z110" s="17">
        <v>16404</v>
      </c>
      <c r="AA110" s="17">
        <v>17831.539062</v>
      </c>
      <c r="AB110" s="17">
        <v>16404</v>
      </c>
      <c r="AC110" s="17">
        <v>17831.539062</v>
      </c>
      <c r="AD110"/>
      <c r="AE110"/>
    </row>
    <row r="111" spans="1:31" x14ac:dyDescent="0.25">
      <c r="A111" s="136">
        <f>'[2]All Counts'!C111</f>
        <v>4</v>
      </c>
      <c r="B111" s="136">
        <f>'[2]All Counts'!D111</f>
        <v>1</v>
      </c>
      <c r="C111" s="136">
        <f>'[2]All Counts'!E111</f>
        <v>8821</v>
      </c>
      <c r="D111" s="136">
        <f>'[2]All Counts'!F111</f>
        <v>1</v>
      </c>
      <c r="E111" s="136">
        <f>'[2]All Counts'!G111</f>
        <v>1</v>
      </c>
      <c r="F111" s="136" t="str">
        <f>'[2]All Counts'!H111</f>
        <v>SR-163 NB</v>
      </c>
      <c r="G111" s="136">
        <f>'[2]All Counts'!I111</f>
        <v>27</v>
      </c>
      <c r="H111" s="136">
        <f>'[2]All Counts'!J111</f>
        <v>0</v>
      </c>
      <c r="I111" s="136" t="str">
        <f>'[2]All Counts'!K111</f>
        <v>BALBOA</v>
      </c>
      <c r="J111" s="136" t="str">
        <f>'[2]All Counts'!L111</f>
        <v>CLAIREMONT MESA</v>
      </c>
      <c r="K111" s="136">
        <f>'[2]All Counts'!O111</f>
        <v>20409</v>
      </c>
      <c r="L111" s="57">
        <f>VLOOKUP(ws[[#This Row],[hwycov_id]],readme!D:G,4,FALSE)</f>
        <v>25375.207031000002</v>
      </c>
      <c r="M111" s="88">
        <f>ws[[#This Row],[flow]]/ws[[#This Row],[count]]-1</f>
        <v>0.24333416781811956</v>
      </c>
      <c r="N111" s="89">
        <f>POWER((ws[[#This Row],[flow]]-ws[[#This Row],[count]]),2)</f>
        <v>24663212.274753854</v>
      </c>
      <c r="O111" s="43">
        <f>VLOOKUP(ws[[#This Row],[hwycov_id]],count[],6,FALSE)</f>
        <v>0</v>
      </c>
      <c r="P111" s="43">
        <v>698</v>
      </c>
      <c r="Q111" s="43" t="str">
        <f>'[2]All Counts'!P111</f>
        <v>PeMS2016</v>
      </c>
      <c r="S111" s="94">
        <v>7501</v>
      </c>
      <c r="T111" s="17"/>
      <c r="U111" s="17"/>
      <c r="V111" s="17"/>
      <c r="W111" s="17"/>
      <c r="X111" s="17">
        <v>6513</v>
      </c>
      <c r="Y111" s="17">
        <v>11044.945312</v>
      </c>
      <c r="Z111" s="17"/>
      <c r="AA111" s="17"/>
      <c r="AB111" s="17">
        <v>6513</v>
      </c>
      <c r="AC111" s="17">
        <v>11044.945312</v>
      </c>
      <c r="AD111"/>
      <c r="AE111"/>
    </row>
    <row r="112" spans="1:31" x14ac:dyDescent="0.25">
      <c r="A112" s="136">
        <f>'[2]All Counts'!C112</f>
        <v>4</v>
      </c>
      <c r="B112" s="136">
        <f>'[2]All Counts'!D112</f>
        <v>1</v>
      </c>
      <c r="C112" s="136">
        <f>'[2]All Counts'!E112</f>
        <v>8825</v>
      </c>
      <c r="D112" s="136">
        <f>'[2]All Counts'!F112</f>
        <v>1</v>
      </c>
      <c r="E112" s="136">
        <f>'[2]All Counts'!G112</f>
        <v>1</v>
      </c>
      <c r="F112" s="136" t="str">
        <f>'[2]All Counts'!H112</f>
        <v>SR-163 NB</v>
      </c>
      <c r="G112" s="136">
        <f>'[2]All Counts'!I112</f>
        <v>28</v>
      </c>
      <c r="H112" s="136">
        <f>'[2]All Counts'!J112</f>
        <v>0</v>
      </c>
      <c r="I112" s="136" t="str">
        <f>'[2]All Counts'!K112</f>
        <v>CLAIREMONT MESA</v>
      </c>
      <c r="J112" s="136" t="str">
        <f>'[2]All Counts'!L112</f>
        <v>CLAIREMONT MESA</v>
      </c>
      <c r="K112" s="136">
        <f>'[2]All Counts'!O112</f>
        <v>19583</v>
      </c>
      <c r="L112" s="57">
        <f>VLOOKUP(ws[[#This Row],[hwycov_id]],readme!D:G,4,FALSE)</f>
        <v>22534.066406000002</v>
      </c>
      <c r="M112" s="88">
        <f>ws[[#This Row],[flow]]/ws[[#This Row],[count]]-1</f>
        <v>0.15069531767349242</v>
      </c>
      <c r="N112" s="89">
        <f>POWER((ws[[#This Row],[flow]]-ws[[#This Row],[count]]),2)</f>
        <v>8708792.9326217677</v>
      </c>
      <c r="O112" s="43">
        <f>VLOOKUP(ws[[#This Row],[hwycov_id]],count[],6,FALSE)</f>
        <v>0</v>
      </c>
      <c r="P112" s="43">
        <v>699</v>
      </c>
      <c r="Q112" s="43" t="str">
        <f>'[2]All Counts'!P112</f>
        <v>PeMS2016</v>
      </c>
      <c r="S112" s="94">
        <v>7514</v>
      </c>
      <c r="T112" s="17"/>
      <c r="U112" s="17"/>
      <c r="V112" s="17"/>
      <c r="W112" s="17"/>
      <c r="X112" s="17"/>
      <c r="Y112" s="17"/>
      <c r="Z112" s="17">
        <v>12664</v>
      </c>
      <c r="AA112" s="17">
        <v>12700.825194999999</v>
      </c>
      <c r="AB112" s="17">
        <v>12664</v>
      </c>
      <c r="AC112" s="17">
        <v>12700.825194999999</v>
      </c>
      <c r="AD112"/>
      <c r="AE112"/>
    </row>
    <row r="113" spans="1:31" x14ac:dyDescent="0.25">
      <c r="A113" s="136">
        <f>'[2]All Counts'!C113</f>
        <v>4</v>
      </c>
      <c r="B113" s="136">
        <f>'[2]All Counts'!D113</f>
        <v>1</v>
      </c>
      <c r="C113" s="136">
        <f>'[2]All Counts'!E113</f>
        <v>15317</v>
      </c>
      <c r="D113" s="136">
        <f>'[2]All Counts'!F113</f>
        <v>1</v>
      </c>
      <c r="E113" s="136">
        <f>'[2]All Counts'!G113</f>
        <v>1</v>
      </c>
      <c r="F113" s="136" t="str">
        <f>'[2]All Counts'!H113</f>
        <v>SR-163 NB</v>
      </c>
      <c r="G113" s="136">
        <f>'[2]All Counts'!I113</f>
        <v>32</v>
      </c>
      <c r="H113" s="136">
        <f>'[2]All Counts'!J113</f>
        <v>0</v>
      </c>
      <c r="I113" s="136" t="str">
        <f>'[2]All Counts'!K113</f>
        <v>KEARNY VILLA</v>
      </c>
      <c r="J113" s="136" t="str">
        <f>'[2]All Counts'!L113</f>
        <v>KEARNY VILLA</v>
      </c>
      <c r="K113" s="136">
        <f>'[2]All Counts'!O113</f>
        <v>21001</v>
      </c>
      <c r="L113" s="57">
        <f>VLOOKUP(ws[[#This Row],[hwycov_id]],readme!D:G,4,FALSE)</f>
        <v>23101.960938</v>
      </c>
      <c r="M113" s="88">
        <f>ws[[#This Row],[flow]]/ws[[#This Row],[count]]-1</f>
        <v>0.10004099509547171</v>
      </c>
      <c r="N113" s="89">
        <f>POWER((ws[[#This Row],[flow]]-ws[[#This Row],[count]]),2)</f>
        <v>4414036.8630018402</v>
      </c>
      <c r="O113" s="43">
        <f>VLOOKUP(ws[[#This Row],[hwycov_id]],count[],6,FALSE)</f>
        <v>0</v>
      </c>
      <c r="P113" s="43">
        <v>65</v>
      </c>
      <c r="Q113" s="43" t="str">
        <f>'[2]All Counts'!P113</f>
        <v>PeMS2016</v>
      </c>
      <c r="S113" s="94">
        <v>7525</v>
      </c>
      <c r="T113" s="17"/>
      <c r="U113" s="17"/>
      <c r="V113" s="17"/>
      <c r="W113" s="17"/>
      <c r="X113" s="17"/>
      <c r="Y113" s="17"/>
      <c r="Z113" s="17">
        <v>13722</v>
      </c>
      <c r="AA113" s="17">
        <v>14583.092773</v>
      </c>
      <c r="AB113" s="17">
        <v>13722</v>
      </c>
      <c r="AC113" s="17">
        <v>14583.092773</v>
      </c>
      <c r="AD113"/>
      <c r="AE113"/>
    </row>
    <row r="114" spans="1:31" x14ac:dyDescent="0.25">
      <c r="A114" s="136">
        <f>'[2]All Counts'!C114</f>
        <v>4</v>
      </c>
      <c r="B114" s="136">
        <f>'[2]All Counts'!D114</f>
        <v>1</v>
      </c>
      <c r="C114" s="136">
        <f>'[2]All Counts'!E114</f>
        <v>15206</v>
      </c>
      <c r="D114" s="136">
        <f>'[2]All Counts'!F114</f>
        <v>1</v>
      </c>
      <c r="E114" s="136">
        <f>'[2]All Counts'!G114</f>
        <v>1</v>
      </c>
      <c r="F114" s="136" t="str">
        <f>'[2]All Counts'!H114</f>
        <v>SR-163 NB</v>
      </c>
      <c r="G114" s="136">
        <f>'[2]All Counts'!I114</f>
        <v>33</v>
      </c>
      <c r="H114" s="136">
        <f>'[2]All Counts'!J114</f>
        <v>0</v>
      </c>
      <c r="I114" s="136" t="str">
        <f>'[2]All Counts'!K114</f>
        <v>KEARNY VILLA</v>
      </c>
      <c r="J114" s="136" t="str">
        <f>'[2]All Counts'!L114</f>
        <v>KEARNY VILLA</v>
      </c>
      <c r="K114" s="136">
        <f>'[2]All Counts'!O114</f>
        <v>19955</v>
      </c>
      <c r="L114" s="57">
        <f>VLOOKUP(ws[[#This Row],[hwycov_id]],readme!D:G,4,FALSE)</f>
        <v>21461.546875</v>
      </c>
      <c r="M114" s="88">
        <f>ws[[#This Row],[flow]]/ws[[#This Row],[count]]-1</f>
        <v>7.5497212478075726E-2</v>
      </c>
      <c r="N114" s="89">
        <f>POWER((ws[[#This Row],[flow]]-ws[[#This Row],[count]]),2)</f>
        <v>2269683.4865722656</v>
      </c>
      <c r="O114" s="43">
        <f>VLOOKUP(ws[[#This Row],[hwycov_id]],count[],6,FALSE)</f>
        <v>0</v>
      </c>
      <c r="P114" s="43">
        <v>66</v>
      </c>
      <c r="Q114" s="43" t="str">
        <f>'[2]All Counts'!P114</f>
        <v>PeMS2016</v>
      </c>
      <c r="S114" s="94">
        <v>7636</v>
      </c>
      <c r="T114" s="17"/>
      <c r="U114" s="17"/>
      <c r="V114" s="17"/>
      <c r="W114" s="17"/>
      <c r="X114" s="17"/>
      <c r="Y114" s="17"/>
      <c r="Z114" s="17">
        <v>11173</v>
      </c>
      <c r="AA114" s="17">
        <v>9782.2451170000004</v>
      </c>
      <c r="AB114" s="17">
        <v>11173</v>
      </c>
      <c r="AC114" s="17">
        <v>9782.2451170000004</v>
      </c>
      <c r="AD114"/>
      <c r="AE114"/>
    </row>
    <row r="115" spans="1:31" x14ac:dyDescent="0.25">
      <c r="A115" s="136">
        <f>'[2]All Counts'!C115</f>
        <v>4</v>
      </c>
      <c r="B115" s="136">
        <f>'[2]All Counts'!D115</f>
        <v>1</v>
      </c>
      <c r="C115" s="136">
        <f>'[2]All Counts'!E115</f>
        <v>11483</v>
      </c>
      <c r="D115" s="136">
        <f>'[2]All Counts'!F115</f>
        <v>1</v>
      </c>
      <c r="E115" s="136">
        <f>'[2]All Counts'!G115</f>
        <v>1</v>
      </c>
      <c r="F115" s="136" t="str">
        <f>'[2]All Counts'!H115</f>
        <v>SR-163 NB</v>
      </c>
      <c r="G115" s="136">
        <f>'[2]All Counts'!I115</f>
        <v>34</v>
      </c>
      <c r="H115" s="136">
        <f>'[2]All Counts'!J115</f>
        <v>0</v>
      </c>
      <c r="I115" s="136" t="str">
        <f>'[2]All Counts'!K115</f>
        <v>KEARNY VILLA</v>
      </c>
      <c r="J115" s="136" t="str">
        <f>'[2]All Counts'!L115</f>
        <v>I-15 HOV NB</v>
      </c>
      <c r="K115" s="136">
        <f>'[2]All Counts'!O115</f>
        <v>19486</v>
      </c>
      <c r="L115" s="57">
        <f>VLOOKUP(ws[[#This Row],[hwycov_id]],readme!D:G,4,FALSE)</f>
        <v>23833.796875</v>
      </c>
      <c r="M115" s="88">
        <f>ws[[#This Row],[flow]]/ws[[#This Row],[count]]-1</f>
        <v>0.22312413399363651</v>
      </c>
      <c r="N115" s="89">
        <f>POWER((ws[[#This Row],[flow]]-ws[[#This Row],[count]]),2)</f>
        <v>18903337.666259766</v>
      </c>
      <c r="O115" s="43">
        <f>VLOOKUP(ws[[#This Row],[hwycov_id]],count[],6,FALSE)</f>
        <v>0</v>
      </c>
      <c r="P115" s="43">
        <v>79</v>
      </c>
      <c r="Q115" s="43" t="str">
        <f>'[2]All Counts'!P115</f>
        <v>Caltran</v>
      </c>
      <c r="S115" s="94">
        <v>7664</v>
      </c>
      <c r="T115" s="17"/>
      <c r="U115" s="17"/>
      <c r="V115" s="17"/>
      <c r="W115" s="17"/>
      <c r="X115" s="17">
        <v>8295</v>
      </c>
      <c r="Y115" s="17">
        <v>9277.9501949999994</v>
      </c>
      <c r="Z115" s="17"/>
      <c r="AA115" s="17"/>
      <c r="AB115" s="17">
        <v>8295</v>
      </c>
      <c r="AC115" s="17">
        <v>9277.9501949999994</v>
      </c>
      <c r="AD115"/>
      <c r="AE115"/>
    </row>
    <row r="116" spans="1:31" x14ac:dyDescent="0.25">
      <c r="A116" s="136">
        <f>'[2]All Counts'!C116</f>
        <v>5</v>
      </c>
      <c r="B116" s="136">
        <f>'[2]All Counts'!D116</f>
        <v>1</v>
      </c>
      <c r="C116" s="136">
        <f>'[2]All Counts'!E116</f>
        <v>9483</v>
      </c>
      <c r="D116" s="136">
        <f>'[2]All Counts'!F116</f>
        <v>1</v>
      </c>
      <c r="E116" s="136">
        <f>'[2]All Counts'!G116</f>
        <v>4</v>
      </c>
      <c r="F116" s="136" t="str">
        <f>'[2]All Counts'!H116</f>
        <v>SR-125 NB</v>
      </c>
      <c r="G116" s="136">
        <f>'[2]All Counts'!I116</f>
        <v>12</v>
      </c>
      <c r="H116" s="136">
        <f>'[2]All Counts'!J116</f>
        <v>0</v>
      </c>
      <c r="I116" s="136" t="str">
        <f>'[2]All Counts'!K116</f>
        <v>WOLF CANYON</v>
      </c>
      <c r="J116" s="136" t="str">
        <f>'[2]All Counts'!L116</f>
        <v>EAST CENTER</v>
      </c>
      <c r="K116" s="136">
        <f>'[2]All Counts'!O116</f>
        <v>1769</v>
      </c>
      <c r="L116" s="57">
        <f>VLOOKUP(ws[[#This Row],[hwycov_id]],readme!D:G,4,FALSE)</f>
        <v>1920.259155</v>
      </c>
      <c r="M116" s="88">
        <f>ws[[#This Row],[flow]]/ws[[#This Row],[count]]-1</f>
        <v>8.5505457885811209E-2</v>
      </c>
      <c r="N116" s="89">
        <f>POWER((ws[[#This Row],[flow]]-ws[[#This Row],[count]]),2)</f>
        <v>22879.331971314015</v>
      </c>
      <c r="O116" s="43">
        <f>VLOOKUP(ws[[#This Row],[hwycov_id]],count[],6,FALSE)</f>
        <v>0</v>
      </c>
      <c r="P116" s="43">
        <v>714</v>
      </c>
      <c r="Q116" s="43" t="str">
        <f>'[2]All Counts'!P116</f>
        <v>SANDAG</v>
      </c>
      <c r="S116" s="94">
        <v>7665</v>
      </c>
      <c r="T116" s="17"/>
      <c r="U116" s="17"/>
      <c r="V116" s="17"/>
      <c r="W116" s="17"/>
      <c r="X116" s="17">
        <v>6773</v>
      </c>
      <c r="Y116" s="17">
        <v>7423.748047</v>
      </c>
      <c r="Z116" s="17"/>
      <c r="AA116" s="17"/>
      <c r="AB116" s="17">
        <v>6773</v>
      </c>
      <c r="AC116" s="17">
        <v>7423.748047</v>
      </c>
      <c r="AD116"/>
      <c r="AE116"/>
    </row>
    <row r="117" spans="1:31" x14ac:dyDescent="0.25">
      <c r="A117" s="136">
        <f>'[2]All Counts'!C117</f>
        <v>5</v>
      </c>
      <c r="B117" s="136">
        <f>'[2]All Counts'!D117</f>
        <v>1</v>
      </c>
      <c r="C117" s="136">
        <f>'[2]All Counts'!E117</f>
        <v>9509</v>
      </c>
      <c r="D117" s="136">
        <f>'[2]All Counts'!F117</f>
        <v>1</v>
      </c>
      <c r="E117" s="136">
        <f>'[2]All Counts'!G117</f>
        <v>4</v>
      </c>
      <c r="F117" s="136" t="str">
        <f>'[2]All Counts'!H117</f>
        <v>SR-125 NB</v>
      </c>
      <c r="G117" s="136">
        <f>'[2]All Counts'!I117</f>
        <v>15</v>
      </c>
      <c r="H117" s="136">
        <f>'[2]All Counts'!J117</f>
        <v>0</v>
      </c>
      <c r="I117" s="136" t="str">
        <f>'[2]All Counts'!K117</f>
        <v>EAST CENTER</v>
      </c>
      <c r="J117" s="136" t="str">
        <f>'[2]All Counts'!L117</f>
        <v>ORANGE</v>
      </c>
      <c r="K117" s="136">
        <f>'[2]All Counts'!O117</f>
        <v>1877</v>
      </c>
      <c r="L117" s="57">
        <f>VLOOKUP(ws[[#This Row],[hwycov_id]],readme!D:G,4,FALSE)</f>
        <v>1609.3594969999999</v>
      </c>
      <c r="M117" s="88">
        <f>ws[[#This Row],[flow]]/ws[[#This Row],[count]]-1</f>
        <v>-0.1425895061267981</v>
      </c>
      <c r="N117" s="89">
        <f>POWER((ws[[#This Row],[flow]]-ws[[#This Row],[count]]),2)</f>
        <v>71631.43884609305</v>
      </c>
      <c r="O117" s="43">
        <f>VLOOKUP(ws[[#This Row],[hwycov_id]],count[],6,FALSE)</f>
        <v>0</v>
      </c>
      <c r="P117" s="43">
        <v>684</v>
      </c>
      <c r="Q117" s="43" t="str">
        <f>'[2]All Counts'!P117</f>
        <v>SANDAG</v>
      </c>
      <c r="S117" s="94">
        <v>7666</v>
      </c>
      <c r="T117" s="17"/>
      <c r="U117" s="17"/>
      <c r="V117" s="17"/>
      <c r="W117" s="17"/>
      <c r="X117" s="17">
        <v>7326</v>
      </c>
      <c r="Y117" s="17">
        <v>8740.6875</v>
      </c>
      <c r="Z117" s="17"/>
      <c r="AA117" s="17"/>
      <c r="AB117" s="17">
        <v>7326</v>
      </c>
      <c r="AC117" s="17">
        <v>8740.6875</v>
      </c>
      <c r="AD117"/>
      <c r="AE117"/>
    </row>
    <row r="118" spans="1:31" x14ac:dyDescent="0.25">
      <c r="A118" s="136">
        <f>'[2]All Counts'!C118</f>
        <v>5</v>
      </c>
      <c r="B118" s="136">
        <f>'[2]All Counts'!D118</f>
        <v>1</v>
      </c>
      <c r="C118" s="136">
        <f>'[2]All Counts'!E118</f>
        <v>9519</v>
      </c>
      <c r="D118" s="136">
        <f>'[2]All Counts'!F118</f>
        <v>1</v>
      </c>
      <c r="E118" s="136">
        <f>'[2]All Counts'!G118</f>
        <v>4</v>
      </c>
      <c r="F118" s="136" t="str">
        <f>'[2]All Counts'!H118</f>
        <v>SR-125 NB</v>
      </c>
      <c r="G118" s="136">
        <f>'[2]All Counts'!I118</f>
        <v>18</v>
      </c>
      <c r="H118" s="136">
        <f>'[2]All Counts'!J118</f>
        <v>0</v>
      </c>
      <c r="I118" s="136" t="str">
        <f>'[2]All Counts'!K118</f>
        <v>ORANGE</v>
      </c>
      <c r="J118" s="136" t="str">
        <f>'[2]All Counts'!L118</f>
        <v>TOLL PLAZA</v>
      </c>
      <c r="K118" s="136">
        <f>'[2]All Counts'!O118</f>
        <v>2321</v>
      </c>
      <c r="L118" s="57">
        <f>VLOOKUP(ws[[#This Row],[hwycov_id]],readme!D:G,4,FALSE)</f>
        <v>1899.404419</v>
      </c>
      <c r="M118" s="88">
        <f>ws[[#This Row],[flow]]/ws[[#This Row],[count]]-1</f>
        <v>-0.18164393838862558</v>
      </c>
      <c r="N118" s="89">
        <f>POWER((ws[[#This Row],[flow]]-ws[[#This Row],[count]]),2)</f>
        <v>177742.83391872759</v>
      </c>
      <c r="O118" s="43">
        <f>VLOOKUP(ws[[#This Row],[hwycov_id]],count[],6,FALSE)</f>
        <v>0</v>
      </c>
      <c r="P118" s="43">
        <v>724</v>
      </c>
      <c r="Q118" s="43" t="str">
        <f>'[2]All Counts'!P118</f>
        <v>SANDAG</v>
      </c>
      <c r="S118" s="94">
        <v>7724</v>
      </c>
      <c r="T118" s="17"/>
      <c r="U118" s="17"/>
      <c r="V118" s="17">
        <v>11465</v>
      </c>
      <c r="W118" s="17">
        <v>10731.844727</v>
      </c>
      <c r="X118" s="17"/>
      <c r="Y118" s="17"/>
      <c r="Z118" s="17"/>
      <c r="AA118" s="17"/>
      <c r="AB118" s="17">
        <v>11465</v>
      </c>
      <c r="AC118" s="17">
        <v>10731.844727</v>
      </c>
      <c r="AD118"/>
      <c r="AE118"/>
    </row>
    <row r="119" spans="1:31" x14ac:dyDescent="0.25">
      <c r="A119" s="136">
        <f>'[2]All Counts'!C119</f>
        <v>5</v>
      </c>
      <c r="B119" s="136">
        <f>'[2]All Counts'!D119</f>
        <v>1</v>
      </c>
      <c r="C119" s="136">
        <f>'[2]All Counts'!E119</f>
        <v>9143</v>
      </c>
      <c r="D119" s="136">
        <f>'[2]All Counts'!F119</f>
        <v>1</v>
      </c>
      <c r="E119" s="136">
        <f>'[2]All Counts'!G119</f>
        <v>4</v>
      </c>
      <c r="F119" s="136" t="str">
        <f>'[2]All Counts'!H119</f>
        <v>SR-125 NB</v>
      </c>
      <c r="G119" s="136">
        <f>'[2]All Counts'!I119</f>
        <v>21</v>
      </c>
      <c r="H119" s="136">
        <f>'[2]All Counts'!J119</f>
        <v>0</v>
      </c>
      <c r="I119" s="136" t="str">
        <f>'[2]All Counts'!K119</f>
        <v>TELEGRAPH CANYON</v>
      </c>
      <c r="J119" s="136" t="str">
        <f>'[2]All Counts'!L119</f>
        <v>EASTLAKE</v>
      </c>
      <c r="K119" s="136">
        <f>'[2]All Counts'!O119</f>
        <v>3009</v>
      </c>
      <c r="L119" s="57">
        <f>VLOOKUP(ws[[#This Row],[hwycov_id]],readme!D:G,4,FALSE)</f>
        <v>2621.8789059999999</v>
      </c>
      <c r="M119" s="88">
        <f>ws[[#This Row],[flow]]/ws[[#This Row],[count]]-1</f>
        <v>-0.12865440146227991</v>
      </c>
      <c r="N119" s="89">
        <f>POWER((ws[[#This Row],[flow]]-ws[[#This Row],[count]]),2)</f>
        <v>149862.7414197569</v>
      </c>
      <c r="O119" s="43">
        <f>VLOOKUP(ws[[#This Row],[hwycov_id]],count[],6,FALSE)</f>
        <v>0</v>
      </c>
      <c r="P119" s="43">
        <v>726</v>
      </c>
      <c r="Q119" s="43" t="str">
        <f>'[2]All Counts'!P119</f>
        <v>SANDAG</v>
      </c>
      <c r="S119" s="94">
        <v>7772</v>
      </c>
      <c r="T119" s="17"/>
      <c r="U119" s="17"/>
      <c r="V119" s="17"/>
      <c r="W119" s="17"/>
      <c r="X119" s="17"/>
      <c r="Y119" s="17"/>
      <c r="Z119" s="17">
        <v>17040</v>
      </c>
      <c r="AA119" s="17">
        <v>20860.212890999999</v>
      </c>
      <c r="AB119" s="17">
        <v>17040</v>
      </c>
      <c r="AC119" s="17">
        <v>20860.212890999999</v>
      </c>
      <c r="AD119"/>
      <c r="AE119"/>
    </row>
    <row r="120" spans="1:31" x14ac:dyDescent="0.25">
      <c r="A120" s="136">
        <f>'[2]All Counts'!C120</f>
        <v>5</v>
      </c>
      <c r="B120" s="136">
        <f>'[2]All Counts'!D120</f>
        <v>1</v>
      </c>
      <c r="C120" s="136">
        <f>'[2]All Counts'!E120</f>
        <v>10255</v>
      </c>
      <c r="D120" s="136">
        <f>'[2]All Counts'!F120</f>
        <v>1</v>
      </c>
      <c r="E120" s="136">
        <f>'[2]All Counts'!G120</f>
        <v>4</v>
      </c>
      <c r="F120" s="136" t="str">
        <f>'[2]All Counts'!H120</f>
        <v>SR-125 NB</v>
      </c>
      <c r="G120" s="136">
        <f>'[2]All Counts'!I120</f>
        <v>25</v>
      </c>
      <c r="H120" s="136">
        <f>'[2]All Counts'!J120</f>
        <v>0</v>
      </c>
      <c r="I120" s="136" t="str">
        <f>'[2]All Counts'!K120</f>
        <v>H</v>
      </c>
      <c r="J120" s="136" t="str">
        <f>'[2]All Counts'!L120</f>
        <v>SAN MIGUEL</v>
      </c>
      <c r="K120" s="136">
        <f>'[2]All Counts'!O120</f>
        <v>3276</v>
      </c>
      <c r="L120" s="57">
        <f>VLOOKUP(ws[[#This Row],[hwycov_id]],readme!D:G,4,FALSE)</f>
        <v>2716.0551759999998</v>
      </c>
      <c r="M120" s="88">
        <f>ws[[#This Row],[flow]]/ws[[#This Row],[count]]-1</f>
        <v>-0.17092332844932845</v>
      </c>
      <c r="N120" s="89">
        <f>POWER((ws[[#This Row],[flow]]-ws[[#This Row],[count]]),2)</f>
        <v>313538.20592439116</v>
      </c>
      <c r="O120" s="43">
        <f>VLOOKUP(ws[[#This Row],[hwycov_id]],count[],6,FALSE)</f>
        <v>0</v>
      </c>
      <c r="P120" s="43">
        <v>735</v>
      </c>
      <c r="Q120" s="43" t="str">
        <f>'[2]All Counts'!P120</f>
        <v>SANDAG</v>
      </c>
      <c r="S120" s="94">
        <v>7872</v>
      </c>
      <c r="T120" s="17"/>
      <c r="U120" s="17"/>
      <c r="V120" s="17"/>
      <c r="W120" s="17"/>
      <c r="X120" s="17"/>
      <c r="Y120" s="17"/>
      <c r="Z120" s="17">
        <v>11425</v>
      </c>
      <c r="AA120" s="17">
        <v>12476.134765999999</v>
      </c>
      <c r="AB120" s="17">
        <v>11425</v>
      </c>
      <c r="AC120" s="17">
        <v>12476.134765999999</v>
      </c>
      <c r="AD120"/>
      <c r="AE120"/>
    </row>
    <row r="121" spans="1:31" x14ac:dyDescent="0.25">
      <c r="A121" s="136">
        <f>'[2]All Counts'!C121</f>
        <v>5</v>
      </c>
      <c r="B121" s="136">
        <f>'[2]All Counts'!D121</f>
        <v>1</v>
      </c>
      <c r="C121" s="136">
        <f>'[2]All Counts'!E121</f>
        <v>10257</v>
      </c>
      <c r="D121" s="136">
        <f>'[2]All Counts'!F121</f>
        <v>1</v>
      </c>
      <c r="E121" s="136">
        <f>'[2]All Counts'!G121</f>
        <v>4</v>
      </c>
      <c r="F121" s="136" t="str">
        <f>'[2]All Counts'!H121</f>
        <v>SR-125 NB</v>
      </c>
      <c r="G121" s="136">
        <f>'[2]All Counts'!I121</f>
        <v>27</v>
      </c>
      <c r="H121" s="136">
        <f>'[2]All Counts'!J121</f>
        <v>2</v>
      </c>
      <c r="I121" s="136" t="str">
        <f>'[2]All Counts'!K121</f>
        <v>SAN MIGUEL</v>
      </c>
      <c r="J121" s="136" t="str">
        <f>'[2]All Counts'!L121</f>
        <v>SR-54 EB</v>
      </c>
      <c r="K121" s="136">
        <f>'[2]All Counts'!O121</f>
        <v>3565</v>
      </c>
      <c r="L121" s="57">
        <f>VLOOKUP(ws[[#This Row],[hwycov_id]],readme!D:G,4,FALSE)</f>
        <v>3221.8562010000001</v>
      </c>
      <c r="M121" s="88">
        <f>ws[[#This Row],[flow]]/ws[[#This Row],[count]]-1</f>
        <v>-9.6253520056100994E-2</v>
      </c>
      <c r="N121" s="89">
        <f>POWER((ws[[#This Row],[flow]]-ws[[#This Row],[count]]),2)</f>
        <v>117747.66679215236</v>
      </c>
      <c r="O121" s="43">
        <f>VLOOKUP(ws[[#This Row],[hwycov_id]],count[],6,FALSE)</f>
        <v>0</v>
      </c>
      <c r="P121" s="43">
        <v>37</v>
      </c>
      <c r="Q121" s="43" t="str">
        <f>'[2]All Counts'!P121</f>
        <v>SANDAG</v>
      </c>
      <c r="S121" s="94">
        <v>7873</v>
      </c>
      <c r="T121" s="17"/>
      <c r="U121" s="17"/>
      <c r="V121" s="17"/>
      <c r="W121" s="17"/>
      <c r="X121" s="17"/>
      <c r="Y121" s="17"/>
      <c r="Z121" s="17">
        <v>13522</v>
      </c>
      <c r="AA121" s="17">
        <v>14044.342773</v>
      </c>
      <c r="AB121" s="17">
        <v>13522</v>
      </c>
      <c r="AC121" s="17">
        <v>14044.342773</v>
      </c>
      <c r="AD121"/>
      <c r="AE121"/>
    </row>
    <row r="122" spans="1:31" x14ac:dyDescent="0.25">
      <c r="A122" s="136">
        <f>'[2]All Counts'!C122</f>
        <v>5</v>
      </c>
      <c r="B122" s="136">
        <f>'[2]All Counts'!D122</f>
        <v>1</v>
      </c>
      <c r="C122" s="136">
        <f>'[2]All Counts'!E122</f>
        <v>7190</v>
      </c>
      <c r="D122" s="136">
        <f>'[2]All Counts'!F122</f>
        <v>1</v>
      </c>
      <c r="E122" s="136">
        <f>'[2]All Counts'!G122</f>
        <v>1</v>
      </c>
      <c r="F122" s="136" t="str">
        <f>'[2]All Counts'!H122</f>
        <v>SR-125 NB</v>
      </c>
      <c r="G122" s="136">
        <f>'[2]All Counts'!I122</f>
        <v>1</v>
      </c>
      <c r="H122" s="136">
        <f>'[2]All Counts'!J122</f>
        <v>0</v>
      </c>
      <c r="I122" s="136" t="str">
        <f>'[2]All Counts'!K122</f>
        <v>SR-54 EB</v>
      </c>
      <c r="J122" s="136" t="str">
        <f>'[2]All Counts'!L122</f>
        <v>SWAP MEET</v>
      </c>
      <c r="K122" s="136">
        <f>'[2]All Counts'!O122</f>
        <v>12679</v>
      </c>
      <c r="L122" s="57">
        <f>VLOOKUP(ws[[#This Row],[hwycov_id]],readme!D:G,4,FALSE)</f>
        <v>14145.576171999999</v>
      </c>
      <c r="M122" s="88">
        <f>ws[[#This Row],[flow]]/ws[[#This Row],[count]]-1</f>
        <v>0.11566970360438522</v>
      </c>
      <c r="N122" s="89">
        <f>POWER((ws[[#This Row],[flow]]-ws[[#This Row],[count]]),2)</f>
        <v>2150845.6682781712</v>
      </c>
      <c r="O122" s="43">
        <f>VLOOKUP(ws[[#This Row],[hwycov_id]],count[],6,FALSE)</f>
        <v>0</v>
      </c>
      <c r="P122" s="43">
        <v>39</v>
      </c>
      <c r="Q122" s="43" t="str">
        <f>'[2]All Counts'!P122</f>
        <v>Caltran</v>
      </c>
      <c r="S122" s="94">
        <v>8042</v>
      </c>
      <c r="T122" s="17"/>
      <c r="U122" s="17"/>
      <c r="V122" s="17"/>
      <c r="W122" s="17"/>
      <c r="X122" s="17"/>
      <c r="Y122" s="17"/>
      <c r="Z122" s="17">
        <v>18047</v>
      </c>
      <c r="AA122" s="17">
        <v>20493.337890999999</v>
      </c>
      <c r="AB122" s="17">
        <v>18047</v>
      </c>
      <c r="AC122" s="17">
        <v>20493.337890999999</v>
      </c>
      <c r="AD122"/>
      <c r="AE122"/>
    </row>
    <row r="123" spans="1:31" x14ac:dyDescent="0.25">
      <c r="A123" s="136">
        <f>'[2]All Counts'!C123</f>
        <v>5</v>
      </c>
      <c r="B123" s="136">
        <f>'[2]All Counts'!D123</f>
        <v>1</v>
      </c>
      <c r="C123" s="136">
        <f>'[2]All Counts'!E123</f>
        <v>7215</v>
      </c>
      <c r="D123" s="136">
        <f>'[2]All Counts'!F123</f>
        <v>1</v>
      </c>
      <c r="E123" s="136">
        <f>'[2]All Counts'!G123</f>
        <v>1</v>
      </c>
      <c r="F123" s="136" t="str">
        <f>'[2]All Counts'!H123</f>
        <v>SR-125 NB</v>
      </c>
      <c r="G123" s="136">
        <f>'[2]All Counts'!I123</f>
        <v>2</v>
      </c>
      <c r="H123" s="136">
        <f>'[2]All Counts'!J123</f>
        <v>0</v>
      </c>
      <c r="I123" s="136" t="str">
        <f>'[2]All Counts'!K123</f>
        <v>SWAP MEET</v>
      </c>
      <c r="J123" s="136" t="str">
        <f>'[2]All Counts'!L123</f>
        <v>PARADISE VALLEY</v>
      </c>
      <c r="K123" s="136">
        <f>'[2]All Counts'!O123</f>
        <v>10284</v>
      </c>
      <c r="L123" s="57">
        <f>VLOOKUP(ws[[#This Row],[hwycov_id]],readme!D:G,4,FALSE)</f>
        <v>11759.694336</v>
      </c>
      <c r="M123" s="88">
        <f>ws[[#This Row],[flow]]/ws[[#This Row],[count]]-1</f>
        <v>0.14349419836639443</v>
      </c>
      <c r="N123" s="89">
        <f>POWER((ws[[#This Row],[flow]]-ws[[#This Row],[count]]),2)</f>
        <v>2177673.7733024824</v>
      </c>
      <c r="O123" s="43">
        <f>VLOOKUP(ws[[#This Row],[hwycov_id]],count[],6,FALSE)</f>
        <v>0</v>
      </c>
      <c r="P123" s="43">
        <v>42</v>
      </c>
      <c r="Q123" s="43" t="str">
        <f>'[2]All Counts'!P123</f>
        <v>PeMS2016</v>
      </c>
      <c r="S123" s="94">
        <v>8054</v>
      </c>
      <c r="T123" s="17"/>
      <c r="U123" s="17"/>
      <c r="V123" s="17"/>
      <c r="W123" s="17"/>
      <c r="X123" s="17">
        <v>15330</v>
      </c>
      <c r="Y123" s="17">
        <v>20062.041015999999</v>
      </c>
      <c r="Z123" s="17"/>
      <c r="AA123" s="17"/>
      <c r="AB123" s="17">
        <v>15330</v>
      </c>
      <c r="AC123" s="17">
        <v>20062.041015999999</v>
      </c>
      <c r="AD123"/>
      <c r="AE123"/>
    </row>
    <row r="124" spans="1:31" x14ac:dyDescent="0.25">
      <c r="A124" s="136">
        <f>'[2]All Counts'!C124</f>
        <v>5</v>
      </c>
      <c r="B124" s="136">
        <f>'[2]All Counts'!D124</f>
        <v>1</v>
      </c>
      <c r="C124" s="136">
        <f>'[2]All Counts'!E124</f>
        <v>7222</v>
      </c>
      <c r="D124" s="136">
        <f>'[2]All Counts'!F124</f>
        <v>1</v>
      </c>
      <c r="E124" s="136">
        <f>'[2]All Counts'!G124</f>
        <v>1</v>
      </c>
      <c r="F124" s="136" t="str">
        <f>'[2]All Counts'!H124</f>
        <v>SR-125 NB</v>
      </c>
      <c r="G124" s="136">
        <f>'[2]All Counts'!I124</f>
        <v>4</v>
      </c>
      <c r="H124" s="136">
        <f>'[2]All Counts'!J124</f>
        <v>0</v>
      </c>
      <c r="I124" s="136" t="str">
        <f>'[2]All Counts'!K124</f>
        <v>JAMACHA ROAD</v>
      </c>
      <c r="J124" s="136" t="str">
        <f>'[2]All Counts'!L124</f>
        <v>JAMACHA ROAD</v>
      </c>
      <c r="K124" s="136">
        <f>'[2]All Counts'!O124</f>
        <v>10208</v>
      </c>
      <c r="L124" s="57">
        <f>VLOOKUP(ws[[#This Row],[hwycov_id]],readme!D:G,4,FALSE)</f>
        <v>10858.965819999999</v>
      </c>
      <c r="M124" s="88">
        <f>ws[[#This Row],[flow]]/ws[[#This Row],[count]]-1</f>
        <v>6.377016261755486E-2</v>
      </c>
      <c r="N124" s="89">
        <f>POWER((ws[[#This Row],[flow]]-ws[[#This Row],[count]]),2)</f>
        <v>423756.49880827166</v>
      </c>
      <c r="O124" s="43">
        <f>VLOOKUP(ws[[#This Row],[hwycov_id]],count[],6,FALSE)</f>
        <v>0</v>
      </c>
      <c r="P124" s="43">
        <v>48</v>
      </c>
      <c r="Q124" s="43" t="str">
        <f>'[2]All Counts'!P124</f>
        <v>PeMS2016</v>
      </c>
      <c r="S124" s="94">
        <v>8056</v>
      </c>
      <c r="T124" s="17"/>
      <c r="U124" s="17"/>
      <c r="V124" s="17"/>
      <c r="W124" s="17"/>
      <c r="X124" s="17">
        <v>17628</v>
      </c>
      <c r="Y124" s="17">
        <v>21649.298827999999</v>
      </c>
      <c r="Z124" s="17"/>
      <c r="AA124" s="17"/>
      <c r="AB124" s="17">
        <v>17628</v>
      </c>
      <c r="AC124" s="17">
        <v>21649.298827999999</v>
      </c>
      <c r="AD124"/>
      <c r="AE124"/>
    </row>
    <row r="125" spans="1:31" x14ac:dyDescent="0.25">
      <c r="A125" s="136">
        <f>'[2]All Counts'!C125</f>
        <v>5</v>
      </c>
      <c r="B125" s="136">
        <f>'[2]All Counts'!D125</f>
        <v>1</v>
      </c>
      <c r="C125" s="136">
        <f>'[2]All Counts'!E125</f>
        <v>10793</v>
      </c>
      <c r="D125" s="136">
        <f>'[2]All Counts'!F125</f>
        <v>1</v>
      </c>
      <c r="E125" s="136">
        <f>'[2]All Counts'!G125</f>
        <v>1</v>
      </c>
      <c r="F125" s="136" t="str">
        <f>'[2]All Counts'!H125</f>
        <v>SR-125 NB</v>
      </c>
      <c r="G125" s="136">
        <f>'[2]All Counts'!I125</f>
        <v>5</v>
      </c>
      <c r="H125" s="136">
        <f>'[2]All Counts'!J125</f>
        <v>1</v>
      </c>
      <c r="I125" s="136" t="str">
        <f>'[2]All Counts'!K125</f>
        <v>JAMACHA ROAD</v>
      </c>
      <c r="J125" s="136" t="str">
        <f>'[2]All Counts'!L125</f>
        <v>TROY</v>
      </c>
      <c r="K125" s="136">
        <f>'[2]All Counts'!O125</f>
        <v>11072</v>
      </c>
      <c r="L125" s="57">
        <f>VLOOKUP(ws[[#This Row],[hwycov_id]],readme!D:G,4,FALSE)</f>
        <v>13115.177734000001</v>
      </c>
      <c r="M125" s="88">
        <f>ws[[#This Row],[flow]]/ws[[#This Row],[count]]-1</f>
        <v>0.18453556123554926</v>
      </c>
      <c r="N125" s="89">
        <f>POWER((ws[[#This Row],[flow]]-ws[[#This Row],[count]]),2)</f>
        <v>4174575.2527133781</v>
      </c>
      <c r="O125" s="43">
        <f>VLOOKUP(ws[[#This Row],[hwycov_id]],count[],6,FALSE)</f>
        <v>0</v>
      </c>
      <c r="P125" s="43">
        <v>49</v>
      </c>
      <c r="Q125" s="43" t="str">
        <f>'[2]All Counts'!P125</f>
        <v>PeMS2016</v>
      </c>
      <c r="S125" s="94">
        <v>8057</v>
      </c>
      <c r="T125" s="17"/>
      <c r="U125" s="17"/>
      <c r="V125" s="17"/>
      <c r="W125" s="17"/>
      <c r="X125" s="17">
        <v>16187</v>
      </c>
      <c r="Y125" s="17">
        <v>20437.679688</v>
      </c>
      <c r="Z125" s="17"/>
      <c r="AA125" s="17"/>
      <c r="AB125" s="17">
        <v>16187</v>
      </c>
      <c r="AC125" s="17">
        <v>20437.679688</v>
      </c>
      <c r="AD125"/>
      <c r="AE125"/>
    </row>
    <row r="126" spans="1:31" x14ac:dyDescent="0.25">
      <c r="A126" s="136">
        <f>'[2]All Counts'!C126</f>
        <v>5</v>
      </c>
      <c r="B126" s="136">
        <f>'[2]All Counts'!D126</f>
        <v>1</v>
      </c>
      <c r="C126" s="136">
        <f>'[2]All Counts'!E126</f>
        <v>31171</v>
      </c>
      <c r="D126" s="136">
        <f>'[2]All Counts'!F126</f>
        <v>1</v>
      </c>
      <c r="E126" s="136">
        <f>'[2]All Counts'!G126</f>
        <v>1</v>
      </c>
      <c r="F126" s="136" t="str">
        <f>'[2]All Counts'!H126</f>
        <v>SR-125 NB</v>
      </c>
      <c r="G126" s="136">
        <f>'[2]All Counts'!I126</f>
        <v>6</v>
      </c>
      <c r="H126" s="136">
        <f>'[2]All Counts'!J126</f>
        <v>0</v>
      </c>
      <c r="I126" s="136" t="str">
        <f>'[2]All Counts'!K126</f>
        <v>TROY</v>
      </c>
      <c r="J126" s="136" t="str">
        <f>'[2]All Counts'!L126</f>
        <v>SR-94 WB</v>
      </c>
      <c r="K126" s="136">
        <f>'[2]All Counts'!O126</f>
        <v>13499</v>
      </c>
      <c r="L126" s="57">
        <f>VLOOKUP(ws[[#This Row],[hwycov_id]],readme!D:G,4,FALSE)</f>
        <v>13115.177734000001</v>
      </c>
      <c r="M126" s="88">
        <f>ws[[#This Row],[flow]]/ws[[#This Row],[count]]-1</f>
        <v>-2.8433385139639888E-2</v>
      </c>
      <c r="N126" s="89">
        <f>POWER((ws[[#This Row],[flow]]-ws[[#This Row],[count]]),2)</f>
        <v>147319.53187737416</v>
      </c>
      <c r="O126" s="43">
        <f>VLOOKUP(ws[[#This Row],[hwycov_id]],count[],6,FALSE)</f>
        <v>0</v>
      </c>
      <c r="P126" s="43">
        <v>93</v>
      </c>
      <c r="Q126" s="43" t="str">
        <f>'[2]All Counts'!P126</f>
        <v>PeMS2016</v>
      </c>
      <c r="S126" s="94">
        <v>8058</v>
      </c>
      <c r="T126" s="17"/>
      <c r="U126" s="17"/>
      <c r="V126" s="17"/>
      <c r="W126" s="17"/>
      <c r="X126" s="17">
        <v>17762</v>
      </c>
      <c r="Y126" s="17">
        <v>18103.460938</v>
      </c>
      <c r="Z126" s="17"/>
      <c r="AA126" s="17"/>
      <c r="AB126" s="17">
        <v>17762</v>
      </c>
      <c r="AC126" s="17">
        <v>18103.460938</v>
      </c>
      <c r="AD126"/>
      <c r="AE126"/>
    </row>
    <row r="127" spans="1:31" x14ac:dyDescent="0.25">
      <c r="A127" s="136">
        <f>'[2]All Counts'!C127</f>
        <v>5</v>
      </c>
      <c r="B127" s="136">
        <f>'[2]All Counts'!D127</f>
        <v>1</v>
      </c>
      <c r="C127" s="136">
        <f>'[2]All Counts'!E127</f>
        <v>10158</v>
      </c>
      <c r="D127" s="136">
        <f>'[2]All Counts'!F127</f>
        <v>1</v>
      </c>
      <c r="E127" s="136">
        <f>'[2]All Counts'!G127</f>
        <v>1</v>
      </c>
      <c r="F127" s="136" t="str">
        <f>'[2]All Counts'!H127</f>
        <v>SR-125 NB</v>
      </c>
      <c r="G127" s="136">
        <f>'[2]All Counts'!I127</f>
        <v>1</v>
      </c>
      <c r="H127" s="136">
        <f>'[2]All Counts'!J127</f>
        <v>0</v>
      </c>
      <c r="I127" s="136" t="str">
        <f>'[2]All Counts'!K127</f>
        <v>SR-94 EB</v>
      </c>
      <c r="J127" s="136" t="str">
        <f>'[2]All Counts'!L127</f>
        <v>CAMPO</v>
      </c>
      <c r="K127" s="136">
        <f>'[2]All Counts'!O127</f>
        <v>15151</v>
      </c>
      <c r="L127" s="57">
        <f>VLOOKUP(ws[[#This Row],[hwycov_id]],readme!D:G,4,FALSE)</f>
        <v>18448.203125</v>
      </c>
      <c r="M127" s="88">
        <f>ws[[#This Row],[flow]]/ws[[#This Row],[count]]-1</f>
        <v>0.21762280542538437</v>
      </c>
      <c r="N127" s="89">
        <f>POWER((ws[[#This Row],[flow]]-ws[[#This Row],[count]]),2)</f>
        <v>10871548.447509766</v>
      </c>
      <c r="O127" s="43">
        <f>VLOOKUP(ws[[#This Row],[hwycov_id]],count[],6,FALSE)</f>
        <v>0</v>
      </c>
      <c r="P127" s="43">
        <v>22</v>
      </c>
      <c r="Q127" s="43" t="str">
        <f>'[2]All Counts'!P127</f>
        <v>PeMS2016</v>
      </c>
      <c r="S127" s="94">
        <v>8059</v>
      </c>
      <c r="T127" s="17"/>
      <c r="U127" s="17"/>
      <c r="V127" s="17"/>
      <c r="W127" s="17"/>
      <c r="X127" s="17">
        <v>15856</v>
      </c>
      <c r="Y127" s="17">
        <v>15585.291992</v>
      </c>
      <c r="Z127" s="17"/>
      <c r="AA127" s="17"/>
      <c r="AB127" s="17">
        <v>15856</v>
      </c>
      <c r="AC127" s="17">
        <v>15585.291992</v>
      </c>
      <c r="AD127"/>
      <c r="AE127"/>
    </row>
    <row r="128" spans="1:31" x14ac:dyDescent="0.25">
      <c r="A128" s="136">
        <f>'[2]All Counts'!C128</f>
        <v>5</v>
      </c>
      <c r="B128" s="136">
        <f>'[2]All Counts'!D128</f>
        <v>1</v>
      </c>
      <c r="C128" s="136">
        <f>'[2]All Counts'!E128</f>
        <v>11296</v>
      </c>
      <c r="D128" s="136">
        <f>'[2]All Counts'!F128</f>
        <v>1</v>
      </c>
      <c r="E128" s="136">
        <f>'[2]All Counts'!G128</f>
        <v>1</v>
      </c>
      <c r="F128" s="136" t="str">
        <f>'[2]All Counts'!H128</f>
        <v>SR-125 NB</v>
      </c>
      <c r="G128" s="136">
        <f>'[2]All Counts'!I128</f>
        <v>4</v>
      </c>
      <c r="H128" s="136">
        <f>'[2]All Counts'!J128</f>
        <v>0</v>
      </c>
      <c r="I128" s="136" t="str">
        <f>'[2]All Counts'!K128</f>
        <v>SR-94 WB</v>
      </c>
      <c r="J128" s="136" t="str">
        <f>'[2]All Counts'!L128</f>
        <v>LEMON</v>
      </c>
      <c r="K128" s="136">
        <f>'[2]All Counts'!O128</f>
        <v>20112</v>
      </c>
      <c r="L128" s="57">
        <f>VLOOKUP(ws[[#This Row],[hwycov_id]],readme!D:G,4,FALSE)</f>
        <v>23732.277343999998</v>
      </c>
      <c r="M128" s="88">
        <f>ws[[#This Row],[flow]]/ws[[#This Row],[count]]-1</f>
        <v>0.18000583452665064</v>
      </c>
      <c r="N128" s="89">
        <f>POWER((ws[[#This Row],[flow]]-ws[[#This Row],[count]]),2)</f>
        <v>13106408.047479682</v>
      </c>
      <c r="O128" s="43">
        <f>VLOOKUP(ws[[#This Row],[hwycov_id]],count[],6,FALSE)</f>
        <v>0</v>
      </c>
      <c r="P128" s="43">
        <v>77</v>
      </c>
      <c r="Q128" s="43" t="str">
        <f>'[2]All Counts'!P128</f>
        <v>Caltran</v>
      </c>
      <c r="S128" s="94">
        <v>8103</v>
      </c>
      <c r="T128" s="17"/>
      <c r="U128" s="17"/>
      <c r="V128" s="17"/>
      <c r="W128" s="17"/>
      <c r="X128" s="17">
        <v>7547</v>
      </c>
      <c r="Y128" s="17">
        <v>13229.370117</v>
      </c>
      <c r="Z128" s="17"/>
      <c r="AA128" s="17"/>
      <c r="AB128" s="17">
        <v>7547</v>
      </c>
      <c r="AC128" s="17">
        <v>13229.370117</v>
      </c>
      <c r="AD128"/>
      <c r="AE128"/>
    </row>
    <row r="129" spans="1:31" x14ac:dyDescent="0.25">
      <c r="A129" s="136">
        <f>'[2]All Counts'!C129</f>
        <v>5</v>
      </c>
      <c r="B129" s="136">
        <f>'[2]All Counts'!D129</f>
        <v>1</v>
      </c>
      <c r="C129" s="136">
        <f>'[2]All Counts'!E129</f>
        <v>11291</v>
      </c>
      <c r="D129" s="136">
        <f>'[2]All Counts'!F129</f>
        <v>1</v>
      </c>
      <c r="E129" s="136">
        <f>'[2]All Counts'!G129</f>
        <v>1</v>
      </c>
      <c r="F129" s="136" t="str">
        <f>'[2]All Counts'!H129</f>
        <v>SR-125 NB</v>
      </c>
      <c r="G129" s="136">
        <f>'[2]All Counts'!I129</f>
        <v>7</v>
      </c>
      <c r="H129" s="136">
        <f>'[2]All Counts'!J129</f>
        <v>0</v>
      </c>
      <c r="I129" s="136" t="str">
        <f>'[2]All Counts'!K129</f>
        <v>I-8 EB</v>
      </c>
      <c r="J129" s="136" t="str">
        <f>'[2]All Counts'!L129</f>
        <v>GROSSMONT</v>
      </c>
      <c r="K129" s="136">
        <f>'[2]All Counts'!O129</f>
        <v>8272</v>
      </c>
      <c r="L129" s="57">
        <f>VLOOKUP(ws[[#This Row],[hwycov_id]],readme!D:G,4,FALSE)</f>
        <v>8672.8232420000004</v>
      </c>
      <c r="M129" s="88">
        <f>ws[[#This Row],[flow]]/ws[[#This Row],[count]]-1</f>
        <v>4.845542093810451E-2</v>
      </c>
      <c r="N129" s="89">
        <f>POWER((ws[[#This Row],[flow]]-ws[[#This Row],[count]]),2)</f>
        <v>160659.27132739089</v>
      </c>
      <c r="O129" s="43">
        <f>VLOOKUP(ws[[#This Row],[hwycov_id]],count[],6,FALSE)</f>
        <v>0</v>
      </c>
      <c r="P129" s="43">
        <v>315</v>
      </c>
      <c r="Q129" s="43" t="str">
        <f>'[2]All Counts'!P129</f>
        <v>PeMS2016</v>
      </c>
      <c r="S129" s="94">
        <v>8185</v>
      </c>
      <c r="T129" s="17"/>
      <c r="U129" s="17"/>
      <c r="V129" s="17"/>
      <c r="W129" s="17"/>
      <c r="X129" s="17">
        <v>3809</v>
      </c>
      <c r="Y129" s="17">
        <v>1783.061279</v>
      </c>
      <c r="Z129" s="17"/>
      <c r="AA129" s="17"/>
      <c r="AB129" s="17">
        <v>3809</v>
      </c>
      <c r="AC129" s="17">
        <v>1783.061279</v>
      </c>
      <c r="AD129"/>
      <c r="AE129"/>
    </row>
    <row r="130" spans="1:31" x14ac:dyDescent="0.25">
      <c r="A130" s="136">
        <f>'[2]All Counts'!C130</f>
        <v>5</v>
      </c>
      <c r="B130" s="136">
        <f>'[2]All Counts'!D130</f>
        <v>1</v>
      </c>
      <c r="C130" s="136">
        <f>'[2]All Counts'!E130</f>
        <v>28939</v>
      </c>
      <c r="D130" s="136">
        <f>'[2]All Counts'!F130</f>
        <v>1</v>
      </c>
      <c r="E130" s="136">
        <f>'[2]All Counts'!G130</f>
        <v>1</v>
      </c>
      <c r="F130" s="136" t="str">
        <f>'[2]All Counts'!H130</f>
        <v>SR-125 NB</v>
      </c>
      <c r="G130" s="136">
        <f>'[2]All Counts'!I130</f>
        <v>12</v>
      </c>
      <c r="H130" s="136">
        <f>'[2]All Counts'!J130</f>
        <v>0</v>
      </c>
      <c r="I130" s="136" t="str">
        <f>'[2]All Counts'!K130</f>
        <v>AMAYA</v>
      </c>
      <c r="J130" s="136" t="str">
        <f>'[2]All Counts'!L130</f>
        <v>AMAYA</v>
      </c>
      <c r="K130" s="136">
        <f>'[2]All Counts'!O130</f>
        <v>9161</v>
      </c>
      <c r="L130" s="57">
        <f>VLOOKUP(ws[[#This Row],[hwycov_id]],readme!D:G,4,FALSE)</f>
        <v>9474.3300780000009</v>
      </c>
      <c r="M130" s="88">
        <f>ws[[#This Row],[flow]]/ws[[#This Row],[count]]-1</f>
        <v>3.4202606484008413E-2</v>
      </c>
      <c r="N130" s="89">
        <f>POWER((ws[[#This Row],[flow]]-ws[[#This Row],[count]]),2)</f>
        <v>98175.737779486633</v>
      </c>
      <c r="O130" s="43">
        <f>VLOOKUP(ws[[#This Row],[hwycov_id]],count[],6,FALSE)</f>
        <v>0</v>
      </c>
      <c r="P130" s="43">
        <v>310</v>
      </c>
      <c r="Q130" s="43" t="str">
        <f>'[2]All Counts'!P130</f>
        <v>PeMS2016</v>
      </c>
      <c r="S130" s="94">
        <v>8647</v>
      </c>
      <c r="T130" s="17"/>
      <c r="U130" s="17"/>
      <c r="V130" s="17"/>
      <c r="W130" s="17"/>
      <c r="X130" s="17">
        <v>6492</v>
      </c>
      <c r="Y130" s="17">
        <v>7865.9296880000002</v>
      </c>
      <c r="Z130" s="17"/>
      <c r="AA130" s="17"/>
      <c r="AB130" s="17">
        <v>6492</v>
      </c>
      <c r="AC130" s="17">
        <v>7865.9296880000002</v>
      </c>
      <c r="AD130"/>
      <c r="AE130"/>
    </row>
    <row r="131" spans="1:31" x14ac:dyDescent="0.25">
      <c r="A131" s="136">
        <f>'[2]All Counts'!C131</f>
        <v>5</v>
      </c>
      <c r="B131" s="136">
        <f>'[2]All Counts'!D131</f>
        <v>1</v>
      </c>
      <c r="C131" s="136">
        <f>'[2]All Counts'!E131</f>
        <v>28940</v>
      </c>
      <c r="D131" s="136">
        <f>'[2]All Counts'!F131</f>
        <v>1</v>
      </c>
      <c r="E131" s="136">
        <f>'[2]All Counts'!G131</f>
        <v>1</v>
      </c>
      <c r="F131" s="136" t="str">
        <f>'[2]All Counts'!H131</f>
        <v>SR-125 NB</v>
      </c>
      <c r="G131" s="136">
        <f>'[2]All Counts'!I131</f>
        <v>13</v>
      </c>
      <c r="H131" s="136">
        <f>'[2]All Counts'!J131</f>
        <v>0</v>
      </c>
      <c r="I131" s="136" t="str">
        <f>'[2]All Counts'!K131</f>
        <v>AMAYA</v>
      </c>
      <c r="J131" s="136" t="str">
        <f>'[2]All Counts'!L131</f>
        <v>NAVAJO</v>
      </c>
      <c r="K131" s="136">
        <f>'[2]All Counts'!O131</f>
        <v>11629</v>
      </c>
      <c r="L131" s="57">
        <f>VLOOKUP(ws[[#This Row],[hwycov_id]],readme!D:G,4,FALSE)</f>
        <v>10271.800781</v>
      </c>
      <c r="M131" s="88">
        <f>ws[[#This Row],[flow]]/ws[[#This Row],[count]]-1</f>
        <v>-0.11670816226674696</v>
      </c>
      <c r="N131" s="89">
        <f>POWER((ws[[#This Row],[flow]]-ws[[#This Row],[count]]),2)</f>
        <v>1841989.7200542102</v>
      </c>
      <c r="O131" s="43">
        <f>VLOOKUP(ws[[#This Row],[hwycov_id]],count[],6,FALSE)</f>
        <v>0</v>
      </c>
      <c r="P131" s="43">
        <v>502</v>
      </c>
      <c r="Q131" s="43" t="str">
        <f>'[2]All Counts'!P131</f>
        <v>PeMS2016</v>
      </c>
      <c r="S131" s="94">
        <v>8768</v>
      </c>
      <c r="T131" s="17">
        <v>24173</v>
      </c>
      <c r="U131" s="17">
        <v>29920.449218999998</v>
      </c>
      <c r="V131" s="17"/>
      <c r="W131" s="17"/>
      <c r="X131" s="17"/>
      <c r="Y131" s="17"/>
      <c r="Z131" s="17"/>
      <c r="AA131" s="17"/>
      <c r="AB131" s="17">
        <v>24173</v>
      </c>
      <c r="AC131" s="17">
        <v>29920.449218999998</v>
      </c>
      <c r="AD131"/>
      <c r="AE131"/>
    </row>
    <row r="132" spans="1:31" x14ac:dyDescent="0.25">
      <c r="A132" s="136">
        <f>'[2]All Counts'!C132</f>
        <v>5</v>
      </c>
      <c r="B132" s="136">
        <f>'[2]All Counts'!D132</f>
        <v>1</v>
      </c>
      <c r="C132" s="136">
        <f>'[2]All Counts'!E132</f>
        <v>28945</v>
      </c>
      <c r="D132" s="136">
        <f>'[2]All Counts'!F132</f>
        <v>1</v>
      </c>
      <c r="E132" s="136">
        <f>'[2]All Counts'!G132</f>
        <v>1</v>
      </c>
      <c r="F132" s="136" t="str">
        <f>'[2]All Counts'!H132</f>
        <v>SR-125 NB</v>
      </c>
      <c r="G132" s="136">
        <f>'[2]All Counts'!I132</f>
        <v>15</v>
      </c>
      <c r="H132" s="136">
        <f>'[2]All Counts'!J132</f>
        <v>0</v>
      </c>
      <c r="I132" s="136" t="str">
        <f>'[2]All Counts'!K132</f>
        <v>NAVAJO</v>
      </c>
      <c r="J132" s="136" t="str">
        <f>'[2]All Counts'!L132</f>
        <v>NAVAJO</v>
      </c>
      <c r="K132" s="136">
        <f>'[2]All Counts'!O132</f>
        <v>6963</v>
      </c>
      <c r="L132" s="57">
        <f>VLOOKUP(ws[[#This Row],[hwycov_id]],readme!D:G,4,FALSE)</f>
        <v>6347.7446289999998</v>
      </c>
      <c r="M132" s="88">
        <f>ws[[#This Row],[flow]]/ws[[#This Row],[count]]-1</f>
        <v>-8.8360673703863357E-2</v>
      </c>
      <c r="N132" s="89">
        <f>POWER((ws[[#This Row],[flow]]-ws[[#This Row],[count]]),2)</f>
        <v>378539.17154434789</v>
      </c>
      <c r="O132" s="43">
        <f>VLOOKUP(ws[[#This Row],[hwycov_id]],count[],6,FALSE)</f>
        <v>0</v>
      </c>
      <c r="P132" s="43">
        <v>504</v>
      </c>
      <c r="Q132" s="43" t="str">
        <f>'[2]All Counts'!P132</f>
        <v>PeMS2016</v>
      </c>
      <c r="S132" s="94">
        <v>8770</v>
      </c>
      <c r="T132" s="17">
        <v>18707</v>
      </c>
      <c r="U132" s="17">
        <v>29446.910156000002</v>
      </c>
      <c r="V132" s="17"/>
      <c r="W132" s="17"/>
      <c r="X132" s="17"/>
      <c r="Y132" s="17"/>
      <c r="Z132" s="17"/>
      <c r="AA132" s="17"/>
      <c r="AB132" s="17">
        <v>18707</v>
      </c>
      <c r="AC132" s="17">
        <v>29446.910156000002</v>
      </c>
      <c r="AD132"/>
      <c r="AE132"/>
    </row>
    <row r="133" spans="1:31" x14ac:dyDescent="0.25">
      <c r="A133" s="136">
        <f>'[2]All Counts'!C133</f>
        <v>5</v>
      </c>
      <c r="B133" s="136">
        <f>'[2]All Counts'!D133</f>
        <v>1</v>
      </c>
      <c r="C133" s="136">
        <f>'[2]All Counts'!E133</f>
        <v>28948</v>
      </c>
      <c r="D133" s="136">
        <f>'[2]All Counts'!F133</f>
        <v>1</v>
      </c>
      <c r="E133" s="136">
        <f>'[2]All Counts'!G133</f>
        <v>1</v>
      </c>
      <c r="F133" s="136" t="str">
        <f>'[2]All Counts'!H133</f>
        <v>SR-125 NB</v>
      </c>
      <c r="G133" s="136">
        <f>'[2]All Counts'!I133</f>
        <v>16</v>
      </c>
      <c r="H133" s="136">
        <f>'[2]All Counts'!J133</f>
        <v>0</v>
      </c>
      <c r="I133" s="136" t="str">
        <f>'[2]All Counts'!K133</f>
        <v>NAVAJO</v>
      </c>
      <c r="J133" s="136" t="str">
        <f>'[2]All Counts'!L133</f>
        <v>GROSSMONT COLLEGE DR</v>
      </c>
      <c r="K133" s="136">
        <f>'[2]All Counts'!O133</f>
        <v>6914</v>
      </c>
      <c r="L133" s="57">
        <f>VLOOKUP(ws[[#This Row],[hwycov_id]],readme!D:G,4,FALSE)</f>
        <v>6347.7446289999998</v>
      </c>
      <c r="M133" s="88">
        <f>ws[[#This Row],[flow]]/ws[[#This Row],[count]]-1</f>
        <v>-8.1899822244720921E-2</v>
      </c>
      <c r="N133" s="89">
        <f>POWER((ws[[#This Row],[flow]]-ws[[#This Row],[count]]),2)</f>
        <v>320645.14518634789</v>
      </c>
      <c r="O133" s="43">
        <f>VLOOKUP(ws[[#This Row],[hwycov_id]],count[],6,FALSE)</f>
        <v>0</v>
      </c>
      <c r="P133" s="43">
        <v>505</v>
      </c>
      <c r="Q133" s="43" t="str">
        <f>'[2]All Counts'!P133</f>
        <v>PeMS2016</v>
      </c>
      <c r="S133" s="94">
        <v>8771</v>
      </c>
      <c r="T133" s="17"/>
      <c r="U133" s="17"/>
      <c r="V133" s="17">
        <v>19695</v>
      </c>
      <c r="W133" s="17">
        <v>20268.236327999999</v>
      </c>
      <c r="X133" s="17"/>
      <c r="Y133" s="17"/>
      <c r="Z133" s="17"/>
      <c r="AA133" s="17"/>
      <c r="AB133" s="17">
        <v>19695</v>
      </c>
      <c r="AC133" s="17">
        <v>20268.236327999999</v>
      </c>
      <c r="AD133"/>
      <c r="AE133"/>
    </row>
    <row r="134" spans="1:31" x14ac:dyDescent="0.25">
      <c r="A134" s="136">
        <f>'[2]All Counts'!C134</f>
        <v>5</v>
      </c>
      <c r="B134" s="136">
        <f>'[2]All Counts'!D134</f>
        <v>1</v>
      </c>
      <c r="C134" s="136">
        <f>'[2]All Counts'!E134</f>
        <v>28924</v>
      </c>
      <c r="D134" s="136">
        <f>'[2]All Counts'!F134</f>
        <v>1</v>
      </c>
      <c r="E134" s="136">
        <f>'[2]All Counts'!G134</f>
        <v>1</v>
      </c>
      <c r="F134" s="136" t="str">
        <f>'[2]All Counts'!H134</f>
        <v>SR-125 NB</v>
      </c>
      <c r="G134" s="136">
        <f>'[2]All Counts'!I134</f>
        <v>20</v>
      </c>
      <c r="H134" s="136">
        <f>'[2]All Counts'!J134</f>
        <v>0</v>
      </c>
      <c r="I134" s="136" t="str">
        <f>'[2]All Counts'!K134</f>
        <v>GROSSMONT COLLEGE DR</v>
      </c>
      <c r="J134" s="136" t="str">
        <f>'[2]All Counts'!L134</f>
        <v>SR-52 EB</v>
      </c>
      <c r="K134" s="136">
        <f>'[2]All Counts'!O134</f>
        <v>8862</v>
      </c>
      <c r="L134" s="57">
        <f>VLOOKUP(ws[[#This Row],[hwycov_id]],readme!D:G,4,FALSE)</f>
        <v>9140.53125</v>
      </c>
      <c r="M134" s="88">
        <f>ws[[#This Row],[flow]]/ws[[#This Row],[count]]-1</f>
        <v>3.1429840893703487E-2</v>
      </c>
      <c r="N134" s="89">
        <f>POWER((ws[[#This Row],[flow]]-ws[[#This Row],[count]]),2)</f>
        <v>77579.6572265625</v>
      </c>
      <c r="O134" s="43">
        <f>VLOOKUP(ws[[#This Row],[hwycov_id]],count[],6,FALSE)</f>
        <v>0</v>
      </c>
      <c r="P134" s="43">
        <v>519</v>
      </c>
      <c r="Q134" s="43" t="str">
        <f>'[2]All Counts'!P134</f>
        <v>Caltran</v>
      </c>
      <c r="S134" s="94">
        <v>8772</v>
      </c>
      <c r="T134" s="17"/>
      <c r="U134" s="17"/>
      <c r="V134" s="17">
        <v>16669</v>
      </c>
      <c r="W134" s="17">
        <v>19867.166015999999</v>
      </c>
      <c r="X134" s="17"/>
      <c r="Y134" s="17"/>
      <c r="Z134" s="17"/>
      <c r="AA134" s="17"/>
      <c r="AB134" s="17">
        <v>16669</v>
      </c>
      <c r="AC134" s="17">
        <v>19867.166015999999</v>
      </c>
      <c r="AD134"/>
      <c r="AE134"/>
    </row>
    <row r="135" spans="1:31" x14ac:dyDescent="0.25">
      <c r="A135" s="136">
        <f>'[2]All Counts'!C135</f>
        <v>5</v>
      </c>
      <c r="B135" s="136">
        <f>'[2]All Counts'!D135</f>
        <v>1</v>
      </c>
      <c r="C135" s="136">
        <f>'[2]All Counts'!E135</f>
        <v>28923</v>
      </c>
      <c r="D135" s="136">
        <f>'[2]All Counts'!F135</f>
        <v>1</v>
      </c>
      <c r="E135" s="136">
        <f>'[2]All Counts'!G135</f>
        <v>1</v>
      </c>
      <c r="F135" s="136" t="str">
        <f>'[2]All Counts'!H135</f>
        <v>SR-125 NB</v>
      </c>
      <c r="G135" s="136">
        <f>'[2]All Counts'!I135</f>
        <v>21</v>
      </c>
      <c r="H135" s="136">
        <f>'[2]All Counts'!J135</f>
        <v>0</v>
      </c>
      <c r="I135" s="136" t="str">
        <f>'[2]All Counts'!K135</f>
        <v>SR-52 EB</v>
      </c>
      <c r="J135" s="136" t="str">
        <f>'[2]All Counts'!L135</f>
        <v>FANITA</v>
      </c>
      <c r="K135" s="136">
        <f>'[2]All Counts'!O135</f>
        <v>3622</v>
      </c>
      <c r="L135" s="57">
        <f>VLOOKUP(ws[[#This Row],[hwycov_id]],readme!D:G,4,FALSE)</f>
        <v>4722.7475590000004</v>
      </c>
      <c r="M135" s="88">
        <f>ws[[#This Row],[flow]]/ws[[#This Row],[count]]-1</f>
        <v>0.30390600745444507</v>
      </c>
      <c r="N135" s="89">
        <f>POWER((ws[[#This Row],[flow]]-ws[[#This Row],[count]]),2)</f>
        <v>1211645.1886444592</v>
      </c>
      <c r="O135" s="43">
        <f>VLOOKUP(ws[[#This Row],[hwycov_id]],count[],6,FALSE)</f>
        <v>0</v>
      </c>
      <c r="P135" s="43">
        <v>528</v>
      </c>
      <c r="Q135" s="43" t="str">
        <f>'[2]All Counts'!P135</f>
        <v>PeMS2016</v>
      </c>
      <c r="S135" s="94">
        <v>8773</v>
      </c>
      <c r="T135" s="17"/>
      <c r="U135" s="17"/>
      <c r="V135" s="17">
        <v>19924</v>
      </c>
      <c r="W135" s="17">
        <v>18653.888672000001</v>
      </c>
      <c r="X135" s="17"/>
      <c r="Y135" s="17"/>
      <c r="Z135" s="17"/>
      <c r="AA135" s="17"/>
      <c r="AB135" s="17">
        <v>19924</v>
      </c>
      <c r="AC135" s="17">
        <v>18653.888672000001</v>
      </c>
      <c r="AD135"/>
      <c r="AE135"/>
    </row>
    <row r="136" spans="1:31" x14ac:dyDescent="0.25">
      <c r="A136" s="136">
        <f>'[2]All Counts'!C136</f>
        <v>3</v>
      </c>
      <c r="B136" s="136">
        <f>'[2]All Counts'!D136</f>
        <v>1</v>
      </c>
      <c r="C136" s="136">
        <f>'[2]All Counts'!E136</f>
        <v>685</v>
      </c>
      <c r="D136" s="136">
        <f>'[2]All Counts'!F136</f>
        <v>1</v>
      </c>
      <c r="E136" s="136">
        <f>'[2]All Counts'!G136</f>
        <v>1</v>
      </c>
      <c r="F136" s="136" t="str">
        <f>'[2]All Counts'!H136</f>
        <v>I-805 NB</v>
      </c>
      <c r="G136" s="136">
        <f>'[2]All Counts'!I136</f>
        <v>2</v>
      </c>
      <c r="H136" s="136">
        <f>'[2]All Counts'!J136</f>
        <v>0</v>
      </c>
      <c r="I136" s="136" t="str">
        <f>'[2]All Counts'!K136</f>
        <v>EAST SAN YSIDRO</v>
      </c>
      <c r="J136" s="136" t="str">
        <f>'[2]All Counts'!L136</f>
        <v>EAST SAN YSIDRO</v>
      </c>
      <c r="K136" s="136">
        <f>'[2]All Counts'!O136</f>
        <v>3303</v>
      </c>
      <c r="L136" s="57">
        <f>VLOOKUP(ws[[#This Row],[hwycov_id]],readme!D:G,4,FALSE)</f>
        <v>4544.6948240000002</v>
      </c>
      <c r="M136" s="88">
        <f>ws[[#This Row],[flow]]/ws[[#This Row],[count]]-1</f>
        <v>0.37592940478353021</v>
      </c>
      <c r="N136" s="89">
        <f>POWER((ws[[#This Row],[flow]]-ws[[#This Row],[count]]),2)</f>
        <v>1541806.0359483913</v>
      </c>
      <c r="O136" s="43">
        <f>VLOOKUP(ws[[#This Row],[hwycov_id]],count[],6,FALSE)</f>
        <v>0</v>
      </c>
      <c r="P136" s="43">
        <v>532</v>
      </c>
      <c r="Q136" s="43" t="str">
        <f>'[2]All Counts'!P136</f>
        <v>PeMS2016</v>
      </c>
      <c r="S136" s="94">
        <v>8774</v>
      </c>
      <c r="T136" s="17"/>
      <c r="U136" s="17"/>
      <c r="V136" s="17">
        <v>20249</v>
      </c>
      <c r="W136" s="17">
        <v>20102.951172000001</v>
      </c>
      <c r="X136" s="17"/>
      <c r="Y136" s="17"/>
      <c r="Z136" s="17"/>
      <c r="AA136" s="17"/>
      <c r="AB136" s="17">
        <v>20249</v>
      </c>
      <c r="AC136" s="17">
        <v>20102.951172000001</v>
      </c>
      <c r="AD136"/>
      <c r="AE136"/>
    </row>
    <row r="137" spans="1:31" x14ac:dyDescent="0.25">
      <c r="A137" s="136">
        <f>'[2]All Counts'!C137</f>
        <v>3</v>
      </c>
      <c r="B137" s="136">
        <f>'[2]All Counts'!D137</f>
        <v>1</v>
      </c>
      <c r="C137" s="136">
        <f>'[2]All Counts'!E137</f>
        <v>686</v>
      </c>
      <c r="D137" s="136">
        <f>'[2]All Counts'!F137</f>
        <v>1</v>
      </c>
      <c r="E137" s="136">
        <f>'[2]All Counts'!G137</f>
        <v>1</v>
      </c>
      <c r="F137" s="136" t="str">
        <f>'[2]All Counts'!H137</f>
        <v>I-805 NB</v>
      </c>
      <c r="G137" s="136">
        <f>'[2]All Counts'!I137</f>
        <v>3</v>
      </c>
      <c r="H137" s="136">
        <f>'[2]All Counts'!J137</f>
        <v>0</v>
      </c>
      <c r="I137" s="136" t="str">
        <f>'[2]All Counts'!K137</f>
        <v>EAST SAN YSIDRO</v>
      </c>
      <c r="J137" s="136" t="str">
        <f>'[2]All Counts'!L137</f>
        <v>SR-905 EB</v>
      </c>
      <c r="K137" s="136">
        <f>'[2]All Counts'!O137</f>
        <v>6647</v>
      </c>
      <c r="L137" s="57">
        <f>VLOOKUP(ws[[#This Row],[hwycov_id]],readme!D:G,4,FALSE)</f>
        <v>6969.0131840000004</v>
      </c>
      <c r="M137" s="88">
        <f>ws[[#This Row],[flow]]/ws[[#This Row],[count]]-1</f>
        <v>4.8444890025575393E-2</v>
      </c>
      <c r="N137" s="89">
        <f>POWER((ws[[#This Row],[flow]]-ws[[#This Row],[count]]),2)</f>
        <v>103692.49066981809</v>
      </c>
      <c r="O137" s="43">
        <f>VLOOKUP(ws[[#This Row],[hwycov_id]],count[],6,FALSE)</f>
        <v>0</v>
      </c>
      <c r="P137" s="43">
        <v>278</v>
      </c>
      <c r="Q137" s="43" t="str">
        <f>'[2]All Counts'!P137</f>
        <v>PeMS2016</v>
      </c>
      <c r="S137" s="94">
        <v>8777</v>
      </c>
      <c r="T137" s="17"/>
      <c r="U137" s="17"/>
      <c r="V137" s="17">
        <v>21678</v>
      </c>
      <c r="W137" s="17">
        <v>22955.121093999998</v>
      </c>
      <c r="X137" s="17"/>
      <c r="Y137" s="17"/>
      <c r="Z137" s="17"/>
      <c r="AA137" s="17"/>
      <c r="AB137" s="17">
        <v>21678</v>
      </c>
      <c r="AC137" s="17">
        <v>22955.121093999998</v>
      </c>
      <c r="AD137"/>
      <c r="AE137"/>
    </row>
    <row r="138" spans="1:31" x14ac:dyDescent="0.25">
      <c r="A138" s="136">
        <f>'[2]All Counts'!C138</f>
        <v>3</v>
      </c>
      <c r="B138" s="136">
        <f>'[2]All Counts'!D138</f>
        <v>1</v>
      </c>
      <c r="C138" s="136">
        <f>'[2]All Counts'!E138</f>
        <v>687</v>
      </c>
      <c r="D138" s="136">
        <f>'[2]All Counts'!F138</f>
        <v>1</v>
      </c>
      <c r="E138" s="136">
        <f>'[2]All Counts'!G138</f>
        <v>1</v>
      </c>
      <c r="F138" s="136" t="str">
        <f>'[2]All Counts'!H138</f>
        <v>I-805 NB</v>
      </c>
      <c r="G138" s="136">
        <f>'[2]All Counts'!I138</f>
        <v>7</v>
      </c>
      <c r="H138" s="136">
        <f>'[2]All Counts'!J138</f>
        <v>0</v>
      </c>
      <c r="I138" s="136" t="str">
        <f>'[2]All Counts'!K138</f>
        <v>SR-905 EB</v>
      </c>
      <c r="J138" s="136" t="str">
        <f>'[2]All Counts'!L138</f>
        <v>SR-905 WB</v>
      </c>
      <c r="K138" s="136">
        <f>'[2]All Counts'!O138</f>
        <v>10163</v>
      </c>
      <c r="L138" s="57">
        <f>VLOOKUP(ws[[#This Row],[hwycov_id]],readme!D:G,4,FALSE)</f>
        <v>6142.1508789999998</v>
      </c>
      <c r="M138" s="88">
        <f>ws[[#This Row],[flow]]/ws[[#This Row],[count]]-1</f>
        <v>-0.39563604457345269</v>
      </c>
      <c r="N138" s="89">
        <f>POWER((ws[[#This Row],[flow]]-ws[[#This Row],[count]]),2)</f>
        <v>16167227.653846474</v>
      </c>
      <c r="O138" s="43">
        <f>VLOOKUP(ws[[#This Row],[hwycov_id]],count[],6,FALSE)</f>
        <v>0</v>
      </c>
      <c r="P138" s="43">
        <v>276</v>
      </c>
      <c r="Q138" s="43" t="str">
        <f>'[2]All Counts'!P138</f>
        <v>PeMS2016</v>
      </c>
      <c r="S138" s="94">
        <v>8780</v>
      </c>
      <c r="T138" s="17"/>
      <c r="U138" s="17"/>
      <c r="V138" s="17">
        <v>21493</v>
      </c>
      <c r="W138" s="17">
        <v>20347.445312</v>
      </c>
      <c r="X138" s="17"/>
      <c r="Y138" s="17"/>
      <c r="Z138" s="17"/>
      <c r="AA138" s="17"/>
      <c r="AB138" s="17">
        <v>21493</v>
      </c>
      <c r="AC138" s="17">
        <v>20347.445312</v>
      </c>
      <c r="AD138"/>
      <c r="AE138"/>
    </row>
    <row r="139" spans="1:31" x14ac:dyDescent="0.25">
      <c r="A139" s="136">
        <f>'[2]All Counts'!C139</f>
        <v>3</v>
      </c>
      <c r="B139" s="136">
        <f>'[2]All Counts'!D139</f>
        <v>1</v>
      </c>
      <c r="C139" s="136">
        <f>'[2]All Counts'!E139</f>
        <v>688</v>
      </c>
      <c r="D139" s="136">
        <f>'[2]All Counts'!F139</f>
        <v>1</v>
      </c>
      <c r="E139" s="136">
        <f>'[2]All Counts'!G139</f>
        <v>1</v>
      </c>
      <c r="F139" s="136" t="str">
        <f>'[2]All Counts'!H139</f>
        <v>I-805 NB</v>
      </c>
      <c r="G139" s="136">
        <f>'[2]All Counts'!I139</f>
        <v>8</v>
      </c>
      <c r="H139" s="136">
        <f>'[2]All Counts'!J139</f>
        <v>0</v>
      </c>
      <c r="I139" s="136">
        <f>'[2]All Counts'!K139</f>
        <v>0</v>
      </c>
      <c r="J139" s="136" t="str">
        <f>'[2]All Counts'!L139</f>
        <v>SR-905 WB</v>
      </c>
      <c r="K139" s="136">
        <f>'[2]All Counts'!O139</f>
        <v>15546</v>
      </c>
      <c r="L139" s="57">
        <f>VLOOKUP(ws[[#This Row],[hwycov_id]],readme!D:G,4,FALSE)</f>
        <v>13926.9375</v>
      </c>
      <c r="M139" s="88">
        <f>ws[[#This Row],[flow]]/ws[[#This Row],[count]]-1</f>
        <v>-0.10414656503280584</v>
      </c>
      <c r="N139" s="89">
        <f>POWER((ws[[#This Row],[flow]]-ws[[#This Row],[count]]),2)</f>
        <v>2621363.37890625</v>
      </c>
      <c r="O139" s="43">
        <f>VLOOKUP(ws[[#This Row],[hwycov_id]],count[],6,FALSE)</f>
        <v>0</v>
      </c>
      <c r="P139" s="43">
        <v>534</v>
      </c>
      <c r="Q139" s="43" t="str">
        <f>'[2]All Counts'!P139</f>
        <v>PeMS2016</v>
      </c>
      <c r="S139" s="94">
        <v>8781</v>
      </c>
      <c r="T139" s="17">
        <v>15363</v>
      </c>
      <c r="U139" s="17">
        <v>17086.748047000001</v>
      </c>
      <c r="V139" s="17"/>
      <c r="W139" s="17"/>
      <c r="X139" s="17"/>
      <c r="Y139" s="17"/>
      <c r="Z139" s="17"/>
      <c r="AA139" s="17"/>
      <c r="AB139" s="17">
        <v>15363</v>
      </c>
      <c r="AC139" s="17">
        <v>17086.748047000001</v>
      </c>
      <c r="AD139"/>
      <c r="AE139"/>
    </row>
    <row r="140" spans="1:31" x14ac:dyDescent="0.25">
      <c r="A140" s="136">
        <f>'[2]All Counts'!C140</f>
        <v>3</v>
      </c>
      <c r="B140" s="136">
        <f>'[2]All Counts'!D140</f>
        <v>1</v>
      </c>
      <c r="C140" s="136">
        <f>'[2]All Counts'!E140</f>
        <v>689</v>
      </c>
      <c r="D140" s="136">
        <f>'[2]All Counts'!F140</f>
        <v>1</v>
      </c>
      <c r="E140" s="136">
        <f>'[2]All Counts'!G140</f>
        <v>1</v>
      </c>
      <c r="F140" s="136" t="str">
        <f>'[2]All Counts'!H140</f>
        <v>I-805 NB</v>
      </c>
      <c r="G140" s="136">
        <f>'[2]All Counts'!I140</f>
        <v>9</v>
      </c>
      <c r="H140" s="136">
        <f>'[2]All Counts'!J140</f>
        <v>0</v>
      </c>
      <c r="I140" s="136" t="str">
        <f>'[2]All Counts'!K140</f>
        <v>PALM</v>
      </c>
      <c r="J140" s="136" t="str">
        <f>'[2]All Counts'!L140</f>
        <v>PALM</v>
      </c>
      <c r="K140" s="136">
        <f>'[2]All Counts'!O140</f>
        <v>12495</v>
      </c>
      <c r="L140" s="57">
        <f>VLOOKUP(ws[[#This Row],[hwycov_id]],readme!D:G,4,FALSE)</f>
        <v>12750.075194999999</v>
      </c>
      <c r="M140" s="88">
        <f>ws[[#This Row],[flow]]/ws[[#This Row],[count]]-1</f>
        <v>2.0414181272508936E-2</v>
      </c>
      <c r="N140" s="89">
        <f>POWER((ws[[#This Row],[flow]]-ws[[#This Row],[count]]),2)</f>
        <v>65063.355104287737</v>
      </c>
      <c r="O140" s="43">
        <f>VLOOKUP(ws[[#This Row],[hwycov_id]],count[],6,FALSE)</f>
        <v>0</v>
      </c>
      <c r="P140" s="43">
        <v>275</v>
      </c>
      <c r="Q140" s="43" t="str">
        <f>'[2]All Counts'!P140</f>
        <v>PeMS2016</v>
      </c>
      <c r="S140" s="94">
        <v>8784</v>
      </c>
      <c r="T140" s="17">
        <v>22959</v>
      </c>
      <c r="U140" s="17">
        <v>24965.744140999999</v>
      </c>
      <c r="V140" s="17"/>
      <c r="W140" s="17"/>
      <c r="X140" s="17"/>
      <c r="Y140" s="17"/>
      <c r="Z140" s="17"/>
      <c r="AA140" s="17"/>
      <c r="AB140" s="17">
        <v>22959</v>
      </c>
      <c r="AC140" s="17">
        <v>24965.744140999999</v>
      </c>
      <c r="AD140"/>
      <c r="AE140"/>
    </row>
    <row r="141" spans="1:31" x14ac:dyDescent="0.25">
      <c r="A141" s="136">
        <f>'[2]All Counts'!C141</f>
        <v>3</v>
      </c>
      <c r="B141" s="136">
        <f>'[2]All Counts'!D141</f>
        <v>1</v>
      </c>
      <c r="C141" s="136">
        <f>'[2]All Counts'!E141</f>
        <v>16183</v>
      </c>
      <c r="D141" s="136">
        <f>'[2]All Counts'!F141</f>
        <v>1</v>
      </c>
      <c r="E141" s="136">
        <f>'[2]All Counts'!G141</f>
        <v>1</v>
      </c>
      <c r="F141" s="136" t="str">
        <f>'[2]All Counts'!H141</f>
        <v>I-805 NB</v>
      </c>
      <c r="G141" s="136">
        <f>'[2]All Counts'!I141</f>
        <v>12</v>
      </c>
      <c r="H141" s="136">
        <f>'[2]All Counts'!J141</f>
        <v>0</v>
      </c>
      <c r="I141" s="136" t="str">
        <f>'[2]All Counts'!K141</f>
        <v>OTAY VALLEY</v>
      </c>
      <c r="J141" s="136" t="str">
        <f>'[2]All Counts'!L141</f>
        <v>OTAY VALLEY</v>
      </c>
      <c r="K141" s="136">
        <f>'[2]All Counts'!O141</f>
        <v>16031</v>
      </c>
      <c r="L141" s="57">
        <f>VLOOKUP(ws[[#This Row],[hwycov_id]],readme!D:G,4,FALSE)</f>
        <v>15686.220703000001</v>
      </c>
      <c r="M141" s="88">
        <f>ws[[#This Row],[flow]]/ws[[#This Row],[count]]-1</f>
        <v>-2.1507036179901351E-2</v>
      </c>
      <c r="N141" s="89">
        <f>POWER((ws[[#This Row],[flow]]-ws[[#This Row],[count]]),2)</f>
        <v>118872.76363981361</v>
      </c>
      <c r="O141" s="43">
        <f>VLOOKUP(ws[[#This Row],[hwycov_id]],count[],6,FALSE)</f>
        <v>0</v>
      </c>
      <c r="P141" s="43">
        <v>536</v>
      </c>
      <c r="Q141" s="43" t="str">
        <f>'[2]All Counts'!P141</f>
        <v>PeMS2016</v>
      </c>
      <c r="S141" s="94">
        <v>8787</v>
      </c>
      <c r="T141" s="17"/>
      <c r="U141" s="17"/>
      <c r="V141" s="17">
        <v>28959</v>
      </c>
      <c r="W141" s="17">
        <v>24334.28125</v>
      </c>
      <c r="X141" s="17"/>
      <c r="Y141" s="17"/>
      <c r="Z141" s="17"/>
      <c r="AA141" s="17"/>
      <c r="AB141" s="17">
        <v>28959</v>
      </c>
      <c r="AC141" s="17">
        <v>24334.28125</v>
      </c>
      <c r="AD141"/>
      <c r="AE141"/>
    </row>
    <row r="142" spans="1:31" x14ac:dyDescent="0.25">
      <c r="A142" s="136">
        <f>'[2]All Counts'!C142</f>
        <v>3</v>
      </c>
      <c r="B142" s="136">
        <f>'[2]All Counts'!D142</f>
        <v>1</v>
      </c>
      <c r="C142" s="136">
        <f>'[2]All Counts'!E142</f>
        <v>699</v>
      </c>
      <c r="D142" s="136">
        <f>'[2]All Counts'!F142</f>
        <v>1</v>
      </c>
      <c r="E142" s="136">
        <f>'[2]All Counts'!G142</f>
        <v>1</v>
      </c>
      <c r="F142" s="136" t="str">
        <f>'[2]All Counts'!H142</f>
        <v>I-805 NB</v>
      </c>
      <c r="G142" s="136">
        <f>'[2]All Counts'!I142</f>
        <v>14</v>
      </c>
      <c r="H142" s="136">
        <f>'[2]All Counts'!J142</f>
        <v>0</v>
      </c>
      <c r="I142" s="136" t="str">
        <f>'[2]All Counts'!K142</f>
        <v>ORANGE</v>
      </c>
      <c r="J142" s="136" t="str">
        <f>'[2]All Counts'!L142</f>
        <v>ORANGE</v>
      </c>
      <c r="K142" s="136">
        <f>'[2]All Counts'!O142</f>
        <v>15375</v>
      </c>
      <c r="L142" s="57">
        <f>VLOOKUP(ws[[#This Row],[hwycov_id]],readme!D:G,4,FALSE)</f>
        <v>15148.833984000001</v>
      </c>
      <c r="M142" s="88">
        <f>ws[[#This Row],[flow]]/ws[[#This Row],[count]]-1</f>
        <v>-1.4709984780487795E-2</v>
      </c>
      <c r="N142" s="89">
        <f>POWER((ws[[#This Row],[flow]]-ws[[#This Row],[count]]),2)</f>
        <v>51151.066793311904</v>
      </c>
      <c r="O142" s="43">
        <f>VLOOKUP(ws[[#This Row],[hwycov_id]],count[],6,FALSE)</f>
        <v>0</v>
      </c>
      <c r="P142" s="43">
        <v>604</v>
      </c>
      <c r="Q142" s="43" t="str">
        <f>'[2]All Counts'!P142</f>
        <v>PeMS2016</v>
      </c>
      <c r="S142" s="94">
        <v>8790</v>
      </c>
      <c r="T142" s="17">
        <v>18096</v>
      </c>
      <c r="U142" s="17">
        <v>27119.654297000001</v>
      </c>
      <c r="V142" s="17"/>
      <c r="W142" s="17"/>
      <c r="X142" s="17"/>
      <c r="Y142" s="17"/>
      <c r="Z142" s="17"/>
      <c r="AA142" s="17"/>
      <c r="AB142" s="17">
        <v>18096</v>
      </c>
      <c r="AC142" s="17">
        <v>27119.654297000001</v>
      </c>
      <c r="AD142"/>
      <c r="AE142"/>
    </row>
    <row r="143" spans="1:31" x14ac:dyDescent="0.25">
      <c r="A143" s="136">
        <f>'[2]All Counts'!C143</f>
        <v>3</v>
      </c>
      <c r="B143" s="136">
        <f>'[2]All Counts'!D143</f>
        <v>1</v>
      </c>
      <c r="C143" s="136">
        <f>'[2]All Counts'!E143</f>
        <v>702</v>
      </c>
      <c r="D143" s="136">
        <f>'[2]All Counts'!F143</f>
        <v>1</v>
      </c>
      <c r="E143" s="136">
        <f>'[2]All Counts'!G143</f>
        <v>1</v>
      </c>
      <c r="F143" s="136" t="str">
        <f>'[2]All Counts'!H143</f>
        <v>I-805 NB</v>
      </c>
      <c r="G143" s="136">
        <f>'[2]All Counts'!I143</f>
        <v>17</v>
      </c>
      <c r="H143" s="136">
        <f>'[2]All Counts'!J143</f>
        <v>0</v>
      </c>
      <c r="I143" s="136" t="str">
        <f>'[2]All Counts'!K143</f>
        <v>PALOMAR</v>
      </c>
      <c r="J143" s="136" t="str">
        <f>'[2]All Counts'!L143</f>
        <v>TELEGRAPH CANYON</v>
      </c>
      <c r="K143" s="136">
        <f>'[2]All Counts'!O143</f>
        <v>17130</v>
      </c>
      <c r="L143" s="57">
        <f>VLOOKUP(ws[[#This Row],[hwycov_id]],readme!D:G,4,FALSE)</f>
        <v>17950.041015999999</v>
      </c>
      <c r="M143" s="88">
        <f>ws[[#This Row],[flow]]/ws[[#This Row],[count]]-1</f>
        <v>4.787162965557501E-2</v>
      </c>
      <c r="N143" s="89">
        <f>POWER((ws[[#This Row],[flow]]-ws[[#This Row],[count]]),2)</f>
        <v>672467.26792231097</v>
      </c>
      <c r="O143" s="43">
        <f>VLOOKUP(ws[[#This Row],[hwycov_id]],count[],6,FALSE)</f>
        <v>0</v>
      </c>
      <c r="P143" s="43">
        <v>377</v>
      </c>
      <c r="Q143" s="43" t="str">
        <f>'[2]All Counts'!P143</f>
        <v>PeMS2016</v>
      </c>
      <c r="S143" s="94">
        <v>8791</v>
      </c>
      <c r="T143" s="17"/>
      <c r="U143" s="17"/>
      <c r="V143" s="17">
        <v>25382</v>
      </c>
      <c r="W143" s="17">
        <v>24434.988281000002</v>
      </c>
      <c r="X143" s="17"/>
      <c r="Y143" s="17"/>
      <c r="Z143" s="17"/>
      <c r="AA143" s="17"/>
      <c r="AB143" s="17">
        <v>25382</v>
      </c>
      <c r="AC143" s="17">
        <v>24434.988281000002</v>
      </c>
      <c r="AD143"/>
      <c r="AE143"/>
    </row>
    <row r="144" spans="1:31" x14ac:dyDescent="0.25">
      <c r="A144" s="136">
        <f>'[2]All Counts'!C144</f>
        <v>3</v>
      </c>
      <c r="B144" s="136">
        <f>'[2]All Counts'!D144</f>
        <v>1</v>
      </c>
      <c r="C144" s="136">
        <f>'[2]All Counts'!E144</f>
        <v>22146</v>
      </c>
      <c r="D144" s="136">
        <f>'[2]All Counts'!F144</f>
        <v>1</v>
      </c>
      <c r="E144" s="136">
        <f>'[2]All Counts'!G144</f>
        <v>1</v>
      </c>
      <c r="F144" s="136" t="str">
        <f>'[2]All Counts'!H144</f>
        <v>I-805 NB</v>
      </c>
      <c r="G144" s="136">
        <f>'[2]All Counts'!I144</f>
        <v>22</v>
      </c>
      <c r="H144" s="136">
        <f>'[2]All Counts'!J144</f>
        <v>0</v>
      </c>
      <c r="I144" s="136" t="str">
        <f>'[2]All Counts'!K144</f>
        <v>H</v>
      </c>
      <c r="J144" s="136" t="str">
        <f>'[2]All Counts'!L144</f>
        <v>H</v>
      </c>
      <c r="K144" s="136">
        <f>'[2]All Counts'!O144</f>
        <v>13565</v>
      </c>
      <c r="L144" s="57">
        <f>VLOOKUP(ws[[#This Row],[hwycov_id]],readme!D:G,4,FALSE)</f>
        <v>17710.476562</v>
      </c>
      <c r="M144" s="88">
        <f>ws[[#This Row],[flow]]/ws[[#This Row],[count]]-1</f>
        <v>0.30560092605971256</v>
      </c>
      <c r="N144" s="89">
        <f>POWER((ws[[#This Row],[flow]]-ws[[#This Row],[count]]),2)</f>
        <v>17184975.926091339</v>
      </c>
      <c r="O144" s="43">
        <f>VLOOKUP(ws[[#This Row],[hwycov_id]],count[],6,FALSE)</f>
        <v>0</v>
      </c>
      <c r="P144" s="43">
        <v>436</v>
      </c>
      <c r="Q144" s="43" t="str">
        <f>'[2]All Counts'!P144</f>
        <v>PeMS2016</v>
      </c>
      <c r="S144" s="94">
        <v>8802</v>
      </c>
      <c r="T144" s="17"/>
      <c r="U144" s="17"/>
      <c r="V144" s="17">
        <v>16116</v>
      </c>
      <c r="W144" s="17">
        <v>19336.683593999998</v>
      </c>
      <c r="X144" s="17"/>
      <c r="Y144" s="17"/>
      <c r="Z144" s="17"/>
      <c r="AA144" s="17"/>
      <c r="AB144" s="17">
        <v>16116</v>
      </c>
      <c r="AC144" s="17">
        <v>19336.683593999998</v>
      </c>
      <c r="AD144"/>
      <c r="AE144"/>
    </row>
    <row r="145" spans="1:31" x14ac:dyDescent="0.25">
      <c r="A145" s="136">
        <f>'[2]All Counts'!C145</f>
        <v>3</v>
      </c>
      <c r="B145" s="136">
        <f>'[2]All Counts'!D145</f>
        <v>1</v>
      </c>
      <c r="C145" s="136">
        <f>'[2]All Counts'!E145</f>
        <v>705</v>
      </c>
      <c r="D145" s="136">
        <f>'[2]All Counts'!F145</f>
        <v>1</v>
      </c>
      <c r="E145" s="136">
        <f>'[2]All Counts'!G145</f>
        <v>1</v>
      </c>
      <c r="F145" s="136" t="str">
        <f>'[2]All Counts'!H145</f>
        <v>I-805 NB</v>
      </c>
      <c r="G145" s="136">
        <f>'[2]All Counts'!I145</f>
        <v>25</v>
      </c>
      <c r="H145" s="136">
        <f>'[2]All Counts'!J145</f>
        <v>0</v>
      </c>
      <c r="I145" s="136" t="str">
        <f>'[2]All Counts'!K145</f>
        <v>H</v>
      </c>
      <c r="J145" s="136" t="str">
        <f>'[2]All Counts'!L145</f>
        <v>BONITA</v>
      </c>
      <c r="K145" s="136">
        <f>'[2]All Counts'!O145</f>
        <v>21748</v>
      </c>
      <c r="L145" s="57">
        <f>VLOOKUP(ws[[#This Row],[hwycov_id]],readme!D:G,4,FALSE)</f>
        <v>22324.302734000001</v>
      </c>
      <c r="M145" s="88">
        <f>ws[[#This Row],[flow]]/ws[[#This Row],[count]]-1</f>
        <v>2.6499114125436929E-2</v>
      </c>
      <c r="N145" s="89">
        <f>POWER((ws[[#This Row],[flow]]-ws[[#This Row],[count]]),2)</f>
        <v>332124.84121587564</v>
      </c>
      <c r="O145" s="43">
        <f>VLOOKUP(ws[[#This Row],[hwycov_id]],count[],6,FALSE)</f>
        <v>0</v>
      </c>
      <c r="P145" s="43">
        <v>376</v>
      </c>
      <c r="Q145" s="43" t="str">
        <f>'[2]All Counts'!P145</f>
        <v>PeMS2016</v>
      </c>
      <c r="S145" s="94">
        <v>8807</v>
      </c>
      <c r="T145" s="17">
        <v>31840</v>
      </c>
      <c r="U145" s="17">
        <v>36329.992187999997</v>
      </c>
      <c r="V145" s="17"/>
      <c r="W145" s="17"/>
      <c r="X145" s="17"/>
      <c r="Y145" s="17"/>
      <c r="Z145" s="17"/>
      <c r="AA145" s="17"/>
      <c r="AB145" s="17">
        <v>31840</v>
      </c>
      <c r="AC145" s="17">
        <v>36329.992187999997</v>
      </c>
      <c r="AD145"/>
      <c r="AE145"/>
    </row>
    <row r="146" spans="1:31" x14ac:dyDescent="0.25">
      <c r="A146" s="136">
        <f>'[2]All Counts'!C146</f>
        <v>3</v>
      </c>
      <c r="B146" s="136">
        <f>'[2]All Counts'!D146</f>
        <v>1</v>
      </c>
      <c r="C146" s="136">
        <f>'[2]All Counts'!E146</f>
        <v>706</v>
      </c>
      <c r="D146" s="136">
        <f>'[2]All Counts'!F146</f>
        <v>1</v>
      </c>
      <c r="E146" s="136">
        <f>'[2]All Counts'!G146</f>
        <v>1</v>
      </c>
      <c r="F146" s="136" t="str">
        <f>'[2]All Counts'!H146</f>
        <v>I-805 NB</v>
      </c>
      <c r="G146" s="136">
        <f>'[2]All Counts'!I146</f>
        <v>27</v>
      </c>
      <c r="H146" s="136">
        <f>'[2]All Counts'!J146</f>
        <v>0</v>
      </c>
      <c r="I146" s="136" t="str">
        <f>'[2]All Counts'!K146</f>
        <v>BONITA</v>
      </c>
      <c r="J146" s="136" t="str">
        <f>'[2]All Counts'!L146</f>
        <v>SR-54 EB</v>
      </c>
      <c r="K146" s="136">
        <f>'[2]All Counts'!O146</f>
        <v>24359</v>
      </c>
      <c r="L146" s="57">
        <f>VLOOKUP(ws[[#This Row],[hwycov_id]],readme!D:G,4,FALSE)</f>
        <v>24022.767577999999</v>
      </c>
      <c r="M146" s="88">
        <f>ws[[#This Row],[flow]]/ws[[#This Row],[count]]-1</f>
        <v>-1.3803211215567157E-2</v>
      </c>
      <c r="N146" s="89">
        <f>POWER((ws[[#This Row],[flow]]-ws[[#This Row],[count]]),2)</f>
        <v>113052.24160398672</v>
      </c>
      <c r="O146" s="43">
        <f>VLOOKUP(ws[[#This Row],[hwycov_id]],count[],6,FALSE)</f>
        <v>0</v>
      </c>
      <c r="P146" s="43">
        <v>437</v>
      </c>
      <c r="Q146" s="43" t="str">
        <f>'[2]All Counts'!P146</f>
        <v>Caltran</v>
      </c>
      <c r="S146" s="94">
        <v>8808</v>
      </c>
      <c r="T146" s="17"/>
      <c r="U146" s="17"/>
      <c r="V146" s="17">
        <v>22985</v>
      </c>
      <c r="W146" s="17">
        <v>26946.195312</v>
      </c>
      <c r="X146" s="17"/>
      <c r="Y146" s="17"/>
      <c r="Z146" s="17"/>
      <c r="AA146" s="17"/>
      <c r="AB146" s="17">
        <v>22985</v>
      </c>
      <c r="AC146" s="17">
        <v>26946.195312</v>
      </c>
      <c r="AD146"/>
      <c r="AE146"/>
    </row>
    <row r="147" spans="1:31" x14ac:dyDescent="0.25">
      <c r="A147" s="136">
        <f>'[2]All Counts'!C147</f>
        <v>3</v>
      </c>
      <c r="B147" s="136">
        <f>'[2]All Counts'!D147</f>
        <v>1</v>
      </c>
      <c r="C147" s="136">
        <f>'[2]All Counts'!E147</f>
        <v>708</v>
      </c>
      <c r="D147" s="136">
        <f>'[2]All Counts'!F147</f>
        <v>1</v>
      </c>
      <c r="E147" s="136">
        <f>'[2]All Counts'!G147</f>
        <v>1</v>
      </c>
      <c r="F147" s="136" t="str">
        <f>'[2]All Counts'!H147</f>
        <v>I-805 NB</v>
      </c>
      <c r="G147" s="136">
        <f>'[2]All Counts'!I147</f>
        <v>30</v>
      </c>
      <c r="H147" s="136">
        <f>'[2]All Counts'!J147</f>
        <v>0</v>
      </c>
      <c r="I147" s="136" t="str">
        <f>'[2]All Counts'!K147</f>
        <v>SWEETWATER</v>
      </c>
      <c r="J147" s="136" t="str">
        <f>'[2]All Counts'!L147</f>
        <v>SWEETWATER</v>
      </c>
      <c r="K147" s="136">
        <f>'[2]All Counts'!O147</f>
        <v>13364</v>
      </c>
      <c r="L147" s="57">
        <f>VLOOKUP(ws[[#This Row],[hwycov_id]],readme!D:G,4,FALSE)</f>
        <v>15648.295898</v>
      </c>
      <c r="M147" s="88">
        <f>ws[[#This Row],[flow]]/ws[[#This Row],[count]]-1</f>
        <v>0.17092905552229865</v>
      </c>
      <c r="N147" s="89">
        <f>POWER((ws[[#This Row],[flow]]-ws[[#This Row],[count]]),2)</f>
        <v>5218007.7496196274</v>
      </c>
      <c r="O147" s="43">
        <f>VLOOKUP(ws[[#This Row],[hwycov_id]],count[],6,FALSE)</f>
        <v>0</v>
      </c>
      <c r="P147" s="43">
        <v>454</v>
      </c>
      <c r="Q147" s="43" t="str">
        <f>'[2]All Counts'!P147</f>
        <v>PeMS2016</v>
      </c>
      <c r="S147" s="94">
        <v>8809</v>
      </c>
      <c r="T147" s="17">
        <v>28063</v>
      </c>
      <c r="U147" s="17">
        <v>33639.695312000003</v>
      </c>
      <c r="V147" s="17"/>
      <c r="W147" s="17"/>
      <c r="X147" s="17"/>
      <c r="Y147" s="17"/>
      <c r="Z147" s="17"/>
      <c r="AA147" s="17"/>
      <c r="AB147" s="17">
        <v>28063</v>
      </c>
      <c r="AC147" s="17">
        <v>33639.695312000003</v>
      </c>
      <c r="AD147"/>
      <c r="AE147"/>
    </row>
    <row r="148" spans="1:31" x14ac:dyDescent="0.25">
      <c r="A148" s="136">
        <f>'[2]All Counts'!C148</f>
        <v>3</v>
      </c>
      <c r="B148" s="136">
        <f>'[2]All Counts'!D148</f>
        <v>1</v>
      </c>
      <c r="C148" s="136">
        <f>'[2]All Counts'!E148</f>
        <v>20741</v>
      </c>
      <c r="D148" s="136">
        <f>'[2]All Counts'!F148</f>
        <v>1</v>
      </c>
      <c r="E148" s="136">
        <f>'[2]All Counts'!G148</f>
        <v>1</v>
      </c>
      <c r="F148" s="136" t="str">
        <f>'[2]All Counts'!H148</f>
        <v>I-805 NB</v>
      </c>
      <c r="G148" s="136">
        <f>'[2]All Counts'!I148</f>
        <v>32</v>
      </c>
      <c r="H148" s="136">
        <f>'[2]All Counts'!J148</f>
        <v>0</v>
      </c>
      <c r="I148" s="136" t="str">
        <f>'[2]All Counts'!K148</f>
        <v>SR-54 WB</v>
      </c>
      <c r="J148" s="136" t="str">
        <f>'[2]All Counts'!L148</f>
        <v>PLAZA</v>
      </c>
      <c r="K148" s="136">
        <f>'[2]All Counts'!O148</f>
        <v>19548</v>
      </c>
      <c r="L148" s="57">
        <f>VLOOKUP(ws[[#This Row],[hwycov_id]],readme!D:G,4,FALSE)</f>
        <v>23349.59375</v>
      </c>
      <c r="M148" s="88">
        <f>ws[[#This Row],[flow]]/ws[[#This Row],[count]]-1</f>
        <v>0.19447481839574388</v>
      </c>
      <c r="N148" s="89">
        <f>POWER((ws[[#This Row],[flow]]-ws[[#This Row],[count]]),2)</f>
        <v>14452115.040039063</v>
      </c>
      <c r="O148" s="43">
        <f>VLOOKUP(ws[[#This Row],[hwycov_id]],count[],6,FALSE)</f>
        <v>0</v>
      </c>
      <c r="P148" s="43">
        <v>461</v>
      </c>
      <c r="Q148" s="43" t="str">
        <f>'[2]All Counts'!P148</f>
        <v>PeMS2016</v>
      </c>
      <c r="S148" s="94">
        <v>8810</v>
      </c>
      <c r="T148" s="17"/>
      <c r="U148" s="17"/>
      <c r="V148" s="17">
        <v>20830</v>
      </c>
      <c r="W148" s="17">
        <v>21752.992188</v>
      </c>
      <c r="X148" s="17"/>
      <c r="Y148" s="17"/>
      <c r="Z148" s="17"/>
      <c r="AA148" s="17"/>
      <c r="AB148" s="17">
        <v>20830</v>
      </c>
      <c r="AC148" s="17">
        <v>21752.992188</v>
      </c>
      <c r="AD148"/>
      <c r="AE148"/>
    </row>
    <row r="149" spans="1:31" x14ac:dyDescent="0.25">
      <c r="A149" s="136">
        <f>'[2]All Counts'!C149</f>
        <v>3</v>
      </c>
      <c r="B149" s="136">
        <f>'[2]All Counts'!D149</f>
        <v>1</v>
      </c>
      <c r="C149" s="136">
        <f>'[2]All Counts'!E149</f>
        <v>20743</v>
      </c>
      <c r="D149" s="136">
        <f>'[2]All Counts'!F149</f>
        <v>1</v>
      </c>
      <c r="E149" s="136">
        <f>'[2]All Counts'!G149</f>
        <v>1</v>
      </c>
      <c r="F149" s="136" t="str">
        <f>'[2]All Counts'!H149</f>
        <v>I-805 NB</v>
      </c>
      <c r="G149" s="136">
        <f>'[2]All Counts'!I149</f>
        <v>33</v>
      </c>
      <c r="H149" s="136">
        <f>'[2]All Counts'!J149</f>
        <v>0</v>
      </c>
      <c r="I149" s="136" t="str">
        <f>'[2]All Counts'!K149</f>
        <v>PLAZA</v>
      </c>
      <c r="J149" s="136" t="str">
        <f>'[2]All Counts'!L149</f>
        <v>PLAZA</v>
      </c>
      <c r="K149" s="136">
        <f>'[2]All Counts'!O149</f>
        <v>17603</v>
      </c>
      <c r="L149" s="57">
        <f>VLOOKUP(ws[[#This Row],[hwycov_id]],readme!D:G,4,FALSE)</f>
        <v>20558.769531000002</v>
      </c>
      <c r="M149" s="88">
        <f>ws[[#This Row],[flow]]/ws[[#This Row],[count]]-1</f>
        <v>0.16791282912003647</v>
      </c>
      <c r="N149" s="89">
        <f>POWER((ws[[#This Row],[flow]]-ws[[#This Row],[count]]),2)</f>
        <v>8736573.5203879699</v>
      </c>
      <c r="O149" s="43">
        <f>VLOOKUP(ws[[#This Row],[hwycov_id]],count[],6,FALSE)</f>
        <v>0</v>
      </c>
      <c r="P149" s="43">
        <v>665</v>
      </c>
      <c r="Q149" s="43" t="str">
        <f>'[2]All Counts'!P149</f>
        <v>PeMS2016</v>
      </c>
      <c r="S149" s="94">
        <v>8814</v>
      </c>
      <c r="T149" s="17"/>
      <c r="U149" s="17"/>
      <c r="V149" s="17">
        <v>30102</v>
      </c>
      <c r="W149" s="17">
        <v>29478.955077999999</v>
      </c>
      <c r="X149" s="17"/>
      <c r="Y149" s="17"/>
      <c r="Z149" s="17"/>
      <c r="AA149" s="17"/>
      <c r="AB149" s="17">
        <v>30102</v>
      </c>
      <c r="AC149" s="17">
        <v>29478.955077999999</v>
      </c>
      <c r="AD149"/>
      <c r="AE149"/>
    </row>
    <row r="150" spans="1:31" x14ac:dyDescent="0.25">
      <c r="A150" s="136">
        <f>'[2]All Counts'!C150</f>
        <v>3</v>
      </c>
      <c r="B150" s="136">
        <f>'[2]All Counts'!D150</f>
        <v>1</v>
      </c>
      <c r="C150" s="136">
        <f>'[2]All Counts'!E150</f>
        <v>716</v>
      </c>
      <c r="D150" s="136">
        <f>'[2]All Counts'!F150</f>
        <v>1</v>
      </c>
      <c r="E150" s="136">
        <f>'[2]All Counts'!G150</f>
        <v>1</v>
      </c>
      <c r="F150" s="136" t="str">
        <f>'[2]All Counts'!H150</f>
        <v>I-805 NB</v>
      </c>
      <c r="G150" s="136">
        <f>'[2]All Counts'!I150</f>
        <v>34</v>
      </c>
      <c r="H150" s="136">
        <f>'[2]All Counts'!J150</f>
        <v>0</v>
      </c>
      <c r="I150" s="136" t="str">
        <f>'[2]All Counts'!K150</f>
        <v>PLAZA</v>
      </c>
      <c r="J150" s="136" t="str">
        <f>'[2]All Counts'!L150</f>
        <v>43RD</v>
      </c>
      <c r="K150" s="136">
        <f>'[2]All Counts'!O150</f>
        <v>23486</v>
      </c>
      <c r="L150" s="57">
        <f>VLOOKUP(ws[[#This Row],[hwycov_id]],readme!D:G,4,FALSE)</f>
        <v>22947.023438</v>
      </c>
      <c r="M150" s="88">
        <f>ws[[#This Row],[flow]]/ws[[#This Row],[count]]-1</f>
        <v>-2.294884450310819E-2</v>
      </c>
      <c r="N150" s="89">
        <f>POWER((ws[[#This Row],[flow]]-ws[[#This Row],[count]]),2)</f>
        <v>290495.73438533966</v>
      </c>
      <c r="O150" s="43">
        <f>VLOOKUP(ws[[#This Row],[hwycov_id]],count[],6,FALSE)</f>
        <v>0</v>
      </c>
      <c r="P150" s="43">
        <v>110</v>
      </c>
      <c r="Q150" s="43" t="str">
        <f>'[2]All Counts'!P150</f>
        <v>Caltran</v>
      </c>
      <c r="S150" s="94">
        <v>8816</v>
      </c>
      <c r="T150" s="17"/>
      <c r="U150" s="17"/>
      <c r="V150" s="17">
        <v>11716</v>
      </c>
      <c r="W150" s="17">
        <v>24601.699218999998</v>
      </c>
      <c r="X150" s="17"/>
      <c r="Y150" s="17"/>
      <c r="Z150" s="17"/>
      <c r="AA150" s="17"/>
      <c r="AB150" s="17">
        <v>11716</v>
      </c>
      <c r="AC150" s="17">
        <v>24601.699218999998</v>
      </c>
      <c r="AD150"/>
      <c r="AE150"/>
    </row>
    <row r="151" spans="1:31" x14ac:dyDescent="0.25">
      <c r="A151" s="136">
        <f>'[2]All Counts'!C151</f>
        <v>3</v>
      </c>
      <c r="B151" s="136">
        <f>'[2]All Counts'!D151</f>
        <v>1</v>
      </c>
      <c r="C151" s="136">
        <f>'[2]All Counts'!E151</f>
        <v>717</v>
      </c>
      <c r="D151" s="136">
        <f>'[2]All Counts'!F151</f>
        <v>1</v>
      </c>
      <c r="E151" s="136">
        <f>'[2]All Counts'!G151</f>
        <v>1</v>
      </c>
      <c r="F151" s="136" t="str">
        <f>'[2]All Counts'!H151</f>
        <v>I-805 NB</v>
      </c>
      <c r="G151" s="136">
        <f>'[2]All Counts'!I151</f>
        <v>35</v>
      </c>
      <c r="H151" s="136">
        <f>'[2]All Counts'!J151</f>
        <v>0</v>
      </c>
      <c r="I151" s="136" t="str">
        <f>'[2]All Counts'!K151</f>
        <v>43RD</v>
      </c>
      <c r="J151" s="136" t="str">
        <f>'[2]All Counts'!L151</f>
        <v>47TH</v>
      </c>
      <c r="K151" s="136">
        <f>'[2]All Counts'!O151</f>
        <v>20143</v>
      </c>
      <c r="L151" s="57">
        <f>VLOOKUP(ws[[#This Row],[hwycov_id]],readme!D:G,4,FALSE)</f>
        <v>22242.964843999998</v>
      </c>
      <c r="M151" s="88">
        <f>ws[[#This Row],[flow]]/ws[[#This Row],[count]]-1</f>
        <v>0.10425283443379829</v>
      </c>
      <c r="N151" s="89">
        <f>POWER((ws[[#This Row],[flow]]-ws[[#This Row],[count]]),2)</f>
        <v>4409852.3460359368</v>
      </c>
      <c r="O151" s="43">
        <f>VLOOKUP(ws[[#This Row],[hwycov_id]],count[],6,FALSE)</f>
        <v>0</v>
      </c>
      <c r="P151" s="43">
        <v>666</v>
      </c>
      <c r="Q151" s="43" t="str">
        <f>'[2]All Counts'!P151</f>
        <v>PeMS2016</v>
      </c>
      <c r="S151" s="94">
        <v>8820</v>
      </c>
      <c r="T151" s="17"/>
      <c r="U151" s="17"/>
      <c r="V151" s="17">
        <v>23317</v>
      </c>
      <c r="W151" s="17">
        <v>19762.931640999999</v>
      </c>
      <c r="X151" s="17"/>
      <c r="Y151" s="17"/>
      <c r="Z151" s="17"/>
      <c r="AA151" s="17"/>
      <c r="AB151" s="17">
        <v>23317</v>
      </c>
      <c r="AC151" s="17">
        <v>19762.931640999999</v>
      </c>
      <c r="AD151"/>
      <c r="AE151"/>
    </row>
    <row r="152" spans="1:31" x14ac:dyDescent="0.25">
      <c r="A152" s="136">
        <f>'[2]All Counts'!C152</f>
        <v>3</v>
      </c>
      <c r="B152" s="136">
        <f>'[2]All Counts'!D152</f>
        <v>1</v>
      </c>
      <c r="C152" s="136">
        <f>'[2]All Counts'!E152</f>
        <v>20747</v>
      </c>
      <c r="D152" s="136">
        <f>'[2]All Counts'!F152</f>
        <v>1</v>
      </c>
      <c r="E152" s="136">
        <f>'[2]All Counts'!G152</f>
        <v>1</v>
      </c>
      <c r="F152" s="136" t="str">
        <f>'[2]All Counts'!H152</f>
        <v>I-805 NB</v>
      </c>
      <c r="G152" s="136">
        <f>'[2]All Counts'!I152</f>
        <v>37</v>
      </c>
      <c r="H152" s="136">
        <f>'[2]All Counts'!J152</f>
        <v>0</v>
      </c>
      <c r="I152" s="136" t="str">
        <f>'[2]All Counts'!K152</f>
        <v>47TH</v>
      </c>
      <c r="J152" s="136" t="str">
        <f>'[2]All Counts'!L152</f>
        <v>47TH</v>
      </c>
      <c r="K152" s="136">
        <f>'[2]All Counts'!O152</f>
        <v>14457</v>
      </c>
      <c r="L152" s="57">
        <f>VLOOKUP(ws[[#This Row],[hwycov_id]],readme!D:G,4,FALSE)</f>
        <v>20713.548827999999</v>
      </c>
      <c r="M152" s="88">
        <f>ws[[#This Row],[flow]]/ws[[#This Row],[count]]-1</f>
        <v>0.43276951151691212</v>
      </c>
      <c r="N152" s="89">
        <f>POWER((ws[[#This Row],[flow]]-ws[[#This Row],[count]]),2)</f>
        <v>39144403.237148158</v>
      </c>
      <c r="O152" s="43">
        <f>VLOOKUP(ws[[#This Row],[hwycov_id]],count[],6,FALSE)</f>
        <v>0</v>
      </c>
      <c r="P152" s="43">
        <v>111</v>
      </c>
      <c r="Q152" s="43" t="str">
        <f>'[2]All Counts'!P152</f>
        <v>PeMS2016</v>
      </c>
      <c r="S152" s="94">
        <v>8821</v>
      </c>
      <c r="T152" s="17">
        <v>20409</v>
      </c>
      <c r="U152" s="17">
        <v>25375.207031000002</v>
      </c>
      <c r="V152" s="17"/>
      <c r="W152" s="17"/>
      <c r="X152" s="17"/>
      <c r="Y152" s="17"/>
      <c r="Z152" s="17"/>
      <c r="AA152" s="17"/>
      <c r="AB152" s="17">
        <v>20409</v>
      </c>
      <c r="AC152" s="17">
        <v>25375.207031000002</v>
      </c>
      <c r="AD152"/>
      <c r="AE152"/>
    </row>
    <row r="153" spans="1:31" x14ac:dyDescent="0.25">
      <c r="A153" s="136">
        <f>'[2]All Counts'!C153</f>
        <v>3</v>
      </c>
      <c r="B153" s="136">
        <f>'[2]All Counts'!D153</f>
        <v>1</v>
      </c>
      <c r="C153" s="136">
        <f>'[2]All Counts'!E153</f>
        <v>726</v>
      </c>
      <c r="D153" s="136">
        <f>'[2]All Counts'!F153</f>
        <v>1</v>
      </c>
      <c r="E153" s="136">
        <f>'[2]All Counts'!G153</f>
        <v>1</v>
      </c>
      <c r="F153" s="136" t="str">
        <f>'[2]All Counts'!H153</f>
        <v>I-805 NB</v>
      </c>
      <c r="G153" s="136">
        <f>'[2]All Counts'!I153</f>
        <v>40</v>
      </c>
      <c r="H153" s="136">
        <f>'[2]All Counts'!J153</f>
        <v>0</v>
      </c>
      <c r="I153" s="136" t="str">
        <f>'[2]All Counts'!K153</f>
        <v>IMPERIAL</v>
      </c>
      <c r="J153" s="136" t="str">
        <f>'[2]All Counts'!L153</f>
        <v>IMPERIAL</v>
      </c>
      <c r="K153" s="136">
        <f>'[2]All Counts'!O153</f>
        <v>18438</v>
      </c>
      <c r="L153" s="57">
        <f>VLOOKUP(ws[[#This Row],[hwycov_id]],readme!D:G,4,FALSE)</f>
        <v>22874.732422000001</v>
      </c>
      <c r="M153" s="88">
        <f>ws[[#This Row],[flow]]/ws[[#This Row],[count]]-1</f>
        <v>0.24062980919839472</v>
      </c>
      <c r="N153" s="89">
        <f>POWER((ws[[#This Row],[flow]]-ws[[#This Row],[count]]),2)</f>
        <v>19684594.584425993</v>
      </c>
      <c r="O153" s="43">
        <f>VLOOKUP(ws[[#This Row],[hwycov_id]],count[],6,FALSE)</f>
        <v>0</v>
      </c>
      <c r="P153" s="43">
        <v>719</v>
      </c>
      <c r="Q153" s="43" t="str">
        <f>'[2]All Counts'!P153</f>
        <v>PeMS2016</v>
      </c>
      <c r="S153" s="94">
        <v>8823</v>
      </c>
      <c r="T153" s="17"/>
      <c r="U153" s="17"/>
      <c r="V153" s="17">
        <v>18036</v>
      </c>
      <c r="W153" s="17">
        <v>15473.75</v>
      </c>
      <c r="X153" s="17"/>
      <c r="Y153" s="17"/>
      <c r="Z153" s="17"/>
      <c r="AA153" s="17"/>
      <c r="AB153" s="17">
        <v>18036</v>
      </c>
      <c r="AC153" s="17">
        <v>15473.75</v>
      </c>
      <c r="AD153"/>
      <c r="AE153"/>
    </row>
    <row r="154" spans="1:31" x14ac:dyDescent="0.25">
      <c r="A154" s="136">
        <f>'[2]All Counts'!C154</f>
        <v>3</v>
      </c>
      <c r="B154" s="136">
        <f>'[2]All Counts'!D154</f>
        <v>1</v>
      </c>
      <c r="C154" s="136">
        <f>'[2]All Counts'!E154</f>
        <v>728</v>
      </c>
      <c r="D154" s="136">
        <f>'[2]All Counts'!F154</f>
        <v>1</v>
      </c>
      <c r="E154" s="136">
        <f>'[2]All Counts'!G154</f>
        <v>1</v>
      </c>
      <c r="F154" s="136" t="str">
        <f>'[2]All Counts'!H154</f>
        <v>I-805 NB</v>
      </c>
      <c r="G154" s="136">
        <f>'[2]All Counts'!I154</f>
        <v>42</v>
      </c>
      <c r="H154" s="136">
        <f>'[2]All Counts'!J154</f>
        <v>0</v>
      </c>
      <c r="I154" s="136" t="str">
        <f>'[2]All Counts'!K154</f>
        <v>MARKET</v>
      </c>
      <c r="J154" s="136" t="str">
        <f>'[2]All Counts'!L154</f>
        <v>SR-94 WB</v>
      </c>
      <c r="K154" s="136">
        <f>'[2]All Counts'!O154</f>
        <v>22257</v>
      </c>
      <c r="L154" s="57">
        <f>VLOOKUP(ws[[#This Row],[hwycov_id]],readme!D:G,4,FALSE)</f>
        <v>23706.666015999999</v>
      </c>
      <c r="M154" s="88">
        <f>ws[[#This Row],[flow]]/ws[[#This Row],[count]]-1</f>
        <v>6.5133037516287073E-2</v>
      </c>
      <c r="N154" s="89">
        <f>POWER((ws[[#This Row],[flow]]-ws[[#This Row],[count]]),2)</f>
        <v>2101531.5579453101</v>
      </c>
      <c r="O154" s="43">
        <f>VLOOKUP(ws[[#This Row],[hwycov_id]],count[],6,FALSE)</f>
        <v>0</v>
      </c>
      <c r="P154" s="43">
        <v>721</v>
      </c>
      <c r="Q154" s="43" t="str">
        <f>'[2]All Counts'!P154</f>
        <v>Caltran</v>
      </c>
      <c r="S154" s="94">
        <v>8825</v>
      </c>
      <c r="T154" s="17">
        <v>19583</v>
      </c>
      <c r="U154" s="17">
        <v>22534.066406000002</v>
      </c>
      <c r="V154" s="17"/>
      <c r="W154" s="17"/>
      <c r="X154" s="17"/>
      <c r="Y154" s="17"/>
      <c r="Z154" s="17"/>
      <c r="AA154" s="17"/>
      <c r="AB154" s="17">
        <v>19583</v>
      </c>
      <c r="AC154" s="17">
        <v>22534.066406000002</v>
      </c>
      <c r="AD154"/>
      <c r="AE154"/>
    </row>
    <row r="155" spans="1:31" x14ac:dyDescent="0.25">
      <c r="A155" s="136">
        <f>'[2]All Counts'!C155</f>
        <v>3</v>
      </c>
      <c r="B155" s="136">
        <f>'[2]All Counts'!D155</f>
        <v>1</v>
      </c>
      <c r="C155" s="136">
        <f>'[2]All Counts'!E155</f>
        <v>3206</v>
      </c>
      <c r="D155" s="136">
        <f>'[2]All Counts'!F155</f>
        <v>1</v>
      </c>
      <c r="E155" s="136">
        <f>'[2]All Counts'!G155</f>
        <v>1</v>
      </c>
      <c r="F155" s="136" t="str">
        <f>'[2]All Counts'!H155</f>
        <v>I-805 NB</v>
      </c>
      <c r="G155" s="136">
        <f>'[2]All Counts'!I155</f>
        <v>43</v>
      </c>
      <c r="H155" s="136">
        <f>'[2]All Counts'!J155</f>
        <v>0</v>
      </c>
      <c r="I155" s="136" t="str">
        <f>'[2]All Counts'!K155</f>
        <v>SR-94 WB</v>
      </c>
      <c r="J155" s="136" t="str">
        <f>'[2]All Counts'!L155</f>
        <v>MARKET</v>
      </c>
      <c r="K155" s="136">
        <f>'[2]All Counts'!O155</f>
        <v>16682</v>
      </c>
      <c r="L155" s="57">
        <f>VLOOKUP(ws[[#This Row],[hwycov_id]],readme!D:G,4,FALSE)</f>
        <v>18735.220702999999</v>
      </c>
      <c r="M155" s="88">
        <f>ws[[#This Row],[flow]]/ws[[#This Row],[count]]-1</f>
        <v>0.12308000857211354</v>
      </c>
      <c r="N155" s="89">
        <f>POWER((ws[[#This Row],[flow]]-ws[[#This Row],[count]]),2)</f>
        <v>4215715.2552278107</v>
      </c>
      <c r="O155" s="43">
        <f>VLOOKUP(ws[[#This Row],[hwycov_id]],count[],6,FALSE)</f>
        <v>0</v>
      </c>
      <c r="P155" s="43">
        <v>720</v>
      </c>
      <c r="Q155" s="43" t="str">
        <f>'[2]All Counts'!P155</f>
        <v>PeMS2016</v>
      </c>
      <c r="S155" s="94">
        <v>8829</v>
      </c>
      <c r="T155" s="17"/>
      <c r="U155" s="17"/>
      <c r="V155" s="17"/>
      <c r="W155" s="17"/>
      <c r="X155" s="17"/>
      <c r="Y155" s="17"/>
      <c r="Z155" s="17">
        <v>18241</v>
      </c>
      <c r="AA155" s="17">
        <v>16805.021484000001</v>
      </c>
      <c r="AB155" s="17">
        <v>18241</v>
      </c>
      <c r="AC155" s="17">
        <v>16805.021484000001</v>
      </c>
      <c r="AD155"/>
      <c r="AE155"/>
    </row>
    <row r="156" spans="1:31" x14ac:dyDescent="0.25">
      <c r="A156" s="136">
        <f>'[2]All Counts'!C156</f>
        <v>3</v>
      </c>
      <c r="B156" s="136">
        <f>'[2]All Counts'!D156</f>
        <v>1</v>
      </c>
      <c r="C156" s="136">
        <f>'[2]All Counts'!E156</f>
        <v>733</v>
      </c>
      <c r="D156" s="136">
        <f>'[2]All Counts'!F156</f>
        <v>1</v>
      </c>
      <c r="E156" s="136">
        <f>'[2]All Counts'!G156</f>
        <v>1</v>
      </c>
      <c r="F156" s="136" t="str">
        <f>'[2]All Counts'!H156</f>
        <v>I-805 NB</v>
      </c>
      <c r="G156" s="136">
        <f>'[2]All Counts'!I156</f>
        <v>46</v>
      </c>
      <c r="H156" s="136">
        <f>'[2]All Counts'!J156</f>
        <v>0</v>
      </c>
      <c r="I156" s="136" t="str">
        <f>'[2]All Counts'!K156</f>
        <v>SR-94 WB</v>
      </c>
      <c r="J156" s="136" t="str">
        <f>'[2]All Counts'!L156</f>
        <v>HOME</v>
      </c>
      <c r="K156" s="136">
        <f>'[2]All Counts'!O156</f>
        <v>16337</v>
      </c>
      <c r="L156" s="57">
        <f>VLOOKUP(ws[[#This Row],[hwycov_id]],readme!D:G,4,FALSE)</f>
        <v>18197.052734000001</v>
      </c>
      <c r="M156" s="88">
        <f>ws[[#This Row],[flow]]/ws[[#This Row],[count]]-1</f>
        <v>0.11385522029748429</v>
      </c>
      <c r="N156" s="89">
        <f>POWER((ws[[#This Row],[flow]]-ws[[#This Row],[count]]),2)</f>
        <v>3459796.1732608778</v>
      </c>
      <c r="O156" s="43">
        <f>VLOOKUP(ws[[#This Row],[hwycov_id]],count[],6,FALSE)</f>
        <v>0</v>
      </c>
      <c r="P156" s="43">
        <v>50</v>
      </c>
      <c r="Q156" s="43" t="str">
        <f>'[2]All Counts'!P156</f>
        <v>PeMS2016</v>
      </c>
      <c r="S156" s="94">
        <v>8830</v>
      </c>
      <c r="T156" s="17"/>
      <c r="U156" s="17"/>
      <c r="V156" s="17"/>
      <c r="W156" s="17"/>
      <c r="X156" s="17"/>
      <c r="Y156" s="17"/>
      <c r="Z156" s="17">
        <v>13469</v>
      </c>
      <c r="AA156" s="17">
        <v>13243.988281</v>
      </c>
      <c r="AB156" s="17">
        <v>13469</v>
      </c>
      <c r="AC156" s="17">
        <v>13243.988281</v>
      </c>
      <c r="AD156"/>
      <c r="AE156"/>
    </row>
    <row r="157" spans="1:31" x14ac:dyDescent="0.25">
      <c r="A157" s="136">
        <f>'[2]All Counts'!C157</f>
        <v>3</v>
      </c>
      <c r="B157" s="136">
        <f>'[2]All Counts'!D157</f>
        <v>1</v>
      </c>
      <c r="C157" s="136">
        <f>'[2]All Counts'!E157</f>
        <v>20749</v>
      </c>
      <c r="D157" s="136">
        <f>'[2]All Counts'!F157</f>
        <v>1</v>
      </c>
      <c r="E157" s="136">
        <f>'[2]All Counts'!G157</f>
        <v>1</v>
      </c>
      <c r="F157" s="136" t="str">
        <f>'[2]All Counts'!H157</f>
        <v>I-805 NB</v>
      </c>
      <c r="G157" s="136">
        <f>'[2]All Counts'!I157</f>
        <v>47</v>
      </c>
      <c r="H157" s="136">
        <f>'[2]All Counts'!J157</f>
        <v>0</v>
      </c>
      <c r="I157" s="136" t="str">
        <f>'[2]All Counts'!K157</f>
        <v>HOME</v>
      </c>
      <c r="J157" s="136" t="str">
        <f>'[2]All Counts'!L157</f>
        <v>SR-15 NB</v>
      </c>
      <c r="K157" s="136">
        <f>'[2]All Counts'!O157</f>
        <v>22990</v>
      </c>
      <c r="L157" s="57">
        <f>VLOOKUP(ws[[#This Row],[hwycov_id]],readme!D:G,4,FALSE)</f>
        <v>25049.494140999999</v>
      </c>
      <c r="M157" s="88">
        <f>ws[[#This Row],[flow]]/ws[[#This Row],[count]]-1</f>
        <v>8.9582172292300921E-2</v>
      </c>
      <c r="N157" s="89">
        <f>POWER((ws[[#This Row],[flow]]-ws[[#This Row],[count]]),2)</f>
        <v>4241516.1168133244</v>
      </c>
      <c r="O157" s="43">
        <f>VLOOKUP(ws[[#This Row],[hwycov_id]],count[],6,FALSE)</f>
        <v>0</v>
      </c>
      <c r="P157" s="43">
        <v>47</v>
      </c>
      <c r="Q157" s="43" t="str">
        <f>'[2]All Counts'!P157</f>
        <v>PeMS2016</v>
      </c>
      <c r="S157" s="94">
        <v>8831</v>
      </c>
      <c r="T157" s="17"/>
      <c r="U157" s="17"/>
      <c r="V157" s="17"/>
      <c r="W157" s="17"/>
      <c r="X157" s="17"/>
      <c r="Y157" s="17"/>
      <c r="Z157" s="17">
        <v>13844</v>
      </c>
      <c r="AA157" s="17">
        <v>15029.502930000001</v>
      </c>
      <c r="AB157" s="17">
        <v>13844</v>
      </c>
      <c r="AC157" s="17">
        <v>15029.502930000001</v>
      </c>
      <c r="AD157"/>
      <c r="AE157"/>
    </row>
    <row r="158" spans="1:31" x14ac:dyDescent="0.25">
      <c r="A158" s="136">
        <f>'[2]All Counts'!C158</f>
        <v>3</v>
      </c>
      <c r="B158" s="136">
        <f>'[2]All Counts'!D158</f>
        <v>1</v>
      </c>
      <c r="C158" s="136">
        <f>'[2]All Counts'!E158</f>
        <v>15870</v>
      </c>
      <c r="D158" s="136">
        <f>'[2]All Counts'!F158</f>
        <v>1</v>
      </c>
      <c r="E158" s="136">
        <f>'[2]All Counts'!G158</f>
        <v>1</v>
      </c>
      <c r="F158" s="136" t="str">
        <f>'[2]All Counts'!H158</f>
        <v>I-805 NB</v>
      </c>
      <c r="G158" s="136">
        <f>'[2]All Counts'!I158</f>
        <v>48</v>
      </c>
      <c r="H158" s="136">
        <f>'[2]All Counts'!J158</f>
        <v>0</v>
      </c>
      <c r="I158" s="136" t="str">
        <f>'[2]All Counts'!K158</f>
        <v>SR-15 NB</v>
      </c>
      <c r="J158" s="136" t="str">
        <f>'[2]All Counts'!L158</f>
        <v>SR-15 NB</v>
      </c>
      <c r="K158" s="136">
        <f>'[2]All Counts'!O158</f>
        <v>13736</v>
      </c>
      <c r="L158" s="57">
        <f>VLOOKUP(ws[[#This Row],[hwycov_id]],readme!D:G,4,FALSE)</f>
        <v>14083.180664</v>
      </c>
      <c r="M158" s="88">
        <f>ws[[#This Row],[flow]]/ws[[#This Row],[count]]-1</f>
        <v>2.5275237623762381E-2</v>
      </c>
      <c r="N158" s="89">
        <f>POWER((ws[[#This Row],[flow]]-ws[[#This Row],[count]]),2)</f>
        <v>120534.41345548056</v>
      </c>
      <c r="O158" s="43">
        <f>VLOOKUP(ws[[#This Row],[hwycov_id]],count[],6,FALSE)</f>
        <v>0</v>
      </c>
      <c r="P158" s="43">
        <v>727</v>
      </c>
      <c r="Q158" s="43" t="str">
        <f>'[2]All Counts'!P158</f>
        <v>PeMS2016</v>
      </c>
      <c r="S158" s="94">
        <v>8834</v>
      </c>
      <c r="T158" s="17"/>
      <c r="U158" s="17"/>
      <c r="V158" s="17"/>
      <c r="W158" s="17"/>
      <c r="X158" s="17">
        <v>12472</v>
      </c>
      <c r="Y158" s="17">
        <v>13471.100586</v>
      </c>
      <c r="Z158" s="17"/>
      <c r="AA158" s="17"/>
      <c r="AB158" s="17">
        <v>12472</v>
      </c>
      <c r="AC158" s="17">
        <v>13471.100586</v>
      </c>
      <c r="AD158"/>
      <c r="AE158"/>
    </row>
    <row r="159" spans="1:31" x14ac:dyDescent="0.25">
      <c r="A159" s="136">
        <f>'[2]All Counts'!C159</f>
        <v>3</v>
      </c>
      <c r="B159" s="136">
        <f>'[2]All Counts'!D159</f>
        <v>1</v>
      </c>
      <c r="C159" s="136">
        <f>'[2]All Counts'!E159</f>
        <v>738</v>
      </c>
      <c r="D159" s="136">
        <f>'[2]All Counts'!F159</f>
        <v>1</v>
      </c>
      <c r="E159" s="136">
        <f>'[2]All Counts'!G159</f>
        <v>1</v>
      </c>
      <c r="F159" s="136" t="str">
        <f>'[2]All Counts'!H159</f>
        <v>I-805 NB</v>
      </c>
      <c r="G159" s="136">
        <f>'[2]All Counts'!I159</f>
        <v>49</v>
      </c>
      <c r="H159" s="136">
        <f>'[2]All Counts'!J159</f>
        <v>0</v>
      </c>
      <c r="I159" s="136" t="str">
        <f>'[2]All Counts'!K159</f>
        <v>SR-15 NB</v>
      </c>
      <c r="J159" s="136" t="str">
        <f>'[2]All Counts'!L159</f>
        <v>SR-15 NB</v>
      </c>
      <c r="K159" s="136">
        <f>'[2]All Counts'!O159</f>
        <v>13944</v>
      </c>
      <c r="L159" s="57">
        <f>VLOOKUP(ws[[#This Row],[hwycov_id]],readme!D:G,4,FALSE)</f>
        <v>14083.180664</v>
      </c>
      <c r="M159" s="88">
        <f>ws[[#This Row],[flow]]/ws[[#This Row],[count]]-1</f>
        <v>9.9814016064256883E-3</v>
      </c>
      <c r="N159" s="89">
        <f>POWER((ws[[#This Row],[flow]]-ws[[#This Row],[count]]),2)</f>
        <v>19371.257231480762</v>
      </c>
      <c r="O159" s="43">
        <f>VLOOKUP(ws[[#This Row],[hwycov_id]],count[],6,FALSE)</f>
        <v>0</v>
      </c>
      <c r="P159" s="43">
        <v>728</v>
      </c>
      <c r="Q159" s="43" t="str">
        <f>'[2]All Counts'!P159</f>
        <v>PeMS2016</v>
      </c>
      <c r="S159" s="94">
        <v>8839</v>
      </c>
      <c r="T159" s="17"/>
      <c r="U159" s="17"/>
      <c r="V159" s="17"/>
      <c r="W159" s="17"/>
      <c r="X159" s="17">
        <v>14936</v>
      </c>
      <c r="Y159" s="17">
        <v>17853.105468999998</v>
      </c>
      <c r="Z159" s="17"/>
      <c r="AA159" s="17"/>
      <c r="AB159" s="17">
        <v>14936</v>
      </c>
      <c r="AC159" s="17">
        <v>17853.105468999998</v>
      </c>
      <c r="AD159"/>
      <c r="AE159"/>
    </row>
    <row r="160" spans="1:31" x14ac:dyDescent="0.25">
      <c r="A160" s="136">
        <f>'[2]All Counts'!C160</f>
        <v>3</v>
      </c>
      <c r="B160" s="136">
        <f>'[2]All Counts'!D160</f>
        <v>1</v>
      </c>
      <c r="C160" s="136">
        <f>'[2]All Counts'!E160</f>
        <v>744</v>
      </c>
      <c r="D160" s="136">
        <f>'[2]All Counts'!F160</f>
        <v>1</v>
      </c>
      <c r="E160" s="136">
        <f>'[2]All Counts'!G160</f>
        <v>1</v>
      </c>
      <c r="F160" s="136" t="str">
        <f>'[2]All Counts'!H160</f>
        <v>I-805 NB</v>
      </c>
      <c r="G160" s="136">
        <f>'[2]All Counts'!I160</f>
        <v>51</v>
      </c>
      <c r="H160" s="136">
        <f>'[2]All Counts'!J160</f>
        <v>0</v>
      </c>
      <c r="I160" s="136" t="str">
        <f>'[2]All Counts'!K160</f>
        <v>UNIVERSITY</v>
      </c>
      <c r="J160" s="136" t="str">
        <f>'[2]All Counts'!L160</f>
        <v>UNIVERSITY</v>
      </c>
      <c r="K160" s="136">
        <f>'[2]All Counts'!O160</f>
        <v>15765</v>
      </c>
      <c r="L160" s="57">
        <f>VLOOKUP(ws[[#This Row],[hwycov_id]],readme!D:G,4,FALSE)</f>
        <v>16937.144531000002</v>
      </c>
      <c r="M160" s="88">
        <f>ws[[#This Row],[flow]]/ws[[#This Row],[count]]-1</f>
        <v>7.4351064446559034E-2</v>
      </c>
      <c r="N160" s="89">
        <f>POWER((ws[[#This Row],[flow]]-ws[[#This Row],[count]]),2)</f>
        <v>1373922.801553214</v>
      </c>
      <c r="O160" s="43">
        <f>VLOOKUP(ws[[#This Row],[hwycov_id]],count[],6,FALSE)</f>
        <v>0</v>
      </c>
      <c r="P160" s="43">
        <v>734</v>
      </c>
      <c r="Q160" s="43" t="str">
        <f>'[2]All Counts'!P160</f>
        <v>PeMS2016</v>
      </c>
      <c r="S160" s="94">
        <v>8840</v>
      </c>
      <c r="T160" s="17"/>
      <c r="U160" s="17"/>
      <c r="V160" s="17"/>
      <c r="W160" s="17"/>
      <c r="X160" s="17"/>
      <c r="Y160" s="17"/>
      <c r="Z160" s="17">
        <v>11323</v>
      </c>
      <c r="AA160" s="17">
        <v>13894.675781</v>
      </c>
      <c r="AB160" s="17">
        <v>11323</v>
      </c>
      <c r="AC160" s="17">
        <v>13894.675781</v>
      </c>
      <c r="AD160"/>
      <c r="AE160"/>
    </row>
    <row r="161" spans="1:31" x14ac:dyDescent="0.25">
      <c r="A161" s="136">
        <f>'[2]All Counts'!C161</f>
        <v>3</v>
      </c>
      <c r="B161" s="136">
        <f>'[2]All Counts'!D161</f>
        <v>1</v>
      </c>
      <c r="C161" s="136">
        <f>'[2]All Counts'!E161</f>
        <v>746</v>
      </c>
      <c r="D161" s="136">
        <f>'[2]All Counts'!F161</f>
        <v>1</v>
      </c>
      <c r="E161" s="136">
        <f>'[2]All Counts'!G161</f>
        <v>1</v>
      </c>
      <c r="F161" s="136" t="str">
        <f>'[2]All Counts'!H161</f>
        <v>I-805 NB</v>
      </c>
      <c r="G161" s="136">
        <f>'[2]All Counts'!I161</f>
        <v>52</v>
      </c>
      <c r="H161" s="136">
        <f>'[2]All Counts'!J161</f>
        <v>0</v>
      </c>
      <c r="I161" s="136" t="str">
        <f>'[2]All Counts'!K161</f>
        <v>UNIVERSITY</v>
      </c>
      <c r="J161" s="136" t="str">
        <f>'[2]All Counts'!L161</f>
        <v>EL CAJON</v>
      </c>
      <c r="K161" s="136">
        <f>'[2]All Counts'!O161</f>
        <v>18283</v>
      </c>
      <c r="L161" s="57">
        <f>VLOOKUP(ws[[#This Row],[hwycov_id]],readme!D:G,4,FALSE)</f>
        <v>18960.5625</v>
      </c>
      <c r="M161" s="88">
        <f>ws[[#This Row],[flow]]/ws[[#This Row],[count]]-1</f>
        <v>3.7059700268008422E-2</v>
      </c>
      <c r="N161" s="89">
        <f>POWER((ws[[#This Row],[flow]]-ws[[#This Row],[count]]),2)</f>
        <v>459090.94140625</v>
      </c>
      <c r="O161" s="43">
        <f>VLOOKUP(ws[[#This Row],[hwycov_id]],count[],6,FALSE)</f>
        <v>0</v>
      </c>
      <c r="P161" s="43">
        <v>672</v>
      </c>
      <c r="Q161" s="43" t="str">
        <f>'[2]All Counts'!P161</f>
        <v>PeMS2016</v>
      </c>
      <c r="S161" s="94">
        <v>8841</v>
      </c>
      <c r="T161" s="17"/>
      <c r="U161" s="17"/>
      <c r="V161" s="17"/>
      <c r="W161" s="17"/>
      <c r="X161" s="17"/>
      <c r="Y161" s="17"/>
      <c r="Z161" s="17">
        <v>13576</v>
      </c>
      <c r="AA161" s="17">
        <v>17164.515625</v>
      </c>
      <c r="AB161" s="17">
        <v>13576</v>
      </c>
      <c r="AC161" s="17">
        <v>17164.515625</v>
      </c>
      <c r="AD161"/>
      <c r="AE161"/>
    </row>
    <row r="162" spans="1:31" x14ac:dyDescent="0.25">
      <c r="A162" s="136">
        <f>'[2]All Counts'!C162</f>
        <v>3</v>
      </c>
      <c r="B162" s="136">
        <f>'[2]All Counts'!D162</f>
        <v>1</v>
      </c>
      <c r="C162" s="136">
        <f>'[2]All Counts'!E162</f>
        <v>20755</v>
      </c>
      <c r="D162" s="136">
        <f>'[2]All Counts'!F162</f>
        <v>1</v>
      </c>
      <c r="E162" s="136">
        <f>'[2]All Counts'!G162</f>
        <v>1</v>
      </c>
      <c r="F162" s="136" t="str">
        <f>'[2]All Counts'!H162</f>
        <v>I-805 NB</v>
      </c>
      <c r="G162" s="136">
        <f>'[2]All Counts'!I162</f>
        <v>56</v>
      </c>
      <c r="H162" s="136">
        <f>'[2]All Counts'!J162</f>
        <v>0</v>
      </c>
      <c r="I162" s="136" t="str">
        <f>'[2]All Counts'!K162</f>
        <v>I-8 EB</v>
      </c>
      <c r="J162" s="136" t="str">
        <f>'[2]All Counts'!L162</f>
        <v>I-8 WB</v>
      </c>
      <c r="K162" s="136">
        <f>'[2]All Counts'!O162</f>
        <v>12241</v>
      </c>
      <c r="L162" s="57">
        <f>VLOOKUP(ws[[#This Row],[hwycov_id]],readme!D:G,4,FALSE)</f>
        <v>14790.169921999999</v>
      </c>
      <c r="M162" s="88">
        <f>ws[[#This Row],[flow]]/ws[[#This Row],[count]]-1</f>
        <v>0.20824850273670448</v>
      </c>
      <c r="N162" s="89">
        <f>POWER((ws[[#This Row],[flow]]-ws[[#This Row],[count]]),2)</f>
        <v>6498267.2912294818</v>
      </c>
      <c r="O162" s="43">
        <f>VLOOKUP(ws[[#This Row],[hwycov_id]],count[],6,FALSE)</f>
        <v>0</v>
      </c>
      <c r="P162" s="43">
        <v>286</v>
      </c>
      <c r="Q162" s="43" t="str">
        <f>'[2]All Counts'!P162</f>
        <v>PeMS2016</v>
      </c>
      <c r="S162" s="94">
        <v>8846</v>
      </c>
      <c r="T162" s="17"/>
      <c r="U162" s="17"/>
      <c r="V162" s="17"/>
      <c r="W162" s="17"/>
      <c r="X162" s="17"/>
      <c r="Y162" s="17"/>
      <c r="Z162" s="17">
        <v>15772</v>
      </c>
      <c r="AA162" s="17">
        <v>20939.974609000001</v>
      </c>
      <c r="AB162" s="17">
        <v>15772</v>
      </c>
      <c r="AC162" s="17">
        <v>20939.974609000001</v>
      </c>
      <c r="AD162"/>
      <c r="AE162"/>
    </row>
    <row r="163" spans="1:31" x14ac:dyDescent="0.25">
      <c r="A163" s="136">
        <f>'[2]All Counts'!C163</f>
        <v>3</v>
      </c>
      <c r="B163" s="136">
        <f>'[2]All Counts'!D163</f>
        <v>1</v>
      </c>
      <c r="C163" s="136">
        <f>'[2]All Counts'!E163</f>
        <v>751</v>
      </c>
      <c r="D163" s="136">
        <f>'[2]All Counts'!F163</f>
        <v>1</v>
      </c>
      <c r="E163" s="136">
        <f>'[2]All Counts'!G163</f>
        <v>1</v>
      </c>
      <c r="F163" s="136" t="str">
        <f>'[2]All Counts'!H163</f>
        <v>I-805 NB</v>
      </c>
      <c r="G163" s="136">
        <f>'[2]All Counts'!I163</f>
        <v>57</v>
      </c>
      <c r="H163" s="136">
        <f>'[2]All Counts'!J163</f>
        <v>0</v>
      </c>
      <c r="I163" s="136" t="str">
        <f>'[2]All Counts'!K163</f>
        <v>I-8 WB</v>
      </c>
      <c r="J163" s="136" t="str">
        <f>'[2]All Counts'!L163</f>
        <v>MURRAY RIDGE</v>
      </c>
      <c r="K163" s="136">
        <f>'[2]All Counts'!O163</f>
        <v>18002</v>
      </c>
      <c r="L163" s="57">
        <f>VLOOKUP(ws[[#This Row],[hwycov_id]],readme!D:G,4,FALSE)</f>
        <v>23431.509765999999</v>
      </c>
      <c r="M163" s="88">
        <f>ws[[#This Row],[flow]]/ws[[#This Row],[count]]-1</f>
        <v>0.30160591967559158</v>
      </c>
      <c r="N163" s="89">
        <f>POWER((ws[[#This Row],[flow]]-ws[[#This Row],[count]]),2)</f>
        <v>29479576.299089365</v>
      </c>
      <c r="O163" s="43">
        <f>VLOOKUP(ws[[#This Row],[hwycov_id]],count[],6,FALSE)</f>
        <v>0</v>
      </c>
      <c r="P163" s="43">
        <v>520</v>
      </c>
      <c r="Q163" s="43" t="str">
        <f>'[2]All Counts'!P163</f>
        <v>PeMS2016</v>
      </c>
      <c r="S163" s="94">
        <v>8887</v>
      </c>
      <c r="T163" s="17"/>
      <c r="U163" s="17"/>
      <c r="V163" s="17">
        <v>22727</v>
      </c>
      <c r="W163" s="17">
        <v>22699.681640999999</v>
      </c>
      <c r="X163" s="17"/>
      <c r="Y163" s="17"/>
      <c r="Z163" s="17"/>
      <c r="AA163" s="17"/>
      <c r="AB163" s="17">
        <v>22727</v>
      </c>
      <c r="AC163" s="17">
        <v>22699.681640999999</v>
      </c>
      <c r="AD163"/>
      <c r="AE163"/>
    </row>
    <row r="164" spans="1:31" x14ac:dyDescent="0.25">
      <c r="A164" s="136">
        <f>'[2]All Counts'!C164</f>
        <v>3</v>
      </c>
      <c r="B164" s="136">
        <f>'[2]All Counts'!D164</f>
        <v>1</v>
      </c>
      <c r="C164" s="136">
        <f>'[2]All Counts'!E164</f>
        <v>752</v>
      </c>
      <c r="D164" s="136">
        <f>'[2]All Counts'!F164</f>
        <v>1</v>
      </c>
      <c r="E164" s="136">
        <f>'[2]All Counts'!G164</f>
        <v>1</v>
      </c>
      <c r="F164" s="136" t="str">
        <f>'[2]All Counts'!H164</f>
        <v>I-805 NB</v>
      </c>
      <c r="G164" s="136">
        <f>'[2]All Counts'!I164</f>
        <v>58</v>
      </c>
      <c r="H164" s="136">
        <f>'[2]All Counts'!J164</f>
        <v>0</v>
      </c>
      <c r="I164" s="136" t="str">
        <f>'[2]All Counts'!K164</f>
        <v>MURRAY RIDGE</v>
      </c>
      <c r="J164" s="136" t="str">
        <f>'[2]All Counts'!L164</f>
        <v>MURRAY RIDGE</v>
      </c>
      <c r="K164" s="136">
        <f>'[2]All Counts'!O164</f>
        <v>16381</v>
      </c>
      <c r="L164" s="57">
        <f>VLOOKUP(ws[[#This Row],[hwycov_id]],readme!D:G,4,FALSE)</f>
        <v>21650.863281000002</v>
      </c>
      <c r="M164" s="88">
        <f>ws[[#This Row],[flow]]/ws[[#This Row],[count]]-1</f>
        <v>0.3217058348696662</v>
      </c>
      <c r="N164" s="89">
        <f>POWER((ws[[#This Row],[flow]]-ws[[#This Row],[count]]),2)</f>
        <v>27771459.000432104</v>
      </c>
      <c r="O164" s="43">
        <f>VLOOKUP(ws[[#This Row],[hwycov_id]],count[],6,FALSE)</f>
        <v>0</v>
      </c>
      <c r="P164" s="43">
        <v>336</v>
      </c>
      <c r="Q164" s="43" t="str">
        <f>'[2]All Counts'!P164</f>
        <v>PeMS2016</v>
      </c>
      <c r="S164" s="94">
        <v>8896</v>
      </c>
      <c r="T164" s="17">
        <v>18088</v>
      </c>
      <c r="U164" s="17">
        <v>23667.734375</v>
      </c>
      <c r="V164" s="17"/>
      <c r="W164" s="17"/>
      <c r="X164" s="17"/>
      <c r="Y164" s="17"/>
      <c r="Z164" s="17"/>
      <c r="AA164" s="17"/>
      <c r="AB164" s="17">
        <v>18088</v>
      </c>
      <c r="AC164" s="17">
        <v>23667.734375</v>
      </c>
      <c r="AD164"/>
      <c r="AE164"/>
    </row>
    <row r="165" spans="1:31" x14ac:dyDescent="0.25">
      <c r="A165" s="136">
        <f>'[2]All Counts'!C165</f>
        <v>3</v>
      </c>
      <c r="B165" s="136">
        <f>'[2]All Counts'!D165</f>
        <v>1</v>
      </c>
      <c r="C165" s="136">
        <f>'[2]All Counts'!E165</f>
        <v>754</v>
      </c>
      <c r="D165" s="136">
        <f>'[2]All Counts'!F165</f>
        <v>1</v>
      </c>
      <c r="E165" s="136">
        <f>'[2]All Counts'!G165</f>
        <v>1</v>
      </c>
      <c r="F165" s="136" t="str">
        <f>'[2]All Counts'!H165</f>
        <v>I-805 NB</v>
      </c>
      <c r="G165" s="136">
        <f>'[2]All Counts'!I165</f>
        <v>60</v>
      </c>
      <c r="H165" s="136">
        <f>'[2]All Counts'!J165</f>
        <v>0</v>
      </c>
      <c r="I165" s="136" t="str">
        <f>'[2]All Counts'!K165</f>
        <v>KEARNY VILLA</v>
      </c>
      <c r="J165" s="136" t="str">
        <f>'[2]All Counts'!L165</f>
        <v>SR-163 NB</v>
      </c>
      <c r="K165" s="136">
        <f>'[2]All Counts'!O165</f>
        <v>15252</v>
      </c>
      <c r="L165" s="57">
        <f>VLOOKUP(ws[[#This Row],[hwycov_id]],readme!D:G,4,FALSE)</f>
        <v>20242.072265999999</v>
      </c>
      <c r="M165" s="88">
        <f>ws[[#This Row],[flow]]/ws[[#This Row],[count]]-1</f>
        <v>0.32717494531864677</v>
      </c>
      <c r="N165" s="89">
        <f>POWER((ws[[#This Row],[flow]]-ws[[#This Row],[count]]),2)</f>
        <v>24900821.219902366</v>
      </c>
      <c r="O165" s="43">
        <f>VLOOKUP(ws[[#This Row],[hwycov_id]],count[],6,FALSE)</f>
        <v>0</v>
      </c>
      <c r="P165" s="43">
        <v>471</v>
      </c>
      <c r="Q165" s="43" t="str">
        <f>'[2]All Counts'!P165</f>
        <v>PeMS2016</v>
      </c>
      <c r="S165" s="94">
        <v>8899</v>
      </c>
      <c r="T165" s="17"/>
      <c r="U165" s="17"/>
      <c r="V165" s="17">
        <v>14572</v>
      </c>
      <c r="W165" s="17">
        <v>23445.865234000001</v>
      </c>
      <c r="X165" s="17"/>
      <c r="Y165" s="17"/>
      <c r="Z165" s="17"/>
      <c r="AA165" s="17"/>
      <c r="AB165" s="17">
        <v>14572</v>
      </c>
      <c r="AC165" s="17">
        <v>23445.865234000001</v>
      </c>
      <c r="AD165"/>
      <c r="AE165"/>
    </row>
    <row r="166" spans="1:31" x14ac:dyDescent="0.25">
      <c r="A166" s="136">
        <f>'[2]All Counts'!C166</f>
        <v>3</v>
      </c>
      <c r="B166" s="136">
        <f>'[2]All Counts'!D166</f>
        <v>1</v>
      </c>
      <c r="C166" s="136">
        <f>'[2]All Counts'!E166</f>
        <v>22715</v>
      </c>
      <c r="D166" s="136">
        <f>'[2]All Counts'!F166</f>
        <v>1</v>
      </c>
      <c r="E166" s="136">
        <f>'[2]All Counts'!G166</f>
        <v>1</v>
      </c>
      <c r="F166" s="136" t="str">
        <f>'[2]All Counts'!H166</f>
        <v>I-805 NB</v>
      </c>
      <c r="G166" s="136">
        <f>'[2]All Counts'!I166</f>
        <v>61</v>
      </c>
      <c r="H166" s="136">
        <f>'[2]All Counts'!J166</f>
        <v>0</v>
      </c>
      <c r="I166" s="136" t="str">
        <f>'[2]All Counts'!K166</f>
        <v>SR-163 NB</v>
      </c>
      <c r="J166" s="136" t="str">
        <f>'[2]All Counts'!L166</f>
        <v>SR-163 NB</v>
      </c>
      <c r="K166" s="136">
        <f>'[2]All Counts'!O166</f>
        <v>12590</v>
      </c>
      <c r="L166" s="57">
        <f>VLOOKUP(ws[[#This Row],[hwycov_id]],readme!D:G,4,FALSE)</f>
        <v>16646.431640999999</v>
      </c>
      <c r="M166" s="88">
        <f>ws[[#This Row],[flow]]/ws[[#This Row],[count]]-1</f>
        <v>0.32219472922954728</v>
      </c>
      <c r="N166" s="89">
        <f>POWER((ws[[#This Row],[flow]]-ws[[#This Row],[count]]),2)</f>
        <v>16454637.658105947</v>
      </c>
      <c r="O166" s="43">
        <f>VLOOKUP(ws[[#This Row],[hwycov_id]],count[],6,FALSE)</f>
        <v>0</v>
      </c>
      <c r="P166" s="43">
        <v>475</v>
      </c>
      <c r="Q166" s="43" t="str">
        <f>'[2]All Counts'!P166</f>
        <v>PeMS2016</v>
      </c>
      <c r="S166" s="94">
        <v>8921</v>
      </c>
      <c r="T166" s="17">
        <v>14799</v>
      </c>
      <c r="U166" s="17">
        <v>18744.759765999999</v>
      </c>
      <c r="V166" s="17"/>
      <c r="W166" s="17"/>
      <c r="X166" s="17"/>
      <c r="Y166" s="17"/>
      <c r="Z166" s="17"/>
      <c r="AA166" s="17"/>
      <c r="AB166" s="17">
        <v>14799</v>
      </c>
      <c r="AC166" s="17">
        <v>18744.759765999999</v>
      </c>
      <c r="AD166"/>
      <c r="AE166"/>
    </row>
    <row r="167" spans="1:31" x14ac:dyDescent="0.25">
      <c r="A167" s="136">
        <f>'[2]All Counts'!C167</f>
        <v>3</v>
      </c>
      <c r="B167" s="136">
        <f>'[2]All Counts'!D167</f>
        <v>1</v>
      </c>
      <c r="C167" s="136">
        <f>'[2]All Counts'!E167</f>
        <v>757</v>
      </c>
      <c r="D167" s="136">
        <f>'[2]All Counts'!F167</f>
        <v>1</v>
      </c>
      <c r="E167" s="136">
        <f>'[2]All Counts'!G167</f>
        <v>1</v>
      </c>
      <c r="F167" s="136" t="str">
        <f>'[2]All Counts'!H167</f>
        <v>I-805 NB</v>
      </c>
      <c r="G167" s="136">
        <f>'[2]All Counts'!I167</f>
        <v>64</v>
      </c>
      <c r="H167" s="136">
        <f>'[2]All Counts'!J167</f>
        <v>0</v>
      </c>
      <c r="I167" s="136" t="str">
        <f>'[2]All Counts'!K167</f>
        <v>BALBOA</v>
      </c>
      <c r="J167" s="136" t="str">
        <f>'[2]All Counts'!L167</f>
        <v>BALBOA</v>
      </c>
      <c r="K167" s="136">
        <f>'[2]All Counts'!O167</f>
        <v>14910</v>
      </c>
      <c r="L167" s="57">
        <f>VLOOKUP(ws[[#This Row],[hwycov_id]],readme!D:G,4,FALSE)</f>
        <v>20545.136718999998</v>
      </c>
      <c r="M167" s="88">
        <f>ws[[#This Row],[flow]]/ws[[#This Row],[count]]-1</f>
        <v>0.37794344191817553</v>
      </c>
      <c r="N167" s="89">
        <f>POWER((ws[[#This Row],[flow]]-ws[[#This Row],[count]]),2)</f>
        <v>31754765.841822065</v>
      </c>
      <c r="O167" s="43">
        <f>VLOOKUP(ws[[#This Row],[hwycov_id]],count[],6,FALSE)</f>
        <v>0</v>
      </c>
      <c r="P167" s="43">
        <v>337</v>
      </c>
      <c r="Q167" s="43" t="str">
        <f>'[2]All Counts'!P167</f>
        <v>PeMS2016</v>
      </c>
      <c r="S167" s="94">
        <v>8933</v>
      </c>
      <c r="T167" s="17"/>
      <c r="U167" s="17"/>
      <c r="V167" s="17">
        <v>25927</v>
      </c>
      <c r="W167" s="17">
        <v>30509.046875</v>
      </c>
      <c r="X167" s="17"/>
      <c r="Y167" s="17"/>
      <c r="Z167" s="17"/>
      <c r="AA167" s="17"/>
      <c r="AB167" s="17">
        <v>25927</v>
      </c>
      <c r="AC167" s="17">
        <v>30509.046875</v>
      </c>
      <c r="AD167"/>
      <c r="AE167"/>
    </row>
    <row r="168" spans="1:31" x14ac:dyDescent="0.25">
      <c r="A168" s="136">
        <f>'[2]All Counts'!C168</f>
        <v>3</v>
      </c>
      <c r="B168" s="136">
        <f>'[2]All Counts'!D168</f>
        <v>1</v>
      </c>
      <c r="C168" s="136">
        <f>'[2]All Counts'!E168</f>
        <v>760</v>
      </c>
      <c r="D168" s="136">
        <f>'[2]All Counts'!F168</f>
        <v>1</v>
      </c>
      <c r="E168" s="136">
        <f>'[2]All Counts'!G168</f>
        <v>1</v>
      </c>
      <c r="F168" s="136" t="str">
        <f>'[2]All Counts'!H168</f>
        <v>I-805 NB</v>
      </c>
      <c r="G168" s="136">
        <f>'[2]All Counts'!I168</f>
        <v>67</v>
      </c>
      <c r="H168" s="136">
        <f>'[2]All Counts'!J168</f>
        <v>0</v>
      </c>
      <c r="I168" s="136" t="str">
        <f>'[2]All Counts'!K168</f>
        <v>CLAIREMONT MESA</v>
      </c>
      <c r="J168" s="136" t="str">
        <f>'[2]All Counts'!L168</f>
        <v>SR-52 EB</v>
      </c>
      <c r="K168" s="136">
        <f>'[2]All Counts'!O168</f>
        <v>16603</v>
      </c>
      <c r="L168" s="57">
        <f>VLOOKUP(ws[[#This Row],[hwycov_id]],readme!D:G,4,FALSE)</f>
        <v>24893.716797000001</v>
      </c>
      <c r="M168" s="88">
        <f>ws[[#This Row],[flow]]/ws[[#This Row],[count]]-1</f>
        <v>0.49935052683250025</v>
      </c>
      <c r="N168" s="89">
        <f>POWER((ws[[#This Row],[flow]]-ws[[#This Row],[count]]),2)</f>
        <v>68735985.008057952</v>
      </c>
      <c r="O168" s="43">
        <f>VLOOKUP(ws[[#This Row],[hwycov_id]],count[],6,FALSE)</f>
        <v>0</v>
      </c>
      <c r="P168" s="43">
        <v>474</v>
      </c>
      <c r="Q168" s="43" t="str">
        <f>'[2]All Counts'!P168</f>
        <v>Caltran</v>
      </c>
      <c r="S168" s="94">
        <v>8938</v>
      </c>
      <c r="T168" s="17"/>
      <c r="U168" s="17"/>
      <c r="V168" s="17">
        <v>21035</v>
      </c>
      <c r="W168" s="17">
        <v>23700.261718999998</v>
      </c>
      <c r="X168" s="17"/>
      <c r="Y168" s="17"/>
      <c r="Z168" s="17"/>
      <c r="AA168" s="17"/>
      <c r="AB168" s="17">
        <v>21035</v>
      </c>
      <c r="AC168" s="17">
        <v>23700.261718999998</v>
      </c>
      <c r="AD168"/>
      <c r="AE168"/>
    </row>
    <row r="169" spans="1:31" x14ac:dyDescent="0.25">
      <c r="A169" s="136">
        <f>'[2]All Counts'!C169</f>
        <v>3</v>
      </c>
      <c r="B169" s="136">
        <f>'[2]All Counts'!D169</f>
        <v>1</v>
      </c>
      <c r="C169" s="136">
        <f>'[2]All Counts'!E169</f>
        <v>762</v>
      </c>
      <c r="D169" s="136">
        <f>'[2]All Counts'!F169</f>
        <v>1</v>
      </c>
      <c r="E169" s="136">
        <f>'[2]All Counts'!G169</f>
        <v>1</v>
      </c>
      <c r="F169" s="136" t="str">
        <f>'[2]All Counts'!H169</f>
        <v>I-805 NB</v>
      </c>
      <c r="G169" s="136">
        <f>'[2]All Counts'!I169</f>
        <v>68</v>
      </c>
      <c r="H169" s="136">
        <f>'[2]All Counts'!J169</f>
        <v>0</v>
      </c>
      <c r="I169" s="136" t="str">
        <f>'[2]All Counts'!K169</f>
        <v>SR-52 EB</v>
      </c>
      <c r="J169" s="136" t="str">
        <f>'[2]All Counts'!L169</f>
        <v>SR-52 EB</v>
      </c>
      <c r="K169" s="136">
        <f>'[2]All Counts'!O169</f>
        <v>17573</v>
      </c>
      <c r="L169" s="57">
        <f>VLOOKUP(ws[[#This Row],[hwycov_id]],readme!D:G,4,FALSE)</f>
        <v>20602.693359000001</v>
      </c>
      <c r="M169" s="88">
        <f>ws[[#This Row],[flow]]/ws[[#This Row],[count]]-1</f>
        <v>0.17240615483981103</v>
      </c>
      <c r="N169" s="89">
        <f>POWER((ws[[#This Row],[flow]]-ws[[#This Row],[count]]),2)</f>
        <v>9179041.8495687079</v>
      </c>
      <c r="O169" s="43">
        <f>VLOOKUP(ws[[#This Row],[hwycov_id]],count[],6,FALSE)</f>
        <v>0</v>
      </c>
      <c r="P169" s="43">
        <v>472</v>
      </c>
      <c r="Q169" s="43" t="str">
        <f>'[2]All Counts'!P169</f>
        <v>PeMS2016</v>
      </c>
      <c r="S169" s="94">
        <v>8939</v>
      </c>
      <c r="T169" s="17">
        <v>20164</v>
      </c>
      <c r="U169" s="17">
        <v>24511.71875</v>
      </c>
      <c r="V169" s="17"/>
      <c r="W169" s="17"/>
      <c r="X169" s="17"/>
      <c r="Y169" s="17"/>
      <c r="Z169" s="17"/>
      <c r="AA169" s="17"/>
      <c r="AB169" s="17">
        <v>20164</v>
      </c>
      <c r="AC169" s="17">
        <v>24511.71875</v>
      </c>
      <c r="AD169"/>
      <c r="AE169"/>
    </row>
    <row r="170" spans="1:31" x14ac:dyDescent="0.25">
      <c r="A170" s="136">
        <f>'[2]All Counts'!C170</f>
        <v>3</v>
      </c>
      <c r="B170" s="136">
        <f>'[2]All Counts'!D170</f>
        <v>1</v>
      </c>
      <c r="C170" s="136">
        <f>'[2]All Counts'!E170</f>
        <v>59</v>
      </c>
      <c r="D170" s="136">
        <f>'[2]All Counts'!F170</f>
        <v>1</v>
      </c>
      <c r="E170" s="136">
        <f>'[2]All Counts'!G170</f>
        <v>1</v>
      </c>
      <c r="F170" s="136" t="str">
        <f>'[2]All Counts'!H170</f>
        <v>I-805 NB</v>
      </c>
      <c r="G170" s="136">
        <f>'[2]All Counts'!I170</f>
        <v>69</v>
      </c>
      <c r="H170" s="136">
        <f>'[2]All Counts'!J170</f>
        <v>0</v>
      </c>
      <c r="I170" s="136" t="str">
        <f>'[2]All Counts'!K170</f>
        <v>SR-52 EB</v>
      </c>
      <c r="J170" s="136" t="str">
        <f>'[2]All Counts'!L170</f>
        <v>SR-52 WB</v>
      </c>
      <c r="K170" s="136">
        <f>'[2]All Counts'!O170</f>
        <v>14405</v>
      </c>
      <c r="L170" s="57">
        <f>VLOOKUP(ws[[#This Row],[hwycov_id]],readme!D:G,4,FALSE)</f>
        <v>21330.474609000001</v>
      </c>
      <c r="M170" s="88">
        <f>ws[[#This Row],[flow]]/ws[[#This Row],[count]]-1</f>
        <v>0.48076880312391546</v>
      </c>
      <c r="N170" s="89">
        <f>POWER((ws[[#This Row],[flow]]-ws[[#This Row],[count]]),2)</f>
        <v>47962198.559903711</v>
      </c>
      <c r="O170" s="43">
        <f>VLOOKUP(ws[[#This Row],[hwycov_id]],count[],6,FALSE)</f>
        <v>0</v>
      </c>
      <c r="P170" s="43">
        <v>339</v>
      </c>
      <c r="Q170" s="43" t="str">
        <f>'[2]All Counts'!P170</f>
        <v>PeMS2016</v>
      </c>
      <c r="S170" s="94">
        <v>8955</v>
      </c>
      <c r="T170" s="17"/>
      <c r="U170" s="17"/>
      <c r="V170" s="17">
        <v>16611</v>
      </c>
      <c r="W170" s="17">
        <v>22213.375</v>
      </c>
      <c r="X170" s="17"/>
      <c r="Y170" s="17"/>
      <c r="Z170" s="17"/>
      <c r="AA170" s="17"/>
      <c r="AB170" s="17">
        <v>16611</v>
      </c>
      <c r="AC170" s="17">
        <v>22213.375</v>
      </c>
      <c r="AD170"/>
      <c r="AE170"/>
    </row>
    <row r="171" spans="1:31" x14ac:dyDescent="0.25">
      <c r="A171" s="136">
        <f>'[2]All Counts'!C171</f>
        <v>3</v>
      </c>
      <c r="B171" s="136">
        <f>'[2]All Counts'!D171</f>
        <v>1</v>
      </c>
      <c r="C171" s="136">
        <f>'[2]All Counts'!E171</f>
        <v>15081</v>
      </c>
      <c r="D171" s="136">
        <f>'[2]All Counts'!F171</f>
        <v>1</v>
      </c>
      <c r="E171" s="136">
        <f>'[2]All Counts'!G171</f>
        <v>1</v>
      </c>
      <c r="F171" s="136" t="str">
        <f>'[2]All Counts'!H171</f>
        <v>I-805 NB</v>
      </c>
      <c r="G171" s="136">
        <f>'[2]All Counts'!I171</f>
        <v>72</v>
      </c>
      <c r="H171" s="136">
        <f>'[2]All Counts'!J171</f>
        <v>0</v>
      </c>
      <c r="I171" s="136" t="str">
        <f>'[2]All Counts'!K171</f>
        <v>GOVERNOR</v>
      </c>
      <c r="J171" s="136" t="str">
        <f>'[2]All Counts'!L171</f>
        <v>GOVERNOR</v>
      </c>
      <c r="K171" s="136">
        <f>'[2]All Counts'!O171</f>
        <v>15648</v>
      </c>
      <c r="L171" s="57">
        <f>VLOOKUP(ws[[#This Row],[hwycov_id]],readme!D:G,4,FALSE)</f>
        <v>25737.396484000001</v>
      </c>
      <c r="M171" s="88">
        <f>ws[[#This Row],[flow]]/ws[[#This Row],[count]]-1</f>
        <v>0.64477227019427419</v>
      </c>
      <c r="N171" s="89">
        <f>POWER((ws[[#This Row],[flow]]-ws[[#This Row],[count]]),2)</f>
        <v>101795921.41135158</v>
      </c>
      <c r="O171" s="43">
        <f>VLOOKUP(ws[[#This Row],[hwycov_id]],count[],6,FALSE)</f>
        <v>0</v>
      </c>
      <c r="P171" s="43">
        <v>656</v>
      </c>
      <c r="Q171" s="43" t="str">
        <f>'[2]All Counts'!P171</f>
        <v>PeMS2016</v>
      </c>
      <c r="S171" s="94">
        <v>8968</v>
      </c>
      <c r="T171" s="17"/>
      <c r="U171" s="17"/>
      <c r="V171" s="17">
        <v>21780</v>
      </c>
      <c r="W171" s="17">
        <v>25798.265625</v>
      </c>
      <c r="X171" s="17"/>
      <c r="Y171" s="17"/>
      <c r="Z171" s="17"/>
      <c r="AA171" s="17"/>
      <c r="AB171" s="17">
        <v>21780</v>
      </c>
      <c r="AC171" s="17">
        <v>25798.265625</v>
      </c>
      <c r="AD171"/>
      <c r="AE171"/>
    </row>
    <row r="172" spans="1:31" x14ac:dyDescent="0.25">
      <c r="A172" s="136">
        <f>'[2]All Counts'!C172</f>
        <v>3</v>
      </c>
      <c r="B172" s="136">
        <f>'[2]All Counts'!D172</f>
        <v>1</v>
      </c>
      <c r="C172" s="136">
        <f>'[2]All Counts'!E172</f>
        <v>15064</v>
      </c>
      <c r="D172" s="136">
        <f>'[2]All Counts'!F172</f>
        <v>1</v>
      </c>
      <c r="E172" s="136">
        <f>'[2]All Counts'!G172</f>
        <v>1</v>
      </c>
      <c r="F172" s="136" t="str">
        <f>'[2]All Counts'!H172</f>
        <v>I-805 NB</v>
      </c>
      <c r="G172" s="136">
        <f>'[2]All Counts'!I172</f>
        <v>74</v>
      </c>
      <c r="H172" s="136">
        <f>'[2]All Counts'!J172</f>
        <v>0</v>
      </c>
      <c r="I172" s="136" t="str">
        <f>'[2]All Counts'!K172</f>
        <v>NOBEL</v>
      </c>
      <c r="J172" s="136" t="str">
        <f>'[2]All Counts'!L172</f>
        <v>MIRAMAR</v>
      </c>
      <c r="K172" s="136">
        <f>'[2]All Counts'!O172</f>
        <v>13509</v>
      </c>
      <c r="L172" s="57">
        <f>VLOOKUP(ws[[#This Row],[hwycov_id]],readme!D:G,4,FALSE)</f>
        <v>22865.240234000001</v>
      </c>
      <c r="M172" s="88">
        <f>ws[[#This Row],[flow]]/ws[[#This Row],[count]]-1</f>
        <v>0.69259310341253988</v>
      </c>
      <c r="N172" s="89">
        <f>POWER((ws[[#This Row],[flow]]-ws[[#This Row],[count]]),2)</f>
        <v>87539231.31632039</v>
      </c>
      <c r="O172" s="43">
        <f>VLOOKUP(ws[[#This Row],[hwycov_id]],count[],6,FALSE)</f>
        <v>0</v>
      </c>
      <c r="P172" s="43">
        <v>518</v>
      </c>
      <c r="Q172" s="43" t="str">
        <f>'[2]All Counts'!P172</f>
        <v>PeMS2016</v>
      </c>
      <c r="S172" s="94">
        <v>8977</v>
      </c>
      <c r="T172" s="17">
        <v>18184</v>
      </c>
      <c r="U172" s="17">
        <v>21536.648438</v>
      </c>
      <c r="V172" s="17"/>
      <c r="W172" s="17"/>
      <c r="X172" s="17"/>
      <c r="Y172" s="17"/>
      <c r="Z172" s="17"/>
      <c r="AA172" s="17"/>
      <c r="AB172" s="17">
        <v>18184</v>
      </c>
      <c r="AC172" s="17">
        <v>21536.648438</v>
      </c>
      <c r="AD172"/>
      <c r="AE172"/>
    </row>
    <row r="173" spans="1:31" x14ac:dyDescent="0.25">
      <c r="A173" s="136">
        <f>'[2]All Counts'!C173</f>
        <v>3</v>
      </c>
      <c r="B173" s="136">
        <f>'[2]All Counts'!D173</f>
        <v>1</v>
      </c>
      <c r="C173" s="136">
        <f>'[2]All Counts'!E173</f>
        <v>23851</v>
      </c>
      <c r="D173" s="136">
        <f>'[2]All Counts'!F173</f>
        <v>1</v>
      </c>
      <c r="E173" s="136">
        <f>'[2]All Counts'!G173</f>
        <v>1</v>
      </c>
      <c r="F173" s="136" t="str">
        <f>'[2]All Counts'!H173</f>
        <v>I-805 NB</v>
      </c>
      <c r="G173" s="136">
        <f>'[2]All Counts'!I173</f>
        <v>75</v>
      </c>
      <c r="H173" s="136">
        <f>'[2]All Counts'!J173</f>
        <v>0</v>
      </c>
      <c r="I173" s="136" t="str">
        <f>'[2]All Counts'!K173</f>
        <v>MIRAMAR</v>
      </c>
      <c r="J173" s="136" t="str">
        <f>'[2]All Counts'!L173</f>
        <v>MIRAMAR</v>
      </c>
      <c r="K173" s="136">
        <f>'[2]All Counts'!O173</f>
        <v>12061</v>
      </c>
      <c r="L173" s="57">
        <f>VLOOKUP(ws[[#This Row],[hwycov_id]],readme!D:G,4,FALSE)</f>
        <v>19374.949218999998</v>
      </c>
      <c r="M173" s="88">
        <f>ws[[#This Row],[flow]]/ws[[#This Row],[count]]-1</f>
        <v>0.60641316797943778</v>
      </c>
      <c r="N173" s="89">
        <f>POWER((ws[[#This Row],[flow]]-ws[[#This Row],[count]]),2)</f>
        <v>53493853.178110681</v>
      </c>
      <c r="O173" s="43">
        <f>VLOOKUP(ws[[#This Row],[hwycov_id]],count[],6,FALSE)</f>
        <v>0</v>
      </c>
      <c r="P173" s="43">
        <v>494</v>
      </c>
      <c r="Q173" s="43" t="str">
        <f>'[2]All Counts'!P173</f>
        <v>PeMS2016</v>
      </c>
      <c r="S173" s="94">
        <v>9012</v>
      </c>
      <c r="T173" s="17"/>
      <c r="U173" s="17"/>
      <c r="V173" s="17">
        <v>5914</v>
      </c>
      <c r="W173" s="17">
        <v>6356.9423829999996</v>
      </c>
      <c r="X173" s="17"/>
      <c r="Y173" s="17"/>
      <c r="Z173" s="17"/>
      <c r="AA173" s="17"/>
      <c r="AB173" s="17">
        <v>5914</v>
      </c>
      <c r="AC173" s="17">
        <v>6356.9423829999996</v>
      </c>
      <c r="AD173"/>
      <c r="AE173"/>
    </row>
    <row r="174" spans="1:31" x14ac:dyDescent="0.25">
      <c r="A174" s="136">
        <f>'[2]All Counts'!C174</f>
        <v>3</v>
      </c>
      <c r="B174" s="136">
        <f>'[2]All Counts'!D174</f>
        <v>1</v>
      </c>
      <c r="C174" s="136">
        <f>'[2]All Counts'!E174</f>
        <v>26788</v>
      </c>
      <c r="D174" s="136">
        <f>'[2]All Counts'!F174</f>
        <v>1</v>
      </c>
      <c r="E174" s="136">
        <f>'[2]All Counts'!G174</f>
        <v>1</v>
      </c>
      <c r="F174" s="136" t="str">
        <f>'[2]All Counts'!H174</f>
        <v>I-805 NB</v>
      </c>
      <c r="G174" s="136">
        <f>'[2]All Counts'!I174</f>
        <v>77</v>
      </c>
      <c r="H174" s="136">
        <f>'[2]All Counts'!J174</f>
        <v>0</v>
      </c>
      <c r="I174" s="136" t="str">
        <f>'[2]All Counts'!K174</f>
        <v>MIRAMAR</v>
      </c>
      <c r="J174" s="136" t="str">
        <f>'[2]All Counts'!L174</f>
        <v>MIRA MESA</v>
      </c>
      <c r="K174" s="136">
        <f>'[2]All Counts'!O174</f>
        <v>16973</v>
      </c>
      <c r="L174" s="57">
        <f>VLOOKUP(ws[[#This Row],[hwycov_id]],readme!D:G,4,FALSE)</f>
        <v>24211.787109000001</v>
      </c>
      <c r="M174" s="88">
        <f>ws[[#This Row],[flow]]/ws[[#This Row],[count]]-1</f>
        <v>0.42648837029399633</v>
      </c>
      <c r="N174" s="89">
        <f>POWER((ws[[#This Row],[flow]]-ws[[#This Row],[count]]),2)</f>
        <v>52400038.809424587</v>
      </c>
      <c r="O174" s="43">
        <f>VLOOKUP(ws[[#This Row],[hwycov_id]],count[],6,FALSE)</f>
        <v>0</v>
      </c>
      <c r="P174" s="43">
        <v>683</v>
      </c>
      <c r="Q174" s="43" t="str">
        <f>'[2]All Counts'!P174</f>
        <v>PeMS2016</v>
      </c>
      <c r="S174" s="94">
        <v>9022</v>
      </c>
      <c r="T174" s="17"/>
      <c r="U174" s="17"/>
      <c r="V174" s="17">
        <v>20249</v>
      </c>
      <c r="W174" s="17">
        <v>20102.951172000001</v>
      </c>
      <c r="X174" s="17"/>
      <c r="Y174" s="17"/>
      <c r="Z174" s="17"/>
      <c r="AA174" s="17"/>
      <c r="AB174" s="17">
        <v>20249</v>
      </c>
      <c r="AC174" s="17">
        <v>20102.951172000001</v>
      </c>
      <c r="AD174"/>
      <c r="AE174"/>
    </row>
    <row r="175" spans="1:31" x14ac:dyDescent="0.25">
      <c r="A175" s="136">
        <f>'[2]All Counts'!C175</f>
        <v>3</v>
      </c>
      <c r="B175" s="136">
        <f>'[2]All Counts'!D175</f>
        <v>1</v>
      </c>
      <c r="C175" s="136">
        <f>'[2]All Counts'!E175</f>
        <v>589</v>
      </c>
      <c r="D175" s="136">
        <f>'[2]All Counts'!F175</f>
        <v>1</v>
      </c>
      <c r="E175" s="136">
        <f>'[2]All Counts'!G175</f>
        <v>1</v>
      </c>
      <c r="F175" s="136" t="str">
        <f>'[2]All Counts'!H175</f>
        <v>I-805 NB</v>
      </c>
      <c r="G175" s="136">
        <f>'[2]All Counts'!I175</f>
        <v>80</v>
      </c>
      <c r="H175" s="136">
        <f>'[2]All Counts'!J175</f>
        <v>0</v>
      </c>
      <c r="I175" s="136" t="str">
        <f>'[2]All Counts'!K175</f>
        <v>VISTA SORRENTO</v>
      </c>
      <c r="J175" s="136" t="str">
        <f>'[2]All Counts'!L175</f>
        <v>MIRA MESA</v>
      </c>
      <c r="K175" s="136">
        <f>'[2]All Counts'!O175</f>
        <v>11504</v>
      </c>
      <c r="L175" s="57">
        <f>VLOOKUP(ws[[#This Row],[hwycov_id]],readme!D:G,4,FALSE)</f>
        <v>20098.789062</v>
      </c>
      <c r="M175" s="88">
        <f>ws[[#This Row],[flow]]/ws[[#This Row],[count]]-1</f>
        <v>0.74711309648817803</v>
      </c>
      <c r="N175" s="89">
        <f>POWER((ws[[#This Row],[flow]]-ws[[#This Row],[count]]),2)</f>
        <v>73870399.020274833</v>
      </c>
      <c r="O175" s="43">
        <f>VLOOKUP(ws[[#This Row],[hwycov_id]],count[],6,FALSE)</f>
        <v>0</v>
      </c>
      <c r="P175" s="43">
        <v>95</v>
      </c>
      <c r="Q175" s="43" t="str">
        <f>'[2]All Counts'!P175</f>
        <v>PeMS2016</v>
      </c>
      <c r="S175" s="94">
        <v>9025</v>
      </c>
      <c r="T175" s="17"/>
      <c r="U175" s="17"/>
      <c r="V175" s="17">
        <v>21835</v>
      </c>
      <c r="W175" s="17">
        <v>20324.855468999998</v>
      </c>
      <c r="X175" s="17"/>
      <c r="Y175" s="17"/>
      <c r="Z175" s="17"/>
      <c r="AA175" s="17"/>
      <c r="AB175" s="17">
        <v>21835</v>
      </c>
      <c r="AC175" s="17">
        <v>20324.855468999998</v>
      </c>
      <c r="AD175"/>
      <c r="AE175"/>
    </row>
    <row r="176" spans="1:31" x14ac:dyDescent="0.25">
      <c r="A176" s="136">
        <f>'[2]All Counts'!C176</f>
        <v>3</v>
      </c>
      <c r="B176" s="136">
        <f>'[2]All Counts'!D176</f>
        <v>1</v>
      </c>
      <c r="C176" s="136">
        <f>'[2]All Counts'!E176</f>
        <v>31198</v>
      </c>
      <c r="D176" s="136">
        <f>'[2]All Counts'!F176</f>
        <v>1</v>
      </c>
      <c r="E176" s="136">
        <f>'[2]All Counts'!G176</f>
        <v>1</v>
      </c>
      <c r="F176" s="136" t="str">
        <f>'[2]All Counts'!H176</f>
        <v>I-805 NB</v>
      </c>
      <c r="G176" s="136">
        <f>'[2]All Counts'!I176</f>
        <v>82</v>
      </c>
      <c r="H176" s="136">
        <f>'[2]All Counts'!J176</f>
        <v>0</v>
      </c>
      <c r="I176" s="136" t="str">
        <f>'[2]All Counts'!K176</f>
        <v>MIRA MESA</v>
      </c>
      <c r="J176" s="136" t="str">
        <f>'[2]All Counts'!L176</f>
        <v>I-5 NB</v>
      </c>
      <c r="K176" s="136">
        <f>'[2]All Counts'!O176</f>
        <v>21359</v>
      </c>
      <c r="L176" s="57">
        <f>VLOOKUP(ws[[#This Row],[hwycov_id]],readme!D:G,4,FALSE)</f>
        <v>24508.279297000001</v>
      </c>
      <c r="M176" s="88">
        <f>ws[[#This Row],[flow]]/ws[[#This Row],[count]]-1</f>
        <v>0.14744507219439118</v>
      </c>
      <c r="N176" s="89">
        <f>POWER((ws[[#This Row],[flow]]-ws[[#This Row],[count]]),2)</f>
        <v>9917960.0905128196</v>
      </c>
      <c r="O176" s="43">
        <f>VLOOKUP(ws[[#This Row],[hwycov_id]],count[],6,FALSE)</f>
        <v>0</v>
      </c>
      <c r="P176" s="43">
        <v>712</v>
      </c>
      <c r="Q176" s="43" t="str">
        <f>'[2]All Counts'!P176</f>
        <v>Caltran</v>
      </c>
      <c r="S176" s="94">
        <v>9028</v>
      </c>
      <c r="T176" s="17"/>
      <c r="U176" s="17"/>
      <c r="V176" s="17"/>
      <c r="W176" s="17"/>
      <c r="X176" s="17"/>
      <c r="Y176" s="17"/>
      <c r="Z176" s="17">
        <v>16332</v>
      </c>
      <c r="AA176" s="17">
        <v>21258.558593999998</v>
      </c>
      <c r="AB176" s="17">
        <v>16332</v>
      </c>
      <c r="AC176" s="17">
        <v>21258.558593999998</v>
      </c>
      <c r="AD176"/>
      <c r="AE176"/>
    </row>
    <row r="177" spans="1:31" x14ac:dyDescent="0.25">
      <c r="A177" s="136">
        <f>'[2]All Counts'!C177</f>
        <v>3</v>
      </c>
      <c r="B177" s="136">
        <f>'[2]All Counts'!D177</f>
        <v>1</v>
      </c>
      <c r="C177" s="136">
        <f>'[2]All Counts'!E177</f>
        <v>28796</v>
      </c>
      <c r="D177" s="136">
        <f>'[2]All Counts'!F177</f>
        <v>1</v>
      </c>
      <c r="E177" s="136">
        <f>'[2]All Counts'!G177</f>
        <v>1</v>
      </c>
      <c r="F177" s="136" t="str">
        <f>'[2]All Counts'!H177</f>
        <v>I-805 NB</v>
      </c>
      <c r="G177" s="136">
        <f>'[2]All Counts'!I177</f>
        <v>85</v>
      </c>
      <c r="H177" s="136">
        <f>'[2]All Counts'!J177</f>
        <v>0</v>
      </c>
      <c r="I177" s="136" t="str">
        <f>'[2]All Counts'!K177</f>
        <v>I-5 NB</v>
      </c>
      <c r="J177" s="136" t="str">
        <f>'[2]All Counts'!L177</f>
        <v>I-5 NB</v>
      </c>
      <c r="K177" s="136">
        <f>'[2]All Counts'!O177</f>
        <v>10271</v>
      </c>
      <c r="L177" s="57">
        <f>VLOOKUP(ws[[#This Row],[hwycov_id]],readme!D:G,4,FALSE)</f>
        <v>18226.771484000001</v>
      </c>
      <c r="M177" s="88">
        <f>ws[[#This Row],[flow]]/ws[[#This Row],[count]]-1</f>
        <v>0.77458587128809286</v>
      </c>
      <c r="N177" s="89">
        <f>POWER((ws[[#This Row],[flow]]-ws[[#This Row],[count]]),2)</f>
        <v>63294299.905627571</v>
      </c>
      <c r="O177" s="43">
        <f>VLOOKUP(ws[[#This Row],[hwycov_id]],count[],6,FALSE)</f>
        <v>0</v>
      </c>
      <c r="P177" s="43">
        <v>64</v>
      </c>
      <c r="Q177" s="43" t="str">
        <f>'[2]All Counts'!P177</f>
        <v>PeMS2016</v>
      </c>
      <c r="S177" s="94">
        <v>9029</v>
      </c>
      <c r="T177" s="17"/>
      <c r="U177" s="17"/>
      <c r="V177" s="17"/>
      <c r="W177" s="17"/>
      <c r="X177" s="17">
        <v>8018</v>
      </c>
      <c r="Y177" s="17">
        <v>14314.711914</v>
      </c>
      <c r="Z177" s="17"/>
      <c r="AA177" s="17"/>
      <c r="AB177" s="17">
        <v>8018</v>
      </c>
      <c r="AC177" s="17">
        <v>14314.711914</v>
      </c>
      <c r="AD177"/>
      <c r="AE177"/>
    </row>
    <row r="178" spans="1:31" x14ac:dyDescent="0.25">
      <c r="A178" s="136">
        <f>'[2]All Counts'!C178</f>
        <v>33</v>
      </c>
      <c r="B178" s="136">
        <f>'[2]All Counts'!D178</f>
        <v>1</v>
      </c>
      <c r="C178" s="136">
        <f>'[2]All Counts'!E178</f>
        <v>29533</v>
      </c>
      <c r="D178" s="136">
        <f>'[2]All Counts'!F178</f>
        <v>1</v>
      </c>
      <c r="E178" s="136">
        <f>'[2]All Counts'!G178</f>
        <v>2</v>
      </c>
      <c r="F178" s="136" t="str">
        <f>'[2]All Counts'!H178</f>
        <v>I-805 HOV NB</v>
      </c>
      <c r="G178" s="136">
        <f>'[2]All Counts'!I178</f>
        <v>52</v>
      </c>
      <c r="H178" s="136">
        <f>'[2]All Counts'!J178</f>
        <v>1</v>
      </c>
      <c r="I178" s="136" t="str">
        <f>'[2]All Counts'!K178</f>
        <v>SR-52 WB</v>
      </c>
      <c r="J178" s="136" t="str">
        <f>'[2]All Counts'!L178</f>
        <v>MIRAMAR</v>
      </c>
      <c r="K178" s="136">
        <f>'[2]All Counts'!O178</f>
        <v>2778</v>
      </c>
      <c r="L178" s="57">
        <f>VLOOKUP(ws[[#This Row],[hwycov_id]],readme!D:G,4,FALSE)</f>
        <v>3106.874268</v>
      </c>
      <c r="M178" s="88">
        <f>ws[[#This Row],[flow]]/ws[[#This Row],[count]]-1</f>
        <v>0.11838526565874741</v>
      </c>
      <c r="N178" s="89">
        <f>POWER((ws[[#This Row],[flow]]-ws[[#This Row],[count]]),2)</f>
        <v>108158.28415253584</v>
      </c>
      <c r="O178" s="43">
        <f>VLOOKUP(ws[[#This Row],[hwycov_id]],count[],6,FALSE)</f>
        <v>0</v>
      </c>
      <c r="P178" s="43">
        <v>1</v>
      </c>
      <c r="Q178" s="43" t="str">
        <f>'[2]All Counts'!P178</f>
        <v>PeMS2016</v>
      </c>
      <c r="S178" s="94">
        <v>9033</v>
      </c>
      <c r="T178" s="17"/>
      <c r="U178" s="17"/>
      <c r="V178" s="17">
        <v>8372</v>
      </c>
      <c r="W178" s="17">
        <v>8746.6435550000006</v>
      </c>
      <c r="X178" s="17"/>
      <c r="Y178" s="17"/>
      <c r="Z178" s="17"/>
      <c r="AA178" s="17"/>
      <c r="AB178" s="17">
        <v>8372</v>
      </c>
      <c r="AC178" s="17">
        <v>8746.6435550000006</v>
      </c>
      <c r="AD178"/>
      <c r="AE178"/>
    </row>
    <row r="179" spans="1:31" x14ac:dyDescent="0.25">
      <c r="A179" s="136">
        <f>'[2]All Counts'!C179</f>
        <v>33</v>
      </c>
      <c r="B179" s="136">
        <f>'[2]All Counts'!D179</f>
        <v>1</v>
      </c>
      <c r="C179" s="136">
        <f>'[2]All Counts'!E179</f>
        <v>24750</v>
      </c>
      <c r="D179" s="136">
        <f>'[2]All Counts'!F179</f>
        <v>1</v>
      </c>
      <c r="E179" s="136">
        <f>'[2]All Counts'!G179</f>
        <v>2</v>
      </c>
      <c r="F179" s="136" t="str">
        <f>'[2]All Counts'!H179</f>
        <v>I-805 HOV NB</v>
      </c>
      <c r="G179" s="136">
        <f>'[2]All Counts'!I179</f>
        <v>53</v>
      </c>
      <c r="H179" s="136">
        <f>'[2]All Counts'!J179</f>
        <v>0</v>
      </c>
      <c r="I179" s="136" t="str">
        <f>'[2]All Counts'!K179</f>
        <v>SR-52 WB</v>
      </c>
      <c r="J179" s="136" t="str">
        <f>'[2]All Counts'!L179</f>
        <v>MIRAMAR</v>
      </c>
      <c r="K179" s="136">
        <f>'[2]All Counts'!O179</f>
        <v>3346</v>
      </c>
      <c r="L179" s="57">
        <f>VLOOKUP(ws[[#This Row],[hwycov_id]],readme!D:G,4,FALSE)</f>
        <v>4319.5708009999998</v>
      </c>
      <c r="M179" s="88">
        <f>ws[[#This Row],[flow]]/ws[[#This Row],[count]]-1</f>
        <v>0.290965571129707</v>
      </c>
      <c r="N179" s="89">
        <f>POWER((ws[[#This Row],[flow]]-ws[[#This Row],[count]]),2)</f>
        <v>947840.10455978126</v>
      </c>
      <c r="O179" s="43">
        <f>VLOOKUP(ws[[#This Row],[hwycov_id]],count[],6,FALSE)</f>
        <v>0</v>
      </c>
      <c r="P179" s="43">
        <v>651</v>
      </c>
      <c r="Q179" s="43" t="str">
        <f>'[2]All Counts'!P179</f>
        <v>PeMS2016</v>
      </c>
      <c r="S179" s="94">
        <v>9036</v>
      </c>
      <c r="T179" s="17">
        <v>10194</v>
      </c>
      <c r="U179" s="17">
        <v>11192.773438</v>
      </c>
      <c r="V179" s="17"/>
      <c r="W179" s="17"/>
      <c r="X179" s="17"/>
      <c r="Y179" s="17"/>
      <c r="Z179" s="17"/>
      <c r="AA179" s="17"/>
      <c r="AB179" s="17">
        <v>10194</v>
      </c>
      <c r="AC179" s="17">
        <v>11192.773438</v>
      </c>
      <c r="AD179"/>
      <c r="AE179"/>
    </row>
    <row r="180" spans="1:31" x14ac:dyDescent="0.25">
      <c r="A180" s="136">
        <f>'[2]All Counts'!C180</f>
        <v>33</v>
      </c>
      <c r="B180" s="136">
        <f>'[2]All Counts'!D180</f>
        <v>1</v>
      </c>
      <c r="C180" s="136">
        <f>'[2]All Counts'!E180</f>
        <v>663</v>
      </c>
      <c r="D180" s="136">
        <f>'[2]All Counts'!F180</f>
        <v>1</v>
      </c>
      <c r="E180" s="136">
        <f>'[2]All Counts'!G180</f>
        <v>2</v>
      </c>
      <c r="F180" s="136" t="str">
        <f>'[2]All Counts'!H180</f>
        <v>I-805 HOV NB</v>
      </c>
      <c r="G180" s="136">
        <f>'[2]All Counts'!I180</f>
        <v>56</v>
      </c>
      <c r="H180" s="136">
        <f>'[2]All Counts'!J180</f>
        <v>0</v>
      </c>
      <c r="I180" s="136" t="str">
        <f>'[2]All Counts'!K180</f>
        <v>ramp</v>
      </c>
      <c r="J180" s="136" t="str">
        <f>'[2]All Counts'!L180</f>
        <v>ramp I-805 NB</v>
      </c>
      <c r="K180" s="136">
        <f>'[2]All Counts'!O180</f>
        <v>4186</v>
      </c>
      <c r="L180" s="57">
        <f>VLOOKUP(ws[[#This Row],[hwycov_id]],readme!D:G,4,FALSE)</f>
        <v>4319.5708009999998</v>
      </c>
      <c r="M180" s="88">
        <f>ws[[#This Row],[flow]]/ws[[#This Row],[count]]-1</f>
        <v>3.19089347826087E-2</v>
      </c>
      <c r="N180" s="89">
        <f>POWER((ws[[#This Row],[flow]]-ws[[#This Row],[count]]),2)</f>
        <v>17841.15887978156</v>
      </c>
      <c r="O180" s="43">
        <f>VLOOKUP(ws[[#This Row],[hwycov_id]],count[],6,FALSE)</f>
        <v>0</v>
      </c>
      <c r="P180" s="43">
        <v>658</v>
      </c>
      <c r="Q180" s="43" t="str">
        <f>'[2]All Counts'!P180</f>
        <v>PeMS2016</v>
      </c>
      <c r="S180" s="94">
        <v>9041</v>
      </c>
      <c r="T180" s="17"/>
      <c r="U180" s="17"/>
      <c r="V180" s="17"/>
      <c r="W180" s="17"/>
      <c r="X180" s="17">
        <v>6056</v>
      </c>
      <c r="Y180" s="17">
        <v>9656.4921880000002</v>
      </c>
      <c r="Z180" s="17"/>
      <c r="AA180" s="17"/>
      <c r="AB180" s="17">
        <v>6056</v>
      </c>
      <c r="AC180" s="17">
        <v>9656.4921880000002</v>
      </c>
      <c r="AD180"/>
      <c r="AE180"/>
    </row>
    <row r="181" spans="1:31" x14ac:dyDescent="0.25">
      <c r="A181" s="136">
        <f>'[2]All Counts'!C181</f>
        <v>33</v>
      </c>
      <c r="B181" s="136">
        <f>'[2]All Counts'!D181</f>
        <v>1</v>
      </c>
      <c r="C181" s="136">
        <f>'[2]All Counts'!E181</f>
        <v>29553</v>
      </c>
      <c r="D181" s="136">
        <f>'[2]All Counts'!F181</f>
        <v>1</v>
      </c>
      <c r="E181" s="136">
        <f>'[2]All Counts'!G181</f>
        <v>2</v>
      </c>
      <c r="F181" s="136" t="str">
        <f>'[2]All Counts'!H181</f>
        <v>I-805 HOV NB</v>
      </c>
      <c r="G181" s="136">
        <f>'[2]All Counts'!I181</f>
        <v>61</v>
      </c>
      <c r="H181" s="136">
        <f>'[2]All Counts'!J181</f>
        <v>0</v>
      </c>
      <c r="I181" s="136" t="str">
        <f>'[2]All Counts'!K181</f>
        <v>ramp I-805 HOV NB</v>
      </c>
      <c r="J181" s="136" t="str">
        <f>'[2]All Counts'!L181</f>
        <v>ramp I-805 HOV NB</v>
      </c>
      <c r="K181" s="136">
        <f>'[2]All Counts'!O181</f>
        <v>2629</v>
      </c>
      <c r="L181" s="57">
        <f>VLOOKUP(ws[[#This Row],[hwycov_id]],readme!D:G,4,FALSE)</f>
        <v>4525.5776370000003</v>
      </c>
      <c r="M181" s="88">
        <f>ws[[#This Row],[flow]]/ws[[#This Row],[count]]-1</f>
        <v>0.72140648041080269</v>
      </c>
      <c r="N181" s="89">
        <f>POWER((ws[[#This Row],[flow]]-ws[[#This Row],[count]]),2)</f>
        <v>3597006.7331685051</v>
      </c>
      <c r="O181" s="43">
        <f>VLOOKUP(ws[[#This Row],[hwycov_id]],count[],6,FALSE)</f>
        <v>0</v>
      </c>
      <c r="P181" s="43">
        <v>118</v>
      </c>
      <c r="Q181" s="43" t="str">
        <f>'[2]All Counts'!P181</f>
        <v>PeMS2016</v>
      </c>
      <c r="S181" s="94">
        <v>9043</v>
      </c>
      <c r="T181" s="17"/>
      <c r="U181" s="17"/>
      <c r="V181" s="17">
        <v>18998</v>
      </c>
      <c r="W181" s="17">
        <v>21269.275390999999</v>
      </c>
      <c r="X181" s="17"/>
      <c r="Y181" s="17"/>
      <c r="Z181" s="17"/>
      <c r="AA181" s="17"/>
      <c r="AB181" s="17">
        <v>18998</v>
      </c>
      <c r="AC181" s="17">
        <v>21269.275390999999</v>
      </c>
      <c r="AD181"/>
      <c r="AE181"/>
    </row>
    <row r="182" spans="1:31" x14ac:dyDescent="0.25">
      <c r="A182" s="136">
        <f>'[2]All Counts'!C182</f>
        <v>15</v>
      </c>
      <c r="B182" s="136">
        <f>'[2]All Counts'!D182</f>
        <v>3</v>
      </c>
      <c r="C182" s="136">
        <f>'[2]All Counts'!E182</f>
        <v>27540</v>
      </c>
      <c r="D182" s="136">
        <f>'[2]All Counts'!F182</f>
        <v>1</v>
      </c>
      <c r="E182" s="136">
        <f>'[2]All Counts'!G182</f>
        <v>1</v>
      </c>
      <c r="F182" s="136" t="str">
        <f>'[2]All Counts'!H182</f>
        <v>I-8 WB</v>
      </c>
      <c r="G182" s="136">
        <f>'[2]All Counts'!I182</f>
        <v>5</v>
      </c>
      <c r="H182" s="136">
        <f>'[2]All Counts'!J182</f>
        <v>7</v>
      </c>
      <c r="I182" s="136" t="str">
        <f>'[2]All Counts'!K182</f>
        <v>CORRIZO GORGE</v>
      </c>
      <c r="J182" s="136" t="str">
        <f>'[2]All Counts'!L182</f>
        <v>SR-94</v>
      </c>
      <c r="K182" s="136">
        <f>'[2]All Counts'!O182</f>
        <v>1614</v>
      </c>
      <c r="L182" s="57">
        <f>VLOOKUP(ws[[#This Row],[hwycov_id]],readme!D:G,4,FALSE)</f>
        <v>634.33215299999995</v>
      </c>
      <c r="M182" s="88">
        <f>ws[[#This Row],[flow]]/ws[[#This Row],[count]]-1</f>
        <v>-0.60698131784386622</v>
      </c>
      <c r="N182" s="89">
        <f>POWER((ws[[#This Row],[flow]]-ws[[#This Row],[count]]),2)</f>
        <v>959749.09044561547</v>
      </c>
      <c r="O182" s="43">
        <f>VLOOKUP(ws[[#This Row],[hwycov_id]],count[],6,FALSE)</f>
        <v>0</v>
      </c>
      <c r="P182" s="43">
        <v>525</v>
      </c>
      <c r="Q182" s="43" t="str">
        <f>'[2]All Counts'!P182</f>
        <v>Caltran</v>
      </c>
      <c r="S182" s="94">
        <v>9142</v>
      </c>
      <c r="T182" s="17"/>
      <c r="U182" s="17"/>
      <c r="V182" s="17">
        <v>4233</v>
      </c>
      <c r="W182" s="17">
        <v>4199.8891599999997</v>
      </c>
      <c r="X182" s="17"/>
      <c r="Y182" s="17"/>
      <c r="Z182" s="17"/>
      <c r="AA182" s="17"/>
      <c r="AB182" s="17">
        <v>4233</v>
      </c>
      <c r="AC182" s="17">
        <v>4199.8891599999997</v>
      </c>
      <c r="AD182"/>
      <c r="AE182"/>
    </row>
    <row r="183" spans="1:31" x14ac:dyDescent="0.25">
      <c r="A183" s="136">
        <f>'[2]All Counts'!C183</f>
        <v>15</v>
      </c>
      <c r="B183" s="136">
        <f>'[2]All Counts'!D183</f>
        <v>3</v>
      </c>
      <c r="C183" s="136">
        <f>'[2]All Counts'!E183</f>
        <v>28270</v>
      </c>
      <c r="D183" s="136">
        <f>'[2]All Counts'!F183</f>
        <v>1</v>
      </c>
      <c r="E183" s="136">
        <f>'[2]All Counts'!G183</f>
        <v>1</v>
      </c>
      <c r="F183" s="136" t="str">
        <f>'[2]All Counts'!H183</f>
        <v>I-8 WB</v>
      </c>
      <c r="G183" s="136">
        <f>'[2]All Counts'!I183</f>
        <v>11</v>
      </c>
      <c r="H183" s="136">
        <f>'[2]All Counts'!J183</f>
        <v>2</v>
      </c>
      <c r="I183" s="136" t="str">
        <f>'[2]All Counts'!K183</f>
        <v>CAMERON TRUCK</v>
      </c>
      <c r="J183" s="136" t="str">
        <f>'[2]All Counts'!L183</f>
        <v>BUCKMAN SPRINGS</v>
      </c>
      <c r="K183" s="136">
        <f>'[2]All Counts'!O183</f>
        <v>1811</v>
      </c>
      <c r="L183" s="57">
        <f>VLOOKUP(ws[[#This Row],[hwycov_id]],readme!D:G,4,FALSE)</f>
        <v>847.37536599999999</v>
      </c>
      <c r="M183" s="88">
        <f>ws[[#This Row],[flow]]/ws[[#This Row],[count]]-1</f>
        <v>-0.53209532523467695</v>
      </c>
      <c r="N183" s="89">
        <f>POWER((ws[[#This Row],[flow]]-ws[[#This Row],[count]]),2)</f>
        <v>928572.43525163399</v>
      </c>
      <c r="O183" s="43">
        <f>VLOOKUP(ws[[#This Row],[hwycov_id]],count[],6,FALSE)</f>
        <v>0</v>
      </c>
      <c r="P183" s="43">
        <v>344</v>
      </c>
      <c r="Q183" s="43" t="str">
        <f>'[2]All Counts'!P183</f>
        <v>Caltran</v>
      </c>
      <c r="S183" s="94">
        <v>9143</v>
      </c>
      <c r="T183" s="17">
        <v>3009</v>
      </c>
      <c r="U183" s="17">
        <v>2621.8789059999999</v>
      </c>
      <c r="V183" s="17"/>
      <c r="W183" s="17"/>
      <c r="X183" s="17"/>
      <c r="Y183" s="17"/>
      <c r="Z183" s="17"/>
      <c r="AA183" s="17"/>
      <c r="AB183" s="17">
        <v>3009</v>
      </c>
      <c r="AC183" s="17">
        <v>2621.8789059999999</v>
      </c>
      <c r="AD183"/>
      <c r="AE183"/>
    </row>
    <row r="184" spans="1:31" x14ac:dyDescent="0.25">
      <c r="A184" s="136">
        <f>'[2]All Counts'!C184</f>
        <v>15</v>
      </c>
      <c r="B184" s="136">
        <f>'[2]All Counts'!D184</f>
        <v>3</v>
      </c>
      <c r="C184" s="136">
        <f>'[2]All Counts'!E184</f>
        <v>28254</v>
      </c>
      <c r="D184" s="136">
        <f>'[2]All Counts'!F184</f>
        <v>1</v>
      </c>
      <c r="E184" s="136">
        <f>'[2]All Counts'!G184</f>
        <v>1</v>
      </c>
      <c r="F184" s="136" t="str">
        <f>'[2]All Counts'!H184</f>
        <v>I-8 WB</v>
      </c>
      <c r="G184" s="136">
        <f>'[2]All Counts'!I184</f>
        <v>17</v>
      </c>
      <c r="H184" s="136">
        <f>'[2]All Counts'!J184</f>
        <v>5</v>
      </c>
      <c r="I184" s="136" t="str">
        <f>'[2]All Counts'!K184</f>
        <v>PINE VALLEY</v>
      </c>
      <c r="J184" s="136" t="str">
        <f>'[2]All Counts'!L184</f>
        <v>JAPATUL VALLEY</v>
      </c>
      <c r="K184" s="136">
        <f>'[2]All Counts'!O184</f>
        <v>2191</v>
      </c>
      <c r="L184" s="57">
        <f>VLOOKUP(ws[[#This Row],[hwycov_id]],readme!D:G,4,FALSE)</f>
        <v>1243.587524</v>
      </c>
      <c r="M184" s="88">
        <f>ws[[#This Row],[flow]]/ws[[#This Row],[count]]-1</f>
        <v>-0.43241098858968507</v>
      </c>
      <c r="N184" s="89">
        <f>POWER((ws[[#This Row],[flow]]-ws[[#This Row],[count]]),2)</f>
        <v>897590.39968045056</v>
      </c>
      <c r="O184" s="43">
        <f>VLOOKUP(ws[[#This Row],[hwycov_id]],count[],6,FALSE)</f>
        <v>0</v>
      </c>
      <c r="P184" s="43">
        <v>467</v>
      </c>
      <c r="Q184" s="43" t="str">
        <f>'[2]All Counts'!P184</f>
        <v>Caltran</v>
      </c>
      <c r="S184" s="94">
        <v>9252</v>
      </c>
      <c r="T184" s="17"/>
      <c r="U184" s="17"/>
      <c r="V184" s="17">
        <v>14135</v>
      </c>
      <c r="W184" s="17">
        <v>17301.013672000001</v>
      </c>
      <c r="X184" s="17"/>
      <c r="Y184" s="17"/>
      <c r="Z184" s="17"/>
      <c r="AA184" s="17"/>
      <c r="AB184" s="17">
        <v>14135</v>
      </c>
      <c r="AC184" s="17">
        <v>17301.013672000001</v>
      </c>
      <c r="AD184"/>
      <c r="AE184"/>
    </row>
    <row r="185" spans="1:31" x14ac:dyDescent="0.25">
      <c r="A185" s="136">
        <f>'[2]All Counts'!C185</f>
        <v>15</v>
      </c>
      <c r="B185" s="136">
        <f>'[2]All Counts'!D185</f>
        <v>3</v>
      </c>
      <c r="C185" s="136">
        <f>'[2]All Counts'!E185</f>
        <v>28215</v>
      </c>
      <c r="D185" s="136">
        <f>'[2]All Counts'!F185</f>
        <v>1</v>
      </c>
      <c r="E185" s="136">
        <f>'[2]All Counts'!G185</f>
        <v>1</v>
      </c>
      <c r="F185" s="136" t="str">
        <f>'[2]All Counts'!H185</f>
        <v>I-8 WB</v>
      </c>
      <c r="G185" s="136">
        <f>'[2]All Counts'!I185</f>
        <v>27</v>
      </c>
      <c r="H185" s="136">
        <f>'[2]All Counts'!J185</f>
        <v>3</v>
      </c>
      <c r="I185" s="136" t="str">
        <f>'[2]All Counts'!K185</f>
        <v>DUNBAR</v>
      </c>
      <c r="J185" s="136" t="str">
        <f>'[2]All Counts'!L185</f>
        <v>LAKE JENNINGS PARK</v>
      </c>
      <c r="K185" s="136">
        <f>'[2]All Counts'!O185</f>
        <v>5692</v>
      </c>
      <c r="L185" s="57">
        <f>VLOOKUP(ws[[#This Row],[hwycov_id]],readme!D:G,4,FALSE)</f>
        <v>4961.3872069999998</v>
      </c>
      <c r="M185" s="88">
        <f>ws[[#This Row],[flow]]/ws[[#This Row],[count]]-1</f>
        <v>-0.1283578343288827</v>
      </c>
      <c r="N185" s="89">
        <f>POWER((ws[[#This Row],[flow]]-ws[[#This Row],[count]]),2)</f>
        <v>533795.05329526123</v>
      </c>
      <c r="O185" s="43">
        <f>VLOOKUP(ws[[#This Row],[hwycov_id]],count[],6,FALSE)</f>
        <v>0</v>
      </c>
      <c r="P185" s="43">
        <v>345</v>
      </c>
      <c r="Q185" s="43" t="str">
        <f>'[2]All Counts'!P185</f>
        <v>Caltran</v>
      </c>
      <c r="S185" s="94">
        <v>9328</v>
      </c>
      <c r="T185" s="17">
        <v>21823</v>
      </c>
      <c r="U185" s="17">
        <v>27071.931640999999</v>
      </c>
      <c r="V185" s="17"/>
      <c r="W185" s="17"/>
      <c r="X185" s="17"/>
      <c r="Y185" s="17"/>
      <c r="Z185" s="17"/>
      <c r="AA185" s="17"/>
      <c r="AB185" s="17">
        <v>21823</v>
      </c>
      <c r="AC185" s="17">
        <v>27071.931640999999</v>
      </c>
      <c r="AD185"/>
      <c r="AE185"/>
    </row>
    <row r="186" spans="1:31" x14ac:dyDescent="0.25">
      <c r="A186" s="136">
        <f>'[2]All Counts'!C186</f>
        <v>15</v>
      </c>
      <c r="B186" s="136">
        <f>'[2]All Counts'!D186</f>
        <v>3</v>
      </c>
      <c r="C186" s="136">
        <f>'[2]All Counts'!E186</f>
        <v>28211</v>
      </c>
      <c r="D186" s="136">
        <f>'[2]All Counts'!F186</f>
        <v>1</v>
      </c>
      <c r="E186" s="136">
        <f>'[2]All Counts'!G186</f>
        <v>1</v>
      </c>
      <c r="F186" s="136" t="str">
        <f>'[2]All Counts'!H186</f>
        <v>I-8 WB</v>
      </c>
      <c r="G186" s="136">
        <f>'[2]All Counts'!I186</f>
        <v>28</v>
      </c>
      <c r="H186" s="136">
        <f>'[2]All Counts'!J186</f>
        <v>0</v>
      </c>
      <c r="I186" s="136" t="str">
        <f>'[2]All Counts'!K186</f>
        <v>LAKE JENNINGS PARK</v>
      </c>
      <c r="J186" s="136" t="str">
        <f>'[2]All Counts'!L186</f>
        <v>LAKE JENNINGS PARK</v>
      </c>
      <c r="K186" s="136">
        <f>'[2]All Counts'!O186</f>
        <v>4867</v>
      </c>
      <c r="L186" s="57">
        <f>VLOOKUP(ws[[#This Row],[hwycov_id]],readme!D:G,4,FALSE)</f>
        <v>3941.7145999999998</v>
      </c>
      <c r="M186" s="88">
        <f>ws[[#This Row],[flow]]/ws[[#This Row],[count]]-1</f>
        <v>-0.19011411547154311</v>
      </c>
      <c r="N186" s="89">
        <f>POWER((ws[[#This Row],[flow]]-ws[[#This Row],[count]]),2)</f>
        <v>856153.07145316037</v>
      </c>
      <c r="O186" s="43">
        <f>VLOOKUP(ws[[#This Row],[hwycov_id]],count[],6,FALSE)</f>
        <v>0</v>
      </c>
      <c r="P186" s="43">
        <v>466</v>
      </c>
      <c r="Q186" s="43" t="str">
        <f>'[2]All Counts'!P186</f>
        <v>PeMS2016</v>
      </c>
      <c r="S186" s="94">
        <v>9330</v>
      </c>
      <c r="T186" s="17"/>
      <c r="U186" s="17"/>
      <c r="V186" s="17">
        <v>29803</v>
      </c>
      <c r="W186" s="17">
        <v>35017.234375</v>
      </c>
      <c r="X186" s="17"/>
      <c r="Y186" s="17"/>
      <c r="Z186" s="17"/>
      <c r="AA186" s="17"/>
      <c r="AB186" s="17">
        <v>29803</v>
      </c>
      <c r="AC186" s="17">
        <v>35017.234375</v>
      </c>
      <c r="AD186"/>
      <c r="AE186"/>
    </row>
    <row r="187" spans="1:31" x14ac:dyDescent="0.25">
      <c r="A187" s="136">
        <f>'[2]All Counts'!C187</f>
        <v>15</v>
      </c>
      <c r="B187" s="136">
        <f>'[2]All Counts'!D187</f>
        <v>3</v>
      </c>
      <c r="C187" s="136">
        <f>'[2]All Counts'!E187</f>
        <v>28206</v>
      </c>
      <c r="D187" s="136">
        <f>'[2]All Counts'!F187</f>
        <v>1</v>
      </c>
      <c r="E187" s="136">
        <f>'[2]All Counts'!G187</f>
        <v>1</v>
      </c>
      <c r="F187" s="136" t="str">
        <f>'[2]All Counts'!H187</f>
        <v>I-8 WB</v>
      </c>
      <c r="G187" s="136">
        <f>'[2]All Counts'!I187</f>
        <v>30</v>
      </c>
      <c r="H187" s="136">
        <f>'[2]All Counts'!J187</f>
        <v>1</v>
      </c>
      <c r="I187" s="136" t="str">
        <f>'[2]All Counts'!K187</f>
        <v>LAKE JENNINGS PARK</v>
      </c>
      <c r="J187" s="136" t="str">
        <f>'[2]All Counts'!L187</f>
        <v>CAM CANADA</v>
      </c>
      <c r="K187" s="136">
        <f>'[2]All Counts'!O187</f>
        <v>7200</v>
      </c>
      <c r="L187" s="57">
        <f>VLOOKUP(ws[[#This Row],[hwycov_id]],readme!D:G,4,FALSE)</f>
        <v>5587.0834960000002</v>
      </c>
      <c r="M187" s="88">
        <f>ws[[#This Row],[flow]]/ws[[#This Row],[count]]-1</f>
        <v>-0.2240161811111111</v>
      </c>
      <c r="N187" s="89">
        <f>POWER((ws[[#This Row],[flow]]-ws[[#This Row],[count]]),2)</f>
        <v>2601499.6488755816</v>
      </c>
      <c r="O187" s="43">
        <f>VLOOKUP(ws[[#This Row],[hwycov_id]],count[],6,FALSE)</f>
        <v>0</v>
      </c>
      <c r="P187" s="43">
        <v>346</v>
      </c>
      <c r="Q187" s="43" t="str">
        <f>'[2]All Counts'!P187</f>
        <v>PeMS2016</v>
      </c>
      <c r="S187" s="94">
        <v>9333</v>
      </c>
      <c r="T187" s="17">
        <v>17693</v>
      </c>
      <c r="U187" s="17">
        <v>23501.767577999999</v>
      </c>
      <c r="V187" s="17"/>
      <c r="W187" s="17"/>
      <c r="X187" s="17"/>
      <c r="Y187" s="17"/>
      <c r="Z187" s="17"/>
      <c r="AA187" s="17"/>
      <c r="AB187" s="17">
        <v>17693</v>
      </c>
      <c r="AC187" s="17">
        <v>23501.767577999999</v>
      </c>
      <c r="AD187"/>
      <c r="AE187"/>
    </row>
    <row r="188" spans="1:31" x14ac:dyDescent="0.25">
      <c r="A188" s="136">
        <f>'[2]All Counts'!C188</f>
        <v>15</v>
      </c>
      <c r="B188" s="136">
        <f>'[2]All Counts'!D188</f>
        <v>3</v>
      </c>
      <c r="C188" s="136">
        <f>'[2]All Counts'!E188</f>
        <v>28638</v>
      </c>
      <c r="D188" s="136">
        <f>'[2]All Counts'!F188</f>
        <v>1</v>
      </c>
      <c r="E188" s="136">
        <f>'[2]All Counts'!G188</f>
        <v>1</v>
      </c>
      <c r="F188" s="136" t="str">
        <f>'[2]All Counts'!H188</f>
        <v>I-8 WB</v>
      </c>
      <c r="G188" s="136">
        <f>'[2]All Counts'!I188</f>
        <v>31</v>
      </c>
      <c r="H188" s="136">
        <f>'[2]All Counts'!J188</f>
        <v>0</v>
      </c>
      <c r="I188" s="136" t="str">
        <f>'[2]All Counts'!K188</f>
        <v>CAM CANADA</v>
      </c>
      <c r="J188" s="136" t="str">
        <f>'[2]All Counts'!L188</f>
        <v>CAM CANADA</v>
      </c>
      <c r="K188" s="136">
        <f>'[2]All Counts'!O188</f>
        <v>6569</v>
      </c>
      <c r="L188" s="57">
        <f>VLOOKUP(ws[[#This Row],[hwycov_id]],readme!D:G,4,FALSE)</f>
        <v>5456.6054690000001</v>
      </c>
      <c r="M188" s="88">
        <f>ws[[#This Row],[flow]]/ws[[#This Row],[count]]-1</f>
        <v>-0.16934001080834216</v>
      </c>
      <c r="N188" s="89">
        <f>POWER((ws[[#This Row],[flow]]-ws[[#This Row],[count]]),2)</f>
        <v>1237421.5925987097</v>
      </c>
      <c r="O188" s="43">
        <f>VLOOKUP(ws[[#This Row],[hwycov_id]],count[],6,FALSE)</f>
        <v>0</v>
      </c>
      <c r="P188" s="43">
        <v>347</v>
      </c>
      <c r="Q188" s="43" t="str">
        <f>'[2]All Counts'!P188</f>
        <v>PeMS2016</v>
      </c>
      <c r="S188" s="94">
        <v>9335</v>
      </c>
      <c r="T188" s="17"/>
      <c r="U188" s="17"/>
      <c r="V188" s="17">
        <v>26697</v>
      </c>
      <c r="W188" s="17">
        <v>30784.339843999998</v>
      </c>
      <c r="X188" s="17"/>
      <c r="Y188" s="17"/>
      <c r="Z188" s="17"/>
      <c r="AA188" s="17"/>
      <c r="AB188" s="17">
        <v>26697</v>
      </c>
      <c r="AC188" s="17">
        <v>30784.339843999998</v>
      </c>
      <c r="AD188"/>
      <c r="AE188"/>
    </row>
    <row r="189" spans="1:31" x14ac:dyDescent="0.25">
      <c r="A189" s="136">
        <f>'[2]All Counts'!C189</f>
        <v>15</v>
      </c>
      <c r="B189" s="136">
        <f>'[2]All Counts'!D189</f>
        <v>3</v>
      </c>
      <c r="C189" s="136">
        <f>'[2]All Counts'!E189</f>
        <v>28637</v>
      </c>
      <c r="D189" s="136">
        <f>'[2]All Counts'!F189</f>
        <v>1</v>
      </c>
      <c r="E189" s="136">
        <f>'[2]All Counts'!G189</f>
        <v>1</v>
      </c>
      <c r="F189" s="136" t="str">
        <f>'[2]All Counts'!H189</f>
        <v>I-8 WB</v>
      </c>
      <c r="G189" s="136">
        <f>'[2]All Counts'!I189</f>
        <v>32</v>
      </c>
      <c r="H189" s="136">
        <f>'[2]All Counts'!J189</f>
        <v>0</v>
      </c>
      <c r="I189" s="136" t="str">
        <f>'[2]All Counts'!K189</f>
        <v>CAM CANADA</v>
      </c>
      <c r="J189" s="136" t="str">
        <f>'[2]All Counts'!L189</f>
        <v>GREENFIELD</v>
      </c>
      <c r="K189" s="136">
        <f>'[2]All Counts'!O189</f>
        <v>8766</v>
      </c>
      <c r="L189" s="57">
        <f>VLOOKUP(ws[[#This Row],[hwycov_id]],readme!D:G,4,FALSE)</f>
        <v>6945.7744140000004</v>
      </c>
      <c r="M189" s="88">
        <f>ws[[#This Row],[flow]]/ws[[#This Row],[count]]-1</f>
        <v>-0.20764608555783703</v>
      </c>
      <c r="N189" s="89">
        <f>POWER((ws[[#This Row],[flow]]-ws[[#This Row],[count]]),2)</f>
        <v>3313221.183929042</v>
      </c>
      <c r="O189" s="43">
        <f>VLOOKUP(ws[[#This Row],[hwycov_id]],count[],6,FALSE)</f>
        <v>0</v>
      </c>
      <c r="P189" s="43">
        <v>465</v>
      </c>
      <c r="Q189" s="43" t="str">
        <f>'[2]All Counts'!P189</f>
        <v>PeMS2016</v>
      </c>
      <c r="S189" s="94">
        <v>9336</v>
      </c>
      <c r="T189" s="17">
        <v>19558</v>
      </c>
      <c r="U189" s="17">
        <v>25353</v>
      </c>
      <c r="V189" s="17"/>
      <c r="W189" s="17"/>
      <c r="X189" s="17"/>
      <c r="Y189" s="17"/>
      <c r="Z189" s="17"/>
      <c r="AA189" s="17"/>
      <c r="AB189" s="17">
        <v>19558</v>
      </c>
      <c r="AC189" s="17">
        <v>25353</v>
      </c>
      <c r="AD189"/>
      <c r="AE189"/>
    </row>
    <row r="190" spans="1:31" x14ac:dyDescent="0.25">
      <c r="A190" s="136">
        <f>'[2]All Counts'!C190</f>
        <v>15</v>
      </c>
      <c r="B190" s="136">
        <f>'[2]All Counts'!D190</f>
        <v>3</v>
      </c>
      <c r="C190" s="136">
        <f>'[2]All Counts'!E190</f>
        <v>28200</v>
      </c>
      <c r="D190" s="136">
        <f>'[2]All Counts'!F190</f>
        <v>1</v>
      </c>
      <c r="E190" s="136">
        <f>'[2]All Counts'!G190</f>
        <v>1</v>
      </c>
      <c r="F190" s="136" t="str">
        <f>'[2]All Counts'!H190</f>
        <v>I-8 WB</v>
      </c>
      <c r="G190" s="136">
        <f>'[2]All Counts'!I190</f>
        <v>34</v>
      </c>
      <c r="H190" s="136">
        <f>'[2]All Counts'!J190</f>
        <v>0</v>
      </c>
      <c r="I190" s="136" t="str">
        <f>'[2]All Counts'!K190</f>
        <v>GREENFIELD</v>
      </c>
      <c r="J190" s="136" t="str">
        <f>'[2]All Counts'!L190</f>
        <v>GREENFIELD</v>
      </c>
      <c r="K190" s="136">
        <f>'[2]All Counts'!O190</f>
        <v>7575</v>
      </c>
      <c r="L190" s="57">
        <f>VLOOKUP(ws[[#This Row],[hwycov_id]],readme!D:G,4,FALSE)</f>
        <v>6631.8139650000003</v>
      </c>
      <c r="M190" s="88">
        <f>ws[[#This Row],[flow]]/ws[[#This Row],[count]]-1</f>
        <v>-0.12451300792079201</v>
      </c>
      <c r="N190" s="89">
        <f>POWER((ws[[#This Row],[flow]]-ws[[#This Row],[count]]),2)</f>
        <v>889599.89661902073</v>
      </c>
      <c r="O190" s="43">
        <f>VLOOKUP(ws[[#This Row],[hwycov_id]],count[],6,FALSE)</f>
        <v>0</v>
      </c>
      <c r="P190" s="43">
        <v>348</v>
      </c>
      <c r="Q190" s="43" t="str">
        <f>'[2]All Counts'!P190</f>
        <v>PeMS2016</v>
      </c>
      <c r="S190" s="94">
        <v>9337</v>
      </c>
      <c r="T190" s="17">
        <v>16940</v>
      </c>
      <c r="U190" s="17">
        <v>21240.037109000001</v>
      </c>
      <c r="V190" s="17"/>
      <c r="W190" s="17"/>
      <c r="X190" s="17"/>
      <c r="Y190" s="17"/>
      <c r="Z190" s="17"/>
      <c r="AA190" s="17"/>
      <c r="AB190" s="17">
        <v>16940</v>
      </c>
      <c r="AC190" s="17">
        <v>21240.037109000001</v>
      </c>
      <c r="AD190"/>
      <c r="AE190"/>
    </row>
    <row r="191" spans="1:31" x14ac:dyDescent="0.25">
      <c r="A191" s="136">
        <f>'[2]All Counts'!C191</f>
        <v>15</v>
      </c>
      <c r="B191" s="136">
        <f>'[2]All Counts'!D191</f>
        <v>3</v>
      </c>
      <c r="C191" s="136">
        <f>'[2]All Counts'!E191</f>
        <v>28197</v>
      </c>
      <c r="D191" s="136">
        <f>'[2]All Counts'!F191</f>
        <v>1</v>
      </c>
      <c r="E191" s="136">
        <f>'[2]All Counts'!G191</f>
        <v>1</v>
      </c>
      <c r="F191" s="136" t="str">
        <f>'[2]All Counts'!H191</f>
        <v>I-8 WB</v>
      </c>
      <c r="G191" s="136">
        <f>'[2]All Counts'!I191</f>
        <v>35</v>
      </c>
      <c r="H191" s="136">
        <f>'[2]All Counts'!J191</f>
        <v>0</v>
      </c>
      <c r="I191" s="136" t="str">
        <f>'[2]All Counts'!K191</f>
        <v>GREENFIELD</v>
      </c>
      <c r="J191" s="136" t="str">
        <f>'[2]All Counts'!L191</f>
        <v>SR  54</v>
      </c>
      <c r="K191" s="136">
        <f>'[2]All Counts'!O191</f>
        <v>9769</v>
      </c>
      <c r="L191" s="57">
        <f>VLOOKUP(ws[[#This Row],[hwycov_id]],readme!D:G,4,FALSE)</f>
        <v>8561.9775389999995</v>
      </c>
      <c r="M191" s="88">
        <f>ws[[#This Row],[flow]]/ws[[#This Row],[count]]-1</f>
        <v>-0.12355639891493508</v>
      </c>
      <c r="N191" s="89">
        <f>POWER((ws[[#This Row],[flow]]-ws[[#This Row],[count]]),2)</f>
        <v>1456903.2213584976</v>
      </c>
      <c r="O191" s="43">
        <f>VLOOKUP(ws[[#This Row],[hwycov_id]],count[],6,FALSE)</f>
        <v>0</v>
      </c>
      <c r="P191" s="43">
        <v>115</v>
      </c>
      <c r="Q191" s="43" t="str">
        <f>'[2]All Counts'!P191</f>
        <v>PeMS2016</v>
      </c>
      <c r="S191" s="94">
        <v>9338</v>
      </c>
      <c r="T191" s="17"/>
      <c r="U191" s="17"/>
      <c r="V191" s="17">
        <v>26635</v>
      </c>
      <c r="W191" s="17">
        <v>32959.472655999998</v>
      </c>
      <c r="X191" s="17"/>
      <c r="Y191" s="17"/>
      <c r="Z191" s="17"/>
      <c r="AA191" s="17"/>
      <c r="AB191" s="17">
        <v>26635</v>
      </c>
      <c r="AC191" s="17">
        <v>32959.472655999998</v>
      </c>
      <c r="AD191"/>
      <c r="AE191"/>
    </row>
    <row r="192" spans="1:31" x14ac:dyDescent="0.25">
      <c r="A192" s="136">
        <f>'[2]All Counts'!C192</f>
        <v>15</v>
      </c>
      <c r="B192" s="136">
        <f>'[2]All Counts'!D192</f>
        <v>3</v>
      </c>
      <c r="C192" s="136">
        <f>'[2]All Counts'!E192</f>
        <v>28195</v>
      </c>
      <c r="D192" s="136">
        <f>'[2]All Counts'!F192</f>
        <v>1</v>
      </c>
      <c r="E192" s="136">
        <f>'[2]All Counts'!G192</f>
        <v>1</v>
      </c>
      <c r="F192" s="136" t="str">
        <f>'[2]All Counts'!H192</f>
        <v>I-8 WB</v>
      </c>
      <c r="G192" s="136">
        <f>'[2]All Counts'!I192</f>
        <v>36</v>
      </c>
      <c r="H192" s="136">
        <f>'[2]All Counts'!J192</f>
        <v>0</v>
      </c>
      <c r="I192" s="136" t="str">
        <f>'[2]All Counts'!K192</f>
        <v>SR  54</v>
      </c>
      <c r="J192" s="136" t="str">
        <f>'[2]All Counts'!L192</f>
        <v>MAIN</v>
      </c>
      <c r="K192" s="136">
        <f>'[2]All Counts'!O192</f>
        <v>9769</v>
      </c>
      <c r="L192" s="57">
        <f>VLOOKUP(ws[[#This Row],[hwycov_id]],readme!D:G,4,FALSE)</f>
        <v>8561.9775389999995</v>
      </c>
      <c r="M192" s="88">
        <f>ws[[#This Row],[flow]]/ws[[#This Row],[count]]-1</f>
        <v>-0.12355639891493508</v>
      </c>
      <c r="N192" s="89">
        <f>POWER((ws[[#This Row],[flow]]-ws[[#This Row],[count]]),2)</f>
        <v>1456903.2213584976</v>
      </c>
      <c r="O192" s="43">
        <f>VLOOKUP(ws[[#This Row],[hwycov_id]],count[],6,FALSE)</f>
        <v>0</v>
      </c>
      <c r="P192" s="43">
        <v>661</v>
      </c>
      <c r="Q192" s="43" t="str">
        <f>'[2]All Counts'!P192</f>
        <v>PeMS2016</v>
      </c>
      <c r="S192" s="94">
        <v>9342</v>
      </c>
      <c r="T192" s="17">
        <v>19575</v>
      </c>
      <c r="U192" s="17">
        <v>23909.515625</v>
      </c>
      <c r="V192" s="17"/>
      <c r="W192" s="17"/>
      <c r="X192" s="17"/>
      <c r="Y192" s="17"/>
      <c r="Z192" s="17"/>
      <c r="AA192" s="17"/>
      <c r="AB192" s="17">
        <v>19575</v>
      </c>
      <c r="AC192" s="17">
        <v>23909.515625</v>
      </c>
      <c r="AD192"/>
      <c r="AE192"/>
    </row>
    <row r="193" spans="1:31" x14ac:dyDescent="0.25">
      <c r="A193" s="136">
        <f>'[2]All Counts'!C193</f>
        <v>15</v>
      </c>
      <c r="B193" s="136">
        <f>'[2]All Counts'!D193</f>
        <v>3</v>
      </c>
      <c r="C193" s="136">
        <f>'[2]All Counts'!E193</f>
        <v>28634</v>
      </c>
      <c r="D193" s="136">
        <f>'[2]All Counts'!F193</f>
        <v>1</v>
      </c>
      <c r="E193" s="136">
        <f>'[2]All Counts'!G193</f>
        <v>1</v>
      </c>
      <c r="F193" s="136" t="str">
        <f>'[2]All Counts'!H193</f>
        <v>I-8 WB</v>
      </c>
      <c r="G193" s="136">
        <f>'[2]All Counts'!I193</f>
        <v>37</v>
      </c>
      <c r="H193" s="136">
        <f>'[2]All Counts'!J193</f>
        <v>0</v>
      </c>
      <c r="I193" s="136" t="str">
        <f>'[2]All Counts'!K193</f>
        <v>MAIN</v>
      </c>
      <c r="J193" s="136" t="str">
        <f>'[2]All Counts'!L193</f>
        <v>SR  54</v>
      </c>
      <c r="K193" s="136">
        <f>'[2]All Counts'!O193</f>
        <v>8745</v>
      </c>
      <c r="L193" s="57">
        <f>VLOOKUP(ws[[#This Row],[hwycov_id]],readme!D:G,4,FALSE)</f>
        <v>7643.7426759999998</v>
      </c>
      <c r="M193" s="88">
        <f>ws[[#This Row],[flow]]/ws[[#This Row],[count]]-1</f>
        <v>-0.1259299398513436</v>
      </c>
      <c r="N193" s="89">
        <f>POWER((ws[[#This Row],[flow]]-ws[[#This Row],[count]]),2)</f>
        <v>1212767.6936636413</v>
      </c>
      <c r="O193" s="43">
        <f>VLOOKUP(ws[[#This Row],[hwycov_id]],count[],6,FALSE)</f>
        <v>0</v>
      </c>
      <c r="P193" s="43">
        <v>116</v>
      </c>
      <c r="Q193" s="43" t="str">
        <f>'[2]All Counts'!P193</f>
        <v>PeMS2016</v>
      </c>
      <c r="S193" s="94">
        <v>9483</v>
      </c>
      <c r="T193" s="17">
        <v>1769</v>
      </c>
      <c r="U193" s="17">
        <v>1920.259155</v>
      </c>
      <c r="V193" s="17"/>
      <c r="W193" s="17"/>
      <c r="X193" s="17"/>
      <c r="Y193" s="17"/>
      <c r="Z193" s="17"/>
      <c r="AA193" s="17"/>
      <c r="AB193" s="17">
        <v>1769</v>
      </c>
      <c r="AC193" s="17">
        <v>1920.259155</v>
      </c>
      <c r="AD193"/>
      <c r="AE193"/>
    </row>
    <row r="194" spans="1:31" x14ac:dyDescent="0.25">
      <c r="A194" s="136">
        <f>'[2]All Counts'!C194</f>
        <v>15</v>
      </c>
      <c r="B194" s="136">
        <f>'[2]All Counts'!D194</f>
        <v>3</v>
      </c>
      <c r="C194" s="136">
        <f>'[2]All Counts'!E194</f>
        <v>28379</v>
      </c>
      <c r="D194" s="136">
        <f>'[2]All Counts'!F194</f>
        <v>1</v>
      </c>
      <c r="E194" s="136">
        <f>'[2]All Counts'!G194</f>
        <v>1</v>
      </c>
      <c r="F194" s="136" t="str">
        <f>'[2]All Counts'!H194</f>
        <v>I-8 WB</v>
      </c>
      <c r="G194" s="136">
        <f>'[2]All Counts'!I194</f>
        <v>38</v>
      </c>
      <c r="H194" s="136">
        <f>'[2]All Counts'!J194</f>
        <v>0</v>
      </c>
      <c r="I194" s="136" t="str">
        <f>'[2]All Counts'!K194</f>
        <v>MAIN</v>
      </c>
      <c r="J194" s="136" t="str">
        <f>'[2]All Counts'!L194</f>
        <v>SR  54</v>
      </c>
      <c r="K194" s="136">
        <f>'[2]All Counts'!O194</f>
        <v>8745</v>
      </c>
      <c r="L194" s="57">
        <f>VLOOKUP(ws[[#This Row],[hwycov_id]],readme!D:G,4,FALSE)</f>
        <v>7643.7426759999998</v>
      </c>
      <c r="M194" s="88">
        <f>ws[[#This Row],[flow]]/ws[[#This Row],[count]]-1</f>
        <v>-0.1259299398513436</v>
      </c>
      <c r="N194" s="89">
        <f>POWER((ws[[#This Row],[flow]]-ws[[#This Row],[count]]),2)</f>
        <v>1212767.6936636413</v>
      </c>
      <c r="O194" s="43">
        <f>VLOOKUP(ws[[#This Row],[hwycov_id]],count[],6,FALSE)</f>
        <v>0</v>
      </c>
      <c r="P194" s="43">
        <v>660</v>
      </c>
      <c r="Q194" s="43" t="str">
        <f>'[2]All Counts'!P194</f>
        <v>PeMS2016</v>
      </c>
      <c r="S194" s="94">
        <v>9488</v>
      </c>
      <c r="T194" s="17"/>
      <c r="U194" s="17"/>
      <c r="V194" s="17">
        <v>757</v>
      </c>
      <c r="W194" s="17">
        <v>1180.147461</v>
      </c>
      <c r="X194" s="17"/>
      <c r="Y194" s="17"/>
      <c r="Z194" s="17"/>
      <c r="AA194" s="17"/>
      <c r="AB194" s="17">
        <v>757</v>
      </c>
      <c r="AC194" s="17">
        <v>1180.147461</v>
      </c>
      <c r="AD194"/>
      <c r="AE194"/>
    </row>
    <row r="195" spans="1:31" x14ac:dyDescent="0.25">
      <c r="A195" s="136">
        <f>'[2]All Counts'!C195</f>
        <v>15</v>
      </c>
      <c r="B195" s="136">
        <f>'[2]All Counts'!D195</f>
        <v>3</v>
      </c>
      <c r="C195" s="136">
        <f>'[2]All Counts'!E195</f>
        <v>28193</v>
      </c>
      <c r="D195" s="136">
        <f>'[2]All Counts'!F195</f>
        <v>1</v>
      </c>
      <c r="E195" s="136">
        <f>'[2]All Counts'!G195</f>
        <v>1</v>
      </c>
      <c r="F195" s="136" t="str">
        <f>'[2]All Counts'!H195</f>
        <v>I-8 WB</v>
      </c>
      <c r="G195" s="136">
        <f>'[2]All Counts'!I195</f>
        <v>39</v>
      </c>
      <c r="H195" s="136">
        <f>'[2]All Counts'!J195</f>
        <v>0</v>
      </c>
      <c r="I195" s="136" t="str">
        <f>'[2]All Counts'!K195</f>
        <v>02ND</v>
      </c>
      <c r="J195" s="136" t="str">
        <f>'[2]All Counts'!L195</f>
        <v>02ND</v>
      </c>
      <c r="K195" s="136">
        <f>'[2]All Counts'!O195</f>
        <v>8290</v>
      </c>
      <c r="L195" s="57">
        <f>VLOOKUP(ws[[#This Row],[hwycov_id]],readme!D:G,4,FALSE)</f>
        <v>7187.8037109999996</v>
      </c>
      <c r="M195" s="88">
        <f>ws[[#This Row],[flow]]/ws[[#This Row],[count]]-1</f>
        <v>-0.13295492026538003</v>
      </c>
      <c r="N195" s="89">
        <f>POWER((ws[[#This Row],[flow]]-ws[[#This Row],[count]]),2)</f>
        <v>1214836.6594853725</v>
      </c>
      <c r="O195" s="43">
        <f>VLOOKUP(ws[[#This Row],[hwycov_id]],count[],6,FALSE)</f>
        <v>0</v>
      </c>
      <c r="P195" s="43">
        <v>659</v>
      </c>
      <c r="Q195" s="43" t="str">
        <f>'[2]All Counts'!P195</f>
        <v>PeMS2016</v>
      </c>
      <c r="S195" s="94">
        <v>9509</v>
      </c>
      <c r="T195" s="17">
        <v>1877</v>
      </c>
      <c r="U195" s="17">
        <v>1609.3594969999999</v>
      </c>
      <c r="V195" s="17"/>
      <c r="W195" s="17"/>
      <c r="X195" s="17"/>
      <c r="Y195" s="17"/>
      <c r="Z195" s="17"/>
      <c r="AA195" s="17"/>
      <c r="AB195" s="17">
        <v>1877</v>
      </c>
      <c r="AC195" s="17">
        <v>1609.3594969999999</v>
      </c>
      <c r="AD195"/>
      <c r="AE195"/>
    </row>
    <row r="196" spans="1:31" x14ac:dyDescent="0.25">
      <c r="A196" s="136">
        <f>'[2]All Counts'!C196</f>
        <v>15</v>
      </c>
      <c r="B196" s="136">
        <f>'[2]All Counts'!D196</f>
        <v>3</v>
      </c>
      <c r="C196" s="136">
        <f>'[2]All Counts'!E196</f>
        <v>28188</v>
      </c>
      <c r="D196" s="136">
        <f>'[2]All Counts'!F196</f>
        <v>1</v>
      </c>
      <c r="E196" s="136">
        <f>'[2]All Counts'!G196</f>
        <v>1</v>
      </c>
      <c r="F196" s="136" t="str">
        <f>'[2]All Counts'!H196</f>
        <v>I-8 WB</v>
      </c>
      <c r="G196" s="136">
        <f>'[2]All Counts'!I196</f>
        <v>40</v>
      </c>
      <c r="H196" s="136">
        <f>'[2]All Counts'!J196</f>
        <v>0</v>
      </c>
      <c r="I196" s="136" t="str">
        <f>'[2]All Counts'!K196</f>
        <v>02ND</v>
      </c>
      <c r="J196" s="136" t="str">
        <f>'[2]All Counts'!L196</f>
        <v>MOLLISON</v>
      </c>
      <c r="K196" s="136">
        <f>'[2]All Counts'!O196</f>
        <v>12716</v>
      </c>
      <c r="L196" s="57">
        <f>VLOOKUP(ws[[#This Row],[hwycov_id]],readme!D:G,4,FALSE)</f>
        <v>10108.418944999999</v>
      </c>
      <c r="M196" s="88">
        <f>ws[[#This Row],[flow]]/ws[[#This Row],[count]]-1</f>
        <v>-0.2050629958320227</v>
      </c>
      <c r="N196" s="89">
        <f>POWER((ws[[#This Row],[flow]]-ws[[#This Row],[count]]),2)</f>
        <v>6799478.9583949158</v>
      </c>
      <c r="O196" s="43">
        <f>VLOOKUP(ws[[#This Row],[hwycov_id]],count[],6,FALSE)</f>
        <v>0</v>
      </c>
      <c r="P196" s="43">
        <v>117</v>
      </c>
      <c r="Q196" s="43" t="str">
        <f>'[2]All Counts'!P196</f>
        <v>PeMS2016</v>
      </c>
      <c r="S196" s="94">
        <v>9510</v>
      </c>
      <c r="T196" s="17"/>
      <c r="U196" s="17"/>
      <c r="V196" s="17">
        <v>1552</v>
      </c>
      <c r="W196" s="17">
        <v>1915.2257079999999</v>
      </c>
      <c r="X196" s="17"/>
      <c r="Y196" s="17"/>
      <c r="Z196" s="17"/>
      <c r="AA196" s="17"/>
      <c r="AB196" s="17">
        <v>1552</v>
      </c>
      <c r="AC196" s="17">
        <v>1915.2257079999999</v>
      </c>
      <c r="AD196"/>
      <c r="AE196"/>
    </row>
    <row r="197" spans="1:31" x14ac:dyDescent="0.25">
      <c r="A197" s="136">
        <f>'[2]All Counts'!C197</f>
        <v>15</v>
      </c>
      <c r="B197" s="136">
        <f>'[2]All Counts'!D197</f>
        <v>3</v>
      </c>
      <c r="C197" s="136">
        <f>'[2]All Counts'!E197</f>
        <v>28182</v>
      </c>
      <c r="D197" s="136">
        <f>'[2]All Counts'!F197</f>
        <v>1</v>
      </c>
      <c r="E197" s="136">
        <f>'[2]All Counts'!G197</f>
        <v>1</v>
      </c>
      <c r="F197" s="136" t="str">
        <f>'[2]All Counts'!H197</f>
        <v>I-8 WB</v>
      </c>
      <c r="G197" s="136">
        <f>'[2]All Counts'!I197</f>
        <v>41</v>
      </c>
      <c r="H197" s="136">
        <f>'[2]All Counts'!J197</f>
        <v>0</v>
      </c>
      <c r="I197" s="136" t="str">
        <f>'[2]All Counts'!K197</f>
        <v>MOLLISON</v>
      </c>
      <c r="J197" s="136" t="str">
        <f>'[2]All Counts'!L197</f>
        <v>MOLLISON</v>
      </c>
      <c r="K197" s="136">
        <f>'[2]All Counts'!O197</f>
        <v>12056</v>
      </c>
      <c r="L197" s="57">
        <f>VLOOKUP(ws[[#This Row],[hwycov_id]],readme!D:G,4,FALSE)</f>
        <v>9588.1044920000004</v>
      </c>
      <c r="M197" s="88">
        <f>ws[[#This Row],[flow]]/ws[[#This Row],[count]]-1</f>
        <v>-0.20470267982747181</v>
      </c>
      <c r="N197" s="89">
        <f>POWER((ws[[#This Row],[flow]]-ws[[#This Row],[count]]),2)</f>
        <v>6090508.2384065762</v>
      </c>
      <c r="O197" s="43">
        <f>VLOOKUP(ws[[#This Row],[hwycov_id]],count[],6,FALSE)</f>
        <v>0</v>
      </c>
      <c r="P197" s="43">
        <v>409</v>
      </c>
      <c r="Q197" s="43" t="str">
        <f>'[2]All Counts'!P197</f>
        <v>PeMS2016</v>
      </c>
      <c r="S197" s="94">
        <v>9516</v>
      </c>
      <c r="T197" s="17"/>
      <c r="U197" s="17"/>
      <c r="V197" s="17">
        <v>2769</v>
      </c>
      <c r="W197" s="17">
        <v>3155.4753420000002</v>
      </c>
      <c r="X197" s="17"/>
      <c r="Y197" s="17"/>
      <c r="Z197" s="17"/>
      <c r="AA197" s="17"/>
      <c r="AB197" s="17">
        <v>2769</v>
      </c>
      <c r="AC197" s="17">
        <v>3155.4753420000002</v>
      </c>
      <c r="AD197"/>
      <c r="AE197"/>
    </row>
    <row r="198" spans="1:31" x14ac:dyDescent="0.25">
      <c r="A198" s="136">
        <f>'[2]All Counts'!C198</f>
        <v>15</v>
      </c>
      <c r="B198" s="136">
        <f>'[2]All Counts'!D198</f>
        <v>3</v>
      </c>
      <c r="C198" s="136">
        <f>'[2]All Counts'!E198</f>
        <v>28178</v>
      </c>
      <c r="D198" s="136">
        <f>'[2]All Counts'!F198</f>
        <v>1</v>
      </c>
      <c r="E198" s="136">
        <f>'[2]All Counts'!G198</f>
        <v>1</v>
      </c>
      <c r="F198" s="136" t="str">
        <f>'[2]All Counts'!H198</f>
        <v>I-8 WB</v>
      </c>
      <c r="G198" s="136">
        <f>'[2]All Counts'!I198</f>
        <v>42</v>
      </c>
      <c r="H198" s="136">
        <f>'[2]All Counts'!J198</f>
        <v>0</v>
      </c>
      <c r="I198" s="136" t="str">
        <f>'[2]All Counts'!K198</f>
        <v>MOLLISON</v>
      </c>
      <c r="J198" s="136" t="str">
        <f>'[2]All Counts'!L198</f>
        <v>SR-67 NB</v>
      </c>
      <c r="K198" s="136">
        <f>'[2]All Counts'!O198</f>
        <v>9963</v>
      </c>
      <c r="L198" s="57">
        <f>VLOOKUP(ws[[#This Row],[hwycov_id]],readme!D:G,4,FALSE)</f>
        <v>11731.357421999999</v>
      </c>
      <c r="M198" s="88">
        <f>ws[[#This Row],[flow]]/ws[[#This Row],[count]]-1</f>
        <v>0.17749246431797649</v>
      </c>
      <c r="N198" s="89">
        <f>POWER((ws[[#This Row],[flow]]-ws[[#This Row],[count]]),2)</f>
        <v>3127087.971942483</v>
      </c>
      <c r="O198" s="43">
        <f>VLOOKUP(ws[[#This Row],[hwycov_id]],count[],6,FALSE)</f>
        <v>0</v>
      </c>
      <c r="P198" s="43">
        <v>298</v>
      </c>
      <c r="Q198" s="43" t="str">
        <f>'[2]All Counts'!P198</f>
        <v>PeMS2016</v>
      </c>
      <c r="S198" s="94">
        <v>9519</v>
      </c>
      <c r="T198" s="17">
        <v>2321</v>
      </c>
      <c r="U198" s="17">
        <v>1899.404419</v>
      </c>
      <c r="V198" s="17"/>
      <c r="W198" s="17"/>
      <c r="X198" s="17"/>
      <c r="Y198" s="17"/>
      <c r="Z198" s="17"/>
      <c r="AA198" s="17"/>
      <c r="AB198" s="17">
        <v>2321</v>
      </c>
      <c r="AC198" s="17">
        <v>1899.404419</v>
      </c>
      <c r="AD198"/>
      <c r="AE198"/>
    </row>
    <row r="199" spans="1:31" x14ac:dyDescent="0.25">
      <c r="A199" s="136">
        <f>'[2]All Counts'!C199</f>
        <v>15</v>
      </c>
      <c r="B199" s="136">
        <f>'[2]All Counts'!D199</f>
        <v>3</v>
      </c>
      <c r="C199" s="136">
        <f>'[2]All Counts'!E199</f>
        <v>20727</v>
      </c>
      <c r="D199" s="136">
        <f>'[2]All Counts'!F199</f>
        <v>1</v>
      </c>
      <c r="E199" s="136">
        <f>'[2]All Counts'!G199</f>
        <v>1</v>
      </c>
      <c r="F199" s="136" t="str">
        <f>'[2]All Counts'!H199</f>
        <v>I-8 WB</v>
      </c>
      <c r="G199" s="136">
        <f>'[2]All Counts'!I199</f>
        <v>43</v>
      </c>
      <c r="H199" s="136">
        <f>'[2]All Counts'!J199</f>
        <v>0</v>
      </c>
      <c r="I199" s="136" t="str">
        <f>'[2]All Counts'!K199</f>
        <v>SR-67 NB</v>
      </c>
      <c r="J199" s="136" t="str">
        <f>'[2]All Counts'!L199</f>
        <v>SR-67 SB</v>
      </c>
      <c r="K199" s="136">
        <f>'[2]All Counts'!O199</f>
        <v>10019</v>
      </c>
      <c r="L199" s="57">
        <f>VLOOKUP(ws[[#This Row],[hwycov_id]],readme!D:G,4,FALSE)</f>
        <v>8359.4755860000005</v>
      </c>
      <c r="M199" s="88">
        <f>ws[[#This Row],[flow]]/ws[[#This Row],[count]]-1</f>
        <v>-0.16563772971354418</v>
      </c>
      <c r="N199" s="89">
        <f>POWER((ws[[#This Row],[flow]]-ws[[#This Row],[count]]),2)</f>
        <v>2754021.2806620416</v>
      </c>
      <c r="O199" s="43">
        <f>VLOOKUP(ws[[#This Row],[hwycov_id]],count[],6,FALSE)</f>
        <v>0</v>
      </c>
      <c r="P199" s="43">
        <v>740</v>
      </c>
      <c r="Q199" s="43" t="str">
        <f>'[2]All Counts'!P199</f>
        <v>PeMS2016</v>
      </c>
      <c r="S199" s="94">
        <v>9808</v>
      </c>
      <c r="T199" s="17">
        <v>5329</v>
      </c>
      <c r="U199" s="17">
        <v>5462.951172</v>
      </c>
      <c r="V199" s="17"/>
      <c r="W199" s="17"/>
      <c r="X199" s="17"/>
      <c r="Y199" s="17"/>
      <c r="Z199" s="17"/>
      <c r="AA199" s="17"/>
      <c r="AB199" s="17">
        <v>5329</v>
      </c>
      <c r="AC199" s="17">
        <v>5462.951172</v>
      </c>
      <c r="AD199"/>
      <c r="AE199"/>
    </row>
    <row r="200" spans="1:31" x14ac:dyDescent="0.25">
      <c r="A200" s="136">
        <f>'[2]All Counts'!C200</f>
        <v>15</v>
      </c>
      <c r="B200" s="136">
        <f>'[2]All Counts'!D200</f>
        <v>3</v>
      </c>
      <c r="C200" s="136">
        <f>'[2]All Counts'!E200</f>
        <v>20730</v>
      </c>
      <c r="D200" s="136">
        <f>'[2]All Counts'!F200</f>
        <v>1</v>
      </c>
      <c r="E200" s="136">
        <f>'[2]All Counts'!G200</f>
        <v>1</v>
      </c>
      <c r="F200" s="136" t="str">
        <f>'[2]All Counts'!H200</f>
        <v>I-8 WB</v>
      </c>
      <c r="G200" s="136">
        <f>'[2]All Counts'!I200</f>
        <v>44</v>
      </c>
      <c r="H200" s="136">
        <f>'[2]All Counts'!J200</f>
        <v>0</v>
      </c>
      <c r="I200" s="136" t="str">
        <f>'[2]All Counts'!K200</f>
        <v>SR-67 SB</v>
      </c>
      <c r="J200" s="136" t="str">
        <f>'[2]All Counts'!L200</f>
        <v>JOHNSON</v>
      </c>
      <c r="K200" s="136">
        <f>'[2]All Counts'!O200</f>
        <v>18455</v>
      </c>
      <c r="L200" s="57">
        <f>VLOOKUP(ws[[#This Row],[hwycov_id]],readme!D:G,4,FALSE)</f>
        <v>17801.740234000001</v>
      </c>
      <c r="M200" s="88">
        <f>ws[[#This Row],[flow]]/ws[[#This Row],[count]]-1</f>
        <v>-3.5397440585207218E-2</v>
      </c>
      <c r="N200" s="89">
        <f>POWER((ws[[#This Row],[flow]]-ws[[#This Row],[count]]),2)</f>
        <v>426748.32187437371</v>
      </c>
      <c r="O200" s="43">
        <f>VLOOKUP(ws[[#This Row],[hwycov_id]],count[],6,FALSE)</f>
        <v>0</v>
      </c>
      <c r="P200" s="43">
        <v>31</v>
      </c>
      <c r="Q200" s="43" t="str">
        <f>'[2]All Counts'!P200</f>
        <v>PeMS2016</v>
      </c>
      <c r="S200" s="94">
        <v>9872</v>
      </c>
      <c r="T200" s="17">
        <v>21633</v>
      </c>
      <c r="U200" s="17">
        <v>37820.757812000003</v>
      </c>
      <c r="V200" s="17"/>
      <c r="W200" s="17"/>
      <c r="X200" s="17"/>
      <c r="Y200" s="17"/>
      <c r="Z200" s="17"/>
      <c r="AA200" s="17"/>
      <c r="AB200" s="17">
        <v>21633</v>
      </c>
      <c r="AC200" s="17">
        <v>37820.757812000003</v>
      </c>
      <c r="AD200"/>
      <c r="AE200"/>
    </row>
    <row r="201" spans="1:31" x14ac:dyDescent="0.25">
      <c r="A201" s="136">
        <f>'[2]All Counts'!C201</f>
        <v>15</v>
      </c>
      <c r="B201" s="136">
        <f>'[2]All Counts'!D201</f>
        <v>3</v>
      </c>
      <c r="C201" s="136">
        <f>'[2]All Counts'!E201</f>
        <v>11056</v>
      </c>
      <c r="D201" s="136">
        <f>'[2]All Counts'!F201</f>
        <v>1</v>
      </c>
      <c r="E201" s="136">
        <f>'[2]All Counts'!G201</f>
        <v>1</v>
      </c>
      <c r="F201" s="136" t="str">
        <f>'[2]All Counts'!H201</f>
        <v>I-8 WB</v>
      </c>
      <c r="G201" s="136">
        <f>'[2]All Counts'!I201</f>
        <v>46</v>
      </c>
      <c r="H201" s="136">
        <f>'[2]All Counts'!J201</f>
        <v>0</v>
      </c>
      <c r="I201" s="136" t="str">
        <f>'[2]All Counts'!K201</f>
        <v>MAIN</v>
      </c>
      <c r="J201" s="136" t="str">
        <f>'[2]All Counts'!L201</f>
        <v>MAIN</v>
      </c>
      <c r="K201" s="136">
        <f>'[2]All Counts'!O201</f>
        <v>19260</v>
      </c>
      <c r="L201" s="57">
        <f>VLOOKUP(ws[[#This Row],[hwycov_id]],readme!D:G,4,FALSE)</f>
        <v>19057.802734000001</v>
      </c>
      <c r="M201" s="88">
        <f>ws[[#This Row],[flow]]/ws[[#This Row],[count]]-1</f>
        <v>-1.0498300415368589E-2</v>
      </c>
      <c r="N201" s="89">
        <f>POWER((ws[[#This Row],[flow]]-ws[[#This Row],[count]]),2)</f>
        <v>40883.73437787444</v>
      </c>
      <c r="O201" s="43">
        <f>VLOOKUP(ws[[#This Row],[hwycov_id]],count[],6,FALSE)</f>
        <v>0</v>
      </c>
      <c r="P201" s="43">
        <v>739</v>
      </c>
      <c r="Q201" s="43" t="str">
        <f>'[2]All Counts'!P201</f>
        <v>PeMS2016</v>
      </c>
      <c r="S201" s="94">
        <v>9903</v>
      </c>
      <c r="T201" s="17"/>
      <c r="U201" s="17"/>
      <c r="V201" s="17"/>
      <c r="W201" s="17"/>
      <c r="X201" s="17"/>
      <c r="Y201" s="17"/>
      <c r="Z201" s="17">
        <v>7641</v>
      </c>
      <c r="AA201" s="17">
        <v>11025.977539</v>
      </c>
      <c r="AB201" s="17">
        <v>7641</v>
      </c>
      <c r="AC201" s="17">
        <v>11025.977539</v>
      </c>
      <c r="AD201"/>
      <c r="AE201"/>
    </row>
    <row r="202" spans="1:31" x14ac:dyDescent="0.25">
      <c r="A202" s="136">
        <f>'[2]All Counts'!C202</f>
        <v>15</v>
      </c>
      <c r="B202" s="136">
        <f>'[2]All Counts'!D202</f>
        <v>3</v>
      </c>
      <c r="C202" s="136">
        <f>'[2]All Counts'!E202</f>
        <v>11263</v>
      </c>
      <c r="D202" s="136">
        <f>'[2]All Counts'!F202</f>
        <v>1</v>
      </c>
      <c r="E202" s="136">
        <f>'[2]All Counts'!G202</f>
        <v>1</v>
      </c>
      <c r="F202" s="136" t="str">
        <f>'[2]All Counts'!H202</f>
        <v>I-8 WB</v>
      </c>
      <c r="G202" s="136">
        <f>'[2]All Counts'!I202</f>
        <v>47</v>
      </c>
      <c r="H202" s="136">
        <f>'[2]All Counts'!J202</f>
        <v>1</v>
      </c>
      <c r="I202" s="136" t="str">
        <f>'[2]All Counts'!K202</f>
        <v>MAIN</v>
      </c>
      <c r="J202" s="136" t="str">
        <f>'[2]All Counts'!L202</f>
        <v>EL CAJON</v>
      </c>
      <c r="K202" s="136">
        <f>'[2]All Counts'!O202</f>
        <v>21553</v>
      </c>
      <c r="L202" s="57">
        <f>VLOOKUP(ws[[#This Row],[hwycov_id]],readme!D:G,4,FALSE)</f>
        <v>21119.693359000001</v>
      </c>
      <c r="M202" s="88">
        <f>ws[[#This Row],[flow]]/ws[[#This Row],[count]]-1</f>
        <v>-2.0104237971512062E-2</v>
      </c>
      <c r="N202" s="89">
        <f>POWER((ws[[#This Row],[flow]]-ws[[#This Row],[count]]),2)</f>
        <v>187754.64513470221</v>
      </c>
      <c r="O202" s="43">
        <f>VLOOKUP(ws[[#This Row],[hwycov_id]],count[],6,FALSE)</f>
        <v>0</v>
      </c>
      <c r="P202" s="43">
        <v>233</v>
      </c>
      <c r="Q202" s="43" t="str">
        <f>'[2]All Counts'!P202</f>
        <v>PeMS2016</v>
      </c>
      <c r="S202" s="94">
        <v>9904</v>
      </c>
      <c r="T202" s="17"/>
      <c r="U202" s="17"/>
      <c r="V202" s="17"/>
      <c r="W202" s="17"/>
      <c r="X202" s="17">
        <v>9515</v>
      </c>
      <c r="Y202" s="17">
        <v>10515.410156</v>
      </c>
      <c r="Z202" s="17"/>
      <c r="AA202" s="17"/>
      <c r="AB202" s="17">
        <v>9515</v>
      </c>
      <c r="AC202" s="17">
        <v>10515.410156</v>
      </c>
      <c r="AD202"/>
      <c r="AE202"/>
    </row>
    <row r="203" spans="1:31" x14ac:dyDescent="0.25">
      <c r="A203" s="136">
        <f>'[2]All Counts'!C203</f>
        <v>15</v>
      </c>
      <c r="B203" s="136">
        <f>'[2]All Counts'!D203</f>
        <v>3</v>
      </c>
      <c r="C203" s="136">
        <f>'[2]All Counts'!E203</f>
        <v>11266</v>
      </c>
      <c r="D203" s="136">
        <f>'[2]All Counts'!F203</f>
        <v>1</v>
      </c>
      <c r="E203" s="136">
        <f>'[2]All Counts'!G203</f>
        <v>1</v>
      </c>
      <c r="F203" s="136" t="str">
        <f>'[2]All Counts'!H203</f>
        <v>I-8 WB</v>
      </c>
      <c r="G203" s="136">
        <f>'[2]All Counts'!I203</f>
        <v>48</v>
      </c>
      <c r="H203" s="136">
        <f>'[2]All Counts'!J203</f>
        <v>0</v>
      </c>
      <c r="I203" s="136" t="str">
        <f>'[2]All Counts'!K203</f>
        <v>EL CAJON</v>
      </c>
      <c r="J203" s="136" t="str">
        <f>'[2]All Counts'!L203</f>
        <v>MURRAY</v>
      </c>
      <c r="K203" s="136">
        <f>'[2]All Counts'!O203</f>
        <v>27071</v>
      </c>
      <c r="L203" s="57">
        <f>VLOOKUP(ws[[#This Row],[hwycov_id]],readme!D:G,4,FALSE)</f>
        <v>24171.101562</v>
      </c>
      <c r="M203" s="88">
        <f>ws[[#This Row],[flow]]/ws[[#This Row],[count]]-1</f>
        <v>-0.10712195478556386</v>
      </c>
      <c r="N203" s="89">
        <f>POWER((ws[[#This Row],[flow]]-ws[[#This Row],[count]]),2)</f>
        <v>8409410.9507148415</v>
      </c>
      <c r="O203" s="43">
        <f>VLOOKUP(ws[[#This Row],[hwycov_id]],count[],6,FALSE)</f>
        <v>0</v>
      </c>
      <c r="P203" s="43">
        <v>743</v>
      </c>
      <c r="Q203" s="43" t="str">
        <f>'[2]All Counts'!P203</f>
        <v>PeMS2016</v>
      </c>
      <c r="S203" s="94">
        <v>9914</v>
      </c>
      <c r="T203" s="17"/>
      <c r="U203" s="17"/>
      <c r="V203" s="17"/>
      <c r="W203" s="17"/>
      <c r="X203" s="17"/>
      <c r="Y203" s="17"/>
      <c r="Z203" s="17">
        <v>3466</v>
      </c>
      <c r="AA203" s="17">
        <v>4057.8901369999999</v>
      </c>
      <c r="AB203" s="17">
        <v>3466</v>
      </c>
      <c r="AC203" s="17">
        <v>4057.8901369999999</v>
      </c>
      <c r="AD203"/>
      <c r="AE203"/>
    </row>
    <row r="204" spans="1:31" x14ac:dyDescent="0.25">
      <c r="A204" s="136">
        <f>'[2]All Counts'!C204</f>
        <v>15</v>
      </c>
      <c r="B204" s="136">
        <f>'[2]All Counts'!D204</f>
        <v>3</v>
      </c>
      <c r="C204" s="136">
        <f>'[2]All Counts'!E204</f>
        <v>11290</v>
      </c>
      <c r="D204" s="136">
        <f>'[2]All Counts'!F204</f>
        <v>1</v>
      </c>
      <c r="E204" s="136">
        <f>'[2]All Counts'!G204</f>
        <v>1</v>
      </c>
      <c r="F204" s="136" t="str">
        <f>'[2]All Counts'!H204</f>
        <v>I-8 WB</v>
      </c>
      <c r="G204" s="136">
        <f>'[2]All Counts'!I204</f>
        <v>50</v>
      </c>
      <c r="H204" s="136">
        <f>'[2]All Counts'!J204</f>
        <v>0</v>
      </c>
      <c r="I204" s="136" t="str">
        <f>'[2]All Counts'!K204</f>
        <v>SR-125 SB</v>
      </c>
      <c r="J204" s="136" t="str">
        <f>'[2]All Counts'!L204</f>
        <v>LA MESA</v>
      </c>
      <c r="K204" s="136">
        <f>'[2]All Counts'!O204</f>
        <v>11961</v>
      </c>
      <c r="L204" s="57">
        <f>VLOOKUP(ws[[#This Row],[hwycov_id]],readme!D:G,4,FALSE)</f>
        <v>11659.515625</v>
      </c>
      <c r="M204" s="88">
        <f>ws[[#This Row],[flow]]/ws[[#This Row],[count]]-1</f>
        <v>-2.5205616169216571E-2</v>
      </c>
      <c r="N204" s="89">
        <f>POWER((ws[[#This Row],[flow]]-ws[[#This Row],[count]]),2)</f>
        <v>90892.828369140625</v>
      </c>
      <c r="O204" s="43">
        <f>VLOOKUP(ws[[#This Row],[hwycov_id]],count[],6,FALSE)</f>
        <v>0</v>
      </c>
      <c r="P204" s="43">
        <v>23</v>
      </c>
      <c r="Q204" s="43" t="str">
        <f>'[2]All Counts'!P204</f>
        <v>PeMS2016</v>
      </c>
      <c r="S204" s="94">
        <v>9919</v>
      </c>
      <c r="T204" s="17">
        <v>6959</v>
      </c>
      <c r="U204" s="17">
        <v>3575.4819339999999</v>
      </c>
      <c r="V204" s="17"/>
      <c r="W204" s="17"/>
      <c r="X204" s="17"/>
      <c r="Y204" s="17"/>
      <c r="Z204" s="17"/>
      <c r="AA204" s="17"/>
      <c r="AB204" s="17">
        <v>6959</v>
      </c>
      <c r="AC204" s="17">
        <v>3575.4819339999999</v>
      </c>
      <c r="AD204"/>
      <c r="AE204"/>
    </row>
    <row r="205" spans="1:31" x14ac:dyDescent="0.25">
      <c r="A205" s="136">
        <f>'[2]All Counts'!C205</f>
        <v>15</v>
      </c>
      <c r="B205" s="136">
        <f>'[2]All Counts'!D205</f>
        <v>3</v>
      </c>
      <c r="C205" s="136">
        <f>'[2]All Counts'!E205</f>
        <v>28396</v>
      </c>
      <c r="D205" s="136">
        <f>'[2]All Counts'!F205</f>
        <v>1</v>
      </c>
      <c r="E205" s="136">
        <f>'[2]All Counts'!G205</f>
        <v>1</v>
      </c>
      <c r="F205" s="136" t="str">
        <f>'[2]All Counts'!H205</f>
        <v>I-8 WB</v>
      </c>
      <c r="G205" s="136">
        <f>'[2]All Counts'!I205</f>
        <v>51</v>
      </c>
      <c r="H205" s="136">
        <f>'[2]All Counts'!J205</f>
        <v>0</v>
      </c>
      <c r="I205" s="136" t="str">
        <f>'[2]All Counts'!K205</f>
        <v>LA MESA</v>
      </c>
      <c r="J205" s="136" t="str">
        <f>'[2]All Counts'!L205</f>
        <v>SR-125 NB</v>
      </c>
      <c r="K205" s="136">
        <f>'[2]All Counts'!O205</f>
        <v>11849</v>
      </c>
      <c r="L205" s="57">
        <f>VLOOKUP(ws[[#This Row],[hwycov_id]],readme!D:G,4,FALSE)</f>
        <v>10692.170898</v>
      </c>
      <c r="M205" s="88">
        <f>ws[[#This Row],[flow]]/ws[[#This Row],[count]]-1</f>
        <v>-9.7630947928095124E-2</v>
      </c>
      <c r="N205" s="89">
        <f>POWER((ws[[#This Row],[flow]]-ws[[#This Row],[count]]),2)</f>
        <v>1338253.5712341256</v>
      </c>
      <c r="O205" s="43">
        <f>VLOOKUP(ws[[#This Row],[hwycov_id]],count[],6,FALSE)</f>
        <v>0</v>
      </c>
      <c r="P205" s="43">
        <v>21</v>
      </c>
      <c r="Q205" s="43" t="str">
        <f>'[2]All Counts'!P205</f>
        <v>PeMS2016</v>
      </c>
      <c r="S205" s="94">
        <v>9953</v>
      </c>
      <c r="T205" s="17"/>
      <c r="U205" s="17"/>
      <c r="V205" s="17"/>
      <c r="W205" s="17"/>
      <c r="X205" s="17"/>
      <c r="Y205" s="17"/>
      <c r="Z205" s="17">
        <v>5920</v>
      </c>
      <c r="AA205" s="17">
        <v>8493.9511719999991</v>
      </c>
      <c r="AB205" s="17">
        <v>5920</v>
      </c>
      <c r="AC205" s="17">
        <v>8493.9511719999991</v>
      </c>
      <c r="AD205"/>
      <c r="AE205"/>
    </row>
    <row r="206" spans="1:31" x14ac:dyDescent="0.25">
      <c r="A206" s="136">
        <f>'[2]All Counts'!C206</f>
        <v>15</v>
      </c>
      <c r="B206" s="136">
        <f>'[2]All Counts'!D206</f>
        <v>3</v>
      </c>
      <c r="C206" s="136">
        <f>'[2]All Counts'!E206</f>
        <v>28397</v>
      </c>
      <c r="D206" s="136">
        <f>'[2]All Counts'!F206</f>
        <v>1</v>
      </c>
      <c r="E206" s="136">
        <f>'[2]All Counts'!G206</f>
        <v>1</v>
      </c>
      <c r="F206" s="136" t="str">
        <f>'[2]All Counts'!H206</f>
        <v>I-8 WB</v>
      </c>
      <c r="G206" s="136">
        <f>'[2]All Counts'!I206</f>
        <v>54</v>
      </c>
      <c r="H206" s="136">
        <f>'[2]All Counts'!J206</f>
        <v>0</v>
      </c>
      <c r="I206" s="136" t="str">
        <f>'[2]All Counts'!K206</f>
        <v>JACKSON</v>
      </c>
      <c r="J206" s="136" t="str">
        <f>'[2]All Counts'!L206</f>
        <v>JACKSON</v>
      </c>
      <c r="K206" s="136">
        <f>'[2]All Counts'!O206</f>
        <v>19074</v>
      </c>
      <c r="L206" s="57">
        <f>VLOOKUP(ws[[#This Row],[hwycov_id]],readme!D:G,4,FALSE)</f>
        <v>16358.929688</v>
      </c>
      <c r="M206" s="88">
        <f>ws[[#This Row],[flow]]/ws[[#This Row],[count]]-1</f>
        <v>-0.14234404487784413</v>
      </c>
      <c r="N206" s="89">
        <f>POWER((ws[[#This Row],[flow]]-ws[[#This Row],[count]]),2)</f>
        <v>7371606.799103776</v>
      </c>
      <c r="O206" s="43">
        <f>VLOOKUP(ws[[#This Row],[hwycov_id]],count[],6,FALSE)</f>
        <v>0</v>
      </c>
      <c r="P206" s="43">
        <v>126</v>
      </c>
      <c r="Q206" s="43" t="str">
        <f>'[2]All Counts'!P206</f>
        <v>PeMS2016</v>
      </c>
      <c r="S206" s="94">
        <v>10002</v>
      </c>
      <c r="T206" s="17"/>
      <c r="U206" s="17"/>
      <c r="V206" s="17"/>
      <c r="W206" s="17"/>
      <c r="X206" s="17">
        <v>6715</v>
      </c>
      <c r="Y206" s="17">
        <v>3780.9726559999999</v>
      </c>
      <c r="Z206" s="17"/>
      <c r="AA206" s="17"/>
      <c r="AB206" s="17">
        <v>6715</v>
      </c>
      <c r="AC206" s="17">
        <v>3780.9726559999999</v>
      </c>
      <c r="AD206"/>
      <c r="AE206"/>
    </row>
    <row r="207" spans="1:31" x14ac:dyDescent="0.25">
      <c r="A207" s="136">
        <f>'[2]All Counts'!C207</f>
        <v>15</v>
      </c>
      <c r="B207" s="136">
        <f>'[2]All Counts'!D207</f>
        <v>3</v>
      </c>
      <c r="C207" s="136">
        <f>'[2]All Counts'!E207</f>
        <v>28144</v>
      </c>
      <c r="D207" s="136">
        <f>'[2]All Counts'!F207</f>
        <v>1</v>
      </c>
      <c r="E207" s="136">
        <f>'[2]All Counts'!G207</f>
        <v>1</v>
      </c>
      <c r="F207" s="136" t="str">
        <f>'[2]All Counts'!H207</f>
        <v>I-8 WB</v>
      </c>
      <c r="G207" s="136">
        <f>'[2]All Counts'!I207</f>
        <v>55</v>
      </c>
      <c r="H207" s="136">
        <f>'[2]All Counts'!J207</f>
        <v>0</v>
      </c>
      <c r="I207" s="136" t="str">
        <f>'[2]All Counts'!K207</f>
        <v>JACKSON</v>
      </c>
      <c r="J207" s="136" t="str">
        <f>'[2]All Counts'!L207</f>
        <v>EL CAJON</v>
      </c>
      <c r="K207" s="136">
        <f>'[2]All Counts'!O207</f>
        <v>20572</v>
      </c>
      <c r="L207" s="57">
        <f>VLOOKUP(ws[[#This Row],[hwycov_id]],readme!D:G,4,FALSE)</f>
        <v>17376.572265999999</v>
      </c>
      <c r="M207" s="88">
        <f>ws[[#This Row],[flow]]/ws[[#This Row],[count]]-1</f>
        <v>-0.15532897793116862</v>
      </c>
      <c r="N207" s="89">
        <f>POWER((ws[[#This Row],[flow]]-ws[[#This Row],[count]]),2)</f>
        <v>10210758.403216381</v>
      </c>
      <c r="O207" s="43">
        <f>VLOOKUP(ws[[#This Row],[hwycov_id]],count[],6,FALSE)</f>
        <v>0</v>
      </c>
      <c r="P207" s="43">
        <v>759</v>
      </c>
      <c r="Q207" s="43" t="str">
        <f>'[2]All Counts'!P207</f>
        <v>Caltran</v>
      </c>
      <c r="S207" s="94">
        <v>10015</v>
      </c>
      <c r="T207" s="17"/>
      <c r="U207" s="17"/>
      <c r="V207" s="17"/>
      <c r="W207" s="17"/>
      <c r="X207" s="17">
        <v>3469</v>
      </c>
      <c r="Y207" s="17">
        <v>1967.7967530000001</v>
      </c>
      <c r="Z207" s="17"/>
      <c r="AA207" s="17"/>
      <c r="AB207" s="17">
        <v>3469</v>
      </c>
      <c r="AC207" s="17">
        <v>1967.7967530000001</v>
      </c>
      <c r="AD207"/>
      <c r="AE207"/>
    </row>
    <row r="208" spans="1:31" x14ac:dyDescent="0.25">
      <c r="A208" s="136">
        <f>'[2]All Counts'!C208</f>
        <v>15</v>
      </c>
      <c r="B208" s="136">
        <f>'[2]All Counts'!D208</f>
        <v>3</v>
      </c>
      <c r="C208" s="136">
        <f>'[2]All Counts'!E208</f>
        <v>20731</v>
      </c>
      <c r="D208" s="136">
        <f>'[2]All Counts'!F208</f>
        <v>1</v>
      </c>
      <c r="E208" s="136">
        <f>'[2]All Counts'!G208</f>
        <v>1</v>
      </c>
      <c r="F208" s="136" t="str">
        <f>'[2]All Counts'!H208</f>
        <v>I-8 WB</v>
      </c>
      <c r="G208" s="136">
        <f>'[2]All Counts'!I208</f>
        <v>56</v>
      </c>
      <c r="H208" s="136">
        <f>'[2]All Counts'!J208</f>
        <v>0</v>
      </c>
      <c r="I208" s="136" t="str">
        <f>'[2]All Counts'!K208</f>
        <v>EL CAJON</v>
      </c>
      <c r="J208" s="136" t="str">
        <f>'[2]All Counts'!L208</f>
        <v>SPRING</v>
      </c>
      <c r="K208" s="136">
        <f>'[2]All Counts'!O208</f>
        <v>16431</v>
      </c>
      <c r="L208" s="57">
        <f>VLOOKUP(ws[[#This Row],[hwycov_id]],readme!D:G,4,FALSE)</f>
        <v>14669.231444999999</v>
      </c>
      <c r="M208" s="88">
        <f>ws[[#This Row],[flow]]/ws[[#This Row],[count]]-1</f>
        <v>-0.10722223571298162</v>
      </c>
      <c r="N208" s="89">
        <f>POWER((ws[[#This Row],[flow]]-ws[[#This Row],[count]]),2)</f>
        <v>3103828.44138679</v>
      </c>
      <c r="O208" s="43">
        <f>VLOOKUP(ws[[#This Row],[hwycov_id]],count[],6,FALSE)</f>
        <v>0</v>
      </c>
      <c r="P208" s="43">
        <v>652</v>
      </c>
      <c r="Q208" s="43" t="str">
        <f>'[2]All Counts'!P208</f>
        <v>PeMS2016</v>
      </c>
      <c r="S208" s="94">
        <v>10158</v>
      </c>
      <c r="T208" s="17">
        <v>15151</v>
      </c>
      <c r="U208" s="17">
        <v>18448.203125</v>
      </c>
      <c r="V208" s="17"/>
      <c r="W208" s="17"/>
      <c r="X208" s="17"/>
      <c r="Y208" s="17"/>
      <c r="Z208" s="17"/>
      <c r="AA208" s="17"/>
      <c r="AB208" s="17">
        <v>15151</v>
      </c>
      <c r="AC208" s="17">
        <v>18448.203125</v>
      </c>
      <c r="AD208"/>
      <c r="AE208"/>
    </row>
    <row r="209" spans="1:31" x14ac:dyDescent="0.25">
      <c r="A209" s="136">
        <f>'[2]All Counts'!C209</f>
        <v>15</v>
      </c>
      <c r="B209" s="136">
        <f>'[2]All Counts'!D209</f>
        <v>3</v>
      </c>
      <c r="C209" s="136">
        <f>'[2]All Counts'!E209</f>
        <v>28124</v>
      </c>
      <c r="D209" s="136">
        <f>'[2]All Counts'!F209</f>
        <v>1</v>
      </c>
      <c r="E209" s="136">
        <f>'[2]All Counts'!G209</f>
        <v>1</v>
      </c>
      <c r="F209" s="136" t="str">
        <f>'[2]All Counts'!H209</f>
        <v>I-8 WB</v>
      </c>
      <c r="G209" s="136">
        <f>'[2]All Counts'!I209</f>
        <v>58</v>
      </c>
      <c r="H209" s="136">
        <f>'[2]All Counts'!J209</f>
        <v>0</v>
      </c>
      <c r="I209" s="136" t="str">
        <f>'[2]All Counts'!K209</f>
        <v>FLETCHER</v>
      </c>
      <c r="J209" s="136" t="str">
        <f>'[2]All Counts'!L209</f>
        <v>FLETCHER</v>
      </c>
      <c r="K209" s="136">
        <f>'[2]All Counts'!O209</f>
        <v>16883</v>
      </c>
      <c r="L209" s="57">
        <f>VLOOKUP(ws[[#This Row],[hwycov_id]],readme!D:G,4,FALSE)</f>
        <v>16713.119140999999</v>
      </c>
      <c r="M209" s="88">
        <f>ws[[#This Row],[flow]]/ws[[#This Row],[count]]-1</f>
        <v>-1.0062243617840472E-2</v>
      </c>
      <c r="N209" s="89">
        <f>POWER((ws[[#This Row],[flow]]-ws[[#This Row],[count]]),2)</f>
        <v>28859.506254578147</v>
      </c>
      <c r="O209" s="43">
        <f>VLOOKUP(ws[[#This Row],[hwycov_id]],count[],6,FALSE)</f>
        <v>0</v>
      </c>
      <c r="P209" s="43">
        <v>757</v>
      </c>
      <c r="Q209" s="43" t="str">
        <f>'[2]All Counts'!P209</f>
        <v>PeMS2016</v>
      </c>
      <c r="S209" s="94">
        <v>10159</v>
      </c>
      <c r="T209" s="17"/>
      <c r="U209" s="17"/>
      <c r="V209" s="17"/>
      <c r="W209" s="17"/>
      <c r="X209" s="17"/>
      <c r="Y209" s="17"/>
      <c r="Z209" s="17">
        <v>8226</v>
      </c>
      <c r="AA209" s="17">
        <v>10117.319336</v>
      </c>
      <c r="AB209" s="17">
        <v>8226</v>
      </c>
      <c r="AC209" s="17">
        <v>10117.319336</v>
      </c>
      <c r="AD209"/>
      <c r="AE209"/>
    </row>
    <row r="210" spans="1:31" x14ac:dyDescent="0.25">
      <c r="A210" s="136">
        <f>'[2]All Counts'!C210</f>
        <v>15</v>
      </c>
      <c r="B210" s="136">
        <f>'[2]All Counts'!D210</f>
        <v>3</v>
      </c>
      <c r="C210" s="136">
        <f>'[2]All Counts'!E210</f>
        <v>28120</v>
      </c>
      <c r="D210" s="136">
        <f>'[2]All Counts'!F210</f>
        <v>1</v>
      </c>
      <c r="E210" s="136">
        <f>'[2]All Counts'!G210</f>
        <v>1</v>
      </c>
      <c r="F210" s="136" t="str">
        <f>'[2]All Counts'!H210</f>
        <v>I-8 WB</v>
      </c>
      <c r="G210" s="136">
        <f>'[2]All Counts'!I210</f>
        <v>59</v>
      </c>
      <c r="H210" s="136">
        <f>'[2]All Counts'!J210</f>
        <v>0</v>
      </c>
      <c r="I210" s="136" t="str">
        <f>'[2]All Counts'!K210</f>
        <v>FLETCHER</v>
      </c>
      <c r="J210" s="136" t="str">
        <f>'[2]All Counts'!L210</f>
        <v>LAKE MURRAY</v>
      </c>
      <c r="K210" s="136">
        <f>'[2]All Counts'!O210</f>
        <v>19080</v>
      </c>
      <c r="L210" s="57">
        <f>VLOOKUP(ws[[#This Row],[hwycov_id]],readme!D:G,4,FALSE)</f>
        <v>18654.271484000001</v>
      </c>
      <c r="M210" s="88">
        <f>ws[[#This Row],[flow]]/ws[[#This Row],[count]]-1</f>
        <v>-2.2312815303983213E-2</v>
      </c>
      <c r="N210" s="89">
        <f>POWER((ws[[#This Row],[flow]]-ws[[#This Row],[count]]),2)</f>
        <v>181244.76933556158</v>
      </c>
      <c r="O210" s="43">
        <f>VLOOKUP(ws[[#This Row],[hwycov_id]],count[],6,FALSE)</f>
        <v>0</v>
      </c>
      <c r="P210" s="43">
        <v>119</v>
      </c>
      <c r="Q210" s="43" t="str">
        <f>'[2]All Counts'!P210</f>
        <v>PeMS2016</v>
      </c>
      <c r="S210" s="94">
        <v>10177</v>
      </c>
      <c r="T210" s="17"/>
      <c r="U210" s="17"/>
      <c r="V210" s="17">
        <v>20215</v>
      </c>
      <c r="W210" s="17">
        <v>21269.275390999999</v>
      </c>
      <c r="X210" s="17"/>
      <c r="Y210" s="17"/>
      <c r="Z210" s="17"/>
      <c r="AA210" s="17"/>
      <c r="AB210" s="17">
        <v>20215</v>
      </c>
      <c r="AC210" s="17">
        <v>21269.275390999999</v>
      </c>
      <c r="AD210"/>
      <c r="AE210"/>
    </row>
    <row r="211" spans="1:31" x14ac:dyDescent="0.25">
      <c r="A211" s="136">
        <f>'[2]All Counts'!C211</f>
        <v>15</v>
      </c>
      <c r="B211" s="136">
        <f>'[2]All Counts'!D211</f>
        <v>3</v>
      </c>
      <c r="C211" s="136">
        <f>'[2]All Counts'!E211</f>
        <v>28118</v>
      </c>
      <c r="D211" s="136">
        <f>'[2]All Counts'!F211</f>
        <v>1</v>
      </c>
      <c r="E211" s="136">
        <f>'[2]All Counts'!G211</f>
        <v>1</v>
      </c>
      <c r="F211" s="136" t="str">
        <f>'[2]All Counts'!H211</f>
        <v>I-8 WB</v>
      </c>
      <c r="G211" s="136">
        <f>'[2]All Counts'!I211</f>
        <v>60</v>
      </c>
      <c r="H211" s="136">
        <f>'[2]All Counts'!J211</f>
        <v>0</v>
      </c>
      <c r="I211" s="136" t="str">
        <f>'[2]All Counts'!K211</f>
        <v>LAKE MURRAY</v>
      </c>
      <c r="J211" s="136" t="str">
        <f>'[2]All Counts'!L211</f>
        <v>LAKE MURRAY</v>
      </c>
      <c r="K211" s="136">
        <f>'[2]All Counts'!O211</f>
        <v>17488</v>
      </c>
      <c r="L211" s="57">
        <f>VLOOKUP(ws[[#This Row],[hwycov_id]],readme!D:G,4,FALSE)</f>
        <v>17249.841797000001</v>
      </c>
      <c r="M211" s="88">
        <f>ws[[#This Row],[flow]]/ws[[#This Row],[count]]-1</f>
        <v>-1.3618378488106098E-2</v>
      </c>
      <c r="N211" s="89">
        <f>POWER((ws[[#This Row],[flow]]-ws[[#This Row],[count]]),2)</f>
        <v>56719.329656188755</v>
      </c>
      <c r="O211" s="43">
        <f>VLOOKUP(ws[[#This Row],[hwycov_id]],count[],6,FALSE)</f>
        <v>0</v>
      </c>
      <c r="P211" s="43">
        <v>120</v>
      </c>
      <c r="Q211" s="43" t="str">
        <f>'[2]All Counts'!P211</f>
        <v>PeMS2016</v>
      </c>
      <c r="S211" s="94">
        <v>10252</v>
      </c>
      <c r="T211" s="17"/>
      <c r="U211" s="17"/>
      <c r="V211" s="17"/>
      <c r="W211" s="17"/>
      <c r="X211" s="17"/>
      <c r="Y211" s="17"/>
      <c r="Z211" s="17">
        <v>20208</v>
      </c>
      <c r="AA211" s="17">
        <v>19733.259765999999</v>
      </c>
      <c r="AB211" s="17">
        <v>20208</v>
      </c>
      <c r="AC211" s="17">
        <v>19733.259765999999</v>
      </c>
      <c r="AD211"/>
      <c r="AE211"/>
    </row>
    <row r="212" spans="1:31" x14ac:dyDescent="0.25">
      <c r="A212" s="136">
        <f>'[2]All Counts'!C212</f>
        <v>15</v>
      </c>
      <c r="B212" s="136">
        <f>'[2]All Counts'!D212</f>
        <v>3</v>
      </c>
      <c r="C212" s="136">
        <f>'[2]All Counts'!E212</f>
        <v>15458</v>
      </c>
      <c r="D212" s="136">
        <f>'[2]All Counts'!F212</f>
        <v>1</v>
      </c>
      <c r="E212" s="136">
        <f>'[2]All Counts'!G212</f>
        <v>1</v>
      </c>
      <c r="F212" s="136" t="str">
        <f>'[2]All Counts'!H212</f>
        <v>I-8 WB</v>
      </c>
      <c r="G212" s="136">
        <f>'[2]All Counts'!I212</f>
        <v>62</v>
      </c>
      <c r="H212" s="136">
        <f>'[2]All Counts'!J212</f>
        <v>0</v>
      </c>
      <c r="I212" s="136" t="str">
        <f>'[2]All Counts'!K212</f>
        <v>LAKE MURRAY</v>
      </c>
      <c r="J212" s="136" t="str">
        <f>'[2]All Counts'!L212</f>
        <v>COLLEGE</v>
      </c>
      <c r="K212" s="136">
        <f>'[2]All Counts'!O212</f>
        <v>18996</v>
      </c>
      <c r="L212" s="57">
        <f>VLOOKUP(ws[[#This Row],[hwycov_id]],readme!D:G,4,FALSE)</f>
        <v>21832.712890999999</v>
      </c>
      <c r="M212" s="88">
        <f>ws[[#This Row],[flow]]/ws[[#This Row],[count]]-1</f>
        <v>0.149332116814066</v>
      </c>
      <c r="N212" s="89">
        <f>POWER((ws[[#This Row],[flow]]-ws[[#This Row],[count]]),2)</f>
        <v>8046940.0259655733</v>
      </c>
      <c r="O212" s="43">
        <f>VLOOKUP(ws[[#This Row],[hwycov_id]],count[],6,FALSE)</f>
        <v>0</v>
      </c>
      <c r="P212" s="43">
        <v>636</v>
      </c>
      <c r="Q212" s="43" t="str">
        <f>'[2]All Counts'!P212</f>
        <v>Caltran</v>
      </c>
      <c r="S212" s="94">
        <v>10255</v>
      </c>
      <c r="T212" s="17">
        <v>3276</v>
      </c>
      <c r="U212" s="17">
        <v>2716.0551759999998</v>
      </c>
      <c r="V212" s="17"/>
      <c r="W212" s="17"/>
      <c r="X212" s="17"/>
      <c r="Y212" s="17"/>
      <c r="Z212" s="17"/>
      <c r="AA212" s="17"/>
      <c r="AB212" s="17">
        <v>3276</v>
      </c>
      <c r="AC212" s="17">
        <v>2716.0551759999998</v>
      </c>
      <c r="AD212"/>
      <c r="AE212"/>
    </row>
    <row r="213" spans="1:31" x14ac:dyDescent="0.25">
      <c r="A213" s="136">
        <f>'[2]All Counts'!C213</f>
        <v>15</v>
      </c>
      <c r="B213" s="136">
        <f>'[2]All Counts'!D213</f>
        <v>3</v>
      </c>
      <c r="C213" s="136">
        <f>'[2]All Counts'!E213</f>
        <v>15456</v>
      </c>
      <c r="D213" s="136">
        <f>'[2]All Counts'!F213</f>
        <v>1</v>
      </c>
      <c r="E213" s="136">
        <f>'[2]All Counts'!G213</f>
        <v>1</v>
      </c>
      <c r="F213" s="136" t="str">
        <f>'[2]All Counts'!H213</f>
        <v>I-8 WB</v>
      </c>
      <c r="G213" s="136">
        <f>'[2]All Counts'!I213</f>
        <v>63</v>
      </c>
      <c r="H213" s="136">
        <f>'[2]All Counts'!J213</f>
        <v>0</v>
      </c>
      <c r="I213" s="136" t="str">
        <f>'[2]All Counts'!K213</f>
        <v>COLLEGE</v>
      </c>
      <c r="J213" s="136" t="str">
        <f>'[2]All Counts'!L213</f>
        <v>COLLEGE</v>
      </c>
      <c r="K213" s="136">
        <f>'[2]All Counts'!O213</f>
        <v>18472</v>
      </c>
      <c r="L213" s="57">
        <f>VLOOKUP(ws[[#This Row],[hwycov_id]],readme!D:G,4,FALSE)</f>
        <v>19621.810547000001</v>
      </c>
      <c r="M213" s="88">
        <f>ws[[#This Row],[flow]]/ws[[#This Row],[count]]-1</f>
        <v>6.2246131821134698E-2</v>
      </c>
      <c r="N213" s="89">
        <f>POWER((ws[[#This Row],[flow]]-ws[[#This Row],[count]]),2)</f>
        <v>1322064.2939924414</v>
      </c>
      <c r="O213" s="43">
        <f>VLOOKUP(ws[[#This Row],[hwycov_id]],count[],6,FALSE)</f>
        <v>0</v>
      </c>
      <c r="P213" s="43">
        <v>653</v>
      </c>
      <c r="Q213" s="43" t="str">
        <f>'[2]All Counts'!P213</f>
        <v>PeMS2016</v>
      </c>
      <c r="S213" s="94">
        <v>10257</v>
      </c>
      <c r="T213" s="17">
        <v>3565</v>
      </c>
      <c r="U213" s="17">
        <v>3221.8562010000001</v>
      </c>
      <c r="V213" s="17"/>
      <c r="W213" s="17"/>
      <c r="X213" s="17"/>
      <c r="Y213" s="17"/>
      <c r="Z213" s="17"/>
      <c r="AA213" s="17"/>
      <c r="AB213" s="17">
        <v>3565</v>
      </c>
      <c r="AC213" s="17">
        <v>3221.8562010000001</v>
      </c>
      <c r="AD213"/>
      <c r="AE213"/>
    </row>
    <row r="214" spans="1:31" x14ac:dyDescent="0.25">
      <c r="A214" s="136">
        <f>'[2]All Counts'!C214</f>
        <v>15</v>
      </c>
      <c r="B214" s="136">
        <f>'[2]All Counts'!D214</f>
        <v>3</v>
      </c>
      <c r="C214" s="136">
        <f>'[2]All Counts'!E214</f>
        <v>15442</v>
      </c>
      <c r="D214" s="136">
        <f>'[2]All Counts'!F214</f>
        <v>1</v>
      </c>
      <c r="E214" s="136">
        <f>'[2]All Counts'!G214</f>
        <v>1</v>
      </c>
      <c r="F214" s="136" t="str">
        <f>'[2]All Counts'!H214</f>
        <v>I-8 WB</v>
      </c>
      <c r="G214" s="136">
        <f>'[2]All Counts'!I214</f>
        <v>64</v>
      </c>
      <c r="H214" s="136">
        <f>'[2]All Counts'!J214</f>
        <v>0</v>
      </c>
      <c r="I214" s="136" t="str">
        <f>'[2]All Counts'!K214</f>
        <v>COLLEGE</v>
      </c>
      <c r="J214" s="136" t="str">
        <f>'[2]All Counts'!L214</f>
        <v>WARING</v>
      </c>
      <c r="K214" s="136">
        <f>'[2]All Counts'!O214</f>
        <v>22776</v>
      </c>
      <c r="L214" s="57">
        <f>VLOOKUP(ws[[#This Row],[hwycov_id]],readme!D:G,4,FALSE)</f>
        <v>23376.226562</v>
      </c>
      <c r="M214" s="88">
        <f>ws[[#This Row],[flow]]/ws[[#This Row],[count]]-1</f>
        <v>2.6353466894977196E-2</v>
      </c>
      <c r="N214" s="89">
        <f>POWER((ws[[#This Row],[flow]]-ws[[#This Row],[count]]),2)</f>
        <v>360271.92573033966</v>
      </c>
      <c r="O214" s="43">
        <f>VLOOKUP(ws[[#This Row],[hwycov_id]],count[],6,FALSE)</f>
        <v>0</v>
      </c>
      <c r="P214" s="43">
        <v>124</v>
      </c>
      <c r="Q214" s="43" t="str">
        <f>'[2]All Counts'!P214</f>
        <v>Caltran</v>
      </c>
      <c r="S214" s="94">
        <v>10633</v>
      </c>
      <c r="T214" s="17"/>
      <c r="U214" s="17"/>
      <c r="V214" s="17">
        <v>16943</v>
      </c>
      <c r="W214" s="17">
        <v>14929.143555000001</v>
      </c>
      <c r="X214" s="17"/>
      <c r="Y214" s="17"/>
      <c r="Z214" s="17"/>
      <c r="AA214" s="17"/>
      <c r="AB214" s="17">
        <v>16943</v>
      </c>
      <c r="AC214" s="17">
        <v>14929.143555000001</v>
      </c>
      <c r="AD214"/>
      <c r="AE214"/>
    </row>
    <row r="215" spans="1:31" x14ac:dyDescent="0.25">
      <c r="A215" s="136">
        <f>'[2]All Counts'!C215</f>
        <v>15</v>
      </c>
      <c r="B215" s="136">
        <f>'[2]All Counts'!D215</f>
        <v>3</v>
      </c>
      <c r="C215" s="136">
        <f>'[2]All Counts'!E215</f>
        <v>15439</v>
      </c>
      <c r="D215" s="136">
        <f>'[2]All Counts'!F215</f>
        <v>1</v>
      </c>
      <c r="E215" s="136">
        <f>'[2]All Counts'!G215</f>
        <v>1</v>
      </c>
      <c r="F215" s="136" t="str">
        <f>'[2]All Counts'!H215</f>
        <v>I-8 WB</v>
      </c>
      <c r="G215" s="136">
        <f>'[2]All Counts'!I215</f>
        <v>65</v>
      </c>
      <c r="H215" s="136">
        <f>'[2]All Counts'!J215</f>
        <v>0</v>
      </c>
      <c r="I215" s="136" t="str">
        <f>'[2]All Counts'!K215</f>
        <v>WARING</v>
      </c>
      <c r="J215" s="136" t="str">
        <f>'[2]All Counts'!L215</f>
        <v>WARING</v>
      </c>
      <c r="K215" s="136">
        <f>'[2]All Counts'!O215</f>
        <v>22466</v>
      </c>
      <c r="L215" s="57">
        <f>VLOOKUP(ws[[#This Row],[hwycov_id]],readme!D:G,4,FALSE)</f>
        <v>22167.529297000001</v>
      </c>
      <c r="M215" s="88">
        <f>ws[[#This Row],[flow]]/ws[[#This Row],[count]]-1</f>
        <v>-1.3285440354313116E-2</v>
      </c>
      <c r="N215" s="89">
        <f>POWER((ws[[#This Row],[flow]]-ws[[#This Row],[count]]),2)</f>
        <v>89084.760549313636</v>
      </c>
      <c r="O215" s="43">
        <f>VLOOKUP(ws[[#This Row],[hwycov_id]],count[],6,FALSE)</f>
        <v>0</v>
      </c>
      <c r="P215" s="43">
        <v>363</v>
      </c>
      <c r="Q215" s="43" t="str">
        <f>'[2]All Counts'!P215</f>
        <v>PeMS2016</v>
      </c>
      <c r="S215" s="94">
        <v>10791</v>
      </c>
      <c r="T215" s="17"/>
      <c r="U215" s="17"/>
      <c r="V215" s="17">
        <v>20233</v>
      </c>
      <c r="W215" s="17">
        <v>17562.330077999999</v>
      </c>
      <c r="X215" s="17"/>
      <c r="Y215" s="17"/>
      <c r="Z215" s="17"/>
      <c r="AA215" s="17"/>
      <c r="AB215" s="17">
        <v>20233</v>
      </c>
      <c r="AC215" s="17">
        <v>17562.330077999999</v>
      </c>
      <c r="AD215"/>
      <c r="AE215"/>
    </row>
    <row r="216" spans="1:31" x14ac:dyDescent="0.25">
      <c r="A216" s="136">
        <f>'[2]All Counts'!C216</f>
        <v>15</v>
      </c>
      <c r="B216" s="136">
        <f>'[2]All Counts'!D216</f>
        <v>3</v>
      </c>
      <c r="C216" s="136">
        <f>'[2]All Counts'!E216</f>
        <v>15430</v>
      </c>
      <c r="D216" s="136">
        <f>'[2]All Counts'!F216</f>
        <v>1</v>
      </c>
      <c r="E216" s="136">
        <f>'[2]All Counts'!G216</f>
        <v>1</v>
      </c>
      <c r="F216" s="136" t="str">
        <f>'[2]All Counts'!H216</f>
        <v>I-8 WB</v>
      </c>
      <c r="G216" s="136">
        <f>'[2]All Counts'!I216</f>
        <v>66</v>
      </c>
      <c r="H216" s="136">
        <f>'[2]All Counts'!J216</f>
        <v>0</v>
      </c>
      <c r="I216" s="136" t="str">
        <f>'[2]All Counts'!K216</f>
        <v>WARING</v>
      </c>
      <c r="J216" s="136" t="str">
        <f>'[2]All Counts'!L216</f>
        <v>FAIRMOUNT</v>
      </c>
      <c r="K216" s="136">
        <f>'[2]All Counts'!O216</f>
        <v>24478</v>
      </c>
      <c r="L216" s="57">
        <f>VLOOKUP(ws[[#This Row],[hwycov_id]],readme!D:G,4,FALSE)</f>
        <v>24292.134765999999</v>
      </c>
      <c r="M216" s="88">
        <f>ws[[#This Row],[flow]]/ws[[#This Row],[count]]-1</f>
        <v>-7.5931544243811322E-3</v>
      </c>
      <c r="N216" s="89">
        <f>POWER((ws[[#This Row],[flow]]-ws[[#This Row],[count]]),2)</f>
        <v>34545.88520987505</v>
      </c>
      <c r="O216" s="43">
        <f>VLOOKUP(ws[[#This Row],[hwycov_id]],count[],6,FALSE)</f>
        <v>0</v>
      </c>
      <c r="P216" s="43">
        <v>538</v>
      </c>
      <c r="Q216" s="43" t="str">
        <f>'[2]All Counts'!P216</f>
        <v>PeMS2016</v>
      </c>
      <c r="S216" s="94">
        <v>10793</v>
      </c>
      <c r="T216" s="17">
        <v>11072</v>
      </c>
      <c r="U216" s="17">
        <v>13115.177734000001</v>
      </c>
      <c r="V216" s="17"/>
      <c r="W216" s="17"/>
      <c r="X216" s="17"/>
      <c r="Y216" s="17"/>
      <c r="Z216" s="17"/>
      <c r="AA216" s="17"/>
      <c r="AB216" s="17">
        <v>11072</v>
      </c>
      <c r="AC216" s="17">
        <v>13115.177734000001</v>
      </c>
      <c r="AD216"/>
      <c r="AE216"/>
    </row>
    <row r="217" spans="1:31" x14ac:dyDescent="0.25">
      <c r="A217" s="136">
        <f>'[2]All Counts'!C217</f>
        <v>15</v>
      </c>
      <c r="B217" s="136">
        <f>'[2]All Counts'!D217</f>
        <v>3</v>
      </c>
      <c r="C217" s="136">
        <f>'[2]All Counts'!E217</f>
        <v>15425</v>
      </c>
      <c r="D217" s="136">
        <f>'[2]All Counts'!F217</f>
        <v>1</v>
      </c>
      <c r="E217" s="136">
        <f>'[2]All Counts'!G217</f>
        <v>1</v>
      </c>
      <c r="F217" s="136" t="str">
        <f>'[2]All Counts'!H217</f>
        <v>I-8 WB</v>
      </c>
      <c r="G217" s="136">
        <f>'[2]All Counts'!I217</f>
        <v>67</v>
      </c>
      <c r="H217" s="136">
        <f>'[2]All Counts'!J217</f>
        <v>0</v>
      </c>
      <c r="I217" s="136" t="str">
        <f>'[2]All Counts'!K217</f>
        <v>FAIRMOUNT</v>
      </c>
      <c r="J217" s="136" t="str">
        <f>'[2]All Counts'!L217</f>
        <v>I-15 NB</v>
      </c>
      <c r="K217" s="136">
        <f>'[2]All Counts'!O217</f>
        <v>22829</v>
      </c>
      <c r="L217" s="57">
        <f>VLOOKUP(ws[[#This Row],[hwycov_id]],readme!D:G,4,FALSE)</f>
        <v>22000.673827999999</v>
      </c>
      <c r="M217" s="88">
        <f>ws[[#This Row],[flow]]/ws[[#This Row],[count]]-1</f>
        <v>-3.6283944631827936E-2</v>
      </c>
      <c r="N217" s="89">
        <f>POWER((ws[[#This Row],[flow]]-ws[[#This Row],[count]]),2)</f>
        <v>686124.24722017511</v>
      </c>
      <c r="O217" s="43">
        <f>VLOOKUP(ws[[#This Row],[hwycov_id]],count[],6,FALSE)</f>
        <v>0</v>
      </c>
      <c r="P217" s="43">
        <v>272</v>
      </c>
      <c r="Q217" s="43" t="str">
        <f>'[2]All Counts'!P217</f>
        <v>PeMS2016</v>
      </c>
      <c r="S217" s="94">
        <v>10859</v>
      </c>
      <c r="T217" s="17">
        <v>27642</v>
      </c>
      <c r="U217" s="17">
        <v>33039.964844000002</v>
      </c>
      <c r="V217" s="17"/>
      <c r="W217" s="17"/>
      <c r="X217" s="17"/>
      <c r="Y217" s="17"/>
      <c r="Z217" s="17"/>
      <c r="AA217" s="17"/>
      <c r="AB217" s="17">
        <v>27642</v>
      </c>
      <c r="AC217" s="17">
        <v>33039.964844000002</v>
      </c>
      <c r="AD217"/>
      <c r="AE217"/>
    </row>
    <row r="218" spans="1:31" x14ac:dyDescent="0.25">
      <c r="A218" s="136">
        <f>'[2]All Counts'!C218</f>
        <v>15</v>
      </c>
      <c r="B218" s="136">
        <f>'[2]All Counts'!D218</f>
        <v>3</v>
      </c>
      <c r="C218" s="136">
        <f>'[2]All Counts'!E218</f>
        <v>16533</v>
      </c>
      <c r="D218" s="136">
        <f>'[2]All Counts'!F218</f>
        <v>1</v>
      </c>
      <c r="E218" s="136">
        <f>'[2]All Counts'!G218</f>
        <v>1</v>
      </c>
      <c r="F218" s="136" t="str">
        <f>'[2]All Counts'!H218</f>
        <v>I-8 WB</v>
      </c>
      <c r="G218" s="136">
        <f>'[2]All Counts'!I218</f>
        <v>69</v>
      </c>
      <c r="H218" s="136">
        <f>'[2]All Counts'!J218</f>
        <v>0</v>
      </c>
      <c r="I218" s="136" t="str">
        <f>'[2]All Counts'!K218</f>
        <v>I-15 NB</v>
      </c>
      <c r="J218" s="136" t="str">
        <f>'[2]All Counts'!L218</f>
        <v>I-15 NB</v>
      </c>
      <c r="K218" s="136">
        <f>'[2]All Counts'!O218</f>
        <v>15169</v>
      </c>
      <c r="L218" s="57">
        <f>VLOOKUP(ws[[#This Row],[hwycov_id]],readme!D:G,4,FALSE)</f>
        <v>14407.948242</v>
      </c>
      <c r="M218" s="88">
        <f>ws[[#This Row],[flow]]/ws[[#This Row],[count]]-1</f>
        <v>-5.0171518096117085E-2</v>
      </c>
      <c r="N218" s="89">
        <f>POWER((ws[[#This Row],[flow]]-ws[[#This Row],[count]]),2)</f>
        <v>579199.77835488995</v>
      </c>
      <c r="O218" s="43">
        <f>VLOOKUP(ws[[#This Row],[hwycov_id]],count[],6,FALSE)</f>
        <v>0</v>
      </c>
      <c r="P218" s="43">
        <v>539</v>
      </c>
      <c r="Q218" s="43" t="str">
        <f>'[2]All Counts'!P218</f>
        <v>PeMS2016</v>
      </c>
      <c r="S218" s="94">
        <v>10965</v>
      </c>
      <c r="T218" s="17"/>
      <c r="U218" s="17"/>
      <c r="V218" s="17">
        <v>21606</v>
      </c>
      <c r="W218" s="17">
        <v>22186.445312</v>
      </c>
      <c r="X218" s="17"/>
      <c r="Y218" s="17"/>
      <c r="Z218" s="17"/>
      <c r="AA218" s="17"/>
      <c r="AB218" s="17">
        <v>21606</v>
      </c>
      <c r="AC218" s="17">
        <v>22186.445312</v>
      </c>
      <c r="AD218"/>
      <c r="AE218"/>
    </row>
    <row r="219" spans="1:31" x14ac:dyDescent="0.25">
      <c r="A219" s="136">
        <f>'[2]All Counts'!C219</f>
        <v>15</v>
      </c>
      <c r="B219" s="136">
        <f>'[2]All Counts'!D219</f>
        <v>3</v>
      </c>
      <c r="C219" s="136">
        <f>'[2]All Counts'!E219</f>
        <v>10998</v>
      </c>
      <c r="D219" s="136">
        <f>'[2]All Counts'!F219</f>
        <v>1</v>
      </c>
      <c r="E219" s="136">
        <f>'[2]All Counts'!G219</f>
        <v>1</v>
      </c>
      <c r="F219" s="136" t="str">
        <f>'[2]All Counts'!H219</f>
        <v>I-8 WB</v>
      </c>
      <c r="G219" s="136">
        <f>'[2]All Counts'!I219</f>
        <v>70</v>
      </c>
      <c r="H219" s="136">
        <f>'[2]All Counts'!J219</f>
        <v>0</v>
      </c>
      <c r="I219" s="136" t="str">
        <f>'[2]All Counts'!K219</f>
        <v>I-15 NB</v>
      </c>
      <c r="J219" s="136" t="str">
        <f>'[2]All Counts'!L219</f>
        <v>I-805 NB</v>
      </c>
      <c r="K219" s="136">
        <f>'[2]All Counts'!O219</f>
        <v>21986</v>
      </c>
      <c r="L219" s="57">
        <f>VLOOKUP(ws[[#This Row],[hwycov_id]],readme!D:G,4,FALSE)</f>
        <v>27040.994140999999</v>
      </c>
      <c r="M219" s="88">
        <f>ws[[#This Row],[flow]]/ws[[#This Row],[count]]-1</f>
        <v>0.22991877290093687</v>
      </c>
      <c r="N219" s="89">
        <f>POWER((ws[[#This Row],[flow]]-ws[[#This Row],[count]]),2)</f>
        <v>25552965.765544321</v>
      </c>
      <c r="O219" s="43">
        <f>VLOOKUP(ws[[#This Row],[hwycov_id]],count[],6,FALSE)</f>
        <v>0</v>
      </c>
      <c r="P219" s="43">
        <v>270</v>
      </c>
      <c r="Q219" s="43" t="str">
        <f>'[2]All Counts'!P219</f>
        <v>PeMS2016</v>
      </c>
      <c r="S219" s="94">
        <v>10966</v>
      </c>
      <c r="T219" s="17">
        <v>21758</v>
      </c>
      <c r="U219" s="17">
        <v>20985.71875</v>
      </c>
      <c r="V219" s="17"/>
      <c r="W219" s="17"/>
      <c r="X219" s="17"/>
      <c r="Y219" s="17"/>
      <c r="Z219" s="17"/>
      <c r="AA219" s="17"/>
      <c r="AB219" s="17">
        <v>21758</v>
      </c>
      <c r="AC219" s="17">
        <v>20985.71875</v>
      </c>
      <c r="AD219"/>
      <c r="AE219"/>
    </row>
    <row r="220" spans="1:31" x14ac:dyDescent="0.25">
      <c r="A220" s="136">
        <f>'[2]All Counts'!C220</f>
        <v>15</v>
      </c>
      <c r="B220" s="136">
        <f>'[2]All Counts'!D220</f>
        <v>3</v>
      </c>
      <c r="C220" s="136">
        <f>'[2]All Counts'!E220</f>
        <v>10994</v>
      </c>
      <c r="D220" s="136">
        <f>'[2]All Counts'!F220</f>
        <v>1</v>
      </c>
      <c r="E220" s="136">
        <f>'[2]All Counts'!G220</f>
        <v>1</v>
      </c>
      <c r="F220" s="136" t="str">
        <f>'[2]All Counts'!H220</f>
        <v>I-8 WB</v>
      </c>
      <c r="G220" s="136">
        <f>'[2]All Counts'!I220</f>
        <v>71</v>
      </c>
      <c r="H220" s="136">
        <f>'[2]All Counts'!J220</f>
        <v>0</v>
      </c>
      <c r="I220" s="136" t="str">
        <f>'[2]All Counts'!K220</f>
        <v>I-805 NB</v>
      </c>
      <c r="J220" s="136" t="str">
        <f>'[2]All Counts'!L220</f>
        <v>TEXAS</v>
      </c>
      <c r="K220" s="136">
        <f>'[2]All Counts'!O220</f>
        <v>17634</v>
      </c>
      <c r="L220" s="57">
        <f>VLOOKUP(ws[[#This Row],[hwycov_id]],readme!D:G,4,FALSE)</f>
        <v>15905.451171999999</v>
      </c>
      <c r="M220" s="88">
        <f>ws[[#This Row],[flow]]/ws[[#This Row],[count]]-1</f>
        <v>-9.8023637745264902E-2</v>
      </c>
      <c r="N220" s="89">
        <f>POWER((ws[[#This Row],[flow]]-ws[[#This Row],[count]]),2)</f>
        <v>2987881.0507801767</v>
      </c>
      <c r="O220" s="43">
        <f>VLOOKUP(ws[[#This Row],[hwycov_id]],count[],6,FALSE)</f>
        <v>0</v>
      </c>
      <c r="P220" s="43">
        <v>224</v>
      </c>
      <c r="Q220" s="43" t="str">
        <f>'[2]All Counts'!P220</f>
        <v>PeMS2016</v>
      </c>
      <c r="S220" s="94">
        <v>10968</v>
      </c>
      <c r="T220" s="17"/>
      <c r="U220" s="17"/>
      <c r="V220" s="17">
        <v>21092</v>
      </c>
      <c r="W220" s="17">
        <v>22514.90625</v>
      </c>
      <c r="X220" s="17"/>
      <c r="Y220" s="17"/>
      <c r="Z220" s="17"/>
      <c r="AA220" s="17"/>
      <c r="AB220" s="17">
        <v>21092</v>
      </c>
      <c r="AC220" s="17">
        <v>22514.90625</v>
      </c>
      <c r="AD220"/>
      <c r="AE220"/>
    </row>
    <row r="221" spans="1:31" x14ac:dyDescent="0.25">
      <c r="A221" s="136">
        <f>'[2]All Counts'!C221</f>
        <v>15</v>
      </c>
      <c r="B221" s="136">
        <f>'[2]All Counts'!D221</f>
        <v>3</v>
      </c>
      <c r="C221" s="136">
        <f>'[2]All Counts'!E221</f>
        <v>10991</v>
      </c>
      <c r="D221" s="136">
        <f>'[2]All Counts'!F221</f>
        <v>1</v>
      </c>
      <c r="E221" s="136">
        <f>'[2]All Counts'!G221</f>
        <v>1</v>
      </c>
      <c r="F221" s="136" t="str">
        <f>'[2]All Counts'!H221</f>
        <v>I-8 WB</v>
      </c>
      <c r="G221" s="136">
        <f>'[2]All Counts'!I221</f>
        <v>73</v>
      </c>
      <c r="H221" s="136">
        <f>'[2]All Counts'!J221</f>
        <v>0</v>
      </c>
      <c r="I221" s="136" t="str">
        <f>'[2]All Counts'!K221</f>
        <v>TEXAS</v>
      </c>
      <c r="J221" s="136" t="str">
        <f>'[2]All Counts'!L221</f>
        <v>I-805 NB</v>
      </c>
      <c r="K221" s="136">
        <f>'[2]All Counts'!O221</f>
        <v>15627</v>
      </c>
      <c r="L221" s="57">
        <f>VLOOKUP(ws[[#This Row],[hwycov_id]],readme!D:G,4,FALSE)</f>
        <v>13016.474609000001</v>
      </c>
      <c r="M221" s="88">
        <f>ws[[#This Row],[flow]]/ws[[#This Row],[count]]-1</f>
        <v>-0.16705224233698079</v>
      </c>
      <c r="N221" s="89">
        <f>POWER((ws[[#This Row],[flow]]-ws[[#This Row],[count]]),2)</f>
        <v>6814842.8170556985</v>
      </c>
      <c r="O221" s="43">
        <f>VLOOKUP(ws[[#This Row],[hwycov_id]],count[],6,FALSE)</f>
        <v>0</v>
      </c>
      <c r="P221" s="43">
        <v>223</v>
      </c>
      <c r="Q221" s="43" t="str">
        <f>'[2]All Counts'!P221</f>
        <v>PeMS2016</v>
      </c>
      <c r="S221" s="94">
        <v>10969</v>
      </c>
      <c r="T221" s="17">
        <v>19134</v>
      </c>
      <c r="U221" s="17">
        <v>20273.744140999999</v>
      </c>
      <c r="V221" s="17"/>
      <c r="W221" s="17"/>
      <c r="X221" s="17"/>
      <c r="Y221" s="17"/>
      <c r="Z221" s="17"/>
      <c r="AA221" s="17"/>
      <c r="AB221" s="17">
        <v>19134</v>
      </c>
      <c r="AC221" s="17">
        <v>20273.744140999999</v>
      </c>
      <c r="AD221"/>
      <c r="AE221"/>
    </row>
    <row r="222" spans="1:31" x14ac:dyDescent="0.25">
      <c r="A222" s="136">
        <f>'[2]All Counts'!C222</f>
        <v>15</v>
      </c>
      <c r="B222" s="136">
        <f>'[2]All Counts'!D222</f>
        <v>3</v>
      </c>
      <c r="C222" s="136">
        <f>'[2]All Counts'!E222</f>
        <v>16085</v>
      </c>
      <c r="D222" s="136">
        <f>'[2]All Counts'!F222</f>
        <v>1</v>
      </c>
      <c r="E222" s="136">
        <f>'[2]All Counts'!G222</f>
        <v>1</v>
      </c>
      <c r="F222" s="136" t="str">
        <f>'[2]All Counts'!H222</f>
        <v>I-8 WB</v>
      </c>
      <c r="G222" s="136">
        <f>'[2]All Counts'!I222</f>
        <v>75</v>
      </c>
      <c r="H222" s="136">
        <f>'[2]All Counts'!J222</f>
        <v>0</v>
      </c>
      <c r="I222" s="136" t="str">
        <f>'[2]All Counts'!K222</f>
        <v>TEXAS</v>
      </c>
      <c r="J222" s="136" t="str">
        <f>'[2]All Counts'!L222</f>
        <v>MISSION CENTER</v>
      </c>
      <c r="K222" s="136">
        <f>'[2]All Counts'!O222</f>
        <v>25919</v>
      </c>
      <c r="L222" s="57">
        <f>VLOOKUP(ws[[#This Row],[hwycov_id]],readme!D:G,4,FALSE)</f>
        <v>22583.816406000002</v>
      </c>
      <c r="M222" s="88">
        <f>ws[[#This Row],[flow]]/ws[[#This Row],[count]]-1</f>
        <v>-0.12867717095566955</v>
      </c>
      <c r="N222" s="89">
        <f>POWER((ws[[#This Row],[flow]]-ws[[#This Row],[count]]),2)</f>
        <v>11123449.605686745</v>
      </c>
      <c r="O222" s="43">
        <f>VLOOKUP(ws[[#This Row],[hwycov_id]],count[],6,FALSE)</f>
        <v>0</v>
      </c>
      <c r="P222" s="43">
        <v>222</v>
      </c>
      <c r="Q222" s="43" t="str">
        <f>'[2]All Counts'!P222</f>
        <v>PeMS2016</v>
      </c>
      <c r="S222" s="94">
        <v>10979</v>
      </c>
      <c r="T222" s="17"/>
      <c r="U222" s="17"/>
      <c r="V222" s="17"/>
      <c r="W222" s="17"/>
      <c r="X222" s="17">
        <v>20299</v>
      </c>
      <c r="Y222" s="17">
        <v>16957.322265999999</v>
      </c>
      <c r="Z222" s="17"/>
      <c r="AA222" s="17"/>
      <c r="AB222" s="17">
        <v>20299</v>
      </c>
      <c r="AC222" s="17">
        <v>16957.322265999999</v>
      </c>
      <c r="AD222"/>
      <c r="AE222"/>
    </row>
    <row r="223" spans="1:31" x14ac:dyDescent="0.25">
      <c r="A223" s="136">
        <f>'[2]All Counts'!C223</f>
        <v>15</v>
      </c>
      <c r="B223" s="136">
        <f>'[2]All Counts'!D223</f>
        <v>3</v>
      </c>
      <c r="C223" s="136">
        <f>'[2]All Counts'!E223</f>
        <v>10982</v>
      </c>
      <c r="D223" s="136">
        <f>'[2]All Counts'!F223</f>
        <v>1</v>
      </c>
      <c r="E223" s="136">
        <f>'[2]All Counts'!G223</f>
        <v>1</v>
      </c>
      <c r="F223" s="136" t="str">
        <f>'[2]All Counts'!H223</f>
        <v>I-8 WB</v>
      </c>
      <c r="G223" s="136">
        <f>'[2]All Counts'!I223</f>
        <v>76</v>
      </c>
      <c r="H223" s="136">
        <f>'[2]All Counts'!J223</f>
        <v>0</v>
      </c>
      <c r="I223" s="136" t="str">
        <f>'[2]All Counts'!K223</f>
        <v>MISSION CENTER</v>
      </c>
      <c r="J223" s="136" t="str">
        <f>'[2]All Counts'!L223</f>
        <v>MISSION CENTER</v>
      </c>
      <c r="K223" s="136">
        <f>'[2]All Counts'!O223</f>
        <v>24409</v>
      </c>
      <c r="L223" s="57">
        <f>VLOOKUP(ws[[#This Row],[hwycov_id]],readme!D:G,4,FALSE)</f>
        <v>19137.306640999999</v>
      </c>
      <c r="M223" s="88">
        <f>ws[[#This Row],[flow]]/ws[[#This Row],[count]]-1</f>
        <v>-0.21597334421729697</v>
      </c>
      <c r="N223" s="89">
        <f>POWER((ws[[#This Row],[flow]]-ws[[#This Row],[count]]),2)</f>
        <v>27790750.871324711</v>
      </c>
      <c r="O223" s="43">
        <f>VLOOKUP(ws[[#This Row],[hwycov_id]],count[],6,FALSE)</f>
        <v>0</v>
      </c>
      <c r="P223" s="43">
        <v>220</v>
      </c>
      <c r="Q223" s="43" t="str">
        <f>'[2]All Counts'!P223</f>
        <v>PeMS2016</v>
      </c>
      <c r="S223" s="94">
        <v>10981</v>
      </c>
      <c r="T223" s="17"/>
      <c r="U223" s="17"/>
      <c r="V223" s="17"/>
      <c r="W223" s="17"/>
      <c r="X223" s="17">
        <v>24409</v>
      </c>
      <c r="Y223" s="17">
        <v>22095.4375</v>
      </c>
      <c r="Z223" s="17"/>
      <c r="AA223" s="17"/>
      <c r="AB223" s="17">
        <v>24409</v>
      </c>
      <c r="AC223" s="17">
        <v>22095.4375</v>
      </c>
      <c r="AD223"/>
      <c r="AE223"/>
    </row>
    <row r="224" spans="1:31" x14ac:dyDescent="0.25">
      <c r="A224" s="136">
        <f>'[2]All Counts'!C224</f>
        <v>15</v>
      </c>
      <c r="B224" s="136">
        <f>'[2]All Counts'!D224</f>
        <v>3</v>
      </c>
      <c r="C224" s="136">
        <f>'[2]All Counts'!E224</f>
        <v>10981</v>
      </c>
      <c r="D224" s="136">
        <f>'[2]All Counts'!F224</f>
        <v>1</v>
      </c>
      <c r="E224" s="136">
        <f>'[2]All Counts'!G224</f>
        <v>1</v>
      </c>
      <c r="F224" s="136" t="str">
        <f>'[2]All Counts'!H224</f>
        <v>I-8 WB</v>
      </c>
      <c r="G224" s="136">
        <f>'[2]All Counts'!I224</f>
        <v>77</v>
      </c>
      <c r="H224" s="136">
        <f>'[2]All Counts'!J224</f>
        <v>0</v>
      </c>
      <c r="I224" s="136" t="str">
        <f>'[2]All Counts'!K224</f>
        <v>MISSION CENTER</v>
      </c>
      <c r="J224" s="136" t="str">
        <f>'[2]All Counts'!L224</f>
        <v>SR-163 NB</v>
      </c>
      <c r="K224" s="136">
        <f>'[2]All Counts'!O224</f>
        <v>24409</v>
      </c>
      <c r="L224" s="57">
        <f>VLOOKUP(ws[[#This Row],[hwycov_id]],readme!D:G,4,FALSE)</f>
        <v>22095.4375</v>
      </c>
      <c r="M224" s="88">
        <f>ws[[#This Row],[flow]]/ws[[#This Row],[count]]-1</f>
        <v>-9.4783174239010171E-2</v>
      </c>
      <c r="N224" s="89">
        <f>POWER((ws[[#This Row],[flow]]-ws[[#This Row],[count]]),2)</f>
        <v>5352571.44140625</v>
      </c>
      <c r="O224" s="43">
        <f>VLOOKUP(ws[[#This Row],[hwycov_id]],count[],6,FALSE)</f>
        <v>0</v>
      </c>
      <c r="P224" s="43">
        <v>219</v>
      </c>
      <c r="Q224" s="43" t="str">
        <f>'[2]All Counts'!P224</f>
        <v>PeMS2016</v>
      </c>
      <c r="S224" s="94">
        <v>10982</v>
      </c>
      <c r="T224" s="17"/>
      <c r="U224" s="17"/>
      <c r="V224" s="17"/>
      <c r="W224" s="17"/>
      <c r="X224" s="17">
        <v>24409</v>
      </c>
      <c r="Y224" s="17">
        <v>19137.306640999999</v>
      </c>
      <c r="Z224" s="17"/>
      <c r="AA224" s="17"/>
      <c r="AB224" s="17">
        <v>24409</v>
      </c>
      <c r="AC224" s="17">
        <v>19137.306640999999</v>
      </c>
      <c r="AD224"/>
      <c r="AE224"/>
    </row>
    <row r="225" spans="1:31" x14ac:dyDescent="0.25">
      <c r="A225" s="136">
        <f>'[2]All Counts'!C225</f>
        <v>15</v>
      </c>
      <c r="B225" s="136">
        <f>'[2]All Counts'!D225</f>
        <v>3</v>
      </c>
      <c r="C225" s="136">
        <f>'[2]All Counts'!E225</f>
        <v>10979</v>
      </c>
      <c r="D225" s="136">
        <f>'[2]All Counts'!F225</f>
        <v>1</v>
      </c>
      <c r="E225" s="136">
        <f>'[2]All Counts'!G225</f>
        <v>1</v>
      </c>
      <c r="F225" s="136" t="str">
        <f>'[2]All Counts'!H225</f>
        <v>I-8 WB</v>
      </c>
      <c r="G225" s="136">
        <f>'[2]All Counts'!I225</f>
        <v>78</v>
      </c>
      <c r="H225" s="136">
        <f>'[2]All Counts'!J225</f>
        <v>0</v>
      </c>
      <c r="I225" s="136" t="str">
        <f>'[2]All Counts'!K225</f>
        <v>SR-163 NB</v>
      </c>
      <c r="J225" s="136" t="str">
        <f>'[2]All Counts'!L225</f>
        <v>SR-163 SB</v>
      </c>
      <c r="K225" s="136">
        <f>'[2]All Counts'!O225</f>
        <v>20299</v>
      </c>
      <c r="L225" s="57">
        <f>VLOOKUP(ws[[#This Row],[hwycov_id]],readme!D:G,4,FALSE)</f>
        <v>16957.322265999999</v>
      </c>
      <c r="M225" s="88">
        <f>ws[[#This Row],[flow]]/ws[[#This Row],[count]]-1</f>
        <v>-0.16462277619587173</v>
      </c>
      <c r="N225" s="89">
        <f>POWER((ws[[#This Row],[flow]]-ws[[#This Row],[count]]),2)</f>
        <v>11166810.077911381</v>
      </c>
      <c r="O225" s="43">
        <f>VLOOKUP(ws[[#This Row],[hwycov_id]],count[],6,FALSE)</f>
        <v>0</v>
      </c>
      <c r="P225" s="43">
        <v>570</v>
      </c>
      <c r="Q225" s="43" t="str">
        <f>'[2]All Counts'!P225</f>
        <v>PeMS2016</v>
      </c>
      <c r="S225" s="94">
        <v>10991</v>
      </c>
      <c r="T225" s="17"/>
      <c r="U225" s="17"/>
      <c r="V225" s="17"/>
      <c r="W225" s="17"/>
      <c r="X225" s="17">
        <v>15627</v>
      </c>
      <c r="Y225" s="17">
        <v>13016.474609000001</v>
      </c>
      <c r="Z225" s="17"/>
      <c r="AA225" s="17"/>
      <c r="AB225" s="17">
        <v>15627</v>
      </c>
      <c r="AC225" s="17">
        <v>13016.474609000001</v>
      </c>
      <c r="AD225"/>
      <c r="AE225"/>
    </row>
    <row r="226" spans="1:31" x14ac:dyDescent="0.25">
      <c r="A226" s="136">
        <f>'[2]All Counts'!C226</f>
        <v>15</v>
      </c>
      <c r="B226" s="136">
        <f>'[2]All Counts'!D226</f>
        <v>3</v>
      </c>
      <c r="C226" s="136">
        <f>'[2]All Counts'!E226</f>
        <v>29097</v>
      </c>
      <c r="D226" s="136">
        <f>'[2]All Counts'!F226</f>
        <v>1</v>
      </c>
      <c r="E226" s="136">
        <f>'[2]All Counts'!G226</f>
        <v>1</v>
      </c>
      <c r="F226" s="136" t="str">
        <f>'[2]All Counts'!H226</f>
        <v>I-8 WB</v>
      </c>
      <c r="G226" s="136">
        <f>'[2]All Counts'!I226</f>
        <v>79</v>
      </c>
      <c r="H226" s="136">
        <f>'[2]All Counts'!J226</f>
        <v>0</v>
      </c>
      <c r="I226" s="136" t="str">
        <f>'[2]All Counts'!K226</f>
        <v>SR-163 SB</v>
      </c>
      <c r="J226" s="136" t="str">
        <f>'[2]All Counts'!L226</f>
        <v>SR-163 SB</v>
      </c>
      <c r="K226" s="136">
        <f>'[2]All Counts'!O226</f>
        <v>18221</v>
      </c>
      <c r="L226" s="57">
        <f>VLOOKUP(ws[[#This Row],[hwycov_id]],readme!D:G,4,FALSE)</f>
        <v>12230.083008</v>
      </c>
      <c r="M226" s="88">
        <f>ws[[#This Row],[flow]]/ws[[#This Row],[count]]-1</f>
        <v>-0.32879188804127113</v>
      </c>
      <c r="N226" s="89">
        <f>POWER((ws[[#This Row],[flow]]-ws[[#This Row],[count]]),2)</f>
        <v>35891086.405034333</v>
      </c>
      <c r="O226" s="43">
        <f>VLOOKUP(ws[[#This Row],[hwycov_id]],count[],6,FALSE)</f>
        <v>0</v>
      </c>
      <c r="P226" s="43">
        <v>218</v>
      </c>
      <c r="Q226" s="43" t="str">
        <f>'[2]All Counts'!P226</f>
        <v>PeMS2016</v>
      </c>
      <c r="S226" s="94">
        <v>10994</v>
      </c>
      <c r="T226" s="17"/>
      <c r="U226" s="17"/>
      <c r="V226" s="17"/>
      <c r="W226" s="17"/>
      <c r="X226" s="17">
        <v>17634</v>
      </c>
      <c r="Y226" s="17">
        <v>15905.451171999999</v>
      </c>
      <c r="Z226" s="17"/>
      <c r="AA226" s="17"/>
      <c r="AB226" s="17">
        <v>17634</v>
      </c>
      <c r="AC226" s="17">
        <v>15905.451171999999</v>
      </c>
      <c r="AD226"/>
      <c r="AE226"/>
    </row>
    <row r="227" spans="1:31" x14ac:dyDescent="0.25">
      <c r="A227" s="136">
        <f>'[2]All Counts'!C227</f>
        <v>15</v>
      </c>
      <c r="B227" s="136">
        <f>'[2]All Counts'!D227</f>
        <v>3</v>
      </c>
      <c r="C227" s="136">
        <f>'[2]All Counts'!E227</f>
        <v>29095</v>
      </c>
      <c r="D227" s="136">
        <f>'[2]All Counts'!F227</f>
        <v>1</v>
      </c>
      <c r="E227" s="136">
        <f>'[2]All Counts'!G227</f>
        <v>1</v>
      </c>
      <c r="F227" s="136" t="str">
        <f>'[2]All Counts'!H227</f>
        <v>I-8 WB</v>
      </c>
      <c r="G227" s="136">
        <f>'[2]All Counts'!I227</f>
        <v>81</v>
      </c>
      <c r="H227" s="136">
        <f>'[2]All Counts'!J227</f>
        <v>0</v>
      </c>
      <c r="I227" s="136" t="str">
        <f>'[2]All Counts'!K227</f>
        <v>SR-163 SB</v>
      </c>
      <c r="J227" s="136">
        <f>'[2]All Counts'!L227</f>
        <v>0</v>
      </c>
      <c r="K227" s="136">
        <f>'[2]All Counts'!O227</f>
        <v>21943</v>
      </c>
      <c r="L227" s="57">
        <f>VLOOKUP(ws[[#This Row],[hwycov_id]],readme!D:G,4,FALSE)</f>
        <v>21921.298827999999</v>
      </c>
      <c r="M227" s="88">
        <f>ws[[#This Row],[flow]]/ws[[#This Row],[count]]-1</f>
        <v>-9.8897926445795648E-4</v>
      </c>
      <c r="N227" s="89">
        <f>POWER((ws[[#This Row],[flow]]-ws[[#This Row],[count]]),2)</f>
        <v>470.9408661736253</v>
      </c>
      <c r="O227" s="43">
        <f>VLOOKUP(ws[[#This Row],[hwycov_id]],count[],6,FALSE)</f>
        <v>0</v>
      </c>
      <c r="P227" s="43">
        <v>577</v>
      </c>
      <c r="Q227" s="43" t="str">
        <f>'[2]All Counts'!P227</f>
        <v>PeMS2016</v>
      </c>
      <c r="S227" s="94">
        <v>10996</v>
      </c>
      <c r="T227" s="17"/>
      <c r="U227" s="17"/>
      <c r="V227" s="17"/>
      <c r="W227" s="17"/>
      <c r="X227" s="17"/>
      <c r="Y227" s="17"/>
      <c r="Z227" s="17">
        <v>32396</v>
      </c>
      <c r="AA227" s="17">
        <v>35032.519530999998</v>
      </c>
      <c r="AB227" s="17">
        <v>32396</v>
      </c>
      <c r="AC227" s="17">
        <v>35032.519530999998</v>
      </c>
      <c r="AD227"/>
      <c r="AE227"/>
    </row>
    <row r="228" spans="1:31" x14ac:dyDescent="0.25">
      <c r="A228" s="136">
        <f>'[2]All Counts'!C228</f>
        <v>15</v>
      </c>
      <c r="B228" s="136">
        <f>'[2]All Counts'!D228</f>
        <v>3</v>
      </c>
      <c r="C228" s="136">
        <f>'[2]All Counts'!E228</f>
        <v>29090</v>
      </c>
      <c r="D228" s="136">
        <f>'[2]All Counts'!F228</f>
        <v>1</v>
      </c>
      <c r="E228" s="136">
        <f>'[2]All Counts'!G228</f>
        <v>1</v>
      </c>
      <c r="F228" s="136" t="str">
        <f>'[2]All Counts'!H228</f>
        <v>I-8 WB</v>
      </c>
      <c r="G228" s="136">
        <f>'[2]All Counts'!I228</f>
        <v>82</v>
      </c>
      <c r="H228" s="136">
        <f>'[2]All Counts'!J228</f>
        <v>0</v>
      </c>
      <c r="I228" s="136" t="str">
        <f>'[2]All Counts'!K228</f>
        <v>FASHION VALLEY</v>
      </c>
      <c r="J228" s="136" t="str">
        <f>'[2]All Counts'!L228</f>
        <v>HOTEL CIRCLE NORTH</v>
      </c>
      <c r="K228" s="136">
        <f>'[2]All Counts'!O228</f>
        <v>22801</v>
      </c>
      <c r="L228" s="57">
        <f>VLOOKUP(ws[[#This Row],[hwycov_id]],readme!D:G,4,FALSE)</f>
        <v>23623.019531000002</v>
      </c>
      <c r="M228" s="88">
        <f>ws[[#This Row],[flow]]/ws[[#This Row],[count]]-1</f>
        <v>3.6051906977764281E-2</v>
      </c>
      <c r="N228" s="89">
        <f>POWER((ws[[#This Row],[flow]]-ws[[#This Row],[count]]),2)</f>
        <v>675716.10934546276</v>
      </c>
      <c r="O228" s="43">
        <f>VLOOKUP(ws[[#This Row],[hwycov_id]],count[],6,FALSE)</f>
        <v>0</v>
      </c>
      <c r="P228" s="43">
        <v>583</v>
      </c>
      <c r="Q228" s="43" t="str">
        <f>'[2]All Counts'!P228</f>
        <v>PeMS2016</v>
      </c>
      <c r="S228" s="94">
        <v>10998</v>
      </c>
      <c r="T228" s="17"/>
      <c r="U228" s="17"/>
      <c r="V228" s="17"/>
      <c r="W228" s="17"/>
      <c r="X228" s="17">
        <v>21986</v>
      </c>
      <c r="Y228" s="17">
        <v>27040.994140999999</v>
      </c>
      <c r="Z228" s="17"/>
      <c r="AA228" s="17"/>
      <c r="AB228" s="17">
        <v>21986</v>
      </c>
      <c r="AC228" s="17">
        <v>27040.994140999999</v>
      </c>
      <c r="AD228"/>
      <c r="AE228"/>
    </row>
    <row r="229" spans="1:31" x14ac:dyDescent="0.25">
      <c r="A229" s="136">
        <f>'[2]All Counts'!C229</f>
        <v>15</v>
      </c>
      <c r="B229" s="136">
        <f>'[2]All Counts'!D229</f>
        <v>3</v>
      </c>
      <c r="C229" s="136">
        <f>'[2]All Counts'!E229</f>
        <v>29086</v>
      </c>
      <c r="D229" s="136">
        <f>'[2]All Counts'!F229</f>
        <v>1</v>
      </c>
      <c r="E229" s="136">
        <f>'[2]All Counts'!G229</f>
        <v>1</v>
      </c>
      <c r="F229" s="136" t="str">
        <f>'[2]All Counts'!H229</f>
        <v>I-8 WB</v>
      </c>
      <c r="G229" s="136">
        <f>'[2]All Counts'!I229</f>
        <v>85</v>
      </c>
      <c r="H229" s="136">
        <f>'[2]All Counts'!J229</f>
        <v>0</v>
      </c>
      <c r="I229" s="136" t="str">
        <f>'[2]All Counts'!K229</f>
        <v>HOTEL CIRCLE NORTH</v>
      </c>
      <c r="J229" s="136" t="str">
        <f>'[2]All Counts'!L229</f>
        <v>HOTEL CIRCLE NORTH</v>
      </c>
      <c r="K229" s="136">
        <f>'[2]All Counts'!O229</f>
        <v>22199</v>
      </c>
      <c r="L229" s="57">
        <f>VLOOKUP(ws[[#This Row],[hwycov_id]],readme!D:G,4,FALSE)</f>
        <v>21304.689452999999</v>
      </c>
      <c r="M229" s="88">
        <f>ws[[#This Row],[flow]]/ws[[#This Row],[count]]-1</f>
        <v>-4.0286073561872193E-2</v>
      </c>
      <c r="N229" s="89">
        <f>POWER((ws[[#This Row],[flow]]-ws[[#This Row],[count]]),2)</f>
        <v>799791.35447544092</v>
      </c>
      <c r="O229" s="43">
        <f>VLOOKUP(ws[[#This Row],[hwycov_id]],count[],6,FALSE)</f>
        <v>0</v>
      </c>
      <c r="P229" s="43">
        <v>584</v>
      </c>
      <c r="Q229" s="43" t="str">
        <f>'[2]All Counts'!P229</f>
        <v>PeMS2016</v>
      </c>
      <c r="S229" s="94">
        <v>11035</v>
      </c>
      <c r="T229" s="17"/>
      <c r="U229" s="17"/>
      <c r="V229" s="17"/>
      <c r="W229" s="17"/>
      <c r="X229" s="17"/>
      <c r="Y229" s="17"/>
      <c r="Z229" s="17">
        <v>28522</v>
      </c>
      <c r="AA229" s="17">
        <v>32062.892577999999</v>
      </c>
      <c r="AB229" s="17">
        <v>28522</v>
      </c>
      <c r="AC229" s="17">
        <v>32062.892577999999</v>
      </c>
      <c r="AD229"/>
      <c r="AE229"/>
    </row>
    <row r="230" spans="1:31" x14ac:dyDescent="0.25">
      <c r="A230" s="136">
        <f>'[2]All Counts'!C230</f>
        <v>15</v>
      </c>
      <c r="B230" s="136">
        <f>'[2]All Counts'!D230</f>
        <v>3</v>
      </c>
      <c r="C230" s="136">
        <f>'[2]All Counts'!E230</f>
        <v>29082</v>
      </c>
      <c r="D230" s="136">
        <f>'[2]All Counts'!F230</f>
        <v>1</v>
      </c>
      <c r="E230" s="136">
        <f>'[2]All Counts'!G230</f>
        <v>1</v>
      </c>
      <c r="F230" s="136" t="str">
        <f>'[2]All Counts'!H230</f>
        <v>I-8 WB</v>
      </c>
      <c r="G230" s="136">
        <f>'[2]All Counts'!I230</f>
        <v>86</v>
      </c>
      <c r="H230" s="136">
        <f>'[2]All Counts'!J230</f>
        <v>0</v>
      </c>
      <c r="I230" s="136" t="str">
        <f>'[2]All Counts'!K230</f>
        <v>TAYLOR</v>
      </c>
      <c r="J230" s="136" t="str">
        <f>'[2]All Counts'!L230</f>
        <v>MORENA</v>
      </c>
      <c r="K230" s="136">
        <f>'[2]All Counts'!O230</f>
        <v>22199</v>
      </c>
      <c r="L230" s="57">
        <f>VLOOKUP(ws[[#This Row],[hwycov_id]],readme!D:G,4,FALSE)</f>
        <v>21972.509765999999</v>
      </c>
      <c r="M230" s="88">
        <f>ws[[#This Row],[flow]]/ws[[#This Row],[count]]-1</f>
        <v>-1.0202722374881734E-2</v>
      </c>
      <c r="N230" s="89">
        <f>POWER((ws[[#This Row],[flow]]-ws[[#This Row],[count]]),2)</f>
        <v>51297.826097375109</v>
      </c>
      <c r="O230" s="43">
        <f>VLOOKUP(ws[[#This Row],[hwycov_id]],count[],6,FALSE)</f>
        <v>0</v>
      </c>
      <c r="P230" s="43">
        <v>200</v>
      </c>
      <c r="Q230" s="43" t="str">
        <f>'[2]All Counts'!P230</f>
        <v>PeMS2016</v>
      </c>
      <c r="S230" s="94">
        <v>11054</v>
      </c>
      <c r="T230" s="17"/>
      <c r="U230" s="17"/>
      <c r="V230" s="17"/>
      <c r="W230" s="17"/>
      <c r="X230" s="17"/>
      <c r="Y230" s="17"/>
      <c r="Z230" s="17">
        <v>24705</v>
      </c>
      <c r="AA230" s="17">
        <v>23383.609375</v>
      </c>
      <c r="AB230" s="17">
        <v>24705</v>
      </c>
      <c r="AC230" s="17">
        <v>23383.609375</v>
      </c>
      <c r="AD230"/>
      <c r="AE230"/>
    </row>
    <row r="231" spans="1:31" x14ac:dyDescent="0.25">
      <c r="A231" s="136">
        <f>'[2]All Counts'!C231</f>
        <v>15</v>
      </c>
      <c r="B231" s="136">
        <f>'[2]All Counts'!D231</f>
        <v>3</v>
      </c>
      <c r="C231" s="136">
        <f>'[2]All Counts'!E231</f>
        <v>27600</v>
      </c>
      <c r="D231" s="136">
        <f>'[2]All Counts'!F231</f>
        <v>1</v>
      </c>
      <c r="E231" s="136">
        <f>'[2]All Counts'!G231</f>
        <v>1</v>
      </c>
      <c r="F231" s="136" t="str">
        <f>'[2]All Counts'!H231</f>
        <v>I-8 WB</v>
      </c>
      <c r="G231" s="136">
        <f>'[2]All Counts'!I231</f>
        <v>87</v>
      </c>
      <c r="H231" s="136">
        <f>'[2]All Counts'!J231</f>
        <v>0</v>
      </c>
      <c r="I231" s="136" t="str">
        <f>'[2]All Counts'!K231</f>
        <v>MORENA</v>
      </c>
      <c r="J231" s="136" t="str">
        <f>'[2]All Counts'!L231</f>
        <v>I-5 SB</v>
      </c>
      <c r="K231" s="136">
        <f>'[2]All Counts'!O231</f>
        <v>20372</v>
      </c>
      <c r="L231" s="57">
        <f>VLOOKUP(ws[[#This Row],[hwycov_id]],readme!D:G,4,FALSE)</f>
        <v>20587.421875</v>
      </c>
      <c r="M231" s="88">
        <f>ws[[#This Row],[flow]]/ws[[#This Row],[count]]-1</f>
        <v>1.0574409729039891E-2</v>
      </c>
      <c r="N231" s="89">
        <f>POWER((ws[[#This Row],[flow]]-ws[[#This Row],[count]]),2)</f>
        <v>46406.584228515625</v>
      </c>
      <c r="O231" s="43">
        <f>VLOOKUP(ws[[#This Row],[hwycov_id]],count[],6,FALSE)</f>
        <v>0</v>
      </c>
      <c r="P231" s="43">
        <v>678</v>
      </c>
      <c r="Q231" s="43" t="str">
        <f>'[2]All Counts'!P231</f>
        <v>PeMS2016</v>
      </c>
      <c r="S231" s="94">
        <v>11055</v>
      </c>
      <c r="T231" s="17"/>
      <c r="U231" s="17"/>
      <c r="V231" s="17"/>
      <c r="W231" s="17"/>
      <c r="X231" s="17"/>
      <c r="Y231" s="17"/>
      <c r="Z231" s="17">
        <v>21546</v>
      </c>
      <c r="AA231" s="17">
        <v>21720.689452999999</v>
      </c>
      <c r="AB231" s="17">
        <v>21546</v>
      </c>
      <c r="AC231" s="17">
        <v>21720.689452999999</v>
      </c>
      <c r="AD231"/>
      <c r="AE231"/>
    </row>
    <row r="232" spans="1:31" x14ac:dyDescent="0.25">
      <c r="A232" s="136">
        <f>'[2]All Counts'!C232</f>
        <v>15</v>
      </c>
      <c r="B232" s="136">
        <f>'[2]All Counts'!D232</f>
        <v>3</v>
      </c>
      <c r="C232" s="136">
        <f>'[2]All Counts'!E232</f>
        <v>28085</v>
      </c>
      <c r="D232" s="136">
        <f>'[2]All Counts'!F232</f>
        <v>1</v>
      </c>
      <c r="E232" s="136">
        <f>'[2]All Counts'!G232</f>
        <v>1</v>
      </c>
      <c r="F232" s="136" t="str">
        <f>'[2]All Counts'!H232</f>
        <v>I-8 WB</v>
      </c>
      <c r="G232" s="136">
        <f>'[2]All Counts'!I232</f>
        <v>92</v>
      </c>
      <c r="H232" s="136">
        <f>'[2]All Counts'!J232</f>
        <v>0</v>
      </c>
      <c r="I232" s="136" t="str">
        <f>'[2]All Counts'!K232</f>
        <v>I-5 NB</v>
      </c>
      <c r="J232" s="136" t="str">
        <f>'[2]All Counts'!L232</f>
        <v>MIDWAY</v>
      </c>
      <c r="K232" s="136">
        <f>'[2]All Counts'!O232</f>
        <v>13497</v>
      </c>
      <c r="L232" s="57">
        <f>VLOOKUP(ws[[#This Row],[hwycov_id]],readme!D:G,4,FALSE)</f>
        <v>12899.105469</v>
      </c>
      <c r="M232" s="88">
        <f>ws[[#This Row],[flow]]/ws[[#This Row],[count]]-1</f>
        <v>-4.4298327850633479E-2</v>
      </c>
      <c r="N232" s="89">
        <f>POWER((ws[[#This Row],[flow]]-ws[[#This Row],[count]]),2)</f>
        <v>357477.87019970984</v>
      </c>
      <c r="O232" s="43">
        <f>VLOOKUP(ws[[#This Row],[hwycov_id]],count[],6,FALSE)</f>
        <v>0</v>
      </c>
      <c r="P232" s="43">
        <v>100</v>
      </c>
      <c r="Q232" s="43" t="str">
        <f>'[2]All Counts'!P232</f>
        <v>PeMS2016</v>
      </c>
      <c r="S232" s="94">
        <v>11056</v>
      </c>
      <c r="T232" s="17"/>
      <c r="U232" s="17"/>
      <c r="V232" s="17"/>
      <c r="W232" s="17"/>
      <c r="X232" s="17">
        <v>19260</v>
      </c>
      <c r="Y232" s="17">
        <v>19057.802734000001</v>
      </c>
      <c r="Z232" s="17"/>
      <c r="AA232" s="17"/>
      <c r="AB232" s="17">
        <v>19260</v>
      </c>
      <c r="AC232" s="17">
        <v>19057.802734000001</v>
      </c>
      <c r="AD232"/>
      <c r="AE232"/>
    </row>
    <row r="233" spans="1:31" x14ac:dyDescent="0.25">
      <c r="A233" s="136">
        <f>'[2]All Counts'!C233</f>
        <v>34</v>
      </c>
      <c r="B233" s="136">
        <f>'[2]All Counts'!D233</f>
        <v>1</v>
      </c>
      <c r="C233" s="136">
        <f>'[2]All Counts'!E233</f>
        <v>1042</v>
      </c>
      <c r="D233" s="136">
        <f>'[2]All Counts'!F233</f>
        <v>1</v>
      </c>
      <c r="E233" s="136">
        <f>'[2]All Counts'!G233</f>
        <v>1</v>
      </c>
      <c r="F233" s="136" t="str">
        <f>'[2]All Counts'!H233</f>
        <v>I-5 NB AUX LOCAL ACC</v>
      </c>
      <c r="G233" s="136">
        <f>'[2]All Counts'!I233</f>
        <v>1</v>
      </c>
      <c r="H233" s="136">
        <f>'[2]All Counts'!J233</f>
        <v>0</v>
      </c>
      <c r="I233" s="136">
        <f>'[2]All Counts'!K233</f>
        <v>0</v>
      </c>
      <c r="J233" s="136">
        <f>'[2]All Counts'!L233</f>
        <v>0</v>
      </c>
      <c r="K233" s="136">
        <f>'[2]All Counts'!O233</f>
        <v>5367</v>
      </c>
      <c r="L233" s="57">
        <f>VLOOKUP(ws[[#This Row],[hwycov_id]],readme!D:G,4,FALSE)</f>
        <v>8373.4824219999991</v>
      </c>
      <c r="M233" s="88">
        <f>ws[[#This Row],[flow]]/ws[[#This Row],[count]]-1</f>
        <v>0.56017932215390331</v>
      </c>
      <c r="N233" s="89">
        <f>POWER((ws[[#This Row],[flow]]-ws[[#This Row],[count]]),2)</f>
        <v>9038936.55379498</v>
      </c>
      <c r="O233" s="43">
        <f>VLOOKUP(ws[[#This Row],[hwycov_id]],count[],6,FALSE)</f>
        <v>0</v>
      </c>
      <c r="P233" s="43">
        <v>99</v>
      </c>
      <c r="Q233" s="43" t="str">
        <f>'[2]All Counts'!P233</f>
        <v>PeMS2016</v>
      </c>
      <c r="S233" s="94">
        <v>11095</v>
      </c>
      <c r="T233" s="17"/>
      <c r="U233" s="17"/>
      <c r="V233" s="17"/>
      <c r="W233" s="17"/>
      <c r="X233" s="17"/>
      <c r="Y233" s="17"/>
      <c r="Z233" s="17">
        <v>11876</v>
      </c>
      <c r="AA233" s="17">
        <v>14191.337890999999</v>
      </c>
      <c r="AB233" s="17">
        <v>11876</v>
      </c>
      <c r="AC233" s="17">
        <v>14191.337890999999</v>
      </c>
      <c r="AD233"/>
      <c r="AE233"/>
    </row>
    <row r="234" spans="1:31" x14ac:dyDescent="0.25">
      <c r="A234" s="136">
        <f>'[2]All Counts'!C234</f>
        <v>1</v>
      </c>
      <c r="B234" s="136">
        <f>'[2]All Counts'!D234</f>
        <v>1</v>
      </c>
      <c r="C234" s="136">
        <f>'[2]All Counts'!E234</f>
        <v>9919</v>
      </c>
      <c r="D234" s="136">
        <f>'[2]All Counts'!F234</f>
        <v>1</v>
      </c>
      <c r="E234" s="136">
        <f>'[2]All Counts'!G234</f>
        <v>1</v>
      </c>
      <c r="F234" s="136" t="str">
        <f>'[2]All Counts'!H234</f>
        <v>I-5 NB</v>
      </c>
      <c r="G234" s="136">
        <f>'[2]All Counts'!I234</f>
        <v>1</v>
      </c>
      <c r="H234" s="136">
        <f>'[2]All Counts'!J234</f>
        <v>0</v>
      </c>
      <c r="I234" s="136" t="str">
        <f>'[2]All Counts'!K234</f>
        <v>MEXICAN BORDER</v>
      </c>
      <c r="J234" s="136" t="str">
        <f>'[2]All Counts'!L234</f>
        <v>EAST SAN YSIDRO</v>
      </c>
      <c r="K234" s="136">
        <f>'[2]All Counts'!O234</f>
        <v>6959</v>
      </c>
      <c r="L234" s="57">
        <f>VLOOKUP(ws[[#This Row],[hwycov_id]],readme!D:G,4,FALSE)</f>
        <v>3575.4819339999999</v>
      </c>
      <c r="M234" s="88">
        <f>ws[[#This Row],[flow]]/ws[[#This Row],[count]]-1</f>
        <v>-0.4862075105618624</v>
      </c>
      <c r="N234" s="89">
        <f>POWER((ws[[#This Row],[flow]]-ws[[#This Row],[count]]),2)</f>
        <v>11448194.502948381</v>
      </c>
      <c r="O234" s="43">
        <f>VLOOKUP(ws[[#This Row],[hwycov_id]],count[],6,FALSE)</f>
        <v>0</v>
      </c>
      <c r="P234" s="43">
        <v>679</v>
      </c>
      <c r="Q234" s="43" t="str">
        <f>'[2]All Counts'!P234</f>
        <v>PeMS2016</v>
      </c>
      <c r="S234" s="94">
        <v>11100</v>
      </c>
      <c r="T234" s="17"/>
      <c r="U234" s="17"/>
      <c r="V234" s="17"/>
      <c r="W234" s="17"/>
      <c r="X234" s="17">
        <v>6954</v>
      </c>
      <c r="Y234" s="17">
        <v>7475.0463870000003</v>
      </c>
      <c r="Z234" s="17"/>
      <c r="AA234" s="17"/>
      <c r="AB234" s="17">
        <v>6954</v>
      </c>
      <c r="AC234" s="17">
        <v>7475.0463870000003</v>
      </c>
      <c r="AD234"/>
      <c r="AE234"/>
    </row>
    <row r="235" spans="1:31" x14ac:dyDescent="0.25">
      <c r="A235" s="136">
        <f>'[2]All Counts'!C235</f>
        <v>1</v>
      </c>
      <c r="B235" s="136">
        <f>'[2]All Counts'!D235</f>
        <v>1</v>
      </c>
      <c r="C235" s="136">
        <f>'[2]All Counts'!E235</f>
        <v>27694</v>
      </c>
      <c r="D235" s="136">
        <f>'[2]All Counts'!F235</f>
        <v>1</v>
      </c>
      <c r="E235" s="136">
        <f>'[2]All Counts'!G235</f>
        <v>1</v>
      </c>
      <c r="F235" s="136" t="str">
        <f>'[2]All Counts'!H235</f>
        <v>I-5 NB</v>
      </c>
      <c r="G235" s="136">
        <f>'[2]All Counts'!I235</f>
        <v>4</v>
      </c>
      <c r="H235" s="136">
        <f>'[2]All Counts'!J235</f>
        <v>0</v>
      </c>
      <c r="I235" s="136" t="str">
        <f>'[2]All Counts'!K235</f>
        <v>I-805 NB</v>
      </c>
      <c r="J235" s="136" t="str">
        <f>'[2]All Counts'!L235</f>
        <v>VIA DE SAN YSIDRO</v>
      </c>
      <c r="K235" s="136">
        <f>'[2]All Counts'!O235</f>
        <v>3216</v>
      </c>
      <c r="L235" s="57">
        <f>VLOOKUP(ws[[#This Row],[hwycov_id]],readme!D:G,4,FALSE)</f>
        <v>1747.1206050000001</v>
      </c>
      <c r="M235" s="88">
        <f>ws[[#This Row],[flow]]/ws[[#This Row],[count]]-1</f>
        <v>-0.45674110541044777</v>
      </c>
      <c r="N235" s="89">
        <f>POWER((ws[[#This Row],[flow]]-ws[[#This Row],[count]]),2)</f>
        <v>2157606.6770555656</v>
      </c>
      <c r="O235" s="43">
        <f>VLOOKUP(ws[[#This Row],[hwycov_id]],count[],6,FALSE)</f>
        <v>0</v>
      </c>
      <c r="P235" s="43">
        <v>98</v>
      </c>
      <c r="Q235" s="43" t="str">
        <f>'[2]All Counts'!P235</f>
        <v>Caltran</v>
      </c>
      <c r="S235" s="94">
        <v>11102</v>
      </c>
      <c r="T235" s="17"/>
      <c r="U235" s="17"/>
      <c r="V235" s="17"/>
      <c r="W235" s="17"/>
      <c r="X235" s="17">
        <v>14191</v>
      </c>
      <c r="Y235" s="17">
        <v>17090.572265999999</v>
      </c>
      <c r="Z235" s="17"/>
      <c r="AA235" s="17"/>
      <c r="AB235" s="17">
        <v>14191</v>
      </c>
      <c r="AC235" s="17">
        <v>17090.572265999999</v>
      </c>
      <c r="AD235"/>
      <c r="AE235"/>
    </row>
    <row r="236" spans="1:31" x14ac:dyDescent="0.25">
      <c r="A236" s="136">
        <f>'[2]All Counts'!C236</f>
        <v>1</v>
      </c>
      <c r="B236" s="136">
        <f>'[2]All Counts'!D236</f>
        <v>1</v>
      </c>
      <c r="C236" s="136">
        <f>'[2]All Counts'!E236</f>
        <v>27154</v>
      </c>
      <c r="D236" s="136">
        <f>'[2]All Counts'!F236</f>
        <v>1</v>
      </c>
      <c r="E236" s="136">
        <f>'[2]All Counts'!G236</f>
        <v>1</v>
      </c>
      <c r="F236" s="136" t="str">
        <f>'[2]All Counts'!H236</f>
        <v>I-5 NB</v>
      </c>
      <c r="G236" s="136">
        <f>'[2]All Counts'!I236</f>
        <v>5</v>
      </c>
      <c r="H236" s="136">
        <f>'[2]All Counts'!J236</f>
        <v>0</v>
      </c>
      <c r="I236" s="136" t="str">
        <f>'[2]All Counts'!K236</f>
        <v>VIA DE SAN YSIDRO</v>
      </c>
      <c r="J236" s="136" t="str">
        <f>'[2]All Counts'!L236</f>
        <v>VIA DE SAN YSIDRO</v>
      </c>
      <c r="K236" s="136">
        <f>'[2]All Counts'!O236</f>
        <v>3094</v>
      </c>
      <c r="L236" s="57">
        <f>VLOOKUP(ws[[#This Row],[hwycov_id]],readme!D:G,4,FALSE)</f>
        <v>1684.1098629999999</v>
      </c>
      <c r="M236" s="88">
        <f>ws[[#This Row],[flow]]/ws[[#This Row],[count]]-1</f>
        <v>-0.45568524143503564</v>
      </c>
      <c r="N236" s="89">
        <f>POWER((ws[[#This Row],[flow]]-ws[[#This Row],[count]]),2)</f>
        <v>1987790.1984098791</v>
      </c>
      <c r="O236" s="43">
        <f>VLOOKUP(ws[[#This Row],[hwycov_id]],count[],6,FALSE)</f>
        <v>0</v>
      </c>
      <c r="P236" s="43">
        <v>90</v>
      </c>
      <c r="Q236" s="43" t="str">
        <f>'[2]All Counts'!P236</f>
        <v>PeMS2016</v>
      </c>
      <c r="S236" s="94">
        <v>11103</v>
      </c>
      <c r="T236" s="17"/>
      <c r="U236" s="17"/>
      <c r="V236" s="17"/>
      <c r="W236" s="17"/>
      <c r="X236" s="17"/>
      <c r="Y236" s="17"/>
      <c r="Z236" s="17">
        <v>15241</v>
      </c>
      <c r="AA236" s="17">
        <v>19357.279297000001</v>
      </c>
      <c r="AB236" s="17">
        <v>15241</v>
      </c>
      <c r="AC236" s="17">
        <v>19357.279297000001</v>
      </c>
      <c r="AD236"/>
      <c r="AE236"/>
    </row>
    <row r="237" spans="1:31" x14ac:dyDescent="0.25">
      <c r="A237" s="136">
        <f>'[2]All Counts'!C237</f>
        <v>1</v>
      </c>
      <c r="B237" s="136">
        <f>'[2]All Counts'!D237</f>
        <v>1</v>
      </c>
      <c r="C237" s="136">
        <f>'[2]All Counts'!E237</f>
        <v>27884</v>
      </c>
      <c r="D237" s="136">
        <f>'[2]All Counts'!F237</f>
        <v>1</v>
      </c>
      <c r="E237" s="136">
        <f>'[2]All Counts'!G237</f>
        <v>1</v>
      </c>
      <c r="F237" s="136" t="str">
        <f>'[2]All Counts'!H237</f>
        <v>I-5 NB</v>
      </c>
      <c r="G237" s="136">
        <f>'[2]All Counts'!I237</f>
        <v>6</v>
      </c>
      <c r="H237" s="136">
        <f>'[2]All Counts'!J237</f>
        <v>0</v>
      </c>
      <c r="I237" s="136" t="str">
        <f>'[2]All Counts'!K237</f>
        <v>VIA DE SAN YSIDRO</v>
      </c>
      <c r="J237" s="136" t="str">
        <f>'[2]All Counts'!L237</f>
        <v>SAN YSIDRO</v>
      </c>
      <c r="K237" s="136">
        <f>'[2]All Counts'!O237</f>
        <v>4940</v>
      </c>
      <c r="L237" s="57">
        <f>VLOOKUP(ws[[#This Row],[hwycov_id]],readme!D:G,4,FALSE)</f>
        <v>3501.806885</v>
      </c>
      <c r="M237" s="88">
        <f>ws[[#This Row],[flow]]/ws[[#This Row],[count]]-1</f>
        <v>-0.29113220951417007</v>
      </c>
      <c r="N237" s="89">
        <f>POWER((ws[[#This Row],[flow]]-ws[[#This Row],[count]]),2)</f>
        <v>2068399.4360334033</v>
      </c>
      <c r="O237" s="43">
        <f>VLOOKUP(ws[[#This Row],[hwycov_id]],count[],6,FALSE)</f>
        <v>0</v>
      </c>
      <c r="P237" s="43">
        <v>687</v>
      </c>
      <c r="Q237" s="43" t="str">
        <f>'[2]All Counts'!P237</f>
        <v>PeMS2016</v>
      </c>
      <c r="S237" s="94">
        <v>11106</v>
      </c>
      <c r="T237" s="17"/>
      <c r="U237" s="17"/>
      <c r="V237" s="17"/>
      <c r="W237" s="17"/>
      <c r="X237" s="17">
        <v>11783</v>
      </c>
      <c r="Y237" s="17">
        <v>13876.410156</v>
      </c>
      <c r="Z237" s="17"/>
      <c r="AA237" s="17"/>
      <c r="AB237" s="17">
        <v>11783</v>
      </c>
      <c r="AC237" s="17">
        <v>13876.410156</v>
      </c>
      <c r="AD237"/>
      <c r="AE237"/>
    </row>
    <row r="238" spans="1:31" x14ac:dyDescent="0.25">
      <c r="A238" s="136">
        <f>'[2]All Counts'!C238</f>
        <v>1</v>
      </c>
      <c r="B238" s="136">
        <f>'[2]All Counts'!D238</f>
        <v>1</v>
      </c>
      <c r="C238" s="136">
        <f>'[2]All Counts'!E238</f>
        <v>27883</v>
      </c>
      <c r="D238" s="136">
        <f>'[2]All Counts'!F238</f>
        <v>1</v>
      </c>
      <c r="E238" s="136">
        <f>'[2]All Counts'!G238</f>
        <v>1</v>
      </c>
      <c r="F238" s="136" t="str">
        <f>'[2]All Counts'!H238</f>
        <v>I-5 NB</v>
      </c>
      <c r="G238" s="136">
        <f>'[2]All Counts'!I238</f>
        <v>7</v>
      </c>
      <c r="H238" s="136">
        <f>'[2]All Counts'!J238</f>
        <v>0</v>
      </c>
      <c r="I238" s="136" t="str">
        <f>'[2]All Counts'!K238</f>
        <v>SAN YSIDRO</v>
      </c>
      <c r="J238" s="136" t="str">
        <f>'[2]All Counts'!L238</f>
        <v>SAN YSIDRO</v>
      </c>
      <c r="K238" s="136">
        <f>'[2]All Counts'!O238</f>
        <v>4161</v>
      </c>
      <c r="L238" s="57">
        <f>VLOOKUP(ws[[#This Row],[hwycov_id]],readme!D:G,4,FALSE)</f>
        <v>3249.4638669999999</v>
      </c>
      <c r="M238" s="88">
        <f>ws[[#This Row],[flow]]/ws[[#This Row],[count]]-1</f>
        <v>-0.21906660249939924</v>
      </c>
      <c r="N238" s="89">
        <f>POWER((ws[[#This Row],[flow]]-ws[[#This Row],[count]]),2)</f>
        <v>830898.12176459376</v>
      </c>
      <c r="O238" s="43">
        <f>VLOOKUP(ws[[#This Row],[hwycov_id]],count[],6,FALSE)</f>
        <v>0</v>
      </c>
      <c r="P238" s="43">
        <v>201</v>
      </c>
      <c r="Q238" s="43" t="str">
        <f>'[2]All Counts'!P238</f>
        <v>PeMS2016</v>
      </c>
      <c r="S238" s="94">
        <v>11123</v>
      </c>
      <c r="T238" s="17"/>
      <c r="U238" s="17"/>
      <c r="V238" s="17"/>
      <c r="W238" s="17"/>
      <c r="X238" s="17">
        <v>7477</v>
      </c>
      <c r="Y238" s="17">
        <v>11403.620117</v>
      </c>
      <c r="Z238" s="17"/>
      <c r="AA238" s="17"/>
      <c r="AB238" s="17">
        <v>7477</v>
      </c>
      <c r="AC238" s="17">
        <v>11403.620117</v>
      </c>
      <c r="AD238"/>
      <c r="AE238"/>
    </row>
    <row r="239" spans="1:31" x14ac:dyDescent="0.25">
      <c r="A239" s="136">
        <f>'[2]All Counts'!C239</f>
        <v>1</v>
      </c>
      <c r="B239" s="136">
        <f>'[2]All Counts'!D239</f>
        <v>1</v>
      </c>
      <c r="C239" s="136">
        <f>'[2]All Counts'!E239</f>
        <v>27875</v>
      </c>
      <c r="D239" s="136">
        <f>'[2]All Counts'!F239</f>
        <v>1</v>
      </c>
      <c r="E239" s="136">
        <f>'[2]All Counts'!G239</f>
        <v>1</v>
      </c>
      <c r="F239" s="136" t="str">
        <f>'[2]All Counts'!H239</f>
        <v>I-5 NB</v>
      </c>
      <c r="G239" s="136">
        <f>'[2]All Counts'!I239</f>
        <v>9</v>
      </c>
      <c r="H239" s="136">
        <f>'[2]All Counts'!J239</f>
        <v>0</v>
      </c>
      <c r="I239" s="136" t="str">
        <f>'[2]All Counts'!K239</f>
        <v>SR-905 EB</v>
      </c>
      <c r="J239" s="136" t="str">
        <f>'[2]All Counts'!L239</f>
        <v>SR-905 WB</v>
      </c>
      <c r="K239" s="136">
        <f>'[2]All Counts'!O239</f>
        <v>6313</v>
      </c>
      <c r="L239" s="57">
        <f>VLOOKUP(ws[[#This Row],[hwycov_id]],readme!D:G,4,FALSE)</f>
        <v>4346.4350590000004</v>
      </c>
      <c r="M239" s="88">
        <f>ws[[#This Row],[flow]]/ws[[#This Row],[count]]-1</f>
        <v>-0.31151036607001414</v>
      </c>
      <c r="N239" s="89">
        <f>POWER((ws[[#This Row],[flow]]-ws[[#This Row],[count]]),2)</f>
        <v>3867377.6671703318</v>
      </c>
      <c r="O239" s="43">
        <f>VLOOKUP(ws[[#This Row],[hwycov_id]],count[],6,FALSE)</f>
        <v>0</v>
      </c>
      <c r="P239" s="43">
        <v>202</v>
      </c>
      <c r="Q239" s="43" t="str">
        <f>'[2]All Counts'!P239</f>
        <v>PeMS2016</v>
      </c>
      <c r="S239" s="94">
        <v>11124</v>
      </c>
      <c r="T239" s="17"/>
      <c r="U239" s="17"/>
      <c r="V239" s="17"/>
      <c r="W239" s="17"/>
      <c r="X239" s="17"/>
      <c r="Y239" s="17"/>
      <c r="Z239" s="17">
        <v>14494</v>
      </c>
      <c r="AA239" s="17">
        <v>17693.544922000001</v>
      </c>
      <c r="AB239" s="17">
        <v>14494</v>
      </c>
      <c r="AC239" s="17">
        <v>17693.544922000001</v>
      </c>
      <c r="AD239"/>
      <c r="AE239"/>
    </row>
    <row r="240" spans="1:31" x14ac:dyDescent="0.25">
      <c r="A240" s="136">
        <f>'[2]All Counts'!C240</f>
        <v>1</v>
      </c>
      <c r="B240" s="136">
        <f>'[2]All Counts'!D240</f>
        <v>1</v>
      </c>
      <c r="C240" s="136">
        <f>'[2]All Counts'!E240</f>
        <v>27877</v>
      </c>
      <c r="D240" s="136">
        <f>'[2]All Counts'!F240</f>
        <v>1</v>
      </c>
      <c r="E240" s="136">
        <f>'[2]All Counts'!G240</f>
        <v>1</v>
      </c>
      <c r="F240" s="136" t="str">
        <f>'[2]All Counts'!H240</f>
        <v>I-5 NB</v>
      </c>
      <c r="G240" s="136">
        <f>'[2]All Counts'!I240</f>
        <v>10</v>
      </c>
      <c r="H240" s="136">
        <f>'[2]All Counts'!J240</f>
        <v>0</v>
      </c>
      <c r="I240" s="136" t="str">
        <f>'[2]All Counts'!K240</f>
        <v>SR-905 EB</v>
      </c>
      <c r="J240" s="136" t="str">
        <f>'[2]All Counts'!L240</f>
        <v>SR-905 WB</v>
      </c>
      <c r="K240" s="136">
        <f>'[2]All Counts'!O240</f>
        <v>6417</v>
      </c>
      <c r="L240" s="57">
        <f>VLOOKUP(ws[[#This Row],[hwycov_id]],readme!D:G,4,FALSE)</f>
        <v>4644.5898440000001</v>
      </c>
      <c r="M240" s="88">
        <f>ws[[#This Row],[flow]]/ws[[#This Row],[count]]-1</f>
        <v>-0.27620541623811745</v>
      </c>
      <c r="N240" s="89">
        <f>POWER((ws[[#This Row],[flow]]-ws[[#This Row],[count]]),2)</f>
        <v>3141437.7610919438</v>
      </c>
      <c r="O240" s="43">
        <f>VLOOKUP(ws[[#This Row],[hwycov_id]],count[],6,FALSE)</f>
        <v>0</v>
      </c>
      <c r="P240" s="43">
        <v>582</v>
      </c>
      <c r="Q240" s="43" t="str">
        <f>'[2]All Counts'!P240</f>
        <v>PeMS2016</v>
      </c>
      <c r="S240" s="94">
        <v>11263</v>
      </c>
      <c r="T240" s="17"/>
      <c r="U240" s="17"/>
      <c r="V240" s="17"/>
      <c r="W240" s="17"/>
      <c r="X240" s="17">
        <v>21553</v>
      </c>
      <c r="Y240" s="17">
        <v>21119.693359000001</v>
      </c>
      <c r="Z240" s="17"/>
      <c r="AA240" s="17"/>
      <c r="AB240" s="17">
        <v>21553</v>
      </c>
      <c r="AC240" s="17">
        <v>21119.693359000001</v>
      </c>
      <c r="AD240"/>
      <c r="AE240"/>
    </row>
    <row r="241" spans="1:31" x14ac:dyDescent="0.25">
      <c r="A241" s="136">
        <f>'[2]All Counts'!C241</f>
        <v>1</v>
      </c>
      <c r="B241" s="136">
        <f>'[2]All Counts'!D241</f>
        <v>1</v>
      </c>
      <c r="C241" s="136">
        <f>'[2]All Counts'!E241</f>
        <v>20464</v>
      </c>
      <c r="D241" s="136">
        <f>'[2]All Counts'!F241</f>
        <v>1</v>
      </c>
      <c r="E241" s="136">
        <f>'[2]All Counts'!G241</f>
        <v>1</v>
      </c>
      <c r="F241" s="136" t="str">
        <f>'[2]All Counts'!H241</f>
        <v>I-5 NB</v>
      </c>
      <c r="G241" s="136">
        <f>'[2]All Counts'!I241</f>
        <v>13</v>
      </c>
      <c r="H241" s="136">
        <f>'[2]All Counts'!J241</f>
        <v>0</v>
      </c>
      <c r="I241" s="136" t="str">
        <f>'[2]All Counts'!K241</f>
        <v>CORONADO</v>
      </c>
      <c r="J241" s="136" t="str">
        <f>'[2]All Counts'!L241</f>
        <v>PALM</v>
      </c>
      <c r="K241" s="136">
        <f>'[2]All Counts'!O241</f>
        <v>13335</v>
      </c>
      <c r="L241" s="57">
        <f>VLOOKUP(ws[[#This Row],[hwycov_id]],readme!D:G,4,FALSE)</f>
        <v>10422.435546999999</v>
      </c>
      <c r="M241" s="88">
        <f>ws[[#This Row],[flow]]/ws[[#This Row],[count]]-1</f>
        <v>-0.21841503209598812</v>
      </c>
      <c r="N241" s="89">
        <f>POWER((ws[[#This Row],[flow]]-ws[[#This Row],[count]]),2)</f>
        <v>8483031.6928791944</v>
      </c>
      <c r="O241" s="43">
        <f>VLOOKUP(ws[[#This Row],[hwycov_id]],count[],6,FALSE)</f>
        <v>0</v>
      </c>
      <c r="P241" s="43">
        <v>203</v>
      </c>
      <c r="Q241" s="43" t="str">
        <f>'[2]All Counts'!P241</f>
        <v>PeMS2016</v>
      </c>
      <c r="S241" s="94">
        <v>11266</v>
      </c>
      <c r="T241" s="17"/>
      <c r="U241" s="17"/>
      <c r="V241" s="17"/>
      <c r="W241" s="17"/>
      <c r="X241" s="17">
        <v>27071</v>
      </c>
      <c r="Y241" s="17">
        <v>24171.101562</v>
      </c>
      <c r="Z241" s="17"/>
      <c r="AA241" s="17"/>
      <c r="AB241" s="17">
        <v>27071</v>
      </c>
      <c r="AC241" s="17">
        <v>24171.101562</v>
      </c>
      <c r="AD241"/>
      <c r="AE241"/>
    </row>
    <row r="242" spans="1:31" x14ac:dyDescent="0.25">
      <c r="A242" s="136">
        <f>'[2]All Counts'!C242</f>
        <v>1</v>
      </c>
      <c r="B242" s="136">
        <f>'[2]All Counts'!D242</f>
        <v>1</v>
      </c>
      <c r="C242" s="136">
        <f>'[2]All Counts'!E242</f>
        <v>27903</v>
      </c>
      <c r="D242" s="136">
        <f>'[2]All Counts'!F242</f>
        <v>1</v>
      </c>
      <c r="E242" s="136">
        <f>'[2]All Counts'!G242</f>
        <v>1</v>
      </c>
      <c r="F242" s="136" t="str">
        <f>'[2]All Counts'!H242</f>
        <v>I-5 NB</v>
      </c>
      <c r="G242" s="136">
        <f>'[2]All Counts'!I242</f>
        <v>14</v>
      </c>
      <c r="H242" s="136">
        <f>'[2]All Counts'!J242</f>
        <v>0</v>
      </c>
      <c r="I242" s="136" t="str">
        <f>'[2]All Counts'!K242</f>
        <v>PALM</v>
      </c>
      <c r="J242" s="136" t="str">
        <f>'[2]All Counts'!L242</f>
        <v>PALM</v>
      </c>
      <c r="K242" s="136">
        <f>'[2]All Counts'!O242</f>
        <v>9582</v>
      </c>
      <c r="L242" s="57">
        <f>VLOOKUP(ws[[#This Row],[hwycov_id]],readme!D:G,4,FALSE)</f>
        <v>8579.2246090000008</v>
      </c>
      <c r="M242" s="88">
        <f>ws[[#This Row],[flow]]/ws[[#This Row],[count]]-1</f>
        <v>-0.10465199238154865</v>
      </c>
      <c r="N242" s="89">
        <f>POWER((ws[[#This Row],[flow]]-ws[[#This Row],[count]]),2)</f>
        <v>1005558.4847952013</v>
      </c>
      <c r="O242" s="43">
        <f>VLOOKUP(ws[[#This Row],[hwycov_id]],count[],6,FALSE)</f>
        <v>0</v>
      </c>
      <c r="P242" s="43">
        <v>128</v>
      </c>
      <c r="Q242" s="43" t="str">
        <f>'[2]All Counts'!P242</f>
        <v>PeMS2016</v>
      </c>
      <c r="S242" s="94">
        <v>11268</v>
      </c>
      <c r="T242" s="17"/>
      <c r="U242" s="17"/>
      <c r="V242" s="17"/>
      <c r="W242" s="17"/>
      <c r="X242" s="17"/>
      <c r="Y242" s="17"/>
      <c r="Z242" s="17">
        <v>31372</v>
      </c>
      <c r="AA242" s="17">
        <v>32211.630859000001</v>
      </c>
      <c r="AB242" s="17">
        <v>31372</v>
      </c>
      <c r="AC242" s="17">
        <v>32211.630859000001</v>
      </c>
      <c r="AD242"/>
      <c r="AE242"/>
    </row>
    <row r="243" spans="1:31" x14ac:dyDescent="0.25">
      <c r="A243" s="136">
        <f>'[2]All Counts'!C243</f>
        <v>1</v>
      </c>
      <c r="B243" s="136">
        <f>'[2]All Counts'!D243</f>
        <v>1</v>
      </c>
      <c r="C243" s="136">
        <f>'[2]All Counts'!E243</f>
        <v>27914</v>
      </c>
      <c r="D243" s="136">
        <f>'[2]All Counts'!F243</f>
        <v>1</v>
      </c>
      <c r="E243" s="136">
        <f>'[2]All Counts'!G243</f>
        <v>1</v>
      </c>
      <c r="F243" s="136" t="str">
        <f>'[2]All Counts'!H243</f>
        <v>I-5 NB</v>
      </c>
      <c r="G243" s="136">
        <f>'[2]All Counts'!I243</f>
        <v>15</v>
      </c>
      <c r="H243" s="136">
        <f>'[2]All Counts'!J243</f>
        <v>0</v>
      </c>
      <c r="I243" s="136" t="str">
        <f>'[2]All Counts'!K243</f>
        <v>PALM</v>
      </c>
      <c r="J243" s="136" t="str">
        <f>'[2]All Counts'!L243</f>
        <v>MAIN</v>
      </c>
      <c r="K243" s="136">
        <f>'[2]All Counts'!O243</f>
        <v>15901</v>
      </c>
      <c r="L243" s="57">
        <f>VLOOKUP(ws[[#This Row],[hwycov_id]],readme!D:G,4,FALSE)</f>
        <v>15074.466796999999</v>
      </c>
      <c r="M243" s="88">
        <f>ws[[#This Row],[flow]]/ws[[#This Row],[count]]-1</f>
        <v>-5.197995113514875E-2</v>
      </c>
      <c r="N243" s="89">
        <f>POWER((ws[[#This Row],[flow]]-ws[[#This Row],[count]]),2)</f>
        <v>683157.13566144067</v>
      </c>
      <c r="O243" s="43">
        <f>VLOOKUP(ws[[#This Row],[hwycov_id]],count[],6,FALSE)</f>
        <v>0</v>
      </c>
      <c r="P243" s="43">
        <v>127</v>
      </c>
      <c r="Q243" s="43" t="str">
        <f>'[2]All Counts'!P243</f>
        <v>Caltran</v>
      </c>
      <c r="S243" s="94">
        <v>11290</v>
      </c>
      <c r="T243" s="17"/>
      <c r="U243" s="17"/>
      <c r="V243" s="17"/>
      <c r="W243" s="17"/>
      <c r="X243" s="17">
        <v>11961</v>
      </c>
      <c r="Y243" s="17">
        <v>11659.515625</v>
      </c>
      <c r="Z243" s="17"/>
      <c r="AA243" s="17"/>
      <c r="AB243" s="17">
        <v>11961</v>
      </c>
      <c r="AC243" s="17">
        <v>11659.515625</v>
      </c>
      <c r="AD243"/>
      <c r="AE243"/>
    </row>
    <row r="244" spans="1:31" x14ac:dyDescent="0.25">
      <c r="A244" s="136">
        <f>'[2]All Counts'!C244</f>
        <v>1</v>
      </c>
      <c r="B244" s="136">
        <f>'[2]All Counts'!D244</f>
        <v>1</v>
      </c>
      <c r="C244" s="136">
        <f>'[2]All Counts'!E244</f>
        <v>27916</v>
      </c>
      <c r="D244" s="136">
        <f>'[2]All Counts'!F244</f>
        <v>1</v>
      </c>
      <c r="E244" s="136">
        <f>'[2]All Counts'!G244</f>
        <v>1</v>
      </c>
      <c r="F244" s="136" t="str">
        <f>'[2]All Counts'!H244</f>
        <v>I-5 NB</v>
      </c>
      <c r="G244" s="136">
        <f>'[2]All Counts'!I244</f>
        <v>16</v>
      </c>
      <c r="H244" s="136">
        <f>'[2]All Counts'!J244</f>
        <v>0</v>
      </c>
      <c r="I244" s="136" t="str">
        <f>'[2]All Counts'!K244</f>
        <v>MAIN</v>
      </c>
      <c r="J244" s="136" t="str">
        <f>'[2]All Counts'!L244</f>
        <v>MAIN</v>
      </c>
      <c r="K244" s="136">
        <f>'[2]All Counts'!O244</f>
        <v>15095</v>
      </c>
      <c r="L244" s="57">
        <f>VLOOKUP(ws[[#This Row],[hwycov_id]],readme!D:G,4,FALSE)</f>
        <v>14822.768555000001</v>
      </c>
      <c r="M244" s="88">
        <f>ws[[#This Row],[flow]]/ws[[#This Row],[count]]-1</f>
        <v>-1.8034544219940329E-2</v>
      </c>
      <c r="N244" s="89">
        <f>POWER((ws[[#This Row],[flow]]-ws[[#This Row],[count]]),2)</f>
        <v>74109.959646787713</v>
      </c>
      <c r="O244" s="43">
        <f>VLOOKUP(ws[[#This Row],[hwycov_id]],count[],6,FALSE)</f>
        <v>0</v>
      </c>
      <c r="P244" s="43">
        <v>650</v>
      </c>
      <c r="Q244" s="43" t="str">
        <f>'[2]All Counts'!P244</f>
        <v>PeMS2016</v>
      </c>
      <c r="S244" s="94">
        <v>11291</v>
      </c>
      <c r="T244" s="17">
        <v>8272</v>
      </c>
      <c r="U244" s="17">
        <v>8672.8232420000004</v>
      </c>
      <c r="V244" s="17"/>
      <c r="W244" s="17"/>
      <c r="X244" s="17"/>
      <c r="Y244" s="17"/>
      <c r="Z244" s="17"/>
      <c r="AA244" s="17"/>
      <c r="AB244" s="17">
        <v>8272</v>
      </c>
      <c r="AC244" s="17">
        <v>8672.8232420000004</v>
      </c>
      <c r="AD244"/>
      <c r="AE244"/>
    </row>
    <row r="245" spans="1:31" x14ac:dyDescent="0.25">
      <c r="A245" s="136">
        <f>'[2]All Counts'!C245</f>
        <v>1</v>
      </c>
      <c r="B245" s="136">
        <f>'[2]All Counts'!D245</f>
        <v>1</v>
      </c>
      <c r="C245" s="136">
        <f>'[2]All Counts'!E245</f>
        <v>27921</v>
      </c>
      <c r="D245" s="136">
        <f>'[2]All Counts'!F245</f>
        <v>1</v>
      </c>
      <c r="E245" s="136">
        <f>'[2]All Counts'!G245</f>
        <v>1</v>
      </c>
      <c r="F245" s="136" t="str">
        <f>'[2]All Counts'!H245</f>
        <v>I-5 NB</v>
      </c>
      <c r="G245" s="136">
        <f>'[2]All Counts'!I245</f>
        <v>18</v>
      </c>
      <c r="H245" s="136">
        <f>'[2]All Counts'!J245</f>
        <v>0</v>
      </c>
      <c r="I245" s="136" t="str">
        <f>'[2]All Counts'!K245</f>
        <v>PALOMAR</v>
      </c>
      <c r="J245" s="136" t="str">
        <f>'[2]All Counts'!L245</f>
        <v>PALOMAR</v>
      </c>
      <c r="K245" s="136">
        <f>'[2]All Counts'!O245</f>
        <v>13340</v>
      </c>
      <c r="L245" s="57">
        <f>VLOOKUP(ws[[#This Row],[hwycov_id]],readme!D:G,4,FALSE)</f>
        <v>15181.166015999999</v>
      </c>
      <c r="M245" s="88">
        <f>ws[[#This Row],[flow]]/ws[[#This Row],[count]]-1</f>
        <v>0.13801844197901048</v>
      </c>
      <c r="N245" s="89">
        <f>POWER((ws[[#This Row],[flow]]-ws[[#This Row],[count]]),2)</f>
        <v>3389892.2984733093</v>
      </c>
      <c r="O245" s="43">
        <f>VLOOKUP(ws[[#This Row],[hwycov_id]],count[],6,FALSE)</f>
        <v>0</v>
      </c>
      <c r="P245" s="43">
        <v>334</v>
      </c>
      <c r="Q245" s="43" t="str">
        <f>'[2]All Counts'!P245</f>
        <v>PeMS2016</v>
      </c>
      <c r="S245" s="94">
        <v>11296</v>
      </c>
      <c r="T245" s="17">
        <v>20112</v>
      </c>
      <c r="U245" s="17">
        <v>23732.277343999998</v>
      </c>
      <c r="V245" s="17"/>
      <c r="W245" s="17"/>
      <c r="X245" s="17"/>
      <c r="Y245" s="17"/>
      <c r="Z245" s="17"/>
      <c r="AA245" s="17"/>
      <c r="AB245" s="17">
        <v>20112</v>
      </c>
      <c r="AC245" s="17">
        <v>23732.277343999998</v>
      </c>
      <c r="AD245"/>
      <c r="AE245"/>
    </row>
    <row r="246" spans="1:31" x14ac:dyDescent="0.25">
      <c r="A246" s="136">
        <f>'[2]All Counts'!C246</f>
        <v>1</v>
      </c>
      <c r="B246" s="136">
        <f>'[2]All Counts'!D246</f>
        <v>1</v>
      </c>
      <c r="C246" s="136">
        <f>'[2]All Counts'!E246</f>
        <v>27925</v>
      </c>
      <c r="D246" s="136">
        <f>'[2]All Counts'!F246</f>
        <v>1</v>
      </c>
      <c r="E246" s="136">
        <f>'[2]All Counts'!G246</f>
        <v>1</v>
      </c>
      <c r="F246" s="136" t="str">
        <f>'[2]All Counts'!H246</f>
        <v>I-5 NB</v>
      </c>
      <c r="G246" s="136">
        <f>'[2]All Counts'!I246</f>
        <v>19</v>
      </c>
      <c r="H246" s="136">
        <f>'[2]All Counts'!J246</f>
        <v>0</v>
      </c>
      <c r="I246" s="136" t="str">
        <f>'[2]All Counts'!K246</f>
        <v>PALOMAR</v>
      </c>
      <c r="J246" s="136" t="str">
        <f>'[2]All Counts'!L246</f>
        <v>INDUSTRIAL</v>
      </c>
      <c r="K246" s="136">
        <f>'[2]All Counts'!O246</f>
        <v>16048</v>
      </c>
      <c r="L246" s="57">
        <f>VLOOKUP(ws[[#This Row],[hwycov_id]],readme!D:G,4,FALSE)</f>
        <v>17924.015625</v>
      </c>
      <c r="M246" s="88">
        <f>ws[[#This Row],[flow]]/ws[[#This Row],[count]]-1</f>
        <v>0.11690027573529416</v>
      </c>
      <c r="N246" s="89">
        <f>POWER((ws[[#This Row],[flow]]-ws[[#This Row],[count]]),2)</f>
        <v>3519434.6252441406</v>
      </c>
      <c r="O246" s="43">
        <f>VLOOKUP(ws[[#This Row],[hwycov_id]],count[],6,FALSE)</f>
        <v>0</v>
      </c>
      <c r="P246" s="43">
        <v>710</v>
      </c>
      <c r="Q246" s="43" t="str">
        <f>'[2]All Counts'!P246</f>
        <v>PeMS2016</v>
      </c>
      <c r="S246" s="94">
        <v>11327</v>
      </c>
      <c r="T246" s="17">
        <v>15197</v>
      </c>
      <c r="U246" s="17">
        <v>19397.427734000001</v>
      </c>
      <c r="V246" s="17"/>
      <c r="W246" s="17"/>
      <c r="X246" s="17"/>
      <c r="Y246" s="17"/>
      <c r="Z246" s="17"/>
      <c r="AA246" s="17"/>
      <c r="AB246" s="17">
        <v>15197</v>
      </c>
      <c r="AC246" s="17">
        <v>19397.427734000001</v>
      </c>
      <c r="AD246"/>
      <c r="AE246"/>
    </row>
    <row r="247" spans="1:31" x14ac:dyDescent="0.25">
      <c r="A247" s="136">
        <f>'[2]All Counts'!C247</f>
        <v>1</v>
      </c>
      <c r="B247" s="136">
        <f>'[2]All Counts'!D247</f>
        <v>1</v>
      </c>
      <c r="C247" s="136">
        <f>'[2]All Counts'!E247</f>
        <v>27929</v>
      </c>
      <c r="D247" s="136">
        <f>'[2]All Counts'!F247</f>
        <v>1</v>
      </c>
      <c r="E247" s="136">
        <f>'[2]All Counts'!G247</f>
        <v>1</v>
      </c>
      <c r="F247" s="136" t="str">
        <f>'[2]All Counts'!H247</f>
        <v>I-5 NB</v>
      </c>
      <c r="G247" s="136">
        <f>'[2]All Counts'!I247</f>
        <v>20</v>
      </c>
      <c r="H247" s="136">
        <f>'[2]All Counts'!J247</f>
        <v>0</v>
      </c>
      <c r="I247" s="136" t="str">
        <f>'[2]All Counts'!K247</f>
        <v>INDUSTRIAL</v>
      </c>
      <c r="J247" s="136" t="str">
        <f>'[2]All Counts'!L247</f>
        <v>INDUSTRIAL</v>
      </c>
      <c r="K247" s="136">
        <f>'[2]All Counts'!O247</f>
        <v>13856</v>
      </c>
      <c r="L247" s="57">
        <f>VLOOKUP(ws[[#This Row],[hwycov_id]],readme!D:G,4,FALSE)</f>
        <v>16651.548827999999</v>
      </c>
      <c r="M247" s="88">
        <f>ws[[#This Row],[flow]]/ws[[#This Row],[count]]-1</f>
        <v>0.20175727684757505</v>
      </c>
      <c r="N247" s="89">
        <f>POWER((ws[[#This Row],[flow]]-ws[[#This Row],[count]]),2)</f>
        <v>7815093.2497321684</v>
      </c>
      <c r="O247" s="43">
        <f>VLOOKUP(ws[[#This Row],[hwycov_id]],count[],6,FALSE)</f>
        <v>0</v>
      </c>
      <c r="P247" s="43">
        <v>67</v>
      </c>
      <c r="Q247" s="43" t="str">
        <f>'[2]All Counts'!P247</f>
        <v>PeMS2016</v>
      </c>
      <c r="S247" s="94">
        <v>11379</v>
      </c>
      <c r="T247" s="17"/>
      <c r="U247" s="17"/>
      <c r="V247" s="17"/>
      <c r="W247" s="17"/>
      <c r="X247" s="17"/>
      <c r="Y247" s="17"/>
      <c r="Z247" s="17">
        <v>9505</v>
      </c>
      <c r="AA247" s="17">
        <v>8538.0449219999991</v>
      </c>
      <c r="AB247" s="17">
        <v>9505</v>
      </c>
      <c r="AC247" s="17">
        <v>8538.0449219999991</v>
      </c>
      <c r="AD247"/>
      <c r="AE247"/>
    </row>
    <row r="248" spans="1:31" x14ac:dyDescent="0.25">
      <c r="A248" s="136">
        <f>'[2]All Counts'!C248</f>
        <v>1</v>
      </c>
      <c r="B248" s="136">
        <f>'[2]All Counts'!D248</f>
        <v>1</v>
      </c>
      <c r="C248" s="136">
        <f>'[2]All Counts'!E248</f>
        <v>27933</v>
      </c>
      <c r="D248" s="136">
        <f>'[2]All Counts'!F248</f>
        <v>1</v>
      </c>
      <c r="E248" s="136">
        <f>'[2]All Counts'!G248</f>
        <v>1</v>
      </c>
      <c r="F248" s="136" t="str">
        <f>'[2]All Counts'!H248</f>
        <v>I-5 NB</v>
      </c>
      <c r="G248" s="136">
        <f>'[2]All Counts'!I248</f>
        <v>22</v>
      </c>
      <c r="H248" s="136">
        <f>'[2]All Counts'!J248</f>
        <v>0</v>
      </c>
      <c r="I248" s="136" t="str">
        <f>'[2]All Counts'!K248</f>
        <v>J</v>
      </c>
      <c r="J248" s="136" t="str">
        <f>'[2]All Counts'!L248</f>
        <v>J</v>
      </c>
      <c r="K248" s="136">
        <f>'[2]All Counts'!O248</f>
        <v>16098</v>
      </c>
      <c r="L248" s="57">
        <f>VLOOKUP(ws[[#This Row],[hwycov_id]],readme!D:G,4,FALSE)</f>
        <v>18884.558593999998</v>
      </c>
      <c r="M248" s="88">
        <f>ws[[#This Row],[flow]]/ws[[#This Row],[count]]-1</f>
        <v>0.17309967660578951</v>
      </c>
      <c r="N248" s="89">
        <f>POWER((ws[[#This Row],[flow]]-ws[[#This Row],[count]]),2)</f>
        <v>7764908.7977952473</v>
      </c>
      <c r="O248" s="43">
        <f>VLOOKUP(ws[[#This Row],[hwycov_id]],count[],6,FALSE)</f>
        <v>0</v>
      </c>
      <c r="P248" s="43">
        <v>114</v>
      </c>
      <c r="Q248" s="43" t="str">
        <f>'[2]All Counts'!P248</f>
        <v>PeMS2016</v>
      </c>
      <c r="S248" s="94">
        <v>11382</v>
      </c>
      <c r="T248" s="17"/>
      <c r="U248" s="17"/>
      <c r="V248" s="17"/>
      <c r="W248" s="17"/>
      <c r="X248" s="17">
        <v>8306</v>
      </c>
      <c r="Y248" s="17">
        <v>8477.9013670000004</v>
      </c>
      <c r="Z248" s="17"/>
      <c r="AA248" s="17"/>
      <c r="AB248" s="17">
        <v>8306</v>
      </c>
      <c r="AC248" s="17">
        <v>8477.9013670000004</v>
      </c>
      <c r="AD248"/>
      <c r="AE248"/>
    </row>
    <row r="249" spans="1:31" x14ac:dyDescent="0.25">
      <c r="A249" s="136">
        <f>'[2]All Counts'!C249</f>
        <v>1</v>
      </c>
      <c r="B249" s="136">
        <f>'[2]All Counts'!D249</f>
        <v>1</v>
      </c>
      <c r="C249" s="136">
        <f>'[2]All Counts'!E249</f>
        <v>27941</v>
      </c>
      <c r="D249" s="136">
        <f>'[2]All Counts'!F249</f>
        <v>1</v>
      </c>
      <c r="E249" s="136">
        <f>'[2]All Counts'!G249</f>
        <v>1</v>
      </c>
      <c r="F249" s="136" t="str">
        <f>'[2]All Counts'!H249</f>
        <v>I-5 NB</v>
      </c>
      <c r="G249" s="136">
        <f>'[2]All Counts'!I249</f>
        <v>24</v>
      </c>
      <c r="H249" s="136">
        <f>'[2]All Counts'!J249</f>
        <v>0</v>
      </c>
      <c r="I249" s="136" t="str">
        <f>'[2]All Counts'!K249</f>
        <v>H</v>
      </c>
      <c r="J249" s="136" t="str">
        <f>'[2]All Counts'!L249</f>
        <v>H</v>
      </c>
      <c r="K249" s="136">
        <f>'[2]All Counts'!O249</f>
        <v>16472</v>
      </c>
      <c r="L249" s="57">
        <f>VLOOKUP(ws[[#This Row],[hwycov_id]],readme!D:G,4,FALSE)</f>
        <v>19877.478515999999</v>
      </c>
      <c r="M249" s="88">
        <f>ws[[#This Row],[flow]]/ws[[#This Row],[count]]-1</f>
        <v>0.20674347474502186</v>
      </c>
      <c r="N249" s="89">
        <f>POWER((ws[[#This Row],[flow]]-ws[[#This Row],[count]]),2)</f>
        <v>11597283.922937557</v>
      </c>
      <c r="O249" s="43">
        <f>VLOOKUP(ws[[#This Row],[hwycov_id]],count[],6,FALSE)</f>
        <v>0</v>
      </c>
      <c r="P249" s="43">
        <v>281</v>
      </c>
      <c r="Q249" s="43" t="str">
        <f>'[2]All Counts'!P249</f>
        <v>PeMS2016</v>
      </c>
      <c r="S249" s="94">
        <v>11483</v>
      </c>
      <c r="T249" s="17">
        <v>19486</v>
      </c>
      <c r="U249" s="17">
        <v>23833.796875</v>
      </c>
      <c r="V249" s="17"/>
      <c r="W249" s="17"/>
      <c r="X249" s="17"/>
      <c r="Y249" s="17"/>
      <c r="Z249" s="17"/>
      <c r="AA249" s="17"/>
      <c r="AB249" s="17">
        <v>19486</v>
      </c>
      <c r="AC249" s="17">
        <v>23833.796875</v>
      </c>
      <c r="AD249"/>
      <c r="AE249"/>
    </row>
    <row r="250" spans="1:31" x14ac:dyDescent="0.25">
      <c r="A250" s="136">
        <f>'[2]All Counts'!C250</f>
        <v>1</v>
      </c>
      <c r="B250" s="136">
        <f>'[2]All Counts'!D250</f>
        <v>1</v>
      </c>
      <c r="C250" s="136">
        <f>'[2]All Counts'!E250</f>
        <v>27946</v>
      </c>
      <c r="D250" s="136">
        <f>'[2]All Counts'!F250</f>
        <v>1</v>
      </c>
      <c r="E250" s="136">
        <f>'[2]All Counts'!G250</f>
        <v>1</v>
      </c>
      <c r="F250" s="136" t="str">
        <f>'[2]All Counts'!H250</f>
        <v>I-5 NB</v>
      </c>
      <c r="G250" s="136">
        <f>'[2]All Counts'!I250</f>
        <v>26</v>
      </c>
      <c r="H250" s="136">
        <f>'[2]All Counts'!J250</f>
        <v>0</v>
      </c>
      <c r="I250" s="136" t="str">
        <f>'[2]All Counts'!K250</f>
        <v>E ST</v>
      </c>
      <c r="J250" s="136" t="str">
        <f>'[2]All Counts'!L250</f>
        <v>E ST</v>
      </c>
      <c r="K250" s="136">
        <f>'[2]All Counts'!O250</f>
        <v>16589</v>
      </c>
      <c r="L250" s="57">
        <f>VLOOKUP(ws[[#This Row],[hwycov_id]],readme!D:G,4,FALSE)</f>
        <v>20735.953125</v>
      </c>
      <c r="M250" s="88">
        <f>ws[[#This Row],[flow]]/ws[[#This Row],[count]]-1</f>
        <v>0.24998210410513</v>
      </c>
      <c r="N250" s="89">
        <f>POWER((ws[[#This Row],[flow]]-ws[[#This Row],[count]]),2)</f>
        <v>17197220.220947266</v>
      </c>
      <c r="O250" s="43">
        <f>VLOOKUP(ws[[#This Row],[hwycov_id]],count[],6,FALSE)</f>
        <v>0</v>
      </c>
      <c r="P250" s="43">
        <v>529</v>
      </c>
      <c r="Q250" s="43" t="str">
        <f>'[2]All Counts'!P250</f>
        <v>PeMS2016</v>
      </c>
      <c r="S250" s="94">
        <v>12007</v>
      </c>
      <c r="T250" s="17">
        <v>13075</v>
      </c>
      <c r="U250" s="17">
        <v>17324.595702999999</v>
      </c>
      <c r="V250" s="17"/>
      <c r="W250" s="17"/>
      <c r="X250" s="17"/>
      <c r="Y250" s="17"/>
      <c r="Z250" s="17"/>
      <c r="AA250" s="17"/>
      <c r="AB250" s="17">
        <v>13075</v>
      </c>
      <c r="AC250" s="17">
        <v>17324.595702999999</v>
      </c>
      <c r="AD250"/>
      <c r="AE250"/>
    </row>
    <row r="251" spans="1:31" x14ac:dyDescent="0.25">
      <c r="A251" s="136">
        <f>'[2]All Counts'!C251</f>
        <v>1</v>
      </c>
      <c r="B251" s="136">
        <f>'[2]All Counts'!D251</f>
        <v>1</v>
      </c>
      <c r="C251" s="136">
        <f>'[2]All Counts'!E251</f>
        <v>27948</v>
      </c>
      <c r="D251" s="136">
        <f>'[2]All Counts'!F251</f>
        <v>1</v>
      </c>
      <c r="E251" s="136">
        <f>'[2]All Counts'!G251</f>
        <v>1</v>
      </c>
      <c r="F251" s="136" t="str">
        <f>'[2]All Counts'!H251</f>
        <v>I-5 NB</v>
      </c>
      <c r="G251" s="136">
        <f>'[2]All Counts'!I251</f>
        <v>27</v>
      </c>
      <c r="H251" s="136">
        <f>'[2]All Counts'!J251</f>
        <v>0</v>
      </c>
      <c r="I251" s="136" t="str">
        <f>'[2]All Counts'!K251</f>
        <v>E ST</v>
      </c>
      <c r="J251" s="136" t="str">
        <f>'[2]All Counts'!L251</f>
        <v>SR-54 EB</v>
      </c>
      <c r="K251" s="136">
        <f>'[2]All Counts'!O251</f>
        <v>16211</v>
      </c>
      <c r="L251" s="57">
        <f>VLOOKUP(ws[[#This Row],[hwycov_id]],readme!D:G,4,FALSE)</f>
        <v>15642.276367</v>
      </c>
      <c r="M251" s="88">
        <f>ws[[#This Row],[flow]]/ws[[#This Row],[count]]-1</f>
        <v>-3.5082575596816934E-2</v>
      </c>
      <c r="N251" s="89">
        <f>POWER((ws[[#This Row],[flow]]-ws[[#This Row],[count]]),2)</f>
        <v>323446.57073271822</v>
      </c>
      <c r="O251" s="43">
        <f>VLOOKUP(ws[[#This Row],[hwycov_id]],count[],6,FALSE)</f>
        <v>0</v>
      </c>
      <c r="P251" s="43">
        <v>280</v>
      </c>
      <c r="Q251" s="43" t="str">
        <f>'[2]All Counts'!P251</f>
        <v>PeMS2016</v>
      </c>
      <c r="S251" s="94">
        <v>12009</v>
      </c>
      <c r="T251" s="17"/>
      <c r="U251" s="17"/>
      <c r="V251" s="17">
        <v>21728</v>
      </c>
      <c r="W251" s="17">
        <v>21101.384765999999</v>
      </c>
      <c r="X251" s="17"/>
      <c r="Y251" s="17"/>
      <c r="Z251" s="17"/>
      <c r="AA251" s="17"/>
      <c r="AB251" s="17">
        <v>21728</v>
      </c>
      <c r="AC251" s="17">
        <v>21101.384765999999</v>
      </c>
      <c r="AD251"/>
      <c r="AE251"/>
    </row>
    <row r="252" spans="1:31" x14ac:dyDescent="0.25">
      <c r="A252" s="136">
        <f>'[2]All Counts'!C252</f>
        <v>1</v>
      </c>
      <c r="B252" s="136">
        <f>'[2]All Counts'!D252</f>
        <v>1</v>
      </c>
      <c r="C252" s="136">
        <f>'[2]All Counts'!E252</f>
        <v>28695</v>
      </c>
      <c r="D252" s="136">
        <f>'[2]All Counts'!F252</f>
        <v>1</v>
      </c>
      <c r="E252" s="136">
        <f>'[2]All Counts'!G252</f>
        <v>1</v>
      </c>
      <c r="F252" s="136" t="str">
        <f>'[2]All Counts'!H252</f>
        <v>I-5 NB</v>
      </c>
      <c r="G252" s="136">
        <f>'[2]All Counts'!I252</f>
        <v>31</v>
      </c>
      <c r="H252" s="136">
        <f>'[2]All Counts'!J252</f>
        <v>0</v>
      </c>
      <c r="I252" s="136" t="str">
        <f>'[2]All Counts'!K252</f>
        <v>24TH</v>
      </c>
      <c r="J252" s="136" t="str">
        <f>'[2]All Counts'!L252</f>
        <v>24TH</v>
      </c>
      <c r="K252" s="136">
        <f>'[2]All Counts'!O252</f>
        <v>13780</v>
      </c>
      <c r="L252" s="57">
        <f>VLOOKUP(ws[[#This Row],[hwycov_id]],readme!D:G,4,FALSE)</f>
        <v>20966.109375</v>
      </c>
      <c r="M252" s="88">
        <f>ws[[#This Row],[flow]]/ws[[#This Row],[count]]-1</f>
        <v>0.52148834361393326</v>
      </c>
      <c r="N252" s="89">
        <f>POWER((ws[[#This Row],[flow]]-ws[[#This Row],[count]]),2)</f>
        <v>51640167.949462891</v>
      </c>
      <c r="O252" s="43">
        <f>VLOOKUP(ws[[#This Row],[hwycov_id]],count[],6,FALSE)</f>
        <v>0</v>
      </c>
      <c r="P252" s="43">
        <v>647</v>
      </c>
      <c r="Q252" s="43" t="str">
        <f>'[2]All Counts'!P252</f>
        <v>PeMS2016</v>
      </c>
      <c r="S252" s="94">
        <v>12010</v>
      </c>
      <c r="T252" s="17">
        <v>14218</v>
      </c>
      <c r="U252" s="17">
        <v>18711.841797000001</v>
      </c>
      <c r="V252" s="17"/>
      <c r="W252" s="17"/>
      <c r="X252" s="17"/>
      <c r="Y252" s="17"/>
      <c r="Z252" s="17"/>
      <c r="AA252" s="17"/>
      <c r="AB252" s="17">
        <v>14218</v>
      </c>
      <c r="AC252" s="17">
        <v>18711.841797000001</v>
      </c>
      <c r="AD252"/>
      <c r="AE252"/>
    </row>
    <row r="253" spans="1:31" x14ac:dyDescent="0.25">
      <c r="A253" s="136">
        <f>'[2]All Counts'!C253</f>
        <v>1</v>
      </c>
      <c r="B253" s="136">
        <f>'[2]All Counts'!D253</f>
        <v>1</v>
      </c>
      <c r="C253" s="136">
        <f>'[2]All Counts'!E253</f>
        <v>28718</v>
      </c>
      <c r="D253" s="136">
        <f>'[2]All Counts'!F253</f>
        <v>1</v>
      </c>
      <c r="E253" s="136">
        <f>'[2]All Counts'!G253</f>
        <v>1</v>
      </c>
      <c r="F253" s="136" t="str">
        <f>'[2]All Counts'!H253</f>
        <v>I-5 NB</v>
      </c>
      <c r="G253" s="136">
        <f>'[2]All Counts'!I253</f>
        <v>34</v>
      </c>
      <c r="H253" s="136">
        <f>'[2]All Counts'!J253</f>
        <v>0</v>
      </c>
      <c r="I253" s="136" t="str">
        <f>'[2]All Counts'!K253</f>
        <v>CIVIC CENTER</v>
      </c>
      <c r="J253" s="136" t="str">
        <f>'[2]All Counts'!L253</f>
        <v>CIVIC CENTER</v>
      </c>
      <c r="K253" s="136">
        <f>'[2]All Counts'!O253</f>
        <v>15393</v>
      </c>
      <c r="L253" s="57">
        <f>VLOOKUP(ws[[#This Row],[hwycov_id]],readme!D:G,4,FALSE)</f>
        <v>20088.693359000001</v>
      </c>
      <c r="M253" s="88">
        <f>ws[[#This Row],[flow]]/ws[[#This Row],[count]]-1</f>
        <v>0.30505381400636655</v>
      </c>
      <c r="N253" s="89">
        <f>POWER((ws[[#This Row],[flow]]-ws[[#This Row],[count]]),2)</f>
        <v>22049536.12175671</v>
      </c>
      <c r="O253" s="43">
        <f>VLOOKUP(ws[[#This Row],[hwycov_id]],count[],6,FALSE)</f>
        <v>0</v>
      </c>
      <c r="P253" s="43">
        <v>320</v>
      </c>
      <c r="Q253" s="43" t="str">
        <f>'[2]All Counts'!P253</f>
        <v>PeMS2016</v>
      </c>
      <c r="S253" s="94">
        <v>12065</v>
      </c>
      <c r="T253" s="17"/>
      <c r="U253" s="17"/>
      <c r="V253" s="17">
        <v>9705</v>
      </c>
      <c r="W253" s="17">
        <v>7908.3774409999996</v>
      </c>
      <c r="X253" s="17"/>
      <c r="Y253" s="17"/>
      <c r="Z253" s="17"/>
      <c r="AA253" s="17"/>
      <c r="AB253" s="17">
        <v>9705</v>
      </c>
      <c r="AC253" s="17">
        <v>7908.3774409999996</v>
      </c>
      <c r="AD253"/>
      <c r="AE253"/>
    </row>
    <row r="254" spans="1:31" x14ac:dyDescent="0.25">
      <c r="A254" s="136">
        <f>'[2]All Counts'!C254</f>
        <v>1</v>
      </c>
      <c r="B254" s="136">
        <f>'[2]All Counts'!D254</f>
        <v>1</v>
      </c>
      <c r="C254" s="136">
        <f>'[2]All Counts'!E254</f>
        <v>28725</v>
      </c>
      <c r="D254" s="136">
        <f>'[2]All Counts'!F254</f>
        <v>1</v>
      </c>
      <c r="E254" s="136">
        <f>'[2]All Counts'!G254</f>
        <v>1</v>
      </c>
      <c r="F254" s="136" t="str">
        <f>'[2]All Counts'!H254</f>
        <v>I-5 NB</v>
      </c>
      <c r="G254" s="136">
        <f>'[2]All Counts'!I254</f>
        <v>35</v>
      </c>
      <c r="H254" s="136">
        <f>'[2]All Counts'!J254</f>
        <v>0</v>
      </c>
      <c r="I254" s="136" t="str">
        <f>'[2]All Counts'!K254</f>
        <v>CIVIC CENTER</v>
      </c>
      <c r="J254" s="136" t="str">
        <f>'[2]All Counts'!L254</f>
        <v>CIVIC CENTER</v>
      </c>
      <c r="K254" s="136">
        <f>'[2]All Counts'!O254</f>
        <v>13528</v>
      </c>
      <c r="L254" s="57">
        <f>VLOOKUP(ws[[#This Row],[hwycov_id]],readme!D:G,4,FALSE)</f>
        <v>22583.847656000002</v>
      </c>
      <c r="M254" s="88">
        <f>ws[[#This Row],[flow]]/ws[[#This Row],[count]]-1</f>
        <v>0.66941511354228278</v>
      </c>
      <c r="N254" s="89">
        <f>POWER((ws[[#This Row],[flow]]-ws[[#This Row],[count]]),2)</f>
        <v>82008376.768680722</v>
      </c>
      <c r="O254" s="43">
        <f>VLOOKUP(ws[[#This Row],[hwycov_id]],count[],6,FALSE)</f>
        <v>0</v>
      </c>
      <c r="P254" s="43">
        <v>493</v>
      </c>
      <c r="Q254" s="43" t="str">
        <f>'[2]All Counts'!P254</f>
        <v>PeMS2016</v>
      </c>
      <c r="S254" s="94">
        <v>12242</v>
      </c>
      <c r="T254" s="17">
        <v>19328</v>
      </c>
      <c r="U254" s="17">
        <v>24837.267577999999</v>
      </c>
      <c r="V254" s="17"/>
      <c r="W254" s="17"/>
      <c r="X254" s="17"/>
      <c r="Y254" s="17"/>
      <c r="Z254" s="17"/>
      <c r="AA254" s="17"/>
      <c r="AB254" s="17">
        <v>19328</v>
      </c>
      <c r="AC254" s="17">
        <v>24837.267577999999</v>
      </c>
      <c r="AD254"/>
      <c r="AE254"/>
    </row>
    <row r="255" spans="1:31" x14ac:dyDescent="0.25">
      <c r="A255" s="136">
        <f>'[2]All Counts'!C255</f>
        <v>1</v>
      </c>
      <c r="B255" s="136">
        <f>'[2]All Counts'!D255</f>
        <v>1</v>
      </c>
      <c r="C255" s="136">
        <f>'[2]All Counts'!E255</f>
        <v>28727</v>
      </c>
      <c r="D255" s="136">
        <f>'[2]All Counts'!F255</f>
        <v>1</v>
      </c>
      <c r="E255" s="136">
        <f>'[2]All Counts'!G255</f>
        <v>1</v>
      </c>
      <c r="F255" s="136" t="str">
        <f>'[2]All Counts'!H255</f>
        <v>I-5 NB</v>
      </c>
      <c r="G255" s="136">
        <f>'[2]All Counts'!I255</f>
        <v>36</v>
      </c>
      <c r="H255" s="136">
        <f>'[2]All Counts'!J255</f>
        <v>0</v>
      </c>
      <c r="I255" s="136" t="str">
        <f>'[2]All Counts'!K255</f>
        <v>CIVIC CENTER</v>
      </c>
      <c r="J255" s="136" t="str">
        <f>'[2]All Counts'!L255</f>
        <v>MAIN</v>
      </c>
      <c r="K255" s="136">
        <f>'[2]All Counts'!O255</f>
        <v>18512</v>
      </c>
      <c r="L255" s="57">
        <f>VLOOKUP(ws[[#This Row],[hwycov_id]],readme!D:G,4,FALSE)</f>
        <v>26484.007812</v>
      </c>
      <c r="M255" s="88">
        <f>ws[[#This Row],[flow]]/ws[[#This Row],[count]]-1</f>
        <v>0.43064000713050987</v>
      </c>
      <c r="N255" s="89">
        <f>POWER((ws[[#This Row],[flow]]-ws[[#This Row],[count]]),2)</f>
        <v>63552908.554589026</v>
      </c>
      <c r="O255" s="43">
        <f>VLOOKUP(ws[[#This Row],[hwycov_id]],count[],6,FALSE)</f>
        <v>0</v>
      </c>
      <c r="P255" s="43">
        <v>319</v>
      </c>
      <c r="Q255" s="43" t="str">
        <f>'[2]All Counts'!P255</f>
        <v>Caltran</v>
      </c>
      <c r="S255" s="94">
        <v>12247</v>
      </c>
      <c r="T255" s="17"/>
      <c r="U255" s="17"/>
      <c r="V255" s="17">
        <v>20955</v>
      </c>
      <c r="W255" s="17">
        <v>19640.533202999999</v>
      </c>
      <c r="X255" s="17"/>
      <c r="Y255" s="17"/>
      <c r="Z255" s="17"/>
      <c r="AA255" s="17"/>
      <c r="AB255" s="17">
        <v>20955</v>
      </c>
      <c r="AC255" s="17">
        <v>19640.533202999999</v>
      </c>
      <c r="AD255"/>
      <c r="AE255"/>
    </row>
    <row r="256" spans="1:31" x14ac:dyDescent="0.25">
      <c r="A256" s="136">
        <f>'[2]All Counts'!C256</f>
        <v>1</v>
      </c>
      <c r="B256" s="136">
        <f>'[2]All Counts'!D256</f>
        <v>1</v>
      </c>
      <c r="C256" s="136">
        <f>'[2]All Counts'!E256</f>
        <v>20465</v>
      </c>
      <c r="D256" s="136">
        <f>'[2]All Counts'!F256</f>
        <v>1</v>
      </c>
      <c r="E256" s="136">
        <f>'[2]All Counts'!G256</f>
        <v>1</v>
      </c>
      <c r="F256" s="136" t="str">
        <f>'[2]All Counts'!H256</f>
        <v>I-5 NB</v>
      </c>
      <c r="G256" s="136">
        <f>'[2]All Counts'!I256</f>
        <v>38</v>
      </c>
      <c r="H256" s="136">
        <f>'[2]All Counts'!J256</f>
        <v>0</v>
      </c>
      <c r="I256" s="136" t="str">
        <f>'[2]All Counts'!K256</f>
        <v>MAIN</v>
      </c>
      <c r="J256" s="136" t="str">
        <f>'[2]All Counts'!L256</f>
        <v>SR-15 NB</v>
      </c>
      <c r="K256" s="136">
        <f>'[2]All Counts'!O256</f>
        <v>19491</v>
      </c>
      <c r="L256" s="57">
        <f>VLOOKUP(ws[[#This Row],[hwycov_id]],readme!D:G,4,FALSE)</f>
        <v>26961.078125</v>
      </c>
      <c r="M256" s="88">
        <f>ws[[#This Row],[flow]]/ws[[#This Row],[count]]-1</f>
        <v>0.38325781771073819</v>
      </c>
      <c r="N256" s="89">
        <f>POWER((ws[[#This Row],[flow]]-ws[[#This Row],[count]]),2)</f>
        <v>55802067.193603516</v>
      </c>
      <c r="O256" s="43">
        <f>VLOOKUP(ws[[#This Row],[hwycov_id]],count[],6,FALSE)</f>
        <v>0</v>
      </c>
      <c r="P256" s="43">
        <v>60</v>
      </c>
      <c r="Q256" s="43" t="str">
        <f>'[2]All Counts'!P256</f>
        <v>PeMS2016</v>
      </c>
      <c r="S256" s="94">
        <v>12253</v>
      </c>
      <c r="T256" s="17">
        <v>23051</v>
      </c>
      <c r="U256" s="17">
        <v>26965.445312</v>
      </c>
      <c r="V256" s="17"/>
      <c r="W256" s="17"/>
      <c r="X256" s="17"/>
      <c r="Y256" s="17"/>
      <c r="Z256" s="17"/>
      <c r="AA256" s="17"/>
      <c r="AB256" s="17">
        <v>23051</v>
      </c>
      <c r="AC256" s="17">
        <v>26965.445312</v>
      </c>
      <c r="AD256"/>
      <c r="AE256"/>
    </row>
    <row r="257" spans="1:31" x14ac:dyDescent="0.25">
      <c r="A257" s="136">
        <f>'[2]All Counts'!C257</f>
        <v>1</v>
      </c>
      <c r="B257" s="136">
        <f>'[2]All Counts'!D257</f>
        <v>1</v>
      </c>
      <c r="C257" s="136">
        <f>'[2]All Counts'!E257</f>
        <v>20466</v>
      </c>
      <c r="D257" s="136">
        <f>'[2]All Counts'!F257</f>
        <v>1</v>
      </c>
      <c r="E257" s="136">
        <f>'[2]All Counts'!G257</f>
        <v>1</v>
      </c>
      <c r="F257" s="136" t="str">
        <f>'[2]All Counts'!H257</f>
        <v>I-5 NB</v>
      </c>
      <c r="G257" s="136">
        <f>'[2]All Counts'!I257</f>
        <v>39</v>
      </c>
      <c r="H257" s="136">
        <f>'[2]All Counts'!J257</f>
        <v>0</v>
      </c>
      <c r="I257" s="136" t="str">
        <f>'[2]All Counts'!K257</f>
        <v>SR-15 NB</v>
      </c>
      <c r="J257" s="136" t="str">
        <f>'[2]All Counts'!L257</f>
        <v>SR-15 SB</v>
      </c>
      <c r="K257" s="136">
        <f>'[2]All Counts'!O257</f>
        <v>13222</v>
      </c>
      <c r="L257" s="57">
        <f>VLOOKUP(ws[[#This Row],[hwycov_id]],readme!D:G,4,FALSE)</f>
        <v>17586.066406000002</v>
      </c>
      <c r="M257" s="88">
        <f>ws[[#This Row],[flow]]/ws[[#This Row],[count]]-1</f>
        <v>0.33006098971411291</v>
      </c>
      <c r="N257" s="89">
        <f>POWER((ws[[#This Row],[flow]]-ws[[#This Row],[count]]),2)</f>
        <v>19045075.595977772</v>
      </c>
      <c r="O257" s="43">
        <f>VLOOKUP(ws[[#This Row],[hwycov_id]],count[],6,FALSE)</f>
        <v>0</v>
      </c>
      <c r="P257" s="43">
        <v>56</v>
      </c>
      <c r="Q257" s="43" t="str">
        <f>'[2]All Counts'!P257</f>
        <v>PeMS2016</v>
      </c>
      <c r="S257" s="94">
        <v>12547</v>
      </c>
      <c r="T257" s="17"/>
      <c r="U257" s="17"/>
      <c r="V257" s="17"/>
      <c r="W257" s="17"/>
      <c r="X257" s="17">
        <v>11402</v>
      </c>
      <c r="Y257" s="17">
        <v>12113.695312</v>
      </c>
      <c r="Z257" s="17"/>
      <c r="AA257" s="17"/>
      <c r="AB257" s="17">
        <v>11402</v>
      </c>
      <c r="AC257" s="17">
        <v>12113.695312</v>
      </c>
      <c r="AD257"/>
      <c r="AE257"/>
    </row>
    <row r="258" spans="1:31" x14ac:dyDescent="0.25">
      <c r="A258" s="136">
        <f>'[2]All Counts'!C258</f>
        <v>1</v>
      </c>
      <c r="B258" s="136">
        <f>'[2]All Counts'!D258</f>
        <v>1</v>
      </c>
      <c r="C258" s="136">
        <f>'[2]All Counts'!E258</f>
        <v>28735</v>
      </c>
      <c r="D258" s="136">
        <f>'[2]All Counts'!F258</f>
        <v>1</v>
      </c>
      <c r="E258" s="136">
        <f>'[2]All Counts'!G258</f>
        <v>1</v>
      </c>
      <c r="F258" s="136" t="str">
        <f>'[2]All Counts'!H258</f>
        <v>I-5 NB</v>
      </c>
      <c r="G258" s="136">
        <f>'[2]All Counts'!I258</f>
        <v>40</v>
      </c>
      <c r="H258" s="136">
        <f>'[2]All Counts'!J258</f>
        <v>0</v>
      </c>
      <c r="I258" s="136" t="str">
        <f>'[2]All Counts'!K258</f>
        <v>SR-15 SB</v>
      </c>
      <c r="J258" s="136" t="str">
        <f>'[2]All Counts'!L258</f>
        <v>NATIONAL</v>
      </c>
      <c r="K258" s="136">
        <f>'[2]All Counts'!O258</f>
        <v>13512</v>
      </c>
      <c r="L258" s="57">
        <f>VLOOKUP(ws[[#This Row],[hwycov_id]],readme!D:G,4,FALSE)</f>
        <v>20065.240234000001</v>
      </c>
      <c r="M258" s="88">
        <f>ws[[#This Row],[flow]]/ws[[#This Row],[count]]-1</f>
        <v>0.4849940966548254</v>
      </c>
      <c r="N258" s="89">
        <f>POWER((ws[[#This Row],[flow]]-ws[[#This Row],[count]]),2)</f>
        <v>42944957.564516388</v>
      </c>
      <c r="O258" s="43">
        <f>VLOOKUP(ws[[#This Row],[hwycov_id]],count[],6,FALSE)</f>
        <v>0</v>
      </c>
      <c r="P258" s="43">
        <v>54</v>
      </c>
      <c r="Q258" s="43" t="str">
        <f>'[2]All Counts'!P258</f>
        <v>PeMS2016</v>
      </c>
      <c r="S258" s="94">
        <v>12571</v>
      </c>
      <c r="T258" s="17"/>
      <c r="U258" s="17"/>
      <c r="V258" s="17"/>
      <c r="W258" s="17"/>
      <c r="X258" s="17">
        <v>15506</v>
      </c>
      <c r="Y258" s="17">
        <v>14225.608398</v>
      </c>
      <c r="Z258" s="17"/>
      <c r="AA258" s="17"/>
      <c r="AB258" s="17">
        <v>15506</v>
      </c>
      <c r="AC258" s="17">
        <v>14225.608398</v>
      </c>
      <c r="AD258"/>
      <c r="AE258"/>
    </row>
    <row r="259" spans="1:31" x14ac:dyDescent="0.25">
      <c r="A259" s="136">
        <f>'[2]All Counts'!C259</f>
        <v>1</v>
      </c>
      <c r="B259" s="136">
        <f>'[2]All Counts'!D259</f>
        <v>1</v>
      </c>
      <c r="C259" s="136">
        <f>'[2]All Counts'!E259</f>
        <v>20467</v>
      </c>
      <c r="D259" s="136">
        <f>'[2]All Counts'!F259</f>
        <v>1</v>
      </c>
      <c r="E259" s="136">
        <f>'[2]All Counts'!G259</f>
        <v>1</v>
      </c>
      <c r="F259" s="136" t="str">
        <f>'[2]All Counts'!H259</f>
        <v>I-5 NB</v>
      </c>
      <c r="G259" s="136">
        <f>'[2]All Counts'!I259</f>
        <v>41</v>
      </c>
      <c r="H259" s="136">
        <f>'[2]All Counts'!J259</f>
        <v>0</v>
      </c>
      <c r="I259" s="136" t="str">
        <f>'[2]All Counts'!K259</f>
        <v>NATIONAL</v>
      </c>
      <c r="J259" s="136" t="str">
        <f>'[2]All Counts'!L259</f>
        <v>28TH</v>
      </c>
      <c r="K259" s="136">
        <f>'[2]All Counts'!O259</f>
        <v>16004</v>
      </c>
      <c r="L259" s="57">
        <f>VLOOKUP(ws[[#This Row],[hwycov_id]],readme!D:G,4,FALSE)</f>
        <v>18888.876952999999</v>
      </c>
      <c r="M259" s="88">
        <f>ws[[#This Row],[flow]]/ws[[#This Row],[count]]-1</f>
        <v>0.18025974462634342</v>
      </c>
      <c r="N259" s="89">
        <f>POWER((ws[[#This Row],[flow]]-ws[[#This Row],[count]]),2)</f>
        <v>8322515.0339505589</v>
      </c>
      <c r="O259" s="43">
        <f>VLOOKUP(ws[[#This Row],[hwycov_id]],count[],6,FALSE)</f>
        <v>0</v>
      </c>
      <c r="P259" s="43">
        <v>55</v>
      </c>
      <c r="Q259" s="43" t="str">
        <f>'[2]All Counts'!P259</f>
        <v>PeMS2016</v>
      </c>
      <c r="S259" s="94">
        <v>12578</v>
      </c>
      <c r="T259" s="17"/>
      <c r="U259" s="17"/>
      <c r="V259" s="17"/>
      <c r="W259" s="17"/>
      <c r="X259" s="17">
        <v>11913</v>
      </c>
      <c r="Y259" s="17">
        <v>11507.895508</v>
      </c>
      <c r="Z259" s="17"/>
      <c r="AA259" s="17"/>
      <c r="AB259" s="17">
        <v>11913</v>
      </c>
      <c r="AC259" s="17">
        <v>11507.895508</v>
      </c>
      <c r="AD259"/>
      <c r="AE259"/>
    </row>
    <row r="260" spans="1:31" x14ac:dyDescent="0.25">
      <c r="A260" s="136">
        <f>'[2]All Counts'!C260</f>
        <v>1</v>
      </c>
      <c r="B260" s="136">
        <f>'[2]All Counts'!D260</f>
        <v>1</v>
      </c>
      <c r="C260" s="136">
        <f>'[2]All Counts'!E260</f>
        <v>27792</v>
      </c>
      <c r="D260" s="136">
        <f>'[2]All Counts'!F260</f>
        <v>1</v>
      </c>
      <c r="E260" s="136">
        <f>'[2]All Counts'!G260</f>
        <v>1</v>
      </c>
      <c r="F260" s="136" t="str">
        <f>'[2]All Counts'!H260</f>
        <v>I-5 NB</v>
      </c>
      <c r="G260" s="136">
        <f>'[2]All Counts'!I260</f>
        <v>47</v>
      </c>
      <c r="H260" s="136">
        <f>'[2]All Counts'!J260</f>
        <v>0</v>
      </c>
      <c r="I260" s="136" t="str">
        <f>'[2]All Counts'!K260</f>
        <v>SR-75 NB</v>
      </c>
      <c r="J260" s="136" t="str">
        <f>'[2]All Counts'!L260</f>
        <v>IMPERIAL</v>
      </c>
      <c r="K260" s="136">
        <f>'[2]All Counts'!O260</f>
        <v>17494</v>
      </c>
      <c r="L260" s="57">
        <f>VLOOKUP(ws[[#This Row],[hwycov_id]],readme!D:G,4,FALSE)</f>
        <v>23526.082031000002</v>
      </c>
      <c r="M260" s="88">
        <f>ws[[#This Row],[flow]]/ws[[#This Row],[count]]-1</f>
        <v>0.34480862187035566</v>
      </c>
      <c r="N260" s="89">
        <f>POWER((ws[[#This Row],[flow]]-ws[[#This Row],[count]]),2)</f>
        <v>36386013.628713109</v>
      </c>
      <c r="O260" s="43">
        <f>VLOOKUP(ws[[#This Row],[hwycov_id]],count[],6,FALSE)</f>
        <v>0</v>
      </c>
      <c r="P260" s="43">
        <v>496</v>
      </c>
      <c r="Q260" s="43" t="str">
        <f>'[2]All Counts'!P260</f>
        <v>PeMS2016</v>
      </c>
      <c r="S260" s="94">
        <v>12579</v>
      </c>
      <c r="T260" s="17"/>
      <c r="U260" s="17"/>
      <c r="V260" s="17"/>
      <c r="W260" s="17"/>
      <c r="X260" s="17">
        <v>13748</v>
      </c>
      <c r="Y260" s="17">
        <v>12686.825194999999</v>
      </c>
      <c r="Z260" s="17"/>
      <c r="AA260" s="17"/>
      <c r="AB260" s="17">
        <v>13748</v>
      </c>
      <c r="AC260" s="17">
        <v>12686.825194999999</v>
      </c>
      <c r="AD260"/>
      <c r="AE260"/>
    </row>
    <row r="261" spans="1:31" x14ac:dyDescent="0.25">
      <c r="A261" s="136">
        <f>'[2]All Counts'!C261</f>
        <v>1</v>
      </c>
      <c r="B261" s="136">
        <f>'[2]All Counts'!D261</f>
        <v>1</v>
      </c>
      <c r="C261" s="136">
        <f>'[2]All Counts'!E261</f>
        <v>27807</v>
      </c>
      <c r="D261" s="136">
        <f>'[2]All Counts'!F261</f>
        <v>1</v>
      </c>
      <c r="E261" s="136">
        <f>'[2]All Counts'!G261</f>
        <v>1</v>
      </c>
      <c r="F261" s="136" t="str">
        <f>'[2]All Counts'!H261</f>
        <v>I-5 NB</v>
      </c>
      <c r="G261" s="136">
        <f>'[2]All Counts'!I261</f>
        <v>50</v>
      </c>
      <c r="H261" s="136">
        <f>'[2]All Counts'!J261</f>
        <v>0</v>
      </c>
      <c r="I261" s="136" t="str">
        <f>'[2]All Counts'!K261</f>
        <v>19TH</v>
      </c>
      <c r="J261" s="136" t="str">
        <f>'[2]All Counts'!L261</f>
        <v>PERSHING</v>
      </c>
      <c r="K261" s="136">
        <f>'[2]All Counts'!O261</f>
        <v>17981</v>
      </c>
      <c r="L261" s="57">
        <f>VLOOKUP(ws[[#This Row],[hwycov_id]],readme!D:G,4,FALSE)</f>
        <v>23077.027343999998</v>
      </c>
      <c r="M261" s="88">
        <f>ws[[#This Row],[flow]]/ws[[#This Row],[count]]-1</f>
        <v>0.28341178710861459</v>
      </c>
      <c r="N261" s="89">
        <f>POWER((ws[[#This Row],[flow]]-ws[[#This Row],[count]]),2)</f>
        <v>25969494.690795675</v>
      </c>
      <c r="O261" s="43">
        <f>VLOOKUP(ws[[#This Row],[hwycov_id]],count[],6,FALSE)</f>
        <v>0</v>
      </c>
      <c r="P261" s="43">
        <v>495</v>
      </c>
      <c r="Q261" s="43" t="str">
        <f>'[2]All Counts'!P261</f>
        <v>Caltran</v>
      </c>
      <c r="S261" s="94">
        <v>12583</v>
      </c>
      <c r="T261" s="17"/>
      <c r="U261" s="17"/>
      <c r="V261" s="17">
        <v>16727</v>
      </c>
      <c r="W261" s="17">
        <v>17223.634765999999</v>
      </c>
      <c r="X261" s="17"/>
      <c r="Y261" s="17"/>
      <c r="Z261" s="17"/>
      <c r="AA261" s="17"/>
      <c r="AB261" s="17">
        <v>16727</v>
      </c>
      <c r="AC261" s="17">
        <v>17223.634765999999</v>
      </c>
      <c r="AD261"/>
      <c r="AE261"/>
    </row>
    <row r="262" spans="1:31" x14ac:dyDescent="0.25">
      <c r="A262" s="136">
        <f>'[2]All Counts'!C262</f>
        <v>1</v>
      </c>
      <c r="B262" s="136">
        <f>'[2]All Counts'!D262</f>
        <v>1</v>
      </c>
      <c r="C262" s="136">
        <f>'[2]All Counts'!E262</f>
        <v>30862</v>
      </c>
      <c r="D262" s="136">
        <f>'[2]All Counts'!F262</f>
        <v>1</v>
      </c>
      <c r="E262" s="136">
        <f>'[2]All Counts'!G262</f>
        <v>1</v>
      </c>
      <c r="F262" s="136" t="str">
        <f>'[2]All Counts'!H262</f>
        <v>I-5 NB</v>
      </c>
      <c r="G262" s="136">
        <f>'[2]All Counts'!I262</f>
        <v>53</v>
      </c>
      <c r="H262" s="136">
        <f>'[2]All Counts'!J262</f>
        <v>0</v>
      </c>
      <c r="I262" s="136" t="str">
        <f>'[2]All Counts'!K262</f>
        <v>SR-94 WB</v>
      </c>
      <c r="J262" s="136" t="str">
        <f>'[2]All Counts'!L262</f>
        <v>PERSHING</v>
      </c>
      <c r="K262" s="136">
        <f>'[2]All Counts'!O262</f>
        <v>16768</v>
      </c>
      <c r="L262" s="57">
        <f>VLOOKUP(ws[[#This Row],[hwycov_id]],readme!D:G,4,FALSE)</f>
        <v>26549.888672000001</v>
      </c>
      <c r="M262" s="88">
        <f>ws[[#This Row],[flow]]/ws[[#This Row],[count]]-1</f>
        <v>0.58336645229007633</v>
      </c>
      <c r="N262" s="89">
        <f>POWER((ws[[#This Row],[flow]]-ws[[#This Row],[count]]),2)</f>
        <v>95685345.991401941</v>
      </c>
      <c r="O262" s="43">
        <f>VLOOKUP(ws[[#This Row],[hwycov_id]],count[],6,FALSE)</f>
        <v>0</v>
      </c>
      <c r="P262" s="43">
        <v>317</v>
      </c>
      <c r="Q262" s="43" t="str">
        <f>'[2]All Counts'!P262</f>
        <v>PeMS2016</v>
      </c>
      <c r="S262" s="94">
        <v>12589</v>
      </c>
      <c r="T262" s="17"/>
      <c r="U262" s="17"/>
      <c r="V262" s="17">
        <v>18413</v>
      </c>
      <c r="W262" s="17">
        <v>18015.130859000001</v>
      </c>
      <c r="X262" s="17"/>
      <c r="Y262" s="17"/>
      <c r="Z262" s="17"/>
      <c r="AA262" s="17"/>
      <c r="AB262" s="17">
        <v>18413</v>
      </c>
      <c r="AC262" s="17">
        <v>18015.130859000001</v>
      </c>
      <c r="AD262"/>
      <c r="AE262"/>
    </row>
    <row r="263" spans="1:31" x14ac:dyDescent="0.25">
      <c r="A263" s="136">
        <f>'[2]All Counts'!C263</f>
        <v>1</v>
      </c>
      <c r="B263" s="136">
        <f>'[2]All Counts'!D263</f>
        <v>1</v>
      </c>
      <c r="C263" s="136">
        <f>'[2]All Counts'!E263</f>
        <v>27825</v>
      </c>
      <c r="D263" s="136">
        <f>'[2]All Counts'!F263</f>
        <v>1</v>
      </c>
      <c r="E263" s="136">
        <f>'[2]All Counts'!G263</f>
        <v>1</v>
      </c>
      <c r="F263" s="136" t="str">
        <f>'[2]All Counts'!H263</f>
        <v>I-5 NB</v>
      </c>
      <c r="G263" s="136">
        <f>'[2]All Counts'!I263</f>
        <v>56</v>
      </c>
      <c r="H263" s="136">
        <f>'[2]All Counts'!J263</f>
        <v>0</v>
      </c>
      <c r="I263" s="136" t="str">
        <f>'[2]All Counts'!K263</f>
        <v>PERSHING</v>
      </c>
      <c r="J263" s="136" t="str">
        <f>'[2]All Counts'!L263</f>
        <v>PARK</v>
      </c>
      <c r="K263" s="136">
        <f>'[2]All Counts'!O263</f>
        <v>25692</v>
      </c>
      <c r="L263" s="57">
        <f>VLOOKUP(ws[[#This Row],[hwycov_id]],readme!D:G,4,FALSE)</f>
        <v>29806.384765999999</v>
      </c>
      <c r="M263" s="88">
        <f>ws[[#This Row],[flow]]/ws[[#This Row],[count]]-1</f>
        <v>0.16014264230110542</v>
      </c>
      <c r="N263" s="89">
        <f>POWER((ws[[#This Row],[flow]]-ws[[#This Row],[count]]),2)</f>
        <v>16928162.002692867</v>
      </c>
      <c r="O263" s="43">
        <f>VLOOKUP(ws[[#This Row],[hwycov_id]],count[],6,FALSE)</f>
        <v>0</v>
      </c>
      <c r="P263" s="43">
        <v>394</v>
      </c>
      <c r="Q263" s="43" t="str">
        <f>'[2]All Counts'!P263</f>
        <v>PeMS2016</v>
      </c>
      <c r="S263" s="94">
        <v>12592</v>
      </c>
      <c r="T263" s="17">
        <v>23458</v>
      </c>
      <c r="U263" s="17">
        <v>27735.917968999998</v>
      </c>
      <c r="V263" s="17"/>
      <c r="W263" s="17"/>
      <c r="X263" s="17"/>
      <c r="Y263" s="17"/>
      <c r="Z263" s="17"/>
      <c r="AA263" s="17"/>
      <c r="AB263" s="17">
        <v>23458</v>
      </c>
      <c r="AC263" s="17">
        <v>27735.917968999998</v>
      </c>
      <c r="AD263"/>
      <c r="AE263"/>
    </row>
    <row r="264" spans="1:31" x14ac:dyDescent="0.25">
      <c r="A264" s="136">
        <f>'[2]All Counts'!C264</f>
        <v>1</v>
      </c>
      <c r="B264" s="136">
        <f>'[2]All Counts'!D264</f>
        <v>1</v>
      </c>
      <c r="C264" s="136">
        <f>'[2]All Counts'!E264</f>
        <v>27832</v>
      </c>
      <c r="D264" s="136">
        <f>'[2]All Counts'!F264</f>
        <v>1</v>
      </c>
      <c r="E264" s="136">
        <f>'[2]All Counts'!G264</f>
        <v>1</v>
      </c>
      <c r="F264" s="136" t="str">
        <f>'[2]All Counts'!H264</f>
        <v>I-5 NB</v>
      </c>
      <c r="G264" s="136">
        <f>'[2]All Counts'!I264</f>
        <v>58</v>
      </c>
      <c r="H264" s="136">
        <f>'[2]All Counts'!J264</f>
        <v>0</v>
      </c>
      <c r="I264" s="136" t="str">
        <f>'[2]All Counts'!K264</f>
        <v>PARK</v>
      </c>
      <c r="J264" s="136" t="str">
        <f>'[2]All Counts'!L264</f>
        <v>PARK</v>
      </c>
      <c r="K264" s="136">
        <f>'[2]All Counts'!O264</f>
        <v>24518</v>
      </c>
      <c r="L264" s="57">
        <f>VLOOKUP(ws[[#This Row],[hwycov_id]],readme!D:G,4,FALSE)</f>
        <v>24912.363281000002</v>
      </c>
      <c r="M264" s="88">
        <f>ws[[#This Row],[flow]]/ws[[#This Row],[count]]-1</f>
        <v>1.6084643160127365E-2</v>
      </c>
      <c r="N264" s="89">
        <f>POWER((ws[[#This Row],[flow]]-ws[[#This Row],[count]]),2)</f>
        <v>155522.39740108632</v>
      </c>
      <c r="O264" s="43">
        <f>VLOOKUP(ws[[#This Row],[hwycov_id]],count[],6,FALSE)</f>
        <v>0</v>
      </c>
      <c r="P264" s="43">
        <v>418</v>
      </c>
      <c r="Q264" s="43" t="str">
        <f>'[2]All Counts'!P264</f>
        <v>PeMS2016</v>
      </c>
      <c r="S264" s="94">
        <v>12823</v>
      </c>
      <c r="T264" s="17"/>
      <c r="U264" s="17"/>
      <c r="V264" s="17"/>
      <c r="W264" s="17"/>
      <c r="X264" s="17">
        <v>8363</v>
      </c>
      <c r="Y264" s="17">
        <v>9939.8212889999995</v>
      </c>
      <c r="Z264" s="17"/>
      <c r="AA264" s="17"/>
      <c r="AB264" s="17">
        <v>8363</v>
      </c>
      <c r="AC264" s="17">
        <v>9939.8212889999995</v>
      </c>
      <c r="AD264"/>
      <c r="AE264"/>
    </row>
    <row r="265" spans="1:31" x14ac:dyDescent="0.25">
      <c r="A265" s="136">
        <f>'[2]All Counts'!C265</f>
        <v>1</v>
      </c>
      <c r="B265" s="136">
        <f>'[2]All Counts'!D265</f>
        <v>1</v>
      </c>
      <c r="C265" s="136">
        <f>'[2]All Counts'!E265</f>
        <v>29232</v>
      </c>
      <c r="D265" s="136">
        <f>'[2]All Counts'!F265</f>
        <v>1</v>
      </c>
      <c r="E265" s="136">
        <f>'[2]All Counts'!G265</f>
        <v>1</v>
      </c>
      <c r="F265" s="136" t="str">
        <f>'[2]All Counts'!H265</f>
        <v>I-5 NB</v>
      </c>
      <c r="G265" s="136">
        <f>'[2]All Counts'!I265</f>
        <v>59</v>
      </c>
      <c r="H265" s="136">
        <f>'[2]All Counts'!J265</f>
        <v>0</v>
      </c>
      <c r="I265" s="136" t="str">
        <f>'[2]All Counts'!K265</f>
        <v>PARK</v>
      </c>
      <c r="J265" s="136" t="str">
        <f>'[2]All Counts'!L265</f>
        <v>06TH</v>
      </c>
      <c r="K265" s="136">
        <f>'[2]All Counts'!O265</f>
        <v>16511</v>
      </c>
      <c r="L265" s="57">
        <f>VLOOKUP(ws[[#This Row],[hwycov_id]],readme!D:G,4,FALSE)</f>
        <v>20386.878906000002</v>
      </c>
      <c r="M265" s="88">
        <f>ws[[#This Row],[flow]]/ws[[#This Row],[count]]-1</f>
        <v>0.2347452550420932</v>
      </c>
      <c r="N265" s="89">
        <f>POWER((ws[[#This Row],[flow]]-ws[[#This Row],[count]]),2)</f>
        <v>15022437.29397577</v>
      </c>
      <c r="O265" s="43">
        <f>VLOOKUP(ws[[#This Row],[hwycov_id]],count[],6,FALSE)</f>
        <v>0</v>
      </c>
      <c r="P265" s="43">
        <v>34</v>
      </c>
      <c r="Q265" s="43" t="str">
        <f>'[2]All Counts'!P265</f>
        <v>PeMS2016</v>
      </c>
      <c r="S265" s="94">
        <v>12837</v>
      </c>
      <c r="T265" s="17"/>
      <c r="U265" s="17"/>
      <c r="V265" s="17"/>
      <c r="W265" s="17"/>
      <c r="X265" s="17">
        <v>18328</v>
      </c>
      <c r="Y265" s="17">
        <v>22530.097656000002</v>
      </c>
      <c r="Z265" s="17"/>
      <c r="AA265" s="17"/>
      <c r="AB265" s="17">
        <v>18328</v>
      </c>
      <c r="AC265" s="17">
        <v>22530.097656000002</v>
      </c>
      <c r="AD265"/>
      <c r="AE265"/>
    </row>
    <row r="266" spans="1:31" x14ac:dyDescent="0.25">
      <c r="A266" s="136">
        <f>'[2]All Counts'!C266</f>
        <v>1</v>
      </c>
      <c r="B266" s="136">
        <f>'[2]All Counts'!D266</f>
        <v>1</v>
      </c>
      <c r="C266" s="136">
        <f>'[2]All Counts'!E266</f>
        <v>29756</v>
      </c>
      <c r="D266" s="136">
        <f>'[2]All Counts'!F266</f>
        <v>1</v>
      </c>
      <c r="E266" s="136">
        <f>'[2]All Counts'!G266</f>
        <v>1</v>
      </c>
      <c r="F266" s="136" t="str">
        <f>'[2]All Counts'!H266</f>
        <v>I-5 NB</v>
      </c>
      <c r="G266" s="136">
        <f>'[2]All Counts'!I266</f>
        <v>61</v>
      </c>
      <c r="H266" s="136">
        <f>'[2]All Counts'!J266</f>
        <v>0</v>
      </c>
      <c r="I266" s="136" t="str">
        <f>'[2]All Counts'!K266</f>
        <v>HAWTHORN</v>
      </c>
      <c r="J266" s="136" t="str">
        <f>'[2]All Counts'!L266</f>
        <v>01ST</v>
      </c>
      <c r="K266" s="136">
        <f>'[2]All Counts'!O266</f>
        <v>17069</v>
      </c>
      <c r="L266" s="57">
        <f>VLOOKUP(ws[[#This Row],[hwycov_id]],readme!D:G,4,FALSE)</f>
        <v>18601.316406000002</v>
      </c>
      <c r="M266" s="88">
        <f>ws[[#This Row],[flow]]/ws[[#This Row],[count]]-1</f>
        <v>8.9771890913351804E-2</v>
      </c>
      <c r="N266" s="89">
        <f>POWER((ws[[#This Row],[flow]]-ws[[#This Row],[count]]),2)</f>
        <v>2347993.5680967621</v>
      </c>
      <c r="O266" s="43">
        <f>VLOOKUP(ws[[#This Row],[hwycov_id]],count[],6,FALSE)</f>
        <v>0</v>
      </c>
      <c r="P266" s="43">
        <v>36</v>
      </c>
      <c r="Q266" s="43" t="str">
        <f>'[2]All Counts'!P266</f>
        <v>PeMS2016</v>
      </c>
      <c r="S266" s="94">
        <v>12838</v>
      </c>
      <c r="T266" s="17"/>
      <c r="U266" s="17"/>
      <c r="V266" s="17"/>
      <c r="W266" s="17"/>
      <c r="X266" s="17"/>
      <c r="Y266" s="17"/>
      <c r="Z266" s="17">
        <v>21956</v>
      </c>
      <c r="AA266" s="17">
        <v>22969.519531000002</v>
      </c>
      <c r="AB266" s="17">
        <v>21956</v>
      </c>
      <c r="AC266" s="17">
        <v>22969.519531000002</v>
      </c>
      <c r="AD266"/>
      <c r="AE266"/>
    </row>
    <row r="267" spans="1:31" x14ac:dyDescent="0.25">
      <c r="A267" s="136">
        <f>'[2]All Counts'!C267</f>
        <v>1</v>
      </c>
      <c r="B267" s="136">
        <f>'[2]All Counts'!D267</f>
        <v>1</v>
      </c>
      <c r="C267" s="136">
        <f>'[2]All Counts'!E267</f>
        <v>30864</v>
      </c>
      <c r="D267" s="136">
        <f>'[2]All Counts'!F267</f>
        <v>1</v>
      </c>
      <c r="E267" s="136">
        <f>'[2]All Counts'!G267</f>
        <v>1</v>
      </c>
      <c r="F267" s="136" t="str">
        <f>'[2]All Counts'!H267</f>
        <v>I-5 NB</v>
      </c>
      <c r="G267" s="136">
        <f>'[2]All Counts'!I267</f>
        <v>63</v>
      </c>
      <c r="H267" s="136">
        <f>'[2]All Counts'!J267</f>
        <v>0</v>
      </c>
      <c r="I267" s="136" t="str">
        <f>'[2]All Counts'!K267</f>
        <v>01ST</v>
      </c>
      <c r="J267" s="136" t="str">
        <f>'[2]All Counts'!L267</f>
        <v>HAWTHORN</v>
      </c>
      <c r="K267" s="136">
        <f>'[2]All Counts'!O267</f>
        <v>22881</v>
      </c>
      <c r="L267" s="57">
        <f>VLOOKUP(ws[[#This Row],[hwycov_id]],readme!D:G,4,FALSE)</f>
        <v>23477.322265999999</v>
      </c>
      <c r="M267" s="88">
        <f>ws[[#This Row],[flow]]/ws[[#This Row],[count]]-1</f>
        <v>2.6061897032472414E-2</v>
      </c>
      <c r="N267" s="89">
        <f>POWER((ws[[#This Row],[flow]]-ws[[#This Row],[count]]),2)</f>
        <v>355600.24492737383</v>
      </c>
      <c r="O267" s="43">
        <f>VLOOKUP(ws[[#This Row],[hwycov_id]],count[],6,FALSE)</f>
        <v>0</v>
      </c>
      <c r="P267" s="43">
        <v>736</v>
      </c>
      <c r="Q267" s="43" t="str">
        <f>'[2]All Counts'!P267</f>
        <v>PeMS2016</v>
      </c>
      <c r="S267" s="94">
        <v>12841</v>
      </c>
      <c r="T267" s="17"/>
      <c r="U267" s="17"/>
      <c r="V267" s="17"/>
      <c r="W267" s="17"/>
      <c r="X267" s="17"/>
      <c r="Y267" s="17"/>
      <c r="Z267" s="17">
        <v>10358</v>
      </c>
      <c r="AA267" s="17">
        <v>10515.212890999999</v>
      </c>
      <c r="AB267" s="17">
        <v>10358</v>
      </c>
      <c r="AC267" s="17">
        <v>10515.212890999999</v>
      </c>
      <c r="AD267"/>
      <c r="AE267"/>
    </row>
    <row r="268" spans="1:31" x14ac:dyDescent="0.25">
      <c r="A268" s="136">
        <f>'[2]All Counts'!C268</f>
        <v>1</v>
      </c>
      <c r="B268" s="136">
        <f>'[2]All Counts'!D268</f>
        <v>1</v>
      </c>
      <c r="C268" s="136">
        <f>'[2]All Counts'!E268</f>
        <v>20529</v>
      </c>
      <c r="D268" s="136">
        <f>'[2]All Counts'!F268</f>
        <v>1</v>
      </c>
      <c r="E268" s="136">
        <f>'[2]All Counts'!G268</f>
        <v>1</v>
      </c>
      <c r="F268" s="136" t="str">
        <f>'[2]All Counts'!H268</f>
        <v>I-5 NB</v>
      </c>
      <c r="G268" s="136">
        <f>'[2]All Counts'!I268</f>
        <v>66</v>
      </c>
      <c r="H268" s="136">
        <f>'[2]All Counts'!J268</f>
        <v>0</v>
      </c>
      <c r="I268" s="136" t="str">
        <f>'[2]All Counts'!K268</f>
        <v>INDIA</v>
      </c>
      <c r="J268" s="136" t="str">
        <f>'[2]All Counts'!L268</f>
        <v>PACIFIC</v>
      </c>
      <c r="K268" s="136">
        <f>'[2]All Counts'!O268</f>
        <v>18567</v>
      </c>
      <c r="L268" s="57">
        <f>VLOOKUP(ws[[#This Row],[hwycov_id]],readme!D:G,4,FALSE)</f>
        <v>24870.359375</v>
      </c>
      <c r="M268" s="88">
        <f>ws[[#This Row],[flow]]/ws[[#This Row],[count]]-1</f>
        <v>0.33949261458501634</v>
      </c>
      <c r="N268" s="89">
        <f>POWER((ws[[#This Row],[flow]]-ws[[#This Row],[count]]),2)</f>
        <v>39732339.410400391</v>
      </c>
      <c r="O268" s="43">
        <f>VLOOKUP(ws[[#This Row],[hwycov_id]],count[],6,FALSE)</f>
        <v>0</v>
      </c>
      <c r="P268" s="43">
        <v>737</v>
      </c>
      <c r="Q268" s="43" t="str">
        <f>'[2]All Counts'!P268</f>
        <v>PeMS2016</v>
      </c>
      <c r="S268" s="94">
        <v>12929</v>
      </c>
      <c r="T268" s="17">
        <v>21239</v>
      </c>
      <c r="U268" s="17">
        <v>29044.328125</v>
      </c>
      <c r="V268" s="17"/>
      <c r="W268" s="17"/>
      <c r="X268" s="17"/>
      <c r="Y268" s="17"/>
      <c r="Z268" s="17"/>
      <c r="AA268" s="17"/>
      <c r="AB268" s="17">
        <v>21239</v>
      </c>
      <c r="AC268" s="17">
        <v>29044.328125</v>
      </c>
      <c r="AD268"/>
      <c r="AE268"/>
    </row>
    <row r="269" spans="1:31" x14ac:dyDescent="0.25">
      <c r="A269" s="136">
        <f>'[2]All Counts'!C269</f>
        <v>1</v>
      </c>
      <c r="B269" s="136">
        <f>'[2]All Counts'!D269</f>
        <v>1</v>
      </c>
      <c r="C269" s="136">
        <f>'[2]All Counts'!E269</f>
        <v>20549</v>
      </c>
      <c r="D269" s="136">
        <f>'[2]All Counts'!F269</f>
        <v>1</v>
      </c>
      <c r="E269" s="136">
        <f>'[2]All Counts'!G269</f>
        <v>1</v>
      </c>
      <c r="F269" s="136" t="str">
        <f>'[2]All Counts'!H269</f>
        <v>I-5 NB</v>
      </c>
      <c r="G269" s="136">
        <f>'[2]All Counts'!I269</f>
        <v>67</v>
      </c>
      <c r="H269" s="136">
        <f>'[2]All Counts'!J269</f>
        <v>0</v>
      </c>
      <c r="I269" s="136" t="str">
        <f>'[2]All Counts'!K269</f>
        <v>PACIFIC</v>
      </c>
      <c r="J269" s="136" t="str">
        <f>'[2]All Counts'!L269</f>
        <v>INDIA</v>
      </c>
      <c r="K269" s="136">
        <f>'[2]All Counts'!O269</f>
        <v>18612</v>
      </c>
      <c r="L269" s="57">
        <f>VLOOKUP(ws[[#This Row],[hwycov_id]],readme!D:G,4,FALSE)</f>
        <v>20102.849609000001</v>
      </c>
      <c r="M269" s="88">
        <f>ws[[#This Row],[flow]]/ws[[#This Row],[count]]-1</f>
        <v>8.0101526380829569E-2</v>
      </c>
      <c r="N269" s="89">
        <f>POWER((ws[[#This Row],[flow]]-ws[[#This Row],[count]]),2)</f>
        <v>2222632.5566554554</v>
      </c>
      <c r="O269" s="43">
        <f>VLOOKUP(ws[[#This Row],[hwycov_id]],count[],6,FALSE)</f>
        <v>0</v>
      </c>
      <c r="P269" s="43">
        <v>383</v>
      </c>
      <c r="Q269" s="43" t="str">
        <f>'[2]All Counts'!P269</f>
        <v>PeMS2016</v>
      </c>
      <c r="S269" s="94">
        <v>12943</v>
      </c>
      <c r="T269" s="17"/>
      <c r="U269" s="17"/>
      <c r="V269" s="17">
        <v>18909</v>
      </c>
      <c r="W269" s="17">
        <v>22804.449218999998</v>
      </c>
      <c r="X269" s="17"/>
      <c r="Y269" s="17"/>
      <c r="Z269" s="17"/>
      <c r="AA269" s="17"/>
      <c r="AB269" s="17">
        <v>18909</v>
      </c>
      <c r="AC269" s="17">
        <v>22804.449218999998</v>
      </c>
      <c r="AD269"/>
      <c r="AE269"/>
    </row>
    <row r="270" spans="1:31" x14ac:dyDescent="0.25">
      <c r="A270" s="136">
        <f>'[2]All Counts'!C270</f>
        <v>1</v>
      </c>
      <c r="B270" s="136">
        <f>'[2]All Counts'!D270</f>
        <v>1</v>
      </c>
      <c r="C270" s="136">
        <f>'[2]All Counts'!E270</f>
        <v>20588</v>
      </c>
      <c r="D270" s="136">
        <f>'[2]All Counts'!F270</f>
        <v>1</v>
      </c>
      <c r="E270" s="136">
        <f>'[2]All Counts'!G270</f>
        <v>1</v>
      </c>
      <c r="F270" s="136" t="str">
        <f>'[2]All Counts'!H270</f>
        <v>I-5 NB</v>
      </c>
      <c r="G270" s="136">
        <f>'[2]All Counts'!I270</f>
        <v>68</v>
      </c>
      <c r="H270" s="136">
        <f>'[2]All Counts'!J270</f>
        <v>0</v>
      </c>
      <c r="I270" s="136" t="str">
        <f>'[2]All Counts'!K270</f>
        <v>INDIA</v>
      </c>
      <c r="J270" s="136" t="str">
        <f>'[2]All Counts'!L270</f>
        <v>INDIA</v>
      </c>
      <c r="K270" s="136">
        <f>'[2]All Counts'!O270</f>
        <v>17424</v>
      </c>
      <c r="L270" s="57">
        <f>VLOOKUP(ws[[#This Row],[hwycov_id]],readme!D:G,4,FALSE)</f>
        <v>18593.142577999999</v>
      </c>
      <c r="M270" s="88">
        <f>ws[[#This Row],[flow]]/ws[[#This Row],[count]]-1</f>
        <v>6.7099551078971587E-2</v>
      </c>
      <c r="N270" s="89">
        <f>POWER((ws[[#This Row],[flow]]-ws[[#This Row],[count]]),2)</f>
        <v>1366894.3676924838</v>
      </c>
      <c r="O270" s="43">
        <f>VLOOKUP(ws[[#This Row],[hwycov_id]],count[],6,FALSE)</f>
        <v>0</v>
      </c>
      <c r="P270" s="43">
        <v>430</v>
      </c>
      <c r="Q270" s="43" t="str">
        <f>'[2]All Counts'!P270</f>
        <v>PeMS2016</v>
      </c>
      <c r="S270" s="94">
        <v>12944</v>
      </c>
      <c r="T270" s="17"/>
      <c r="U270" s="17"/>
      <c r="V270" s="17">
        <v>16666</v>
      </c>
      <c r="W270" s="17">
        <v>21718.832031000002</v>
      </c>
      <c r="X270" s="17"/>
      <c r="Y270" s="17"/>
      <c r="Z270" s="17"/>
      <c r="AA270" s="17"/>
      <c r="AB270" s="17">
        <v>16666</v>
      </c>
      <c r="AC270" s="17">
        <v>21718.832031000002</v>
      </c>
      <c r="AD270"/>
      <c r="AE270"/>
    </row>
    <row r="271" spans="1:31" x14ac:dyDescent="0.25">
      <c r="A271" s="136">
        <f>'[2]All Counts'!C271</f>
        <v>1</v>
      </c>
      <c r="B271" s="136">
        <f>'[2]All Counts'!D271</f>
        <v>1</v>
      </c>
      <c r="C271" s="136">
        <f>'[2]All Counts'!E271</f>
        <v>10969</v>
      </c>
      <c r="D271" s="136">
        <f>'[2]All Counts'!F271</f>
        <v>1</v>
      </c>
      <c r="E271" s="136">
        <f>'[2]All Counts'!G271</f>
        <v>1</v>
      </c>
      <c r="F271" s="136" t="str">
        <f>'[2]All Counts'!H271</f>
        <v>I-5 NB</v>
      </c>
      <c r="G271" s="136">
        <f>'[2]All Counts'!I271</f>
        <v>69</v>
      </c>
      <c r="H271" s="136">
        <f>'[2]All Counts'!J271</f>
        <v>0</v>
      </c>
      <c r="I271" s="136" t="str">
        <f>'[2]All Counts'!K271</f>
        <v>INDIA</v>
      </c>
      <c r="J271" s="136" t="str">
        <f>'[2]All Counts'!L271</f>
        <v>WASHINGTON</v>
      </c>
      <c r="K271" s="136">
        <f>'[2]All Counts'!O271</f>
        <v>19134</v>
      </c>
      <c r="L271" s="57">
        <f>VLOOKUP(ws[[#This Row],[hwycov_id]],readme!D:G,4,FALSE)</f>
        <v>20273.744140999999</v>
      </c>
      <c r="M271" s="88">
        <f>ws[[#This Row],[flow]]/ws[[#This Row],[count]]-1</f>
        <v>5.9566433626005999E-2</v>
      </c>
      <c r="N271" s="89">
        <f>POWER((ws[[#This Row],[flow]]-ws[[#This Row],[count]]),2)</f>
        <v>1299016.7069438261</v>
      </c>
      <c r="O271" s="43">
        <f>VLOOKUP(ws[[#This Row],[hwycov_id]],count[],6,FALSE)</f>
        <v>0</v>
      </c>
      <c r="P271" s="43">
        <v>431</v>
      </c>
      <c r="Q271" s="43" t="str">
        <f>'[2]All Counts'!P271</f>
        <v>PeMS2016</v>
      </c>
      <c r="S271" s="94">
        <v>12946</v>
      </c>
      <c r="T271" s="17"/>
      <c r="U271" s="17"/>
      <c r="V271" s="17">
        <v>19255</v>
      </c>
      <c r="W271" s="17">
        <v>21684.171875</v>
      </c>
      <c r="X271" s="17"/>
      <c r="Y271" s="17"/>
      <c r="Z271" s="17"/>
      <c r="AA271" s="17"/>
      <c r="AB271" s="17">
        <v>19255</v>
      </c>
      <c r="AC271" s="17">
        <v>21684.171875</v>
      </c>
      <c r="AD271"/>
      <c r="AE271"/>
    </row>
    <row r="272" spans="1:31" x14ac:dyDescent="0.25">
      <c r="A272" s="136">
        <f>'[2]All Counts'!C272</f>
        <v>1</v>
      </c>
      <c r="B272" s="136">
        <f>'[2]All Counts'!D272</f>
        <v>1</v>
      </c>
      <c r="C272" s="136">
        <f>'[2]All Counts'!E272</f>
        <v>30813</v>
      </c>
      <c r="D272" s="136">
        <f>'[2]All Counts'!F272</f>
        <v>1</v>
      </c>
      <c r="E272" s="136">
        <f>'[2]All Counts'!G272</f>
        <v>1</v>
      </c>
      <c r="F272" s="136" t="str">
        <f>'[2]All Counts'!H272</f>
        <v>I-5 NB</v>
      </c>
      <c r="G272" s="136">
        <f>'[2]All Counts'!I272</f>
        <v>71</v>
      </c>
      <c r="H272" s="136">
        <f>'[2]All Counts'!J272</f>
        <v>0</v>
      </c>
      <c r="I272" s="136" t="str">
        <f>'[2]All Counts'!K272</f>
        <v>OLD TOWN</v>
      </c>
      <c r="J272" s="136" t="str">
        <f>'[2]All Counts'!L272</f>
        <v>OLD TOWN</v>
      </c>
      <c r="K272" s="136">
        <f>'[2]All Counts'!O272</f>
        <v>21648</v>
      </c>
      <c r="L272" s="57">
        <f>VLOOKUP(ws[[#This Row],[hwycov_id]],readme!D:G,4,FALSE)</f>
        <v>20985.71875</v>
      </c>
      <c r="M272" s="88">
        <f>ws[[#This Row],[flow]]/ws[[#This Row],[count]]-1</f>
        <v>-3.0593184127864048E-2</v>
      </c>
      <c r="N272" s="89">
        <f>POWER((ws[[#This Row],[flow]]-ws[[#This Row],[count]]),2)</f>
        <v>438616.4541015625</v>
      </c>
      <c r="O272" s="43">
        <f>VLOOKUP(ws[[#This Row],[hwycov_id]],count[],6,FALSE)</f>
        <v>0</v>
      </c>
      <c r="P272" s="43">
        <v>432</v>
      </c>
      <c r="Q272" s="43" t="str">
        <f>'[2]All Counts'!P272</f>
        <v>PeMS2016</v>
      </c>
      <c r="S272" s="94">
        <v>12950</v>
      </c>
      <c r="T272" s="17"/>
      <c r="U272" s="17"/>
      <c r="V272" s="17">
        <v>22193</v>
      </c>
      <c r="W272" s="17">
        <v>25555.226562</v>
      </c>
      <c r="X272" s="17"/>
      <c r="Y272" s="17"/>
      <c r="Z272" s="17"/>
      <c r="AA272" s="17"/>
      <c r="AB272" s="17">
        <v>22193</v>
      </c>
      <c r="AC272" s="17">
        <v>25555.226562</v>
      </c>
      <c r="AD272"/>
      <c r="AE272"/>
    </row>
    <row r="273" spans="1:31" x14ac:dyDescent="0.25">
      <c r="A273" s="136">
        <f>'[2]All Counts'!C273</f>
        <v>1</v>
      </c>
      <c r="B273" s="136">
        <f>'[2]All Counts'!D273</f>
        <v>1</v>
      </c>
      <c r="C273" s="136">
        <f>'[2]All Counts'!E273</f>
        <v>10966</v>
      </c>
      <c r="D273" s="136">
        <f>'[2]All Counts'!F273</f>
        <v>1</v>
      </c>
      <c r="E273" s="136">
        <f>'[2]All Counts'!G273</f>
        <v>1</v>
      </c>
      <c r="F273" s="136" t="str">
        <f>'[2]All Counts'!H273</f>
        <v>I-5 NB</v>
      </c>
      <c r="G273" s="136">
        <f>'[2]All Counts'!I273</f>
        <v>73</v>
      </c>
      <c r="H273" s="136">
        <f>'[2]All Counts'!J273</f>
        <v>0</v>
      </c>
      <c r="I273" s="136" t="str">
        <f>'[2]All Counts'!K273</f>
        <v>OLD TOWN</v>
      </c>
      <c r="J273" s="136" t="str">
        <f>'[2]All Counts'!L273</f>
        <v>OLD TOWN</v>
      </c>
      <c r="K273" s="136">
        <f>'[2]All Counts'!O273</f>
        <v>21758</v>
      </c>
      <c r="L273" s="57">
        <f>VLOOKUP(ws[[#This Row],[hwycov_id]],readme!D:G,4,FALSE)</f>
        <v>20985.71875</v>
      </c>
      <c r="M273" s="88">
        <f>ws[[#This Row],[flow]]/ws[[#This Row],[count]]-1</f>
        <v>-3.5494128596378349E-2</v>
      </c>
      <c r="N273" s="89">
        <f>POWER((ws[[#This Row],[flow]]-ws[[#This Row],[count]]),2)</f>
        <v>596418.3291015625</v>
      </c>
      <c r="O273" s="43">
        <f>VLOOKUP(ws[[#This Row],[hwycov_id]],count[],6,FALSE)</f>
        <v>0</v>
      </c>
      <c r="P273" s="43">
        <v>434</v>
      </c>
      <c r="Q273" s="43" t="str">
        <f>'[2]All Counts'!P273</f>
        <v>PeMS2016</v>
      </c>
      <c r="S273" s="94">
        <v>12952</v>
      </c>
      <c r="T273" s="17"/>
      <c r="U273" s="17"/>
      <c r="V273" s="17">
        <v>19724</v>
      </c>
      <c r="W273" s="17">
        <v>22115.740234000001</v>
      </c>
      <c r="X273" s="17"/>
      <c r="Y273" s="17"/>
      <c r="Z273" s="17"/>
      <c r="AA273" s="17"/>
      <c r="AB273" s="17">
        <v>19724</v>
      </c>
      <c r="AC273" s="17">
        <v>22115.740234000001</v>
      </c>
      <c r="AD273"/>
      <c r="AE273"/>
    </row>
    <row r="274" spans="1:31" x14ac:dyDescent="0.25">
      <c r="A274" s="136">
        <f>'[2]All Counts'!C274</f>
        <v>1</v>
      </c>
      <c r="B274" s="136">
        <f>'[2]All Counts'!D274</f>
        <v>1</v>
      </c>
      <c r="C274" s="136">
        <f>'[2]All Counts'!E274</f>
        <v>20600</v>
      </c>
      <c r="D274" s="136">
        <f>'[2]All Counts'!F274</f>
        <v>1</v>
      </c>
      <c r="E274" s="136">
        <f>'[2]All Counts'!G274</f>
        <v>1</v>
      </c>
      <c r="F274" s="136" t="str">
        <f>'[2]All Counts'!H274</f>
        <v>I-5 NB</v>
      </c>
      <c r="G274" s="136">
        <f>'[2]All Counts'!I274</f>
        <v>75</v>
      </c>
      <c r="H274" s="136">
        <f>'[2]All Counts'!J274</f>
        <v>0</v>
      </c>
      <c r="I274" s="136" t="str">
        <f>'[2]All Counts'!K274</f>
        <v>I-8 EB</v>
      </c>
      <c r="J274" s="136" t="str">
        <f>'[2]All Counts'!L274</f>
        <v>CAM DEL RIO WEST</v>
      </c>
      <c r="K274" s="136">
        <f>'[2]All Counts'!O274</f>
        <v>16826</v>
      </c>
      <c r="L274" s="57">
        <f>VLOOKUP(ws[[#This Row],[hwycov_id]],readme!D:G,4,FALSE)</f>
        <v>16188.6875</v>
      </c>
      <c r="M274" s="88">
        <f>ws[[#This Row],[flow]]/ws[[#This Row],[count]]-1</f>
        <v>-3.787664923332934E-2</v>
      </c>
      <c r="N274" s="89">
        <f>POWER((ws[[#This Row],[flow]]-ws[[#This Row],[count]]),2)</f>
        <v>406167.22265625</v>
      </c>
      <c r="O274" s="43">
        <f>VLOOKUP(ws[[#This Row],[hwycov_id]],count[],6,FALSE)</f>
        <v>0</v>
      </c>
      <c r="P274" s="43">
        <v>433</v>
      </c>
      <c r="Q274" s="43" t="str">
        <f>'[2]All Counts'!P274</f>
        <v>PeMS2016</v>
      </c>
      <c r="S274" s="94">
        <v>12955</v>
      </c>
      <c r="T274" s="17">
        <v>22650</v>
      </c>
      <c r="U274" s="17">
        <v>26809.587890999999</v>
      </c>
      <c r="V274" s="17"/>
      <c r="W274" s="17"/>
      <c r="X274" s="17"/>
      <c r="Y274" s="17"/>
      <c r="Z274" s="17"/>
      <c r="AA274" s="17"/>
      <c r="AB274" s="17">
        <v>22650</v>
      </c>
      <c r="AC274" s="17">
        <v>26809.587890999999</v>
      </c>
      <c r="AD274"/>
      <c r="AE274"/>
    </row>
    <row r="275" spans="1:31" x14ac:dyDescent="0.25">
      <c r="A275" s="136">
        <f>'[2]All Counts'!C275</f>
        <v>1</v>
      </c>
      <c r="B275" s="136">
        <f>'[2]All Counts'!D275</f>
        <v>1</v>
      </c>
      <c r="C275" s="136">
        <f>'[2]All Counts'!E275</f>
        <v>26708</v>
      </c>
      <c r="D275" s="136">
        <f>'[2]All Counts'!F275</f>
        <v>1</v>
      </c>
      <c r="E275" s="136">
        <f>'[2]All Counts'!G275</f>
        <v>1</v>
      </c>
      <c r="F275" s="136" t="str">
        <f>'[2]All Counts'!H275</f>
        <v>I-5 NB</v>
      </c>
      <c r="G275" s="136">
        <f>'[2]All Counts'!I275</f>
        <v>81</v>
      </c>
      <c r="H275" s="136">
        <f>'[2]All Counts'!J275</f>
        <v>0</v>
      </c>
      <c r="I275" s="136" t="str">
        <f>'[2]All Counts'!K275</f>
        <v>TECOLOTE</v>
      </c>
      <c r="J275" s="136" t="str">
        <f>'[2]All Counts'!L275</f>
        <v>TECOLOTE</v>
      </c>
      <c r="K275" s="136">
        <f>'[2]All Counts'!O275</f>
        <v>21260</v>
      </c>
      <c r="L275" s="57">
        <f>VLOOKUP(ws[[#This Row],[hwycov_id]],readme!D:G,4,FALSE)</f>
        <v>24569.109375</v>
      </c>
      <c r="M275" s="88">
        <f>ws[[#This Row],[flow]]/ws[[#This Row],[count]]-1</f>
        <v>0.15564954727187197</v>
      </c>
      <c r="N275" s="89">
        <f>POWER((ws[[#This Row],[flow]]-ws[[#This Row],[count]]),2)</f>
        <v>10950204.855712891</v>
      </c>
      <c r="O275" s="43">
        <f>VLOOKUP(ws[[#This Row],[hwycov_id]],count[],6,FALSE)</f>
        <v>0</v>
      </c>
      <c r="P275" s="43">
        <v>379</v>
      </c>
      <c r="Q275" s="43" t="str">
        <f>'[2]All Counts'!P275</f>
        <v>PeMS2016</v>
      </c>
      <c r="S275" s="94">
        <v>12957</v>
      </c>
      <c r="T275" s="17">
        <v>26201</v>
      </c>
      <c r="U275" s="17">
        <v>29579.943359000001</v>
      </c>
      <c r="V275" s="17"/>
      <c r="W275" s="17"/>
      <c r="X275" s="17"/>
      <c r="Y275" s="17"/>
      <c r="Z275" s="17"/>
      <c r="AA275" s="17"/>
      <c r="AB275" s="17">
        <v>26201</v>
      </c>
      <c r="AC275" s="17">
        <v>29579.943359000001</v>
      </c>
      <c r="AD275"/>
      <c r="AE275"/>
    </row>
    <row r="276" spans="1:31" x14ac:dyDescent="0.25">
      <c r="A276" s="136">
        <f>'[2]All Counts'!C276</f>
        <v>1</v>
      </c>
      <c r="B276" s="136">
        <f>'[2]All Counts'!D276</f>
        <v>1</v>
      </c>
      <c r="C276" s="136">
        <f>'[2]All Counts'!E276</f>
        <v>8790</v>
      </c>
      <c r="D276" s="136">
        <f>'[2]All Counts'!F276</f>
        <v>1</v>
      </c>
      <c r="E276" s="136">
        <f>'[2]All Counts'!G276</f>
        <v>1</v>
      </c>
      <c r="F276" s="136" t="str">
        <f>'[2]All Counts'!H276</f>
        <v>I-5 NB</v>
      </c>
      <c r="G276" s="136">
        <f>'[2]All Counts'!I276</f>
        <v>85</v>
      </c>
      <c r="H276" s="136">
        <f>'[2]All Counts'!J276</f>
        <v>0</v>
      </c>
      <c r="I276" s="136" t="str">
        <f>'[2]All Counts'!K276</f>
        <v>TECOLOTE</v>
      </c>
      <c r="J276" s="136" t="str">
        <f>'[2]All Counts'!L276</f>
        <v>CLAIREMONT</v>
      </c>
      <c r="K276" s="136">
        <f>'[2]All Counts'!O276</f>
        <v>18096</v>
      </c>
      <c r="L276" s="57">
        <f>VLOOKUP(ws[[#This Row],[hwycov_id]],readme!D:G,4,FALSE)</f>
        <v>27119.654297000001</v>
      </c>
      <c r="M276" s="88">
        <f>ws[[#This Row],[flow]]/ws[[#This Row],[count]]-1</f>
        <v>0.4986546362179487</v>
      </c>
      <c r="N276" s="89">
        <f>POWER((ws[[#This Row],[flow]]-ws[[#This Row],[count]]),2)</f>
        <v>81426336.871766582</v>
      </c>
      <c r="O276" s="43">
        <f>VLOOKUP(ws[[#This Row],[hwycov_id]],count[],6,FALSE)</f>
        <v>0</v>
      </c>
      <c r="P276" s="43">
        <v>380</v>
      </c>
      <c r="Q276" s="43" t="str">
        <f>'[2]All Counts'!P276</f>
        <v>PeMS2016</v>
      </c>
      <c r="S276" s="94">
        <v>13035</v>
      </c>
      <c r="T276" s="17"/>
      <c r="U276" s="17"/>
      <c r="V276" s="17">
        <v>13580</v>
      </c>
      <c r="W276" s="17">
        <v>17803.623047000001</v>
      </c>
      <c r="X276" s="17"/>
      <c r="Y276" s="17"/>
      <c r="Z276" s="17"/>
      <c r="AA276" s="17"/>
      <c r="AB276" s="17">
        <v>13580</v>
      </c>
      <c r="AC276" s="17">
        <v>17803.623047000001</v>
      </c>
      <c r="AD276"/>
      <c r="AE276"/>
    </row>
    <row r="277" spans="1:31" x14ac:dyDescent="0.25">
      <c r="A277" s="136">
        <f>'[2]All Counts'!C277</f>
        <v>1</v>
      </c>
      <c r="B277" s="136">
        <f>'[2]All Counts'!D277</f>
        <v>1</v>
      </c>
      <c r="C277" s="136">
        <f>'[2]All Counts'!E277</f>
        <v>8784</v>
      </c>
      <c r="D277" s="136">
        <f>'[2]All Counts'!F277</f>
        <v>1</v>
      </c>
      <c r="E277" s="136">
        <f>'[2]All Counts'!G277</f>
        <v>1</v>
      </c>
      <c r="F277" s="136" t="str">
        <f>'[2]All Counts'!H277</f>
        <v>I-5 NB</v>
      </c>
      <c r="G277" s="136">
        <f>'[2]All Counts'!I277</f>
        <v>86</v>
      </c>
      <c r="H277" s="136">
        <f>'[2]All Counts'!J277</f>
        <v>0</v>
      </c>
      <c r="I277" s="136" t="str">
        <f>'[2]All Counts'!K277</f>
        <v>CLAIREMONT</v>
      </c>
      <c r="J277" s="136" t="str">
        <f>'[2]All Counts'!L277</f>
        <v>CLAIREMONT</v>
      </c>
      <c r="K277" s="136">
        <f>'[2]All Counts'!O277</f>
        <v>22959</v>
      </c>
      <c r="L277" s="57">
        <f>VLOOKUP(ws[[#This Row],[hwycov_id]],readme!D:G,4,FALSE)</f>
        <v>24965.744140999999</v>
      </c>
      <c r="M277" s="88">
        <f>ws[[#This Row],[flow]]/ws[[#This Row],[count]]-1</f>
        <v>8.7405555163552417E-2</v>
      </c>
      <c r="N277" s="89">
        <f>POWER((ws[[#This Row],[flow]]-ws[[#This Row],[count]]),2)</f>
        <v>4027022.0474378248</v>
      </c>
      <c r="O277" s="43">
        <f>VLOOKUP(ws[[#This Row],[hwycov_id]],count[],6,FALSE)</f>
        <v>0</v>
      </c>
      <c r="P277" s="43">
        <v>713</v>
      </c>
      <c r="Q277" s="43" t="str">
        <f>'[2]All Counts'!P277</f>
        <v>PeMS2016</v>
      </c>
      <c r="S277" s="94">
        <v>13037</v>
      </c>
      <c r="T277" s="17">
        <v>11690</v>
      </c>
      <c r="U277" s="17">
        <v>14824.036133</v>
      </c>
      <c r="V277" s="17"/>
      <c r="W277" s="17"/>
      <c r="X277" s="17"/>
      <c r="Y277" s="17"/>
      <c r="Z277" s="17"/>
      <c r="AA277" s="17"/>
      <c r="AB277" s="17">
        <v>11690</v>
      </c>
      <c r="AC277" s="17">
        <v>14824.036133</v>
      </c>
      <c r="AD277"/>
      <c r="AE277"/>
    </row>
    <row r="278" spans="1:31" x14ac:dyDescent="0.25">
      <c r="A278" s="136">
        <f>'[2]All Counts'!C278</f>
        <v>1</v>
      </c>
      <c r="B278" s="136">
        <f>'[2]All Counts'!D278</f>
        <v>1</v>
      </c>
      <c r="C278" s="136">
        <f>'[2]All Counts'!E278</f>
        <v>20640</v>
      </c>
      <c r="D278" s="136">
        <f>'[2]All Counts'!F278</f>
        <v>1</v>
      </c>
      <c r="E278" s="136">
        <f>'[2]All Counts'!G278</f>
        <v>1</v>
      </c>
      <c r="F278" s="136" t="str">
        <f>'[2]All Counts'!H278</f>
        <v>I-5 NB</v>
      </c>
      <c r="G278" s="136">
        <f>'[2]All Counts'!I278</f>
        <v>88</v>
      </c>
      <c r="H278" s="136">
        <f>'[2]All Counts'!J278</f>
        <v>0</v>
      </c>
      <c r="I278" s="136" t="str">
        <f>'[2]All Counts'!K278</f>
        <v>MISSION BAY</v>
      </c>
      <c r="J278" s="136" t="str">
        <f>'[2]All Counts'!L278</f>
        <v>BALBOA</v>
      </c>
      <c r="K278" s="136">
        <f>'[2]All Counts'!O278</f>
        <v>17572</v>
      </c>
      <c r="L278" s="57">
        <f>VLOOKUP(ws[[#This Row],[hwycov_id]],readme!D:G,4,FALSE)</f>
        <v>20442.128906000002</v>
      </c>
      <c r="M278" s="88">
        <f>ws[[#This Row],[flow]]/ws[[#This Row],[count]]-1</f>
        <v>0.16333535772820396</v>
      </c>
      <c r="N278" s="89">
        <f>POWER((ws[[#This Row],[flow]]-ws[[#This Row],[count]]),2)</f>
        <v>8237639.9370567668</v>
      </c>
      <c r="O278" s="43">
        <f>VLOOKUP(ws[[#This Row],[hwycov_id]],count[],6,FALSE)</f>
        <v>0</v>
      </c>
      <c r="P278" s="43">
        <v>63</v>
      </c>
      <c r="Q278" s="43" t="str">
        <f>'[2]All Counts'!P278</f>
        <v>PeMS2016</v>
      </c>
      <c r="S278" s="94">
        <v>13046</v>
      </c>
      <c r="T278" s="17">
        <v>13046</v>
      </c>
      <c r="U278" s="17">
        <v>12374.019531</v>
      </c>
      <c r="V278" s="17"/>
      <c r="W278" s="17"/>
      <c r="X278" s="17"/>
      <c r="Y278" s="17"/>
      <c r="Z278" s="17"/>
      <c r="AA278" s="17"/>
      <c r="AB278" s="17">
        <v>13046</v>
      </c>
      <c r="AC278" s="17">
        <v>12374.019531</v>
      </c>
      <c r="AD278"/>
      <c r="AE278"/>
    </row>
    <row r="279" spans="1:31" x14ac:dyDescent="0.25">
      <c r="A279" s="136">
        <f>'[2]All Counts'!C279</f>
        <v>1</v>
      </c>
      <c r="B279" s="136">
        <f>'[2]All Counts'!D279</f>
        <v>1</v>
      </c>
      <c r="C279" s="136">
        <f>'[2]All Counts'!E279</f>
        <v>8781</v>
      </c>
      <c r="D279" s="136">
        <f>'[2]All Counts'!F279</f>
        <v>1</v>
      </c>
      <c r="E279" s="136">
        <f>'[2]All Counts'!G279</f>
        <v>1</v>
      </c>
      <c r="F279" s="136" t="str">
        <f>'[2]All Counts'!H279</f>
        <v>I-5 NB</v>
      </c>
      <c r="G279" s="136">
        <f>'[2]All Counts'!I279</f>
        <v>89</v>
      </c>
      <c r="H279" s="136">
        <f>'[2]All Counts'!J279</f>
        <v>0</v>
      </c>
      <c r="I279" s="136" t="str">
        <f>'[2]All Counts'!K279</f>
        <v>BALBOA</v>
      </c>
      <c r="J279" s="136" t="str">
        <f>'[2]All Counts'!L279</f>
        <v>MISSION BAY</v>
      </c>
      <c r="K279" s="136">
        <f>'[2]All Counts'!O279</f>
        <v>15363</v>
      </c>
      <c r="L279" s="57">
        <f>VLOOKUP(ws[[#This Row],[hwycov_id]],readme!D:G,4,FALSE)</f>
        <v>17086.748047000001</v>
      </c>
      <c r="M279" s="88">
        <f>ws[[#This Row],[flow]]/ws[[#This Row],[count]]-1</f>
        <v>0.1122012658334961</v>
      </c>
      <c r="N279" s="89">
        <f>POWER((ws[[#This Row],[flow]]-ws[[#This Row],[count]]),2)</f>
        <v>2971307.3295363174</v>
      </c>
      <c r="O279" s="43">
        <f>VLOOKUP(ws[[#This Row],[hwycov_id]],count[],6,FALSE)</f>
        <v>0</v>
      </c>
      <c r="P279" s="43">
        <v>62</v>
      </c>
      <c r="Q279" s="43" t="str">
        <f>'[2]All Counts'!P279</f>
        <v>PeMS2016</v>
      </c>
      <c r="S279" s="94">
        <v>13273</v>
      </c>
      <c r="T279" s="17"/>
      <c r="U279" s="17"/>
      <c r="V279" s="17">
        <v>16127</v>
      </c>
      <c r="W279" s="17">
        <v>16280.399414</v>
      </c>
      <c r="X279" s="17"/>
      <c r="Y279" s="17"/>
      <c r="Z279" s="17"/>
      <c r="AA279" s="17"/>
      <c r="AB279" s="17">
        <v>16127</v>
      </c>
      <c r="AC279" s="17">
        <v>16280.399414</v>
      </c>
      <c r="AD279"/>
      <c r="AE279"/>
    </row>
    <row r="280" spans="1:31" x14ac:dyDescent="0.25">
      <c r="A280" s="136">
        <f>'[2]All Counts'!C280</f>
        <v>1</v>
      </c>
      <c r="B280" s="136">
        <f>'[2]All Counts'!D280</f>
        <v>1</v>
      </c>
      <c r="C280" s="136">
        <f>'[2]All Counts'!E280</f>
        <v>26014</v>
      </c>
      <c r="D280" s="136">
        <f>'[2]All Counts'!F280</f>
        <v>1</v>
      </c>
      <c r="E280" s="136">
        <f>'[2]All Counts'!G280</f>
        <v>1</v>
      </c>
      <c r="F280" s="136" t="str">
        <f>'[2]All Counts'!H280</f>
        <v>I-5 NB</v>
      </c>
      <c r="G280" s="136">
        <f>'[2]All Counts'!I280</f>
        <v>91</v>
      </c>
      <c r="H280" s="136">
        <f>'[2]All Counts'!J280</f>
        <v>0</v>
      </c>
      <c r="I280" s="136" t="str">
        <f>'[2]All Counts'!K280</f>
        <v>MISSION BAY</v>
      </c>
      <c r="J280" s="136" t="str">
        <f>'[2]All Counts'!L280</f>
        <v>SR-52 WB</v>
      </c>
      <c r="K280" s="136">
        <f>'[2]All Counts'!O280</f>
        <v>19336</v>
      </c>
      <c r="L280" s="57">
        <f>VLOOKUP(ws[[#This Row],[hwycov_id]],readme!D:G,4,FALSE)</f>
        <v>20734.320312</v>
      </c>
      <c r="M280" s="88">
        <f>ws[[#This Row],[flow]]/ws[[#This Row],[count]]-1</f>
        <v>7.2316937939594483E-2</v>
      </c>
      <c r="N280" s="89">
        <f>POWER((ws[[#This Row],[flow]]-ws[[#This Row],[count]]),2)</f>
        <v>1955299.6949517769</v>
      </c>
      <c r="O280" s="43">
        <f>VLOOKUP(ws[[#This Row],[hwycov_id]],count[],6,FALSE)</f>
        <v>0</v>
      </c>
      <c r="P280" s="43">
        <v>500</v>
      </c>
      <c r="Q280" s="43" t="str">
        <f>'[2]All Counts'!P280</f>
        <v>Caltran</v>
      </c>
      <c r="S280" s="94">
        <v>13277</v>
      </c>
      <c r="T280" s="17">
        <v>18732</v>
      </c>
      <c r="U280" s="17">
        <v>25315.132812</v>
      </c>
      <c r="V280" s="17"/>
      <c r="W280" s="17"/>
      <c r="X280" s="17"/>
      <c r="Y280" s="17"/>
      <c r="Z280" s="17"/>
      <c r="AA280" s="17"/>
      <c r="AB280" s="17">
        <v>18732</v>
      </c>
      <c r="AC280" s="17">
        <v>25315.132812</v>
      </c>
      <c r="AD280"/>
      <c r="AE280"/>
    </row>
    <row r="281" spans="1:31" x14ac:dyDescent="0.25">
      <c r="A281" s="136">
        <f>'[2]All Counts'!C281</f>
        <v>1</v>
      </c>
      <c r="B281" s="136">
        <f>'[2]All Counts'!D281</f>
        <v>1</v>
      </c>
      <c r="C281" s="136">
        <f>'[2]All Counts'!E281</f>
        <v>12010</v>
      </c>
      <c r="D281" s="136">
        <f>'[2]All Counts'!F281</f>
        <v>1</v>
      </c>
      <c r="E281" s="136">
        <f>'[2]All Counts'!G281</f>
        <v>1</v>
      </c>
      <c r="F281" s="136" t="str">
        <f>'[2]All Counts'!H281</f>
        <v>I-5 NB</v>
      </c>
      <c r="G281" s="136">
        <f>'[2]All Counts'!I281</f>
        <v>92</v>
      </c>
      <c r="H281" s="136">
        <f>'[2]All Counts'!J281</f>
        <v>0</v>
      </c>
      <c r="I281" s="136" t="str">
        <f>'[2]All Counts'!K281</f>
        <v>SR-52 WB</v>
      </c>
      <c r="J281" s="136" t="str">
        <f>'[2]All Counts'!L281</f>
        <v>SR-52 EB</v>
      </c>
      <c r="K281" s="136">
        <f>'[2]All Counts'!O281</f>
        <v>14218</v>
      </c>
      <c r="L281" s="57">
        <f>VLOOKUP(ws[[#This Row],[hwycov_id]],readme!D:G,4,FALSE)</f>
        <v>18711.841797000001</v>
      </c>
      <c r="M281" s="88">
        <f>ws[[#This Row],[flow]]/ws[[#This Row],[count]]-1</f>
        <v>0.31606708376705583</v>
      </c>
      <c r="N281" s="89">
        <f>POWER((ws[[#This Row],[flow]]-ws[[#This Row],[count]]),2)</f>
        <v>20194614.096464198</v>
      </c>
      <c r="O281" s="43">
        <f>VLOOKUP(ws[[#This Row],[hwycov_id]],count[],6,FALSE)</f>
        <v>0</v>
      </c>
      <c r="P281" s="43">
        <v>313</v>
      </c>
      <c r="Q281" s="43" t="str">
        <f>'[2]All Counts'!P281</f>
        <v>PeMS2016</v>
      </c>
      <c r="S281" s="94">
        <v>13279</v>
      </c>
      <c r="T281" s="17">
        <v>20084</v>
      </c>
      <c r="U281" s="17">
        <v>27984.470702999999</v>
      </c>
      <c r="V281" s="17"/>
      <c r="W281" s="17"/>
      <c r="X281" s="17"/>
      <c r="Y281" s="17"/>
      <c r="Z281" s="17"/>
      <c r="AA281" s="17"/>
      <c r="AB281" s="17">
        <v>20084</v>
      </c>
      <c r="AC281" s="17">
        <v>27984.470702999999</v>
      </c>
      <c r="AD281"/>
      <c r="AE281"/>
    </row>
    <row r="282" spans="1:31" x14ac:dyDescent="0.25">
      <c r="A282" s="136">
        <f>'[2]All Counts'!C282</f>
        <v>1</v>
      </c>
      <c r="B282" s="136">
        <f>'[2]All Counts'!D282</f>
        <v>1</v>
      </c>
      <c r="C282" s="136">
        <f>'[2]All Counts'!E282</f>
        <v>12007</v>
      </c>
      <c r="D282" s="136">
        <f>'[2]All Counts'!F282</f>
        <v>1</v>
      </c>
      <c r="E282" s="136">
        <f>'[2]All Counts'!G282</f>
        <v>1</v>
      </c>
      <c r="F282" s="136" t="str">
        <f>'[2]All Counts'!H282</f>
        <v>I-5 NB</v>
      </c>
      <c r="G282" s="136">
        <f>'[2]All Counts'!I282</f>
        <v>93</v>
      </c>
      <c r="H282" s="136">
        <f>'[2]All Counts'!J282</f>
        <v>0</v>
      </c>
      <c r="I282" s="136" t="str">
        <f>'[2]All Counts'!K282</f>
        <v>SR-52 EB</v>
      </c>
      <c r="J282" s="136" t="str">
        <f>'[2]All Counts'!L282</f>
        <v>SR-52 WB</v>
      </c>
      <c r="K282" s="136">
        <f>'[2]All Counts'!O282</f>
        <v>13075</v>
      </c>
      <c r="L282" s="57">
        <f>VLOOKUP(ws[[#This Row],[hwycov_id]],readme!D:G,4,FALSE)</f>
        <v>17324.595702999999</v>
      </c>
      <c r="M282" s="88">
        <f>ws[[#This Row],[flow]]/ws[[#This Row],[count]]-1</f>
        <v>0.32501687977055438</v>
      </c>
      <c r="N282" s="89">
        <f>POWER((ws[[#This Row],[flow]]-ws[[#This Row],[count]]),2)</f>
        <v>18059063.638956055</v>
      </c>
      <c r="O282" s="43">
        <f>VLOOKUP(ws[[#This Row],[hwycov_id]],count[],6,FALSE)</f>
        <v>0</v>
      </c>
      <c r="P282" s="43">
        <v>312</v>
      </c>
      <c r="Q282" s="43" t="str">
        <f>'[2]All Counts'!P282</f>
        <v>PeMS2016</v>
      </c>
      <c r="S282" s="94">
        <v>13282</v>
      </c>
      <c r="T282" s="17"/>
      <c r="U282" s="17"/>
      <c r="V282" s="17">
        <v>19768</v>
      </c>
      <c r="W282" s="17">
        <v>19295.306640999999</v>
      </c>
      <c r="X282" s="17"/>
      <c r="Y282" s="17"/>
      <c r="Z282" s="17"/>
      <c r="AA282" s="17"/>
      <c r="AB282" s="17">
        <v>19768</v>
      </c>
      <c r="AC282" s="17">
        <v>19295.306640999999</v>
      </c>
      <c r="AD282"/>
      <c r="AE282"/>
    </row>
    <row r="283" spans="1:31" x14ac:dyDescent="0.25">
      <c r="A283" s="136">
        <f>'[2]All Counts'!C283</f>
        <v>1</v>
      </c>
      <c r="B283" s="136">
        <f>'[2]All Counts'!D283</f>
        <v>1</v>
      </c>
      <c r="C283" s="136">
        <f>'[2]All Counts'!E283</f>
        <v>15020</v>
      </c>
      <c r="D283" s="136">
        <f>'[2]All Counts'!F283</f>
        <v>1</v>
      </c>
      <c r="E283" s="136">
        <f>'[2]All Counts'!G283</f>
        <v>1</v>
      </c>
      <c r="F283" s="136" t="str">
        <f>'[2]All Counts'!H283</f>
        <v>I-5 NB</v>
      </c>
      <c r="G283" s="136">
        <f>'[2]All Counts'!I283</f>
        <v>95</v>
      </c>
      <c r="H283" s="136">
        <f>'[2]All Counts'!J283</f>
        <v>0</v>
      </c>
      <c r="I283" s="136" t="str">
        <f>'[2]All Counts'!K283</f>
        <v>GILMAN</v>
      </c>
      <c r="J283" s="136" t="str">
        <f>'[2]All Counts'!L283</f>
        <v>GILMAN</v>
      </c>
      <c r="K283" s="136">
        <f>'[2]All Counts'!O283</f>
        <v>15069</v>
      </c>
      <c r="L283" s="57">
        <f>VLOOKUP(ws[[#This Row],[hwycov_id]],readme!D:G,4,FALSE)</f>
        <v>18539.802734000001</v>
      </c>
      <c r="M283" s="88">
        <f>ws[[#This Row],[flow]]/ws[[#This Row],[count]]-1</f>
        <v>0.23032734315482117</v>
      </c>
      <c r="N283" s="89">
        <f>POWER((ws[[#This Row],[flow]]-ws[[#This Row],[count]]),2)</f>
        <v>12046471.61834188</v>
      </c>
      <c r="O283" s="43">
        <f>VLOOKUP(ws[[#This Row],[hwycov_id]],count[],6,FALSE)</f>
        <v>0</v>
      </c>
      <c r="P283" s="43">
        <v>501</v>
      </c>
      <c r="Q283" s="43" t="str">
        <f>'[2]All Counts'!P283</f>
        <v>PeMS2016</v>
      </c>
      <c r="S283" s="94">
        <v>13438</v>
      </c>
      <c r="T283" s="17">
        <v>11594</v>
      </c>
      <c r="U283" s="17">
        <v>13124.444336</v>
      </c>
      <c r="V283" s="17"/>
      <c r="W283" s="17"/>
      <c r="X283" s="17"/>
      <c r="Y283" s="17"/>
      <c r="Z283" s="17"/>
      <c r="AA283" s="17"/>
      <c r="AB283" s="17">
        <v>11594</v>
      </c>
      <c r="AC283" s="17">
        <v>13124.444336</v>
      </c>
      <c r="AD283"/>
      <c r="AE283"/>
    </row>
    <row r="284" spans="1:31" x14ac:dyDescent="0.25">
      <c r="A284" s="136">
        <f>'[2]All Counts'!C284</f>
        <v>1</v>
      </c>
      <c r="B284" s="136">
        <f>'[2]All Counts'!D284</f>
        <v>1</v>
      </c>
      <c r="C284" s="136">
        <f>'[2]All Counts'!E284</f>
        <v>15036</v>
      </c>
      <c r="D284" s="136">
        <f>'[2]All Counts'!F284</f>
        <v>1</v>
      </c>
      <c r="E284" s="136">
        <f>'[2]All Counts'!G284</f>
        <v>1</v>
      </c>
      <c r="F284" s="136" t="str">
        <f>'[2]All Counts'!H284</f>
        <v>I-5 NB</v>
      </c>
      <c r="G284" s="136">
        <f>'[2]All Counts'!I284</f>
        <v>96</v>
      </c>
      <c r="H284" s="136">
        <f>'[2]All Counts'!J284</f>
        <v>0</v>
      </c>
      <c r="I284" s="136" t="str">
        <f>'[2]All Counts'!K284</f>
        <v>GILMAN</v>
      </c>
      <c r="J284" s="136" t="str">
        <f>'[2]All Counts'!L284</f>
        <v>NOBEL</v>
      </c>
      <c r="K284" s="136">
        <f>'[2]All Counts'!O284</f>
        <v>13386</v>
      </c>
      <c r="L284" s="57">
        <f>VLOOKUP(ws[[#This Row],[hwycov_id]],readme!D:G,4,FALSE)</f>
        <v>19409.296875</v>
      </c>
      <c r="M284" s="88">
        <f>ws[[#This Row],[flow]]/ws[[#This Row],[count]]-1</f>
        <v>0.44996988458090548</v>
      </c>
      <c r="N284" s="89">
        <f>POWER((ws[[#This Row],[flow]]-ws[[#This Row],[count]]),2)</f>
        <v>36280105.244384766</v>
      </c>
      <c r="O284" s="43">
        <f>VLOOKUP(ws[[#This Row],[hwycov_id]],count[],6,FALSE)</f>
        <v>0</v>
      </c>
      <c r="P284" s="43">
        <v>105</v>
      </c>
      <c r="Q284" s="43" t="str">
        <f>'[2]All Counts'!P284</f>
        <v>PeMS2016</v>
      </c>
      <c r="S284" s="94">
        <v>13527</v>
      </c>
      <c r="T284" s="17">
        <v>23882</v>
      </c>
      <c r="U284" s="17">
        <v>33316.832030999998</v>
      </c>
      <c r="V284" s="17"/>
      <c r="W284" s="17"/>
      <c r="X284" s="17"/>
      <c r="Y284" s="17"/>
      <c r="Z284" s="17"/>
      <c r="AA284" s="17"/>
      <c r="AB284" s="17">
        <v>23882</v>
      </c>
      <c r="AC284" s="17">
        <v>33316.832030999998</v>
      </c>
      <c r="AD284"/>
      <c r="AE284"/>
    </row>
    <row r="285" spans="1:31" x14ac:dyDescent="0.25">
      <c r="A285" s="136">
        <f>'[2]All Counts'!C285</f>
        <v>1</v>
      </c>
      <c r="B285" s="136">
        <f>'[2]All Counts'!D285</f>
        <v>1</v>
      </c>
      <c r="C285" s="136">
        <f>'[2]All Counts'!E285</f>
        <v>15038</v>
      </c>
      <c r="D285" s="136">
        <f>'[2]All Counts'!F285</f>
        <v>1</v>
      </c>
      <c r="E285" s="136">
        <f>'[2]All Counts'!G285</f>
        <v>1</v>
      </c>
      <c r="F285" s="136" t="str">
        <f>'[2]All Counts'!H285</f>
        <v>I-5 NB</v>
      </c>
      <c r="G285" s="136">
        <f>'[2]All Counts'!I285</f>
        <v>98</v>
      </c>
      <c r="H285" s="136">
        <f>'[2]All Counts'!J285</f>
        <v>0</v>
      </c>
      <c r="I285" s="136" t="str">
        <f>'[2]All Counts'!K285</f>
        <v>LA JOLLA VILLAGE</v>
      </c>
      <c r="J285" s="136" t="str">
        <f>'[2]All Counts'!L285</f>
        <v>LA JOLLA VILLAGE</v>
      </c>
      <c r="K285" s="136">
        <f>'[2]All Counts'!O285</f>
        <v>15159</v>
      </c>
      <c r="L285" s="57">
        <f>VLOOKUP(ws[[#This Row],[hwycov_id]],readme!D:G,4,FALSE)</f>
        <v>15634.189453000001</v>
      </c>
      <c r="M285" s="88">
        <f>ws[[#This Row],[flow]]/ws[[#This Row],[count]]-1</f>
        <v>3.134701847087551E-2</v>
      </c>
      <c r="N285" s="89">
        <f>POWER((ws[[#This Row],[flow]]-ws[[#This Row],[count]]),2)</f>
        <v>225805.01624244003</v>
      </c>
      <c r="O285" s="43">
        <f>VLOOKUP(ws[[#This Row],[hwycov_id]],count[],6,FALSE)</f>
        <v>0</v>
      </c>
      <c r="P285" s="43">
        <v>299</v>
      </c>
      <c r="Q285" s="43" t="str">
        <f>'[2]All Counts'!P285</f>
        <v>PeMS2016</v>
      </c>
      <c r="S285" s="94">
        <v>13579</v>
      </c>
      <c r="T285" s="17">
        <v>21038</v>
      </c>
      <c r="U285" s="17">
        <v>30674.664062</v>
      </c>
      <c r="V285" s="17"/>
      <c r="W285" s="17"/>
      <c r="X285" s="17"/>
      <c r="Y285" s="17"/>
      <c r="Z285" s="17"/>
      <c r="AA285" s="17"/>
      <c r="AB285" s="17">
        <v>21038</v>
      </c>
      <c r="AC285" s="17">
        <v>30674.664062</v>
      </c>
      <c r="AD285"/>
      <c r="AE285"/>
    </row>
    <row r="286" spans="1:31" x14ac:dyDescent="0.25">
      <c r="A286" s="136">
        <f>'[2]All Counts'!C286</f>
        <v>1</v>
      </c>
      <c r="B286" s="136">
        <f>'[2]All Counts'!D286</f>
        <v>1</v>
      </c>
      <c r="C286" s="136">
        <f>'[2]All Counts'!E286</f>
        <v>14290</v>
      </c>
      <c r="D286" s="136">
        <f>'[2]All Counts'!F286</f>
        <v>1</v>
      </c>
      <c r="E286" s="136">
        <f>'[2]All Counts'!G286</f>
        <v>1</v>
      </c>
      <c r="F286" s="136" t="str">
        <f>'[2]All Counts'!H286</f>
        <v>I-5 NB</v>
      </c>
      <c r="G286" s="136">
        <f>'[2]All Counts'!I286</f>
        <v>102</v>
      </c>
      <c r="H286" s="136">
        <f>'[2]All Counts'!J286</f>
        <v>0</v>
      </c>
      <c r="I286" s="136" t="str">
        <f>'[2]All Counts'!K286</f>
        <v>GENESEE</v>
      </c>
      <c r="J286" s="136" t="str">
        <f>'[2]All Counts'!L286</f>
        <v>GENESEE</v>
      </c>
      <c r="K286" s="136">
        <f>'[2]All Counts'!O286</f>
        <v>18001</v>
      </c>
      <c r="L286" s="57">
        <f>VLOOKUP(ws[[#This Row],[hwycov_id]],readme!D:G,4,FALSE)</f>
        <v>19797.003906000002</v>
      </c>
      <c r="M286" s="88">
        <f>ws[[#This Row],[flow]]/ws[[#This Row],[count]]-1</f>
        <v>9.9772451863785472E-2</v>
      </c>
      <c r="N286" s="89">
        <f>POWER((ws[[#This Row],[flow]]-ws[[#This Row],[count]]),2)</f>
        <v>3225630.0303672631</v>
      </c>
      <c r="O286" s="43">
        <f>VLOOKUP(ws[[#This Row],[hwycov_id]],count[],6,FALSE)</f>
        <v>0</v>
      </c>
      <c r="P286" s="43">
        <v>304</v>
      </c>
      <c r="Q286" s="43" t="str">
        <f>'[2]All Counts'!P286</f>
        <v>PeMS2016</v>
      </c>
      <c r="S286" s="94">
        <v>13580</v>
      </c>
      <c r="T286" s="17"/>
      <c r="U286" s="17"/>
      <c r="V286" s="17">
        <v>21292</v>
      </c>
      <c r="W286" s="17">
        <v>19964.664062</v>
      </c>
      <c r="X286" s="17"/>
      <c r="Y286" s="17"/>
      <c r="Z286" s="17"/>
      <c r="AA286" s="17"/>
      <c r="AB286" s="17">
        <v>21292</v>
      </c>
      <c r="AC286" s="17">
        <v>19964.664062</v>
      </c>
      <c r="AD286"/>
      <c r="AE286"/>
    </row>
    <row r="287" spans="1:31" x14ac:dyDescent="0.25">
      <c r="A287" s="136">
        <f>'[2]All Counts'!C287</f>
        <v>1</v>
      </c>
      <c r="B287" s="136">
        <f>'[2]All Counts'!D287</f>
        <v>1</v>
      </c>
      <c r="C287" s="136">
        <f>'[2]All Counts'!E287</f>
        <v>8896</v>
      </c>
      <c r="D287" s="136">
        <f>'[2]All Counts'!F287</f>
        <v>1</v>
      </c>
      <c r="E287" s="136">
        <f>'[2]All Counts'!G287</f>
        <v>1</v>
      </c>
      <c r="F287" s="136" t="str">
        <f>'[2]All Counts'!H287</f>
        <v>I-5 NB</v>
      </c>
      <c r="G287" s="136">
        <f>'[2]All Counts'!I287</f>
        <v>105</v>
      </c>
      <c r="H287" s="136">
        <f>'[2]All Counts'!J287</f>
        <v>0</v>
      </c>
      <c r="I287" s="136" t="str">
        <f>'[2]All Counts'!K287</f>
        <v>SORRENTO VALLEY</v>
      </c>
      <c r="J287" s="136" t="str">
        <f>'[2]All Counts'!L287</f>
        <v>I-805 NB</v>
      </c>
      <c r="K287" s="136">
        <f>'[2]All Counts'!O287</f>
        <v>18088</v>
      </c>
      <c r="L287" s="57">
        <f>VLOOKUP(ws[[#This Row],[hwycov_id]],readme!D:G,4,FALSE)</f>
        <v>23667.734375</v>
      </c>
      <c r="M287" s="88">
        <f>ws[[#This Row],[flow]]/ws[[#This Row],[count]]-1</f>
        <v>0.3084771326293676</v>
      </c>
      <c r="N287" s="89">
        <f>POWER((ws[[#This Row],[flow]]-ws[[#This Row],[count]]),2)</f>
        <v>31133435.695556641</v>
      </c>
      <c r="O287" s="43">
        <f>VLOOKUP(ws[[#This Row],[hwycov_id]],count[],6,FALSE)</f>
        <v>0</v>
      </c>
      <c r="P287" s="43">
        <v>508</v>
      </c>
      <c r="Q287" s="43" t="str">
        <f>'[2]All Counts'!P287</f>
        <v>Caltran</v>
      </c>
      <c r="S287" s="94">
        <v>13581</v>
      </c>
      <c r="T287" s="17">
        <v>22879</v>
      </c>
      <c r="U287" s="17">
        <v>29582.496093999998</v>
      </c>
      <c r="V287" s="17"/>
      <c r="W287" s="17"/>
      <c r="X287" s="17"/>
      <c r="Y287" s="17"/>
      <c r="Z287" s="17"/>
      <c r="AA287" s="17"/>
      <c r="AB287" s="17">
        <v>22879</v>
      </c>
      <c r="AC287" s="17">
        <v>29582.496093999998</v>
      </c>
      <c r="AD287"/>
      <c r="AE287"/>
    </row>
    <row r="288" spans="1:31" x14ac:dyDescent="0.25">
      <c r="A288" s="136">
        <f>'[2]All Counts'!C288</f>
        <v>1</v>
      </c>
      <c r="B288" s="136">
        <f>'[2]All Counts'!D288</f>
        <v>1</v>
      </c>
      <c r="C288" s="136">
        <f>'[2]All Counts'!E288</f>
        <v>14265</v>
      </c>
      <c r="D288" s="136">
        <f>'[2]All Counts'!F288</f>
        <v>1</v>
      </c>
      <c r="E288" s="136">
        <f>'[2]All Counts'!G288</f>
        <v>1</v>
      </c>
      <c r="F288" s="136" t="str">
        <f>'[2]All Counts'!H288</f>
        <v>I-5 NB</v>
      </c>
      <c r="G288" s="136">
        <f>'[2]All Counts'!I288</f>
        <v>106</v>
      </c>
      <c r="H288" s="136">
        <f>'[2]All Counts'!J288</f>
        <v>0</v>
      </c>
      <c r="I288" s="136" t="str">
        <f>'[2]All Counts'!K288</f>
        <v>I-805 NB</v>
      </c>
      <c r="J288" s="136" t="str">
        <f>'[2]All Counts'!L288</f>
        <v>I-805 NB</v>
      </c>
      <c r="K288" s="136">
        <f>'[2]All Counts'!O288</f>
        <v>7722</v>
      </c>
      <c r="L288" s="57">
        <f>VLOOKUP(ws[[#This Row],[hwycov_id]],readme!D:G,4,FALSE)</f>
        <v>15294.254883</v>
      </c>
      <c r="M288" s="88">
        <f>ws[[#This Row],[flow]]/ws[[#This Row],[count]]-1</f>
        <v>0.98060798795648796</v>
      </c>
      <c r="N288" s="89">
        <f>POWER((ws[[#This Row],[flow]]-ws[[#This Row],[count]]),2)</f>
        <v>57339044.013117336</v>
      </c>
      <c r="O288" s="43">
        <f>VLOOKUP(ws[[#This Row],[hwycov_id]],count[],6,FALSE)</f>
        <v>0</v>
      </c>
      <c r="P288" s="43">
        <v>303</v>
      </c>
      <c r="Q288" s="43" t="str">
        <f>'[2]All Counts'!P288</f>
        <v>PeMS2016</v>
      </c>
      <c r="S288" s="94">
        <v>13582</v>
      </c>
      <c r="T288" s="17"/>
      <c r="U288" s="17"/>
      <c r="V288" s="17">
        <v>20582</v>
      </c>
      <c r="W288" s="17">
        <v>19064.914062</v>
      </c>
      <c r="X288" s="17"/>
      <c r="Y288" s="17"/>
      <c r="Z288" s="17"/>
      <c r="AA288" s="17"/>
      <c r="AB288" s="17">
        <v>20582</v>
      </c>
      <c r="AC288" s="17">
        <v>19064.914062</v>
      </c>
      <c r="AD288"/>
      <c r="AE288"/>
    </row>
    <row r="289" spans="1:31" x14ac:dyDescent="0.25">
      <c r="A289" s="136">
        <f>'[2]All Counts'!C289</f>
        <v>1</v>
      </c>
      <c r="B289" s="136">
        <f>'[2]All Counts'!D289</f>
        <v>1</v>
      </c>
      <c r="C289" s="136">
        <f>'[2]All Counts'!E289</f>
        <v>4887</v>
      </c>
      <c r="D289" s="136">
        <f>'[2]All Counts'!F289</f>
        <v>1</v>
      </c>
      <c r="E289" s="136">
        <f>'[2]All Counts'!G289</f>
        <v>1</v>
      </c>
      <c r="F289" s="136" t="str">
        <f>'[2]All Counts'!H289</f>
        <v>I-5 NB</v>
      </c>
      <c r="G289" s="136">
        <f>'[2]All Counts'!I289</f>
        <v>108</v>
      </c>
      <c r="H289" s="136">
        <f>'[2]All Counts'!J289</f>
        <v>0</v>
      </c>
      <c r="I289" s="136" t="str">
        <f>'[2]All Counts'!K289</f>
        <v>I-805 NB</v>
      </c>
      <c r="J289" s="136">
        <f>'[2]All Counts'!L289</f>
        <v>0</v>
      </c>
      <c r="K289" s="136">
        <f>'[2]All Counts'!O289</f>
        <v>21677</v>
      </c>
      <c r="L289" s="57">
        <f>VLOOKUP(ws[[#This Row],[hwycov_id]],readme!D:G,4,FALSE)</f>
        <v>33521.027344000002</v>
      </c>
      <c r="M289" s="88">
        <f>ws[[#This Row],[flow]]/ws[[#This Row],[count]]-1</f>
        <v>0.54638683138810729</v>
      </c>
      <c r="N289" s="89">
        <f>POWER((ws[[#This Row],[flow]]-ws[[#This Row],[count]]),2)</f>
        <v>140280983.72541973</v>
      </c>
      <c r="O289" s="43">
        <f>VLOOKUP(ws[[#This Row],[hwycov_id]],count[],6,FALSE)</f>
        <v>0</v>
      </c>
      <c r="P289" s="43">
        <v>509</v>
      </c>
      <c r="Q289" s="43" t="str">
        <f>'[2]All Counts'!P289</f>
        <v>Caltran</v>
      </c>
      <c r="S289" s="94">
        <v>13589</v>
      </c>
      <c r="T289" s="17"/>
      <c r="U289" s="17"/>
      <c r="V289" s="17">
        <v>20568</v>
      </c>
      <c r="W289" s="17">
        <v>19428.822265999999</v>
      </c>
      <c r="X289" s="17"/>
      <c r="Y289" s="17"/>
      <c r="Z289" s="17"/>
      <c r="AA289" s="17"/>
      <c r="AB289" s="17">
        <v>20568</v>
      </c>
      <c r="AC289" s="17">
        <v>19428.822265999999</v>
      </c>
      <c r="AD289"/>
      <c r="AE289"/>
    </row>
    <row r="290" spans="1:31" x14ac:dyDescent="0.25">
      <c r="A290" s="136">
        <f>'[2]All Counts'!C290</f>
        <v>1</v>
      </c>
      <c r="B290" s="136">
        <f>'[2]All Counts'!D290</f>
        <v>1</v>
      </c>
      <c r="C290" s="136">
        <f>'[2]All Counts'!E290</f>
        <v>26279</v>
      </c>
      <c r="D290" s="136">
        <f>'[2]All Counts'!F290</f>
        <v>1</v>
      </c>
      <c r="E290" s="136">
        <f>'[2]All Counts'!G290</f>
        <v>1</v>
      </c>
      <c r="F290" s="136" t="str">
        <f>'[2]All Counts'!H290</f>
        <v>I-5 NB</v>
      </c>
      <c r="G290" s="136">
        <f>'[2]All Counts'!I290</f>
        <v>109</v>
      </c>
      <c r="H290" s="136">
        <f>'[2]All Counts'!J290</f>
        <v>0</v>
      </c>
      <c r="I290" s="136" t="str">
        <f>'[2]All Counts'!K290</f>
        <v>I-805 NB</v>
      </c>
      <c r="J290" s="136">
        <f>'[2]All Counts'!L290</f>
        <v>0</v>
      </c>
      <c r="K290" s="136">
        <f>'[2]All Counts'!O290</f>
        <v>19035</v>
      </c>
      <c r="L290" s="57">
        <f>VLOOKUP(ws[[#This Row],[hwycov_id]],readme!D:G,4,FALSE)</f>
        <v>33521.027344000002</v>
      </c>
      <c r="M290" s="88">
        <f>ws[[#This Row],[flow]]/ws[[#This Row],[count]]-1</f>
        <v>0.76102061171526136</v>
      </c>
      <c r="N290" s="89">
        <f>POWER((ws[[#This Row],[flow]]-ws[[#This Row],[count]]),2)</f>
        <v>209844988.21111575</v>
      </c>
      <c r="O290" s="43">
        <f>VLOOKUP(ws[[#This Row],[hwycov_id]],count[],6,FALSE)</f>
        <v>0</v>
      </c>
      <c r="P290" s="43">
        <v>510</v>
      </c>
      <c r="Q290" s="43" t="str">
        <f>'[2]All Counts'!P290</f>
        <v>PeMS2016</v>
      </c>
      <c r="S290" s="94">
        <v>13590</v>
      </c>
      <c r="T290" s="17"/>
      <c r="U290" s="17"/>
      <c r="V290" s="17">
        <v>19999</v>
      </c>
      <c r="W290" s="17">
        <v>20684.109375</v>
      </c>
      <c r="X290" s="17"/>
      <c r="Y290" s="17"/>
      <c r="Z290" s="17"/>
      <c r="AA290" s="17"/>
      <c r="AB290" s="17">
        <v>19999</v>
      </c>
      <c r="AC290" s="17">
        <v>20684.109375</v>
      </c>
      <c r="AD290"/>
      <c r="AE290"/>
    </row>
    <row r="291" spans="1:31" x14ac:dyDescent="0.25">
      <c r="A291" s="136">
        <f>'[2]All Counts'!C291</f>
        <v>1</v>
      </c>
      <c r="B291" s="136">
        <f>'[2]All Counts'!D291</f>
        <v>1</v>
      </c>
      <c r="C291" s="136">
        <f>'[2]All Counts'!E291</f>
        <v>14262</v>
      </c>
      <c r="D291" s="136">
        <f>'[2]All Counts'!F291</f>
        <v>1</v>
      </c>
      <c r="E291" s="136">
        <f>'[2]All Counts'!G291</f>
        <v>1</v>
      </c>
      <c r="F291" s="136" t="str">
        <f>'[2]All Counts'!H291</f>
        <v>I-5 NB</v>
      </c>
      <c r="G291" s="136">
        <f>'[2]All Counts'!I291</f>
        <v>111</v>
      </c>
      <c r="H291" s="136">
        <f>'[2]All Counts'!J291</f>
        <v>0</v>
      </c>
      <c r="I291" s="136" t="str">
        <f>'[2]All Counts'!K291</f>
        <v>I-805 NB</v>
      </c>
      <c r="J291" s="136">
        <f>'[2]All Counts'!L291</f>
        <v>0</v>
      </c>
      <c r="K291" s="136">
        <f>'[2]All Counts'!O291</f>
        <v>18033</v>
      </c>
      <c r="L291" s="57">
        <f>VLOOKUP(ws[[#This Row],[hwycov_id]],readme!D:G,4,FALSE)</f>
        <v>31562.857422000001</v>
      </c>
      <c r="M291" s="88">
        <f>ws[[#This Row],[flow]]/ws[[#This Row],[count]]-1</f>
        <v>0.75028322641823331</v>
      </c>
      <c r="N291" s="89">
        <f>POWER((ws[[#This Row],[flow]]-ws[[#This Row],[count]]),2)</f>
        <v>183057041.85964853</v>
      </c>
      <c r="O291" s="43">
        <f>VLOOKUP(ws[[#This Row],[hwycov_id]],count[],6,FALSE)</f>
        <v>0</v>
      </c>
      <c r="P291" s="43">
        <v>511</v>
      </c>
      <c r="Q291" s="43" t="str">
        <f>'[2]All Counts'!P291</f>
        <v>PeMS2016</v>
      </c>
      <c r="S291" s="94">
        <v>13593</v>
      </c>
      <c r="T291" s="17">
        <v>22187</v>
      </c>
      <c r="U291" s="17">
        <v>33322.902344000002</v>
      </c>
      <c r="V291" s="17"/>
      <c r="W291" s="17"/>
      <c r="X291" s="17"/>
      <c r="Y291" s="17"/>
      <c r="Z291" s="17"/>
      <c r="AA291" s="17"/>
      <c r="AB291" s="17">
        <v>22187</v>
      </c>
      <c r="AC291" s="17">
        <v>33322.902344000002</v>
      </c>
      <c r="AD291"/>
      <c r="AE291"/>
    </row>
    <row r="292" spans="1:31" x14ac:dyDescent="0.25">
      <c r="A292" s="136">
        <f>'[2]All Counts'!C292</f>
        <v>1</v>
      </c>
      <c r="B292" s="136">
        <f>'[2]All Counts'!D292</f>
        <v>1</v>
      </c>
      <c r="C292" s="136">
        <f>'[2]All Counts'!E292</f>
        <v>22603</v>
      </c>
      <c r="D292" s="136">
        <f>'[2]All Counts'!F292</f>
        <v>1</v>
      </c>
      <c r="E292" s="136">
        <f>'[2]All Counts'!G292</f>
        <v>1</v>
      </c>
      <c r="F292" s="136" t="str">
        <f>'[2]All Counts'!H292</f>
        <v>I-5 NB</v>
      </c>
      <c r="G292" s="136">
        <f>'[2]All Counts'!I292</f>
        <v>112</v>
      </c>
      <c r="H292" s="136">
        <f>'[2]All Counts'!J292</f>
        <v>0</v>
      </c>
      <c r="I292" s="136" t="str">
        <f>'[2]All Counts'!K292</f>
        <v>CARMEL VALLEY</v>
      </c>
      <c r="J292" s="136" t="str">
        <f>'[2]All Counts'!L292</f>
        <v>CARMEL VALLEY</v>
      </c>
      <c r="K292" s="136">
        <f>'[2]All Counts'!O292</f>
        <v>14712</v>
      </c>
      <c r="L292" s="57">
        <f>VLOOKUP(ws[[#This Row],[hwycov_id]],readme!D:G,4,FALSE)</f>
        <v>29994.886718999998</v>
      </c>
      <c r="M292" s="88">
        <f>ws[[#This Row],[flow]]/ws[[#This Row],[count]]-1</f>
        <v>1.0388041543637847</v>
      </c>
      <c r="N292" s="89">
        <f>POWER((ws[[#This Row],[flow]]-ws[[#This Row],[count]]),2)</f>
        <v>233566626.46578655</v>
      </c>
      <c r="O292" s="43">
        <f>VLOOKUP(ws[[#This Row],[hwycov_id]],count[],6,FALSE)</f>
        <v>0</v>
      </c>
      <c r="P292" s="43">
        <v>300</v>
      </c>
      <c r="Q292" s="43" t="str">
        <f>'[2]All Counts'!P292</f>
        <v>PeMS2016</v>
      </c>
      <c r="S292" s="94">
        <v>13594</v>
      </c>
      <c r="T292" s="17"/>
      <c r="U292" s="17"/>
      <c r="V292" s="17">
        <v>22251</v>
      </c>
      <c r="W292" s="17">
        <v>23280.683593999998</v>
      </c>
      <c r="X292" s="17"/>
      <c r="Y292" s="17"/>
      <c r="Z292" s="17"/>
      <c r="AA292" s="17"/>
      <c r="AB292" s="17">
        <v>22251</v>
      </c>
      <c r="AC292" s="17">
        <v>23280.683593999998</v>
      </c>
      <c r="AD292"/>
      <c r="AE292"/>
    </row>
    <row r="293" spans="1:31" x14ac:dyDescent="0.25">
      <c r="A293" s="136">
        <f>'[2]All Counts'!C293</f>
        <v>1</v>
      </c>
      <c r="B293" s="136">
        <f>'[2]All Counts'!D293</f>
        <v>1</v>
      </c>
      <c r="C293" s="136">
        <f>'[2]All Counts'!E293</f>
        <v>14248</v>
      </c>
      <c r="D293" s="136">
        <f>'[2]All Counts'!F293</f>
        <v>1</v>
      </c>
      <c r="E293" s="136">
        <f>'[2]All Counts'!G293</f>
        <v>1</v>
      </c>
      <c r="F293" s="136" t="str">
        <f>'[2]All Counts'!H293</f>
        <v>I-5 NB</v>
      </c>
      <c r="G293" s="136">
        <f>'[2]All Counts'!I293</f>
        <v>115</v>
      </c>
      <c r="H293" s="136">
        <f>'[2]All Counts'!J293</f>
        <v>0</v>
      </c>
      <c r="I293" s="136" t="str">
        <f>'[2]All Counts'!K293</f>
        <v>CARMEL VALLEY</v>
      </c>
      <c r="J293" s="136" t="str">
        <f>'[2]All Counts'!L293</f>
        <v>DEL MAR HEIGHTS</v>
      </c>
      <c r="K293" s="136">
        <f>'[2]All Counts'!O293</f>
        <v>13753</v>
      </c>
      <c r="L293" s="57">
        <f>VLOOKUP(ws[[#This Row],[hwycov_id]],readme!D:G,4,FALSE)</f>
        <v>34674.292969000002</v>
      </c>
      <c r="M293" s="88">
        <f>ws[[#This Row],[flow]]/ws[[#This Row],[count]]-1</f>
        <v>1.521216677743038</v>
      </c>
      <c r="N293" s="89">
        <f>POWER((ws[[#This Row],[flow]]-ws[[#This Row],[count]]),2)</f>
        <v>437700499.49472892</v>
      </c>
      <c r="O293" s="43">
        <f>VLOOKUP(ws[[#This Row],[hwycov_id]],count[],6,FALSE)</f>
        <v>0</v>
      </c>
      <c r="P293" s="43">
        <v>513</v>
      </c>
      <c r="Q293" s="43" t="str">
        <f>'[2]All Counts'!P293</f>
        <v>PeMS2016</v>
      </c>
      <c r="S293" s="94">
        <v>13597</v>
      </c>
      <c r="T293" s="17"/>
      <c r="U293" s="17"/>
      <c r="V293" s="17">
        <v>24283</v>
      </c>
      <c r="W293" s="17">
        <v>20878.109375</v>
      </c>
      <c r="X293" s="17"/>
      <c r="Y293" s="17"/>
      <c r="Z293" s="17"/>
      <c r="AA293" s="17"/>
      <c r="AB293" s="17">
        <v>24283</v>
      </c>
      <c r="AC293" s="17">
        <v>20878.109375</v>
      </c>
      <c r="AD293"/>
      <c r="AE293"/>
    </row>
    <row r="294" spans="1:31" x14ac:dyDescent="0.25">
      <c r="A294" s="136">
        <f>'[2]All Counts'!C294</f>
        <v>1</v>
      </c>
      <c r="B294" s="136">
        <f>'[2]All Counts'!D294</f>
        <v>1</v>
      </c>
      <c r="C294" s="136">
        <f>'[2]All Counts'!E294</f>
        <v>13861</v>
      </c>
      <c r="D294" s="136">
        <f>'[2]All Counts'!F294</f>
        <v>1</v>
      </c>
      <c r="E294" s="136">
        <f>'[2]All Counts'!G294</f>
        <v>1</v>
      </c>
      <c r="F294" s="136" t="str">
        <f>'[2]All Counts'!H294</f>
        <v>I-5 NB</v>
      </c>
      <c r="G294" s="136">
        <f>'[2]All Counts'!I294</f>
        <v>117</v>
      </c>
      <c r="H294" s="136">
        <f>'[2]All Counts'!J294</f>
        <v>0</v>
      </c>
      <c r="I294" s="136" t="str">
        <f>'[2]All Counts'!K294</f>
        <v>DEL MAR HEIGHTS</v>
      </c>
      <c r="J294" s="136" t="str">
        <f>'[2]All Counts'!L294</f>
        <v>DEL MAR HEIGHTS</v>
      </c>
      <c r="K294" s="136">
        <f>'[2]All Counts'!O294</f>
        <v>20207</v>
      </c>
      <c r="L294" s="57">
        <f>VLOOKUP(ws[[#This Row],[hwycov_id]],readme!D:G,4,FALSE)</f>
        <v>30935.710938</v>
      </c>
      <c r="M294" s="88">
        <f>ws[[#This Row],[flow]]/ws[[#This Row],[count]]-1</f>
        <v>0.53094031464344038</v>
      </c>
      <c r="N294" s="89">
        <f>POWER((ws[[#This Row],[flow]]-ws[[#This Row],[count]]),2)</f>
        <v>115105238.39116085</v>
      </c>
      <c r="O294" s="43">
        <f>VLOOKUP(ws[[#This Row],[hwycov_id]],count[],6,FALSE)</f>
        <v>0</v>
      </c>
      <c r="P294" s="43">
        <v>515</v>
      </c>
      <c r="Q294" s="43" t="str">
        <f>'[2]All Counts'!P294</f>
        <v>PeMS2016</v>
      </c>
      <c r="S294" s="94">
        <v>13598</v>
      </c>
      <c r="T294" s="17"/>
      <c r="U294" s="17"/>
      <c r="V294" s="17">
        <v>21264</v>
      </c>
      <c r="W294" s="17">
        <v>18697.166015999999</v>
      </c>
      <c r="X294" s="17"/>
      <c r="Y294" s="17"/>
      <c r="Z294" s="17"/>
      <c r="AA294" s="17"/>
      <c r="AB294" s="17">
        <v>21264</v>
      </c>
      <c r="AC294" s="17">
        <v>18697.166015999999</v>
      </c>
      <c r="AD294"/>
      <c r="AE294"/>
    </row>
    <row r="295" spans="1:31" x14ac:dyDescent="0.25">
      <c r="A295" s="136">
        <f>'[2]All Counts'!C295</f>
        <v>1</v>
      </c>
      <c r="B295" s="136">
        <f>'[2]All Counts'!D295</f>
        <v>1</v>
      </c>
      <c r="C295" s="136">
        <f>'[2]All Counts'!E295</f>
        <v>25387</v>
      </c>
      <c r="D295" s="136">
        <f>'[2]All Counts'!F295</f>
        <v>1</v>
      </c>
      <c r="E295" s="136">
        <f>'[2]All Counts'!G295</f>
        <v>1</v>
      </c>
      <c r="F295" s="136" t="str">
        <f>'[2]All Counts'!H295</f>
        <v>I-5 NB</v>
      </c>
      <c r="G295" s="136">
        <f>'[2]All Counts'!I295</f>
        <v>118</v>
      </c>
      <c r="H295" s="136">
        <f>'[2]All Counts'!J295</f>
        <v>1</v>
      </c>
      <c r="I295" s="136" t="str">
        <f>'[2]All Counts'!K295</f>
        <v>DEL MAR HEIGHTS</v>
      </c>
      <c r="J295" s="136" t="str">
        <f>'[2]All Counts'!L295</f>
        <v>VIA DE LA VALLE</v>
      </c>
      <c r="K295" s="136">
        <f>'[2]All Counts'!O295</f>
        <v>19331</v>
      </c>
      <c r="L295" s="57">
        <f>VLOOKUP(ws[[#This Row],[hwycov_id]],readme!D:G,4,FALSE)</f>
        <v>33859.6875</v>
      </c>
      <c r="M295" s="88">
        <f>ws[[#This Row],[flow]]/ws[[#This Row],[count]]-1</f>
        <v>0.75157454347938546</v>
      </c>
      <c r="N295" s="89">
        <f>POWER((ws[[#This Row],[flow]]-ws[[#This Row],[count]]),2)</f>
        <v>211082760.47265625</v>
      </c>
      <c r="O295" s="43">
        <f>VLOOKUP(ws[[#This Row],[hwycov_id]],count[],6,FALSE)</f>
        <v>0</v>
      </c>
      <c r="P295" s="43">
        <v>514</v>
      </c>
      <c r="Q295" s="43" t="str">
        <f>'[2]All Counts'!P295</f>
        <v>PeMS2016</v>
      </c>
      <c r="S295" s="94">
        <v>13600</v>
      </c>
      <c r="T295" s="17">
        <v>26077</v>
      </c>
      <c r="U295" s="17">
        <v>32117.257812</v>
      </c>
      <c r="V295" s="17"/>
      <c r="W295" s="17"/>
      <c r="X295" s="17"/>
      <c r="Y295" s="17"/>
      <c r="Z295" s="17"/>
      <c r="AA295" s="17"/>
      <c r="AB295" s="17">
        <v>26077</v>
      </c>
      <c r="AC295" s="17">
        <v>32117.257812</v>
      </c>
      <c r="AD295"/>
      <c r="AE295"/>
    </row>
    <row r="296" spans="1:31" x14ac:dyDescent="0.25">
      <c r="A296" s="136">
        <f>'[2]All Counts'!C296</f>
        <v>1</v>
      </c>
      <c r="B296" s="136">
        <f>'[2]All Counts'!D296</f>
        <v>1</v>
      </c>
      <c r="C296" s="136">
        <f>'[2]All Counts'!E296</f>
        <v>13869</v>
      </c>
      <c r="D296" s="136">
        <f>'[2]All Counts'!F296</f>
        <v>1</v>
      </c>
      <c r="E296" s="136">
        <f>'[2]All Counts'!G296</f>
        <v>1</v>
      </c>
      <c r="F296" s="136" t="str">
        <f>'[2]All Counts'!H296</f>
        <v>I-5 NB</v>
      </c>
      <c r="G296" s="136">
        <f>'[2]All Counts'!I296</f>
        <v>120</v>
      </c>
      <c r="H296" s="136">
        <f>'[2]All Counts'!J296</f>
        <v>0</v>
      </c>
      <c r="I296" s="136" t="str">
        <f>'[2]All Counts'!K296</f>
        <v>VIA DE LA VALLE</v>
      </c>
      <c r="J296" s="136" t="str">
        <f>'[2]All Counts'!L296</f>
        <v>VIA DE LA VALLE</v>
      </c>
      <c r="K296" s="136">
        <f>'[2]All Counts'!O296</f>
        <v>19682</v>
      </c>
      <c r="L296" s="57">
        <f>VLOOKUP(ws[[#This Row],[hwycov_id]],readme!D:G,4,FALSE)</f>
        <v>30474.693359000001</v>
      </c>
      <c r="M296" s="88">
        <f>ws[[#This Row],[flow]]/ws[[#This Row],[count]]-1</f>
        <v>0.54835348841581144</v>
      </c>
      <c r="N296" s="89">
        <f>POWER((ws[[#This Row],[flow]]-ws[[#This Row],[count]]),2)</f>
        <v>116482229.94140272</v>
      </c>
      <c r="O296" s="43">
        <f>VLOOKUP(ws[[#This Row],[hwycov_id]],count[],6,FALSE)</f>
        <v>0</v>
      </c>
      <c r="P296" s="43">
        <v>296</v>
      </c>
      <c r="Q296" s="43" t="str">
        <f>'[2]All Counts'!P296</f>
        <v>PeMS2016</v>
      </c>
      <c r="S296" s="94">
        <v>13637</v>
      </c>
      <c r="T296" s="17">
        <v>27093</v>
      </c>
      <c r="U296" s="17">
        <v>32644.353515999999</v>
      </c>
      <c r="V296" s="17"/>
      <c r="W296" s="17"/>
      <c r="X296" s="17"/>
      <c r="Y296" s="17"/>
      <c r="Z296" s="17"/>
      <c r="AA296" s="17"/>
      <c r="AB296" s="17">
        <v>27093</v>
      </c>
      <c r="AC296" s="17">
        <v>32644.353515999999</v>
      </c>
      <c r="AD296"/>
      <c r="AE296"/>
    </row>
    <row r="297" spans="1:31" x14ac:dyDescent="0.25">
      <c r="A297" s="136">
        <f>'[2]All Counts'!C297</f>
        <v>1</v>
      </c>
      <c r="B297" s="136">
        <f>'[2]All Counts'!D297</f>
        <v>1</v>
      </c>
      <c r="C297" s="136">
        <f>'[2]All Counts'!E297</f>
        <v>13600</v>
      </c>
      <c r="D297" s="136">
        <f>'[2]All Counts'!F297</f>
        <v>1</v>
      </c>
      <c r="E297" s="136">
        <f>'[2]All Counts'!G297</f>
        <v>1</v>
      </c>
      <c r="F297" s="136" t="str">
        <f>'[2]All Counts'!H297</f>
        <v>I-5 NB</v>
      </c>
      <c r="G297" s="136">
        <f>'[2]All Counts'!I297</f>
        <v>122</v>
      </c>
      <c r="H297" s="136">
        <f>'[2]All Counts'!J297</f>
        <v>0</v>
      </c>
      <c r="I297" s="136" t="str">
        <f>'[2]All Counts'!K297</f>
        <v>VIA DE LA VALLE</v>
      </c>
      <c r="J297" s="136" t="str">
        <f>'[2]All Counts'!L297</f>
        <v>LOMAS SANTA FE</v>
      </c>
      <c r="K297" s="136">
        <f>'[2]All Counts'!O297</f>
        <v>26077</v>
      </c>
      <c r="L297" s="57">
        <f>VLOOKUP(ws[[#This Row],[hwycov_id]],readme!D:G,4,FALSE)</f>
        <v>32117.257812</v>
      </c>
      <c r="M297" s="88">
        <f>ws[[#This Row],[flow]]/ws[[#This Row],[count]]-1</f>
        <v>0.2316316221958048</v>
      </c>
      <c r="N297" s="89">
        <f>POWER((ws[[#This Row],[flow]]-ws[[#This Row],[count]]),2)</f>
        <v>36484714.435427025</v>
      </c>
      <c r="O297" s="43">
        <f>VLOOKUP(ws[[#This Row],[hwycov_id]],count[],6,FALSE)</f>
        <v>0</v>
      </c>
      <c r="P297" s="43">
        <v>371</v>
      </c>
      <c r="Q297" s="43" t="str">
        <f>'[2]All Counts'!P297</f>
        <v>Caltran</v>
      </c>
      <c r="S297" s="94">
        <v>13639</v>
      </c>
      <c r="T297" s="17">
        <v>26992</v>
      </c>
      <c r="U297" s="17">
        <v>29717.554688</v>
      </c>
      <c r="V297" s="17"/>
      <c r="W297" s="17"/>
      <c r="X297" s="17"/>
      <c r="Y297" s="17"/>
      <c r="Z297" s="17"/>
      <c r="AA297" s="17"/>
      <c r="AB297" s="17">
        <v>26992</v>
      </c>
      <c r="AC297" s="17">
        <v>29717.554688</v>
      </c>
      <c r="AD297"/>
      <c r="AE297"/>
    </row>
    <row r="298" spans="1:31" x14ac:dyDescent="0.25">
      <c r="A298" s="136">
        <f>'[2]All Counts'!C298</f>
        <v>1</v>
      </c>
      <c r="B298" s="136">
        <f>'[2]All Counts'!D298</f>
        <v>1</v>
      </c>
      <c r="C298" s="136">
        <f>'[2]All Counts'!E298</f>
        <v>26293</v>
      </c>
      <c r="D298" s="136">
        <f>'[2]All Counts'!F298</f>
        <v>1</v>
      </c>
      <c r="E298" s="136">
        <f>'[2]All Counts'!G298</f>
        <v>1</v>
      </c>
      <c r="F298" s="136" t="str">
        <f>'[2]All Counts'!H298</f>
        <v>I-5 NB</v>
      </c>
      <c r="G298" s="136">
        <f>'[2]All Counts'!I298</f>
        <v>123</v>
      </c>
      <c r="H298" s="136">
        <f>'[2]All Counts'!J298</f>
        <v>0</v>
      </c>
      <c r="I298" s="136" t="str">
        <f>'[2]All Counts'!K298</f>
        <v>LOMAS SANTA FE</v>
      </c>
      <c r="J298" s="136" t="str">
        <f>'[2]All Counts'!L298</f>
        <v>LOMAS SANTA FE</v>
      </c>
      <c r="K298" s="136">
        <f>'[2]All Counts'!O298</f>
        <v>20329</v>
      </c>
      <c r="L298" s="57">
        <f>VLOOKUP(ws[[#This Row],[hwycov_id]],readme!D:G,4,FALSE)</f>
        <v>29805.939452999999</v>
      </c>
      <c r="M298" s="88">
        <f>ws[[#This Row],[flow]]/ws[[#This Row],[count]]-1</f>
        <v>0.46617833897387961</v>
      </c>
      <c r="N298" s="89">
        <f>POWER((ws[[#This Row],[flow]]-ws[[#This Row],[count]]),2)</f>
        <v>89812381.395827919</v>
      </c>
      <c r="O298" s="43">
        <f>VLOOKUP(ws[[#This Row],[hwycov_id]],count[],6,FALSE)</f>
        <v>0</v>
      </c>
      <c r="P298" s="43">
        <v>372</v>
      </c>
      <c r="Q298" s="43" t="str">
        <f>'[2]All Counts'!P298</f>
        <v>PeMS2016</v>
      </c>
      <c r="S298" s="94">
        <v>13640</v>
      </c>
      <c r="T298" s="17">
        <v>26769</v>
      </c>
      <c r="U298" s="17">
        <v>32120.431640999999</v>
      </c>
      <c r="V298" s="17"/>
      <c r="W298" s="17"/>
      <c r="X298" s="17"/>
      <c r="Y298" s="17"/>
      <c r="Z298" s="17"/>
      <c r="AA298" s="17"/>
      <c r="AB298" s="17">
        <v>26769</v>
      </c>
      <c r="AC298" s="17">
        <v>32120.431640999999</v>
      </c>
      <c r="AD298"/>
      <c r="AE298"/>
    </row>
    <row r="299" spans="1:31" x14ac:dyDescent="0.25">
      <c r="A299" s="136">
        <f>'[2]All Counts'!C299</f>
        <v>1</v>
      </c>
      <c r="B299" s="136">
        <f>'[2]All Counts'!D299</f>
        <v>1</v>
      </c>
      <c r="C299" s="136">
        <f>'[2]All Counts'!E299</f>
        <v>9872</v>
      </c>
      <c r="D299" s="136">
        <f>'[2]All Counts'!F299</f>
        <v>1</v>
      </c>
      <c r="E299" s="136">
        <f>'[2]All Counts'!G299</f>
        <v>1</v>
      </c>
      <c r="F299" s="136" t="str">
        <f>'[2]All Counts'!H299</f>
        <v>I-5 NB</v>
      </c>
      <c r="G299" s="136">
        <f>'[2]All Counts'!I299</f>
        <v>125</v>
      </c>
      <c r="H299" s="136">
        <f>'[2]All Counts'!J299</f>
        <v>0</v>
      </c>
      <c r="I299" s="136" t="str">
        <f>'[2]All Counts'!K299</f>
        <v>LOMAS SANTA FE</v>
      </c>
      <c r="J299" s="136" t="str">
        <f>'[2]All Counts'!L299</f>
        <v>MANCHESTER</v>
      </c>
      <c r="K299" s="136">
        <f>'[2]All Counts'!O299</f>
        <v>21633</v>
      </c>
      <c r="L299" s="57">
        <f>VLOOKUP(ws[[#This Row],[hwycov_id]],readme!D:G,4,FALSE)</f>
        <v>37820.757812000003</v>
      </c>
      <c r="M299" s="88">
        <f>ws[[#This Row],[flow]]/ws[[#This Row],[count]]-1</f>
        <v>0.74829001118661331</v>
      </c>
      <c r="N299" s="89">
        <f>POWER((ws[[#This Row],[flow]]-ws[[#This Row],[count]]),2)</f>
        <v>262043502.97996715</v>
      </c>
      <c r="O299" s="43">
        <f>VLOOKUP(ws[[#This Row],[hwycov_id]],count[],6,FALSE)</f>
        <v>0</v>
      </c>
      <c r="P299" s="43">
        <v>373</v>
      </c>
      <c r="Q299" s="43" t="str">
        <f>'[2]All Counts'!P299</f>
        <v>PeMS2016</v>
      </c>
      <c r="S299" s="94">
        <v>13646</v>
      </c>
      <c r="T299" s="17"/>
      <c r="U299" s="17"/>
      <c r="V299" s="17">
        <v>22442</v>
      </c>
      <c r="W299" s="17">
        <v>22404.412109000001</v>
      </c>
      <c r="X299" s="17"/>
      <c r="Y299" s="17"/>
      <c r="Z299" s="17"/>
      <c r="AA299" s="17"/>
      <c r="AB299" s="17">
        <v>22442</v>
      </c>
      <c r="AC299" s="17">
        <v>22404.412109000001</v>
      </c>
      <c r="AD299"/>
      <c r="AE299"/>
    </row>
    <row r="300" spans="1:31" x14ac:dyDescent="0.25">
      <c r="A300" s="136">
        <f>'[2]All Counts'!C300</f>
        <v>1</v>
      </c>
      <c r="B300" s="136">
        <f>'[2]All Counts'!D300</f>
        <v>1</v>
      </c>
      <c r="C300" s="136">
        <f>'[2]All Counts'!E300</f>
        <v>13527</v>
      </c>
      <c r="D300" s="136">
        <f>'[2]All Counts'!F300</f>
        <v>1</v>
      </c>
      <c r="E300" s="136">
        <f>'[2]All Counts'!G300</f>
        <v>1</v>
      </c>
      <c r="F300" s="136" t="str">
        <f>'[2]All Counts'!H300</f>
        <v>I-5 NB</v>
      </c>
      <c r="G300" s="136">
        <f>'[2]All Counts'!I300</f>
        <v>127</v>
      </c>
      <c r="H300" s="136">
        <f>'[2]All Counts'!J300</f>
        <v>0</v>
      </c>
      <c r="I300" s="136" t="str">
        <f>'[2]All Counts'!K300</f>
        <v>MANCHESTER</v>
      </c>
      <c r="J300" s="136" t="str">
        <f>'[2]All Counts'!L300</f>
        <v>MANCHESTER</v>
      </c>
      <c r="K300" s="136">
        <f>'[2]All Counts'!O300</f>
        <v>23882</v>
      </c>
      <c r="L300" s="57">
        <f>VLOOKUP(ws[[#This Row],[hwycov_id]],readme!D:G,4,FALSE)</f>
        <v>33316.832030999998</v>
      </c>
      <c r="M300" s="88">
        <f>ws[[#This Row],[flow]]/ws[[#This Row],[count]]-1</f>
        <v>0.39506038150071165</v>
      </c>
      <c r="N300" s="89">
        <f>POWER((ws[[#This Row],[flow]]-ws[[#This Row],[count]]),2)</f>
        <v>89016055.453183547</v>
      </c>
      <c r="O300" s="43">
        <f>VLOOKUP(ws[[#This Row],[hwycov_id]],count[],6,FALSE)</f>
        <v>0</v>
      </c>
      <c r="P300" s="43">
        <v>440</v>
      </c>
      <c r="Q300" s="43" t="str">
        <f>'[2]All Counts'!P300</f>
        <v>PeMS2016</v>
      </c>
      <c r="S300" s="94">
        <v>13648</v>
      </c>
      <c r="T300" s="17">
        <v>24137</v>
      </c>
      <c r="U300" s="17">
        <v>31013.923827999999</v>
      </c>
      <c r="V300" s="17"/>
      <c r="W300" s="17"/>
      <c r="X300" s="17"/>
      <c r="Y300" s="17"/>
      <c r="Z300" s="17"/>
      <c r="AA300" s="17"/>
      <c r="AB300" s="17">
        <v>24137</v>
      </c>
      <c r="AC300" s="17">
        <v>31013.923827999999</v>
      </c>
      <c r="AD300"/>
      <c r="AE300"/>
    </row>
    <row r="301" spans="1:31" x14ac:dyDescent="0.25">
      <c r="A301" s="136">
        <f>'[2]All Counts'!C301</f>
        <v>1</v>
      </c>
      <c r="B301" s="136">
        <f>'[2]All Counts'!D301</f>
        <v>1</v>
      </c>
      <c r="C301" s="136">
        <f>'[2]All Counts'!E301</f>
        <v>13593</v>
      </c>
      <c r="D301" s="136">
        <f>'[2]All Counts'!F301</f>
        <v>1</v>
      </c>
      <c r="E301" s="136">
        <f>'[2]All Counts'!G301</f>
        <v>1</v>
      </c>
      <c r="F301" s="136" t="str">
        <f>'[2]All Counts'!H301</f>
        <v>I-5 NB</v>
      </c>
      <c r="G301" s="136">
        <f>'[2]All Counts'!I301</f>
        <v>128</v>
      </c>
      <c r="H301" s="136">
        <f>'[2]All Counts'!J301</f>
        <v>0</v>
      </c>
      <c r="I301" s="136" t="str">
        <f>'[2]All Counts'!K301</f>
        <v>MANCHESTER</v>
      </c>
      <c r="J301" s="136" t="str">
        <f>'[2]All Counts'!L301</f>
        <v>BIRMINGHAM</v>
      </c>
      <c r="K301" s="136">
        <f>'[2]All Counts'!O301</f>
        <v>22187</v>
      </c>
      <c r="L301" s="57">
        <f>VLOOKUP(ws[[#This Row],[hwycov_id]],readme!D:G,4,FALSE)</f>
        <v>33322.902344000002</v>
      </c>
      <c r="M301" s="88">
        <f>ws[[#This Row],[flow]]/ws[[#This Row],[count]]-1</f>
        <v>0.50191113462838599</v>
      </c>
      <c r="N301" s="89">
        <f>POWER((ws[[#This Row],[flow]]-ws[[#This Row],[count]]),2)</f>
        <v>124008321.01510474</v>
      </c>
      <c r="O301" s="43">
        <f>VLOOKUP(ws[[#This Row],[hwycov_id]],count[],6,FALSE)</f>
        <v>0</v>
      </c>
      <c r="P301" s="43">
        <v>370</v>
      </c>
      <c r="Q301" s="43" t="str">
        <f>'[2]All Counts'!P301</f>
        <v>PeMS2016</v>
      </c>
      <c r="S301" s="94">
        <v>13649</v>
      </c>
      <c r="T301" s="17"/>
      <c r="U301" s="17"/>
      <c r="V301" s="17">
        <v>21029</v>
      </c>
      <c r="W301" s="17">
        <v>20416.167968999998</v>
      </c>
      <c r="X301" s="17"/>
      <c r="Y301" s="17"/>
      <c r="Z301" s="17"/>
      <c r="AA301" s="17"/>
      <c r="AB301" s="17">
        <v>21029</v>
      </c>
      <c r="AC301" s="17">
        <v>20416.167968999998</v>
      </c>
      <c r="AD301"/>
      <c r="AE301"/>
    </row>
    <row r="302" spans="1:31" x14ac:dyDescent="0.25">
      <c r="A302" s="136">
        <f>'[2]All Counts'!C302</f>
        <v>1</v>
      </c>
      <c r="B302" s="136">
        <f>'[2]All Counts'!D302</f>
        <v>1</v>
      </c>
      <c r="C302" s="136">
        <f>'[2]All Counts'!E302</f>
        <v>25842</v>
      </c>
      <c r="D302" s="136">
        <f>'[2]All Counts'!F302</f>
        <v>1</v>
      </c>
      <c r="E302" s="136">
        <f>'[2]All Counts'!G302</f>
        <v>1</v>
      </c>
      <c r="F302" s="136" t="str">
        <f>'[2]All Counts'!H302</f>
        <v>I-5 NB</v>
      </c>
      <c r="G302" s="136">
        <f>'[2]All Counts'!I302</f>
        <v>129</v>
      </c>
      <c r="H302" s="136">
        <f>'[2]All Counts'!J302</f>
        <v>0</v>
      </c>
      <c r="I302" s="136" t="str">
        <f>'[2]All Counts'!K302</f>
        <v>BIRMINGHAM</v>
      </c>
      <c r="J302" s="136" t="str">
        <f>'[2]All Counts'!L302</f>
        <v>BIRMINGHAM</v>
      </c>
      <c r="K302" s="136">
        <f>'[2]All Counts'!O302</f>
        <v>22833</v>
      </c>
      <c r="L302" s="57">
        <f>VLOOKUP(ws[[#This Row],[hwycov_id]],readme!D:G,4,FALSE)</f>
        <v>30507.140625</v>
      </c>
      <c r="M302" s="88">
        <f>ws[[#This Row],[flow]]/ws[[#This Row],[count]]-1</f>
        <v>0.33609865654973059</v>
      </c>
      <c r="N302" s="89">
        <f>POWER((ws[[#This Row],[flow]]-ws[[#This Row],[count]]),2)</f>
        <v>58892434.332275391</v>
      </c>
      <c r="O302" s="43">
        <f>VLOOKUP(ws[[#This Row],[hwycov_id]],count[],6,FALSE)</f>
        <v>0</v>
      </c>
      <c r="P302" s="43">
        <v>441</v>
      </c>
      <c r="Q302" s="43" t="str">
        <f>'[2]All Counts'!P302</f>
        <v>PeMS2016</v>
      </c>
      <c r="S302" s="94">
        <v>13653</v>
      </c>
      <c r="T302" s="17"/>
      <c r="U302" s="17"/>
      <c r="V302" s="17">
        <v>24646</v>
      </c>
      <c r="W302" s="17">
        <v>21767.917968999998</v>
      </c>
      <c r="X302" s="17"/>
      <c r="Y302" s="17"/>
      <c r="Z302" s="17"/>
      <c r="AA302" s="17"/>
      <c r="AB302" s="17">
        <v>24646</v>
      </c>
      <c r="AC302" s="17">
        <v>21767.917968999998</v>
      </c>
      <c r="AD302"/>
      <c r="AE302"/>
    </row>
    <row r="303" spans="1:31" x14ac:dyDescent="0.25">
      <c r="A303" s="136">
        <f>'[2]All Counts'!C303</f>
        <v>1</v>
      </c>
      <c r="B303" s="136">
        <f>'[2]All Counts'!D303</f>
        <v>1</v>
      </c>
      <c r="C303" s="136">
        <f>'[2]All Counts'!E303</f>
        <v>26523</v>
      </c>
      <c r="D303" s="136">
        <f>'[2]All Counts'!F303</f>
        <v>1</v>
      </c>
      <c r="E303" s="136">
        <f>'[2]All Counts'!G303</f>
        <v>1</v>
      </c>
      <c r="F303" s="136" t="str">
        <f>'[2]All Counts'!H303</f>
        <v>I-5 NB</v>
      </c>
      <c r="G303" s="136">
        <f>'[2]All Counts'!I303</f>
        <v>132</v>
      </c>
      <c r="H303" s="136">
        <f>'[2]All Counts'!J303</f>
        <v>0</v>
      </c>
      <c r="I303" s="136" t="str">
        <f>'[2]All Counts'!K303</f>
        <v>SANTA FE</v>
      </c>
      <c r="J303" s="136" t="str">
        <f>'[2]All Counts'!L303</f>
        <v>SANTA FE</v>
      </c>
      <c r="K303" s="136">
        <f>'[2]All Counts'!O303</f>
        <v>21979</v>
      </c>
      <c r="L303" s="57">
        <f>VLOOKUP(ws[[#This Row],[hwycov_id]],readme!D:G,4,FALSE)</f>
        <v>29582.496093999998</v>
      </c>
      <c r="M303" s="88">
        <f>ws[[#This Row],[flow]]/ws[[#This Row],[count]]-1</f>
        <v>0.34594367778333845</v>
      </c>
      <c r="N303" s="89">
        <f>POWER((ws[[#This Row],[flow]]-ws[[#This Row],[count]]),2)</f>
        <v>57813152.851473227</v>
      </c>
      <c r="O303" s="43">
        <f>VLOOKUP(ws[[#This Row],[hwycov_id]],count[],6,FALSE)</f>
        <v>0</v>
      </c>
      <c r="P303" s="43">
        <v>442</v>
      </c>
      <c r="Q303" s="43" t="str">
        <f>'[2]All Counts'!P303</f>
        <v>PeMS2016</v>
      </c>
      <c r="S303" s="94">
        <v>13661</v>
      </c>
      <c r="T303" s="17"/>
      <c r="U303" s="17"/>
      <c r="V303" s="17">
        <v>21294</v>
      </c>
      <c r="W303" s="17">
        <v>20548.189452999999</v>
      </c>
      <c r="X303" s="17"/>
      <c r="Y303" s="17"/>
      <c r="Z303" s="17"/>
      <c r="AA303" s="17"/>
      <c r="AB303" s="17">
        <v>21294</v>
      </c>
      <c r="AC303" s="17">
        <v>20548.189452999999</v>
      </c>
      <c r="AD303"/>
      <c r="AE303"/>
    </row>
    <row r="304" spans="1:31" x14ac:dyDescent="0.25">
      <c r="A304" s="136">
        <f>'[2]All Counts'!C304</f>
        <v>1</v>
      </c>
      <c r="B304" s="136">
        <f>'[2]All Counts'!D304</f>
        <v>1</v>
      </c>
      <c r="C304" s="136">
        <f>'[2]All Counts'!E304</f>
        <v>13581</v>
      </c>
      <c r="D304" s="136">
        <f>'[2]All Counts'!F304</f>
        <v>1</v>
      </c>
      <c r="E304" s="136">
        <f>'[2]All Counts'!G304</f>
        <v>1</v>
      </c>
      <c r="F304" s="136" t="str">
        <f>'[2]All Counts'!H304</f>
        <v>I-5 NB</v>
      </c>
      <c r="G304" s="136">
        <f>'[2]All Counts'!I304</f>
        <v>133</v>
      </c>
      <c r="H304" s="136">
        <f>'[2]All Counts'!J304</f>
        <v>0</v>
      </c>
      <c r="I304" s="136" t="str">
        <f>'[2]All Counts'!K304</f>
        <v>SANTA FE</v>
      </c>
      <c r="J304" s="136" t="str">
        <f>'[2]All Counts'!L304</f>
        <v>SANTA FE</v>
      </c>
      <c r="K304" s="136">
        <f>'[2]All Counts'!O304</f>
        <v>22879</v>
      </c>
      <c r="L304" s="57">
        <f>VLOOKUP(ws[[#This Row],[hwycov_id]],readme!D:G,4,FALSE)</f>
        <v>29582.496093999998</v>
      </c>
      <c r="M304" s="88">
        <f>ws[[#This Row],[flow]]/ws[[#This Row],[count]]-1</f>
        <v>0.29299777499016555</v>
      </c>
      <c r="N304" s="89">
        <f>POWER((ws[[#This Row],[flow]]-ws[[#This Row],[count]]),2)</f>
        <v>44936859.882273234</v>
      </c>
      <c r="O304" s="43">
        <f>VLOOKUP(ws[[#This Row],[hwycov_id]],count[],6,FALSE)</f>
        <v>0</v>
      </c>
      <c r="P304" s="43">
        <v>444</v>
      </c>
      <c r="Q304" s="43" t="str">
        <f>'[2]All Counts'!P304</f>
        <v>PeMS2016</v>
      </c>
      <c r="S304" s="94">
        <v>13662</v>
      </c>
      <c r="T304" s="17">
        <v>28364</v>
      </c>
      <c r="U304" s="17">
        <v>34559.582030999998</v>
      </c>
      <c r="V304" s="17"/>
      <c r="W304" s="17"/>
      <c r="X304" s="17"/>
      <c r="Y304" s="17"/>
      <c r="Z304" s="17"/>
      <c r="AA304" s="17"/>
      <c r="AB304" s="17">
        <v>28364</v>
      </c>
      <c r="AC304" s="17">
        <v>34559.582030999998</v>
      </c>
      <c r="AD304"/>
      <c r="AE304"/>
    </row>
    <row r="305" spans="1:31" x14ac:dyDescent="0.25">
      <c r="A305" s="136">
        <f>'[2]All Counts'!C305</f>
        <v>1</v>
      </c>
      <c r="B305" s="136">
        <f>'[2]All Counts'!D305</f>
        <v>1</v>
      </c>
      <c r="C305" s="136">
        <f>'[2]All Counts'!E305</f>
        <v>13579</v>
      </c>
      <c r="D305" s="136">
        <f>'[2]All Counts'!F305</f>
        <v>1</v>
      </c>
      <c r="E305" s="136">
        <f>'[2]All Counts'!G305</f>
        <v>1</v>
      </c>
      <c r="F305" s="136" t="str">
        <f>'[2]All Counts'!H305</f>
        <v>I-5 NB</v>
      </c>
      <c r="G305" s="136">
        <f>'[2]All Counts'!I305</f>
        <v>134</v>
      </c>
      <c r="H305" s="136">
        <f>'[2]All Counts'!J305</f>
        <v>0</v>
      </c>
      <c r="I305" s="136" t="str">
        <f>'[2]All Counts'!K305</f>
        <v>SANTA FE</v>
      </c>
      <c r="J305" s="136" t="str">
        <f>'[2]All Counts'!L305</f>
        <v>ENCINITAS</v>
      </c>
      <c r="K305" s="136">
        <f>'[2]All Counts'!O305</f>
        <v>21038</v>
      </c>
      <c r="L305" s="57">
        <f>VLOOKUP(ws[[#This Row],[hwycov_id]],readme!D:G,4,FALSE)</f>
        <v>30674.664062</v>
      </c>
      <c r="M305" s="88">
        <f>ws[[#This Row],[flow]]/ws[[#This Row],[count]]-1</f>
        <v>0.45805989457172736</v>
      </c>
      <c r="N305" s="89">
        <f>POWER((ws[[#This Row],[flow]]-ws[[#This Row],[count]]),2)</f>
        <v>92865294.243842334</v>
      </c>
      <c r="O305" s="43">
        <f>VLOOKUP(ws[[#This Row],[hwycov_id]],count[],6,FALSE)</f>
        <v>0</v>
      </c>
      <c r="P305" s="43">
        <v>367</v>
      </c>
      <c r="Q305" s="43" t="str">
        <f>'[2]All Counts'!P305</f>
        <v>PeMS2016</v>
      </c>
      <c r="S305" s="94">
        <v>13664</v>
      </c>
      <c r="T305" s="17"/>
      <c r="U305" s="17"/>
      <c r="V305" s="17">
        <v>27852</v>
      </c>
      <c r="W305" s="17">
        <v>23023.044922000001</v>
      </c>
      <c r="X305" s="17"/>
      <c r="Y305" s="17"/>
      <c r="Z305" s="17"/>
      <c r="AA305" s="17"/>
      <c r="AB305" s="17">
        <v>27852</v>
      </c>
      <c r="AC305" s="17">
        <v>23023.044922000001</v>
      </c>
      <c r="AD305"/>
      <c r="AE305"/>
    </row>
    <row r="306" spans="1:31" x14ac:dyDescent="0.25">
      <c r="A306" s="136">
        <f>'[2]All Counts'!C306</f>
        <v>1</v>
      </c>
      <c r="B306" s="136">
        <f>'[2]All Counts'!D306</f>
        <v>1</v>
      </c>
      <c r="C306" s="136">
        <f>'[2]All Counts'!E306</f>
        <v>615</v>
      </c>
      <c r="D306" s="136">
        <f>'[2]All Counts'!F306</f>
        <v>1</v>
      </c>
      <c r="E306" s="136">
        <f>'[2]All Counts'!G306</f>
        <v>1</v>
      </c>
      <c r="F306" s="136" t="str">
        <f>'[2]All Counts'!H306</f>
        <v>I-5 NB</v>
      </c>
      <c r="G306" s="136">
        <f>'[2]All Counts'!I306</f>
        <v>135</v>
      </c>
      <c r="H306" s="136">
        <f>'[2]All Counts'!J306</f>
        <v>0</v>
      </c>
      <c r="I306" s="136" t="str">
        <f>'[2]All Counts'!K306</f>
        <v>ENCINITAS</v>
      </c>
      <c r="J306" s="136" t="str">
        <f>'[2]All Counts'!L306</f>
        <v>ENCINITAS</v>
      </c>
      <c r="K306" s="136">
        <f>'[2]All Counts'!O306</f>
        <v>22142</v>
      </c>
      <c r="L306" s="57">
        <f>VLOOKUP(ws[[#This Row],[hwycov_id]],readme!D:G,4,FALSE)</f>
        <v>28702.935547000001</v>
      </c>
      <c r="M306" s="88">
        <f>ws[[#This Row],[flow]]/ws[[#This Row],[count]]-1</f>
        <v>0.29631178515942547</v>
      </c>
      <c r="N306" s="89">
        <f>POWER((ws[[#This Row],[flow]]-ws[[#This Row],[count]]),2)</f>
        <v>43045875.251888201</v>
      </c>
      <c r="O306" s="43">
        <f>VLOOKUP(ws[[#This Row],[hwycov_id]],count[],6,FALSE)</f>
        <v>0</v>
      </c>
      <c r="P306" s="43">
        <v>445</v>
      </c>
      <c r="Q306" s="43" t="str">
        <f>'[2]All Counts'!P306</f>
        <v>PeMS2016</v>
      </c>
      <c r="S306" s="94">
        <v>13672</v>
      </c>
      <c r="T306" s="17">
        <v>26402</v>
      </c>
      <c r="U306" s="17">
        <v>32506.59375</v>
      </c>
      <c r="V306" s="17"/>
      <c r="W306" s="17"/>
      <c r="X306" s="17"/>
      <c r="Y306" s="17"/>
      <c r="Z306" s="17"/>
      <c r="AA306" s="17"/>
      <c r="AB306" s="17">
        <v>26402</v>
      </c>
      <c r="AC306" s="17">
        <v>32506.59375</v>
      </c>
      <c r="AD306"/>
      <c r="AE306"/>
    </row>
    <row r="307" spans="1:31" x14ac:dyDescent="0.25">
      <c r="A307" s="136">
        <f>'[2]All Counts'!C307</f>
        <v>1</v>
      </c>
      <c r="B307" s="136">
        <f>'[2]All Counts'!D307</f>
        <v>1</v>
      </c>
      <c r="C307" s="136">
        <f>'[2]All Counts'!E307</f>
        <v>16275</v>
      </c>
      <c r="D307" s="136">
        <f>'[2]All Counts'!F307</f>
        <v>1</v>
      </c>
      <c r="E307" s="136">
        <f>'[2]All Counts'!G307</f>
        <v>1</v>
      </c>
      <c r="F307" s="136" t="str">
        <f>'[2]All Counts'!H307</f>
        <v>I-5 NB</v>
      </c>
      <c r="G307" s="136">
        <f>'[2]All Counts'!I307</f>
        <v>138</v>
      </c>
      <c r="H307" s="136">
        <f>'[2]All Counts'!J307</f>
        <v>0</v>
      </c>
      <c r="I307" s="136" t="str">
        <f>'[2]All Counts'!K307</f>
        <v>ENCINITAS</v>
      </c>
      <c r="J307" s="136" t="str">
        <f>'[2]All Counts'!L307</f>
        <v>LEUCADIA</v>
      </c>
      <c r="K307" s="136">
        <f>'[2]All Counts'!O307</f>
        <v>22564</v>
      </c>
      <c r="L307" s="57">
        <f>VLOOKUP(ws[[#This Row],[hwycov_id]],readme!D:G,4,FALSE)</f>
        <v>30655.644531000002</v>
      </c>
      <c r="M307" s="88">
        <f>ws[[#This Row],[flow]]/ws[[#This Row],[count]]-1</f>
        <v>0.3586086035720617</v>
      </c>
      <c r="N307" s="89">
        <f>POWER((ws[[#This Row],[flow]]-ws[[#This Row],[count]]),2)</f>
        <v>65474711.21606224</v>
      </c>
      <c r="O307" s="43">
        <f>VLOOKUP(ws[[#This Row],[hwycov_id]],count[],6,FALSE)</f>
        <v>0</v>
      </c>
      <c r="P307" s="43">
        <v>366</v>
      </c>
      <c r="Q307" s="43" t="str">
        <f>'[2]All Counts'!P307</f>
        <v>PeMS2016</v>
      </c>
      <c r="S307" s="94">
        <v>13673</v>
      </c>
      <c r="T307" s="17"/>
      <c r="U307" s="17"/>
      <c r="V307" s="17">
        <v>24049</v>
      </c>
      <c r="W307" s="17">
        <v>20931.857422000001</v>
      </c>
      <c r="X307" s="17"/>
      <c r="Y307" s="17"/>
      <c r="Z307" s="17"/>
      <c r="AA307" s="17"/>
      <c r="AB307" s="17">
        <v>24049</v>
      </c>
      <c r="AC307" s="17">
        <v>20931.857422000001</v>
      </c>
      <c r="AD307"/>
      <c r="AE307"/>
    </row>
    <row r="308" spans="1:31" x14ac:dyDescent="0.25">
      <c r="A308" s="136">
        <f>'[2]All Counts'!C308</f>
        <v>1</v>
      </c>
      <c r="B308" s="136">
        <f>'[2]All Counts'!D308</f>
        <v>1</v>
      </c>
      <c r="C308" s="136">
        <f>'[2]All Counts'!E308</f>
        <v>16290</v>
      </c>
      <c r="D308" s="136">
        <f>'[2]All Counts'!F308</f>
        <v>1</v>
      </c>
      <c r="E308" s="136">
        <f>'[2]All Counts'!G308</f>
        <v>1</v>
      </c>
      <c r="F308" s="136" t="str">
        <f>'[2]All Counts'!H308</f>
        <v>I-5 NB</v>
      </c>
      <c r="G308" s="136">
        <f>'[2]All Counts'!I308</f>
        <v>139</v>
      </c>
      <c r="H308" s="136">
        <f>'[2]All Counts'!J308</f>
        <v>0</v>
      </c>
      <c r="I308" s="136" t="str">
        <f>'[2]All Counts'!K308</f>
        <v>LEUCADIA</v>
      </c>
      <c r="J308" s="136" t="str">
        <f>'[2]All Counts'!L308</f>
        <v>LEUCADIA</v>
      </c>
      <c r="K308" s="136">
        <f>'[2]All Counts'!O308</f>
        <v>21530</v>
      </c>
      <c r="L308" s="57">
        <f>VLOOKUP(ws[[#This Row],[hwycov_id]],readme!D:G,4,FALSE)</f>
        <v>28770.027343999998</v>
      </c>
      <c r="M308" s="88">
        <f>ws[[#This Row],[flow]]/ws[[#This Row],[count]]-1</f>
        <v>0.33627623520668837</v>
      </c>
      <c r="N308" s="89">
        <f>POWER((ws[[#This Row],[flow]]-ws[[#This Row],[count]]),2)</f>
        <v>52417995.941867672</v>
      </c>
      <c r="O308" s="43">
        <f>VLOOKUP(ws[[#This Row],[hwycov_id]],count[],6,FALSE)</f>
        <v>0</v>
      </c>
      <c r="P308" s="43">
        <v>446</v>
      </c>
      <c r="Q308" s="43" t="str">
        <f>'[2]All Counts'!P308</f>
        <v>PeMS2016</v>
      </c>
      <c r="S308" s="94">
        <v>13861</v>
      </c>
      <c r="T308" s="17">
        <v>20207</v>
      </c>
      <c r="U308" s="17">
        <v>30935.710938</v>
      </c>
      <c r="V308" s="17"/>
      <c r="W308" s="17"/>
      <c r="X308" s="17"/>
      <c r="Y308" s="17"/>
      <c r="Z308" s="17"/>
      <c r="AA308" s="17"/>
      <c r="AB308" s="17">
        <v>20207</v>
      </c>
      <c r="AC308" s="17">
        <v>30935.710938</v>
      </c>
      <c r="AD308"/>
      <c r="AE308"/>
    </row>
    <row r="309" spans="1:31" x14ac:dyDescent="0.25">
      <c r="A309" s="136">
        <f>'[2]All Counts'!C309</f>
        <v>1</v>
      </c>
      <c r="B309" s="136">
        <f>'[2]All Counts'!D309</f>
        <v>1</v>
      </c>
      <c r="C309" s="136">
        <f>'[2]All Counts'!E309</f>
        <v>16291</v>
      </c>
      <c r="D309" s="136">
        <f>'[2]All Counts'!F309</f>
        <v>1</v>
      </c>
      <c r="E309" s="136">
        <f>'[2]All Counts'!G309</f>
        <v>1</v>
      </c>
      <c r="F309" s="136" t="str">
        <f>'[2]All Counts'!H309</f>
        <v>I-5 NB</v>
      </c>
      <c r="G309" s="136">
        <f>'[2]All Counts'!I309</f>
        <v>140</v>
      </c>
      <c r="H309" s="136">
        <f>'[2]All Counts'!J309</f>
        <v>0</v>
      </c>
      <c r="I309" s="136" t="str">
        <f>'[2]All Counts'!K309</f>
        <v>LEUCADIA</v>
      </c>
      <c r="J309" s="136" t="str">
        <f>'[2]All Counts'!L309</f>
        <v>LA COSTA</v>
      </c>
      <c r="K309" s="136">
        <f>'[2]All Counts'!O309</f>
        <v>22460</v>
      </c>
      <c r="L309" s="57">
        <f>VLOOKUP(ws[[#This Row],[hwycov_id]],readme!D:G,4,FALSE)</f>
        <v>30049.851562</v>
      </c>
      <c r="M309" s="88">
        <f>ws[[#This Row],[flow]]/ws[[#This Row],[count]]-1</f>
        <v>0.33792749608192341</v>
      </c>
      <c r="N309" s="89">
        <f>POWER((ws[[#This Row],[flow]]-ws[[#This Row],[count]]),2)</f>
        <v>57605846.733193837</v>
      </c>
      <c r="O309" s="43">
        <f>VLOOKUP(ws[[#This Row],[hwycov_id]],count[],6,FALSE)</f>
        <v>0</v>
      </c>
      <c r="P309" s="43">
        <v>293</v>
      </c>
      <c r="Q309" s="43" t="str">
        <f>'[2]All Counts'!P309</f>
        <v>PeMS2016</v>
      </c>
      <c r="S309" s="94">
        <v>13869</v>
      </c>
      <c r="T309" s="17">
        <v>19682</v>
      </c>
      <c r="U309" s="17">
        <v>30474.693359000001</v>
      </c>
      <c r="V309" s="17"/>
      <c r="W309" s="17"/>
      <c r="X309" s="17"/>
      <c r="Y309" s="17"/>
      <c r="Z309" s="17"/>
      <c r="AA309" s="17"/>
      <c r="AB309" s="17">
        <v>19682</v>
      </c>
      <c r="AC309" s="17">
        <v>30474.693359000001</v>
      </c>
      <c r="AD309"/>
      <c r="AE309"/>
    </row>
    <row r="310" spans="1:31" x14ac:dyDescent="0.25">
      <c r="A310" s="136">
        <f>'[2]All Counts'!C310</f>
        <v>1</v>
      </c>
      <c r="B310" s="136">
        <f>'[2]All Counts'!D310</f>
        <v>1</v>
      </c>
      <c r="C310" s="136">
        <f>'[2]All Counts'!E310</f>
        <v>671</v>
      </c>
      <c r="D310" s="136">
        <f>'[2]All Counts'!F310</f>
        <v>1</v>
      </c>
      <c r="E310" s="136">
        <f>'[2]All Counts'!G310</f>
        <v>1</v>
      </c>
      <c r="F310" s="136" t="str">
        <f>'[2]All Counts'!H310</f>
        <v>I-5 NB</v>
      </c>
      <c r="G310" s="136">
        <f>'[2]All Counts'!I310</f>
        <v>141</v>
      </c>
      <c r="H310" s="136">
        <f>'[2]All Counts'!J310</f>
        <v>0</v>
      </c>
      <c r="I310" s="136" t="str">
        <f>'[2]All Counts'!K310</f>
        <v>LA COSTA</v>
      </c>
      <c r="J310" s="136" t="str">
        <f>'[2]All Counts'!L310</f>
        <v>LA COSTA</v>
      </c>
      <c r="K310" s="136">
        <f>'[2]All Counts'!O310</f>
        <v>20344</v>
      </c>
      <c r="L310" s="57">
        <f>VLOOKUP(ws[[#This Row],[hwycov_id]],readme!D:G,4,FALSE)</f>
        <v>27788.960938</v>
      </c>
      <c r="M310" s="88">
        <f>ws[[#This Row],[flow]]/ws[[#This Row],[count]]-1</f>
        <v>0.36595364421942578</v>
      </c>
      <c r="N310" s="89">
        <f>POWER((ws[[#This Row],[flow]]-ws[[#This Row],[count]]),2)</f>
        <v>55427443.368345842</v>
      </c>
      <c r="O310" s="43">
        <f>VLOOKUP(ws[[#This Row],[hwycov_id]],count[],6,FALSE)</f>
        <v>0</v>
      </c>
      <c r="P310" s="43">
        <v>295</v>
      </c>
      <c r="Q310" s="43" t="str">
        <f>'[2]All Counts'!P310</f>
        <v>PeMS2016</v>
      </c>
      <c r="S310" s="94">
        <v>14142</v>
      </c>
      <c r="T310" s="17"/>
      <c r="U310" s="17"/>
      <c r="V310" s="17"/>
      <c r="W310" s="17"/>
      <c r="X310" s="17">
        <v>15144</v>
      </c>
      <c r="Y310" s="17">
        <v>11792.741211</v>
      </c>
      <c r="Z310" s="17"/>
      <c r="AA310" s="17"/>
      <c r="AB310" s="17">
        <v>15144</v>
      </c>
      <c r="AC310" s="17">
        <v>11792.741211</v>
      </c>
      <c r="AD310"/>
      <c r="AE310"/>
    </row>
    <row r="311" spans="1:31" x14ac:dyDescent="0.25">
      <c r="A311" s="136">
        <f>'[2]All Counts'!C311</f>
        <v>1</v>
      </c>
      <c r="B311" s="136">
        <f>'[2]All Counts'!D311</f>
        <v>1</v>
      </c>
      <c r="C311" s="136">
        <f>'[2]All Counts'!E311</f>
        <v>8770</v>
      </c>
      <c r="D311" s="136">
        <f>'[2]All Counts'!F311</f>
        <v>1</v>
      </c>
      <c r="E311" s="136">
        <f>'[2]All Counts'!G311</f>
        <v>1</v>
      </c>
      <c r="F311" s="136" t="str">
        <f>'[2]All Counts'!H311</f>
        <v>I-5 NB</v>
      </c>
      <c r="G311" s="136">
        <f>'[2]All Counts'!I311</f>
        <v>142</v>
      </c>
      <c r="H311" s="136">
        <f>'[2]All Counts'!J311</f>
        <v>0</v>
      </c>
      <c r="I311" s="136" t="str">
        <f>'[2]All Counts'!K311</f>
        <v>LA COSTA</v>
      </c>
      <c r="J311" s="136" t="str">
        <f>'[2]All Counts'!L311</f>
        <v>POINSETTIA</v>
      </c>
      <c r="K311" s="136">
        <f>'[2]All Counts'!O311</f>
        <v>18707</v>
      </c>
      <c r="L311" s="57">
        <f>VLOOKUP(ws[[#This Row],[hwycov_id]],readme!D:G,4,FALSE)</f>
        <v>29446.910156000002</v>
      </c>
      <c r="M311" s="88">
        <f>ws[[#This Row],[flow]]/ws[[#This Row],[count]]-1</f>
        <v>0.5741118381354573</v>
      </c>
      <c r="N311" s="89">
        <f>POWER((ws[[#This Row],[flow]]-ws[[#This Row],[count]]),2)</f>
        <v>115345670.15895198</v>
      </c>
      <c r="O311" s="43">
        <f>VLOOKUP(ws[[#This Row],[hwycov_id]],count[],6,FALSE)</f>
        <v>0</v>
      </c>
      <c r="P311" s="43">
        <v>83</v>
      </c>
      <c r="Q311" s="43" t="str">
        <f>'[2]All Counts'!P311</f>
        <v>PeMS2016</v>
      </c>
      <c r="S311" s="94">
        <v>14143</v>
      </c>
      <c r="T311" s="17"/>
      <c r="U311" s="17"/>
      <c r="V311" s="17"/>
      <c r="W311" s="17"/>
      <c r="X311" s="17"/>
      <c r="Y311" s="17"/>
      <c r="Z311" s="17">
        <v>17321</v>
      </c>
      <c r="AA311" s="17">
        <v>17350.5</v>
      </c>
      <c r="AB311" s="17">
        <v>17321</v>
      </c>
      <c r="AC311" s="17">
        <v>17350.5</v>
      </c>
      <c r="AD311"/>
      <c r="AE311"/>
    </row>
    <row r="312" spans="1:31" x14ac:dyDescent="0.25">
      <c r="A312" s="136">
        <f>'[2]All Counts'!C312</f>
        <v>1</v>
      </c>
      <c r="B312" s="136">
        <f>'[2]All Counts'!D312</f>
        <v>1</v>
      </c>
      <c r="C312" s="136">
        <f>'[2]All Counts'!E312</f>
        <v>26546</v>
      </c>
      <c r="D312" s="136">
        <f>'[2]All Counts'!F312</f>
        <v>1</v>
      </c>
      <c r="E312" s="136">
        <f>'[2]All Counts'!G312</f>
        <v>1</v>
      </c>
      <c r="F312" s="136" t="str">
        <f>'[2]All Counts'!H312</f>
        <v>I-5 NB</v>
      </c>
      <c r="G312" s="136">
        <f>'[2]All Counts'!I312</f>
        <v>143</v>
      </c>
      <c r="H312" s="136">
        <f>'[2]All Counts'!J312</f>
        <v>0</v>
      </c>
      <c r="I312" s="136" t="str">
        <f>'[2]All Counts'!K312</f>
        <v>POINSETTIA</v>
      </c>
      <c r="J312" s="136" t="str">
        <f>'[2]All Counts'!L312</f>
        <v>POINSETTIA</v>
      </c>
      <c r="K312" s="136">
        <f>'[2]All Counts'!O312</f>
        <v>19631</v>
      </c>
      <c r="L312" s="57">
        <f>VLOOKUP(ws[[#This Row],[hwycov_id]],readme!D:G,4,FALSE)</f>
        <v>26676.529297000001</v>
      </c>
      <c r="M312" s="88">
        <f>ws[[#This Row],[flow]]/ws[[#This Row],[count]]-1</f>
        <v>0.35889813544903482</v>
      </c>
      <c r="N312" s="89">
        <f>POWER((ws[[#This Row],[flow]]-ws[[#This Row],[count]]),2)</f>
        <v>49639483.074885331</v>
      </c>
      <c r="O312" s="43">
        <f>VLOOKUP(ws[[#This Row],[hwycov_id]],count[],6,FALSE)</f>
        <v>0</v>
      </c>
      <c r="P312" s="43">
        <v>694</v>
      </c>
      <c r="Q312" s="43" t="str">
        <f>'[2]All Counts'!P312</f>
        <v>PeMS2016</v>
      </c>
      <c r="S312" s="94">
        <v>14144</v>
      </c>
      <c r="T312" s="17"/>
      <c r="U312" s="17"/>
      <c r="V312" s="17"/>
      <c r="W312" s="17"/>
      <c r="X312" s="17">
        <v>13595</v>
      </c>
      <c r="Y312" s="17">
        <v>10434.219727</v>
      </c>
      <c r="Z312" s="17"/>
      <c r="AA312" s="17"/>
      <c r="AB312" s="17">
        <v>13595</v>
      </c>
      <c r="AC312" s="17">
        <v>10434.219727</v>
      </c>
      <c r="AD312"/>
      <c r="AE312"/>
    </row>
    <row r="313" spans="1:31" x14ac:dyDescent="0.25">
      <c r="A313" s="136">
        <f>'[2]All Counts'!C313</f>
        <v>1</v>
      </c>
      <c r="B313" s="136">
        <f>'[2]All Counts'!D313</f>
        <v>1</v>
      </c>
      <c r="C313" s="136">
        <f>'[2]All Counts'!E313</f>
        <v>13279</v>
      </c>
      <c r="D313" s="136">
        <f>'[2]All Counts'!F313</f>
        <v>1</v>
      </c>
      <c r="E313" s="136">
        <f>'[2]All Counts'!G313</f>
        <v>1</v>
      </c>
      <c r="F313" s="136" t="str">
        <f>'[2]All Counts'!H313</f>
        <v>I-5 NB</v>
      </c>
      <c r="G313" s="136">
        <f>'[2]All Counts'!I313</f>
        <v>145</v>
      </c>
      <c r="H313" s="136">
        <f>'[2]All Counts'!J313</f>
        <v>0</v>
      </c>
      <c r="I313" s="136" t="str">
        <f>'[2]All Counts'!K313</f>
        <v>POINSETTIA</v>
      </c>
      <c r="J313" s="136" t="str">
        <f>'[2]All Counts'!L313</f>
        <v>PALOMAR AIRPORT</v>
      </c>
      <c r="K313" s="136">
        <f>'[2]All Counts'!O313</f>
        <v>20084</v>
      </c>
      <c r="L313" s="57">
        <f>VLOOKUP(ws[[#This Row],[hwycov_id]],readme!D:G,4,FALSE)</f>
        <v>27984.470702999999</v>
      </c>
      <c r="M313" s="88">
        <f>ws[[#This Row],[flow]]/ws[[#This Row],[count]]-1</f>
        <v>0.39337137537343159</v>
      </c>
      <c r="N313" s="89">
        <f>POWER((ws[[#This Row],[flow]]-ws[[#This Row],[count]]),2)</f>
        <v>62417437.328961298</v>
      </c>
      <c r="O313" s="43">
        <f>VLOOKUP(ws[[#This Row],[hwycov_id]],count[],6,FALSE)</f>
        <v>0</v>
      </c>
      <c r="P313" s="43">
        <v>82</v>
      </c>
      <c r="Q313" s="43" t="str">
        <f>'[2]All Counts'!P313</f>
        <v>PeMS2016</v>
      </c>
      <c r="S313" s="94">
        <v>14151</v>
      </c>
      <c r="T313" s="17"/>
      <c r="U313" s="17"/>
      <c r="V313" s="17"/>
      <c r="W313" s="17"/>
      <c r="X313" s="17"/>
      <c r="Y313" s="17"/>
      <c r="Z313" s="17">
        <v>15033</v>
      </c>
      <c r="AA313" s="17">
        <v>15216.630859000001</v>
      </c>
      <c r="AB313" s="17">
        <v>15033</v>
      </c>
      <c r="AC313" s="17">
        <v>15216.630859000001</v>
      </c>
      <c r="AD313"/>
      <c r="AE313"/>
    </row>
    <row r="314" spans="1:31" x14ac:dyDescent="0.25">
      <c r="A314" s="136">
        <f>'[2]All Counts'!C314</f>
        <v>1</v>
      </c>
      <c r="B314" s="136">
        <f>'[2]All Counts'!D314</f>
        <v>1</v>
      </c>
      <c r="C314" s="136">
        <f>'[2]All Counts'!E314</f>
        <v>13277</v>
      </c>
      <c r="D314" s="136">
        <f>'[2]All Counts'!F314</f>
        <v>1</v>
      </c>
      <c r="E314" s="136">
        <f>'[2]All Counts'!G314</f>
        <v>1</v>
      </c>
      <c r="F314" s="136" t="str">
        <f>'[2]All Counts'!H314</f>
        <v>I-5 NB</v>
      </c>
      <c r="G314" s="136">
        <f>'[2]All Counts'!I314</f>
        <v>146</v>
      </c>
      <c r="H314" s="136">
        <f>'[2]All Counts'!J314</f>
        <v>0</v>
      </c>
      <c r="I314" s="136" t="str">
        <f>'[2]All Counts'!K314</f>
        <v>PALOMAR AIRPORT</v>
      </c>
      <c r="J314" s="136" t="str">
        <f>'[2]All Counts'!L314</f>
        <v>PALOMAR AIRPORT</v>
      </c>
      <c r="K314" s="136">
        <f>'[2]All Counts'!O314</f>
        <v>18732</v>
      </c>
      <c r="L314" s="57">
        <f>VLOOKUP(ws[[#This Row],[hwycov_id]],readme!D:G,4,FALSE)</f>
        <v>25315.132812</v>
      </c>
      <c r="M314" s="88">
        <f>ws[[#This Row],[flow]]/ws[[#This Row],[count]]-1</f>
        <v>0.35143779692504795</v>
      </c>
      <c r="N314" s="89">
        <f>POWER((ws[[#This Row],[flow]]-ws[[#This Row],[count]]),2)</f>
        <v>43337637.620431028</v>
      </c>
      <c r="O314" s="43">
        <f>VLOOKUP(ws[[#This Row],[hwycov_id]],count[],6,FALSE)</f>
        <v>0</v>
      </c>
      <c r="P314" s="43">
        <v>695</v>
      </c>
      <c r="Q314" s="43" t="str">
        <f>'[2]All Counts'!P314</f>
        <v>PeMS2016</v>
      </c>
      <c r="S314" s="94">
        <v>14153</v>
      </c>
      <c r="T314" s="17"/>
      <c r="U314" s="17"/>
      <c r="V314" s="17"/>
      <c r="W314" s="17"/>
      <c r="X314" s="17"/>
      <c r="Y314" s="17"/>
      <c r="Z314" s="17">
        <v>15541</v>
      </c>
      <c r="AA314" s="17">
        <v>15781.353515999999</v>
      </c>
      <c r="AB314" s="17">
        <v>15541</v>
      </c>
      <c r="AC314" s="17">
        <v>15781.353515999999</v>
      </c>
      <c r="AD314"/>
      <c r="AE314"/>
    </row>
    <row r="315" spans="1:31" x14ac:dyDescent="0.25">
      <c r="A315" s="136">
        <f>'[2]All Counts'!C315</f>
        <v>1</v>
      </c>
      <c r="B315" s="136">
        <f>'[2]All Counts'!D315</f>
        <v>1</v>
      </c>
      <c r="C315" s="136">
        <f>'[2]All Counts'!E315</f>
        <v>673</v>
      </c>
      <c r="D315" s="136">
        <f>'[2]All Counts'!F315</f>
        <v>1</v>
      </c>
      <c r="E315" s="136">
        <f>'[2]All Counts'!G315</f>
        <v>1</v>
      </c>
      <c r="F315" s="136" t="str">
        <f>'[2]All Counts'!H315</f>
        <v>I-5 NB</v>
      </c>
      <c r="G315" s="136">
        <f>'[2]All Counts'!I315</f>
        <v>148</v>
      </c>
      <c r="H315" s="136">
        <f>'[2]All Counts'!J315</f>
        <v>0</v>
      </c>
      <c r="I315" s="136" t="str">
        <f>'[2]All Counts'!K315</f>
        <v>CANNON</v>
      </c>
      <c r="J315" s="136" t="str">
        <f>'[2]All Counts'!L315</f>
        <v>CANNON</v>
      </c>
      <c r="K315" s="136">
        <f>'[2]All Counts'!O315</f>
        <v>20930</v>
      </c>
      <c r="L315" s="57">
        <f>VLOOKUP(ws[[#This Row],[hwycov_id]],readme!D:G,4,FALSE)</f>
        <v>26519.716797000001</v>
      </c>
      <c r="M315" s="88">
        <f>ws[[#This Row],[flow]]/ws[[#This Row],[count]]-1</f>
        <v>0.2670672143812709</v>
      </c>
      <c r="N315" s="89">
        <f>POWER((ws[[#This Row],[flow]]-ws[[#This Row],[count]]),2)</f>
        <v>31244933.870663948</v>
      </c>
      <c r="O315" s="43">
        <f>VLOOKUP(ws[[#This Row],[hwycov_id]],count[],6,FALSE)</f>
        <v>0</v>
      </c>
      <c r="P315" s="43">
        <v>696</v>
      </c>
      <c r="Q315" s="43" t="str">
        <f>'[2]All Counts'!P315</f>
        <v>PeMS2016</v>
      </c>
      <c r="S315" s="94">
        <v>14155</v>
      </c>
      <c r="T315" s="17"/>
      <c r="U315" s="17"/>
      <c r="V315" s="17"/>
      <c r="W315" s="17"/>
      <c r="X315" s="17">
        <v>12547</v>
      </c>
      <c r="Y315" s="17">
        <v>9904.4990230000003</v>
      </c>
      <c r="Z315" s="17"/>
      <c r="AA315" s="17"/>
      <c r="AB315" s="17">
        <v>12547</v>
      </c>
      <c r="AC315" s="17">
        <v>9904.4990230000003</v>
      </c>
      <c r="AD315"/>
      <c r="AE315"/>
    </row>
    <row r="316" spans="1:31" x14ac:dyDescent="0.25">
      <c r="A316" s="136">
        <f>'[2]All Counts'!C316</f>
        <v>1</v>
      </c>
      <c r="B316" s="136">
        <f>'[2]All Counts'!D316</f>
        <v>1</v>
      </c>
      <c r="C316" s="136">
        <f>'[2]All Counts'!E316</f>
        <v>8768</v>
      </c>
      <c r="D316" s="136">
        <f>'[2]All Counts'!F316</f>
        <v>1</v>
      </c>
      <c r="E316" s="136">
        <f>'[2]All Counts'!G316</f>
        <v>1</v>
      </c>
      <c r="F316" s="136" t="str">
        <f>'[2]All Counts'!H316</f>
        <v>I-5 NB</v>
      </c>
      <c r="G316" s="136">
        <f>'[2]All Counts'!I316</f>
        <v>149</v>
      </c>
      <c r="H316" s="136">
        <f>'[2]All Counts'!J316</f>
        <v>0</v>
      </c>
      <c r="I316" s="136" t="str">
        <f>'[2]All Counts'!K316</f>
        <v>CANNON</v>
      </c>
      <c r="J316" s="136" t="str">
        <f>'[2]All Counts'!L316</f>
        <v>TAMARACK</v>
      </c>
      <c r="K316" s="136">
        <f>'[2]All Counts'!O316</f>
        <v>24173</v>
      </c>
      <c r="L316" s="57">
        <f>VLOOKUP(ws[[#This Row],[hwycov_id]],readme!D:G,4,FALSE)</f>
        <v>29920.449218999998</v>
      </c>
      <c r="M316" s="88">
        <f>ws[[#This Row],[flow]]/ws[[#This Row],[count]]-1</f>
        <v>0.2377631745749389</v>
      </c>
      <c r="N316" s="89">
        <f>POWER((ws[[#This Row],[flow]]-ws[[#This Row],[count]]),2)</f>
        <v>33033172.524983689</v>
      </c>
      <c r="O316" s="43">
        <f>VLOOKUP(ws[[#This Row],[hwycov_id]],count[],6,FALSE)</f>
        <v>0</v>
      </c>
      <c r="P316" s="43">
        <v>81</v>
      </c>
      <c r="Q316" s="43" t="str">
        <f>'[2]All Counts'!P316</f>
        <v>PeMS2016</v>
      </c>
      <c r="S316" s="94">
        <v>14176</v>
      </c>
      <c r="T316" s="17"/>
      <c r="U316" s="17"/>
      <c r="V316" s="17"/>
      <c r="W316" s="17"/>
      <c r="X316" s="17">
        <v>13806</v>
      </c>
      <c r="Y316" s="17">
        <v>12125.403319999999</v>
      </c>
      <c r="Z316" s="17"/>
      <c r="AA316" s="17"/>
      <c r="AB316" s="17">
        <v>13806</v>
      </c>
      <c r="AC316" s="17">
        <v>12125.403319999999</v>
      </c>
      <c r="AD316"/>
      <c r="AE316"/>
    </row>
    <row r="317" spans="1:31" x14ac:dyDescent="0.25">
      <c r="A317" s="136">
        <f>'[2]All Counts'!C317</f>
        <v>1</v>
      </c>
      <c r="B317" s="136">
        <f>'[2]All Counts'!D317</f>
        <v>1</v>
      </c>
      <c r="C317" s="136">
        <f>'[2]All Counts'!E317</f>
        <v>26547</v>
      </c>
      <c r="D317" s="136">
        <f>'[2]All Counts'!F317</f>
        <v>1</v>
      </c>
      <c r="E317" s="136">
        <f>'[2]All Counts'!G317</f>
        <v>1</v>
      </c>
      <c r="F317" s="136" t="str">
        <f>'[2]All Counts'!H317</f>
        <v>I-5 NB</v>
      </c>
      <c r="G317" s="136">
        <f>'[2]All Counts'!I317</f>
        <v>150</v>
      </c>
      <c r="H317" s="136">
        <f>'[2]All Counts'!J317</f>
        <v>0</v>
      </c>
      <c r="I317" s="136" t="str">
        <f>'[2]All Counts'!K317</f>
        <v>TAMARACK</v>
      </c>
      <c r="J317" s="136" t="str">
        <f>'[2]All Counts'!L317</f>
        <v>TAMARACK</v>
      </c>
      <c r="K317" s="136">
        <f>'[2]All Counts'!O317</f>
        <v>24326</v>
      </c>
      <c r="L317" s="57">
        <f>VLOOKUP(ws[[#This Row],[hwycov_id]],readme!D:G,4,FALSE)</f>
        <v>27735.917968999998</v>
      </c>
      <c r="M317" s="88">
        <f>ws[[#This Row],[flow]]/ws[[#This Row],[count]]-1</f>
        <v>0.14017585994409276</v>
      </c>
      <c r="N317" s="89">
        <f>POWER((ws[[#This Row],[flow]]-ws[[#This Row],[count]]),2)</f>
        <v>11627540.555309074</v>
      </c>
      <c r="O317" s="43">
        <f>VLOOKUP(ws[[#This Row],[hwycov_id]],count[],6,FALSE)</f>
        <v>0</v>
      </c>
      <c r="P317" s="43">
        <v>80</v>
      </c>
      <c r="Q317" s="43" t="str">
        <f>'[2]All Counts'!P317</f>
        <v>Caltran</v>
      </c>
      <c r="S317" s="94">
        <v>14232</v>
      </c>
      <c r="T317" s="17">
        <v>7304</v>
      </c>
      <c r="U317" s="17">
        <v>11540.101562</v>
      </c>
      <c r="V317" s="17"/>
      <c r="W317" s="17"/>
      <c r="X317" s="17"/>
      <c r="Y317" s="17"/>
      <c r="Z317" s="17"/>
      <c r="AA317" s="17"/>
      <c r="AB317" s="17">
        <v>7304</v>
      </c>
      <c r="AC317" s="17">
        <v>11540.101562</v>
      </c>
      <c r="AD317"/>
      <c r="AE317"/>
    </row>
    <row r="318" spans="1:31" x14ac:dyDescent="0.25">
      <c r="A318" s="136">
        <f>'[2]All Counts'!C318</f>
        <v>1</v>
      </c>
      <c r="B318" s="136">
        <f>'[2]All Counts'!D318</f>
        <v>1</v>
      </c>
      <c r="C318" s="136">
        <f>'[2]All Counts'!E318</f>
        <v>12592</v>
      </c>
      <c r="D318" s="136">
        <f>'[2]All Counts'!F318</f>
        <v>1</v>
      </c>
      <c r="E318" s="136">
        <f>'[2]All Counts'!G318</f>
        <v>1</v>
      </c>
      <c r="F318" s="136" t="str">
        <f>'[2]All Counts'!H318</f>
        <v>I-5 NB</v>
      </c>
      <c r="G318" s="136">
        <f>'[2]All Counts'!I318</f>
        <v>151</v>
      </c>
      <c r="H318" s="136">
        <f>'[2]All Counts'!J318</f>
        <v>0</v>
      </c>
      <c r="I318" s="136" t="str">
        <f>'[2]All Counts'!K318</f>
        <v>TAMARACK</v>
      </c>
      <c r="J318" s="136" t="str">
        <f>'[2]All Counts'!L318</f>
        <v>TAMARACK</v>
      </c>
      <c r="K318" s="136">
        <f>'[2]All Counts'!O318</f>
        <v>23458</v>
      </c>
      <c r="L318" s="57">
        <f>VLOOKUP(ws[[#This Row],[hwycov_id]],readme!D:G,4,FALSE)</f>
        <v>27735.917968999998</v>
      </c>
      <c r="M318" s="88">
        <f>ws[[#This Row],[flow]]/ws[[#This Row],[count]]-1</f>
        <v>0.18236499143149443</v>
      </c>
      <c r="N318" s="89">
        <f>POWER((ws[[#This Row],[flow]]-ws[[#This Row],[count]]),2)</f>
        <v>18300582.149493068</v>
      </c>
      <c r="O318" s="43">
        <f>VLOOKUP(ws[[#This Row],[hwycov_id]],count[],6,FALSE)</f>
        <v>0</v>
      </c>
      <c r="P318" s="43">
        <v>61</v>
      </c>
      <c r="Q318" s="43" t="str">
        <f>'[2]All Counts'!P318</f>
        <v>PeMS2016</v>
      </c>
      <c r="S318" s="94">
        <v>14246</v>
      </c>
      <c r="T318" s="17"/>
      <c r="U318" s="17"/>
      <c r="V318" s="17">
        <v>22898</v>
      </c>
      <c r="W318" s="17">
        <v>23011.384765999999</v>
      </c>
      <c r="X318" s="17"/>
      <c r="Y318" s="17"/>
      <c r="Z318" s="17"/>
      <c r="AA318" s="17"/>
      <c r="AB318" s="17">
        <v>22898</v>
      </c>
      <c r="AC318" s="17">
        <v>23011.384765999999</v>
      </c>
      <c r="AD318"/>
      <c r="AE318"/>
    </row>
    <row r="319" spans="1:31" x14ac:dyDescent="0.25">
      <c r="A319" s="136">
        <f>'[2]All Counts'!C319</f>
        <v>1</v>
      </c>
      <c r="B319" s="136">
        <f>'[2]All Counts'!D319</f>
        <v>1</v>
      </c>
      <c r="C319" s="136">
        <f>'[2]All Counts'!E319</f>
        <v>16125</v>
      </c>
      <c r="D319" s="136">
        <f>'[2]All Counts'!F319</f>
        <v>1</v>
      </c>
      <c r="E319" s="136">
        <f>'[2]All Counts'!G319</f>
        <v>1</v>
      </c>
      <c r="F319" s="136" t="str">
        <f>'[2]All Counts'!H319</f>
        <v>I-5 NB</v>
      </c>
      <c r="G319" s="136">
        <f>'[2]All Counts'!I319</f>
        <v>156</v>
      </c>
      <c r="H319" s="136">
        <f>'[2]All Counts'!J319</f>
        <v>0</v>
      </c>
      <c r="I319" s="136" t="str">
        <f>'[2]All Counts'!K319</f>
        <v>LAS FLORES</v>
      </c>
      <c r="J319" s="136" t="str">
        <f>'[2]All Counts'!L319</f>
        <v>SR-78 EB</v>
      </c>
      <c r="K319" s="136">
        <f>'[2]All Counts'!O319</f>
        <v>21321</v>
      </c>
      <c r="L319" s="57">
        <f>VLOOKUP(ws[[#This Row],[hwycov_id]],readme!D:G,4,FALSE)</f>
        <v>30691.626952999999</v>
      </c>
      <c r="M319" s="88">
        <f>ws[[#This Row],[flow]]/ws[[#This Row],[count]]-1</f>
        <v>0.43950222564607655</v>
      </c>
      <c r="N319" s="89">
        <f>POWER((ws[[#This Row],[flow]]-ws[[#This Row],[count]]),2)</f>
        <v>87808649.49229005</v>
      </c>
      <c r="O319" s="43">
        <f>VLOOKUP(ws[[#This Row],[hwycov_id]],count[],6,FALSE)</f>
        <v>0</v>
      </c>
      <c r="P319" s="43">
        <v>517</v>
      </c>
      <c r="Q319" s="43" t="str">
        <f>'[2]All Counts'!P319</f>
        <v>PeMS2016</v>
      </c>
      <c r="S319" s="94">
        <v>14247</v>
      </c>
      <c r="T319" s="17"/>
      <c r="U319" s="17"/>
      <c r="V319" s="17">
        <v>19130</v>
      </c>
      <c r="W319" s="17">
        <v>20670.119140999999</v>
      </c>
      <c r="X319" s="17"/>
      <c r="Y319" s="17"/>
      <c r="Z319" s="17"/>
      <c r="AA319" s="17"/>
      <c r="AB319" s="17">
        <v>19130</v>
      </c>
      <c r="AC319" s="17">
        <v>20670.119140999999</v>
      </c>
      <c r="AD319"/>
      <c r="AE319"/>
    </row>
    <row r="320" spans="1:31" x14ac:dyDescent="0.25">
      <c r="A320" s="136">
        <f>'[2]All Counts'!C320</f>
        <v>1</v>
      </c>
      <c r="B320" s="136">
        <f>'[2]All Counts'!D320</f>
        <v>1</v>
      </c>
      <c r="C320" s="136">
        <f>'[2]All Counts'!E320</f>
        <v>12253</v>
      </c>
      <c r="D320" s="136">
        <f>'[2]All Counts'!F320</f>
        <v>1</v>
      </c>
      <c r="E320" s="136">
        <f>'[2]All Counts'!G320</f>
        <v>1</v>
      </c>
      <c r="F320" s="136" t="str">
        <f>'[2]All Counts'!H320</f>
        <v>I-5 NB</v>
      </c>
      <c r="G320" s="136">
        <f>'[2]All Counts'!I320</f>
        <v>160</v>
      </c>
      <c r="H320" s="136">
        <f>'[2]All Counts'!J320</f>
        <v>0</v>
      </c>
      <c r="I320" s="136" t="str">
        <f>'[2]All Counts'!K320</f>
        <v>CASSIDY</v>
      </c>
      <c r="J320" s="136" t="str">
        <f>'[2]All Counts'!L320</f>
        <v>CALIFORNIA</v>
      </c>
      <c r="K320" s="136">
        <f>'[2]All Counts'!O320</f>
        <v>23051</v>
      </c>
      <c r="L320" s="57">
        <f>VLOOKUP(ws[[#This Row],[hwycov_id]],readme!D:G,4,FALSE)</f>
        <v>26965.445312</v>
      </c>
      <c r="M320" s="88">
        <f>ws[[#This Row],[flow]]/ws[[#This Row],[count]]-1</f>
        <v>0.16981672430697148</v>
      </c>
      <c r="N320" s="89">
        <f>POWER((ws[[#This Row],[flow]]-ws[[#This Row],[count]]),2)</f>
        <v>15322882.100638775</v>
      </c>
      <c r="O320" s="43">
        <f>VLOOKUP(ws[[#This Row],[hwycov_id]],count[],6,FALSE)</f>
        <v>0</v>
      </c>
      <c r="P320" s="43">
        <v>516</v>
      </c>
      <c r="Q320" s="43" t="str">
        <f>'[2]All Counts'!P320</f>
        <v>PeMS2016</v>
      </c>
      <c r="S320" s="94">
        <v>14248</v>
      </c>
      <c r="T320" s="17">
        <v>13753</v>
      </c>
      <c r="U320" s="17">
        <v>34674.292969000002</v>
      </c>
      <c r="V320" s="17"/>
      <c r="W320" s="17"/>
      <c r="X320" s="17"/>
      <c r="Y320" s="17"/>
      <c r="Z320" s="17"/>
      <c r="AA320" s="17"/>
      <c r="AB320" s="17">
        <v>13753</v>
      </c>
      <c r="AC320" s="17">
        <v>34674.292969000002</v>
      </c>
      <c r="AD320"/>
      <c r="AE320"/>
    </row>
    <row r="321" spans="1:31" x14ac:dyDescent="0.25">
      <c r="A321" s="136">
        <f>'[2]All Counts'!C321</f>
        <v>1</v>
      </c>
      <c r="B321" s="136">
        <f>'[2]All Counts'!D321</f>
        <v>1</v>
      </c>
      <c r="C321" s="136">
        <f>'[2]All Counts'!E321</f>
        <v>12242</v>
      </c>
      <c r="D321" s="136">
        <f>'[2]All Counts'!F321</f>
        <v>1</v>
      </c>
      <c r="E321" s="136">
        <f>'[2]All Counts'!G321</f>
        <v>1</v>
      </c>
      <c r="F321" s="136" t="str">
        <f>'[2]All Counts'!H321</f>
        <v>I-5 NB</v>
      </c>
      <c r="G321" s="136">
        <f>'[2]All Counts'!I321</f>
        <v>163</v>
      </c>
      <c r="H321" s="136">
        <f>'[2]All Counts'!J321</f>
        <v>0</v>
      </c>
      <c r="I321" s="136" t="str">
        <f>'[2]All Counts'!K321</f>
        <v>OCEANSIDE</v>
      </c>
      <c r="J321" s="136" t="str">
        <f>'[2]All Counts'!L321</f>
        <v>OCEANSIDE</v>
      </c>
      <c r="K321" s="136">
        <f>'[2]All Counts'!O321</f>
        <v>19328</v>
      </c>
      <c r="L321" s="57">
        <f>VLOOKUP(ws[[#This Row],[hwycov_id]],readme!D:G,4,FALSE)</f>
        <v>24837.267577999999</v>
      </c>
      <c r="M321" s="88">
        <f>ws[[#This Row],[flow]]/ws[[#This Row],[count]]-1</f>
        <v>0.28504074803394031</v>
      </c>
      <c r="N321" s="89">
        <f>POWER((ws[[#This Row],[flow]]-ws[[#This Row],[count]]),2)</f>
        <v>30352029.246001974</v>
      </c>
      <c r="O321" s="43">
        <f>VLOOKUP(ws[[#This Row],[hwycov_id]],count[],6,FALSE)</f>
        <v>0</v>
      </c>
      <c r="P321" s="43">
        <v>292</v>
      </c>
      <c r="Q321" s="43" t="str">
        <f>'[2]All Counts'!P321</f>
        <v>PeMS2016</v>
      </c>
      <c r="S321" s="94">
        <v>14255</v>
      </c>
      <c r="T321" s="17"/>
      <c r="U321" s="17"/>
      <c r="V321" s="17">
        <v>14023</v>
      </c>
      <c r="W321" s="17">
        <v>19650.345702999999</v>
      </c>
      <c r="X321" s="17"/>
      <c r="Y321" s="17"/>
      <c r="Z321" s="17"/>
      <c r="AA321" s="17"/>
      <c r="AB321" s="17">
        <v>14023</v>
      </c>
      <c r="AC321" s="17">
        <v>19650.345702999999</v>
      </c>
      <c r="AD321"/>
      <c r="AE321"/>
    </row>
    <row r="322" spans="1:31" x14ac:dyDescent="0.25">
      <c r="A322" s="136">
        <f>'[2]All Counts'!C322</f>
        <v>1</v>
      </c>
      <c r="B322" s="136">
        <f>'[2]All Counts'!D322</f>
        <v>1</v>
      </c>
      <c r="C322" s="136">
        <f>'[2]All Counts'!E322</f>
        <v>28495</v>
      </c>
      <c r="D322" s="136">
        <f>'[2]All Counts'!F322</f>
        <v>1</v>
      </c>
      <c r="E322" s="136">
        <f>'[2]All Counts'!G322</f>
        <v>1</v>
      </c>
      <c r="F322" s="136" t="str">
        <f>'[2]All Counts'!H322</f>
        <v>I-5 NB</v>
      </c>
      <c r="G322" s="136">
        <f>'[2]All Counts'!I322</f>
        <v>165</v>
      </c>
      <c r="H322" s="136">
        <f>'[2]All Counts'!J322</f>
        <v>0</v>
      </c>
      <c r="I322" s="136" t="str">
        <f>'[2]All Counts'!K322</f>
        <v>MISSION</v>
      </c>
      <c r="J322" s="136" t="str">
        <f>'[2]All Counts'!L322</f>
        <v>MISSION</v>
      </c>
      <c r="K322" s="136">
        <f>'[2]All Counts'!O322</f>
        <v>15508</v>
      </c>
      <c r="L322" s="57">
        <f>VLOOKUP(ws[[#This Row],[hwycov_id]],readme!D:G,4,FALSE)</f>
        <v>20113.472656000002</v>
      </c>
      <c r="M322" s="88">
        <f>ws[[#This Row],[flow]]/ws[[#This Row],[count]]-1</f>
        <v>0.29697399123033286</v>
      </c>
      <c r="N322" s="89">
        <f>POWER((ws[[#This Row],[flow]]-ws[[#This Row],[count]]),2)</f>
        <v>21210378.38516371</v>
      </c>
      <c r="O322" s="43">
        <f>VLOOKUP(ws[[#This Row],[hwycov_id]],count[],6,FALSE)</f>
        <v>0</v>
      </c>
      <c r="P322" s="43">
        <v>521</v>
      </c>
      <c r="Q322" s="43" t="str">
        <f>'[2]All Counts'!P322</f>
        <v>PeMS2016</v>
      </c>
      <c r="S322" s="94">
        <v>14262</v>
      </c>
      <c r="T322" s="17">
        <v>18033</v>
      </c>
      <c r="U322" s="17">
        <v>31562.857422000001</v>
      </c>
      <c r="V322" s="17"/>
      <c r="W322" s="17"/>
      <c r="X322" s="17"/>
      <c r="Y322" s="17"/>
      <c r="Z322" s="17"/>
      <c r="AA322" s="17"/>
      <c r="AB322" s="17">
        <v>18033</v>
      </c>
      <c r="AC322" s="17">
        <v>31562.857422000001</v>
      </c>
      <c r="AD322"/>
      <c r="AE322"/>
    </row>
    <row r="323" spans="1:31" x14ac:dyDescent="0.25">
      <c r="A323" s="136">
        <f>'[2]All Counts'!C323</f>
        <v>1</v>
      </c>
      <c r="B323" s="136">
        <f>'[2]All Counts'!D323</f>
        <v>1</v>
      </c>
      <c r="C323" s="136">
        <f>'[2]All Counts'!E323</f>
        <v>28511</v>
      </c>
      <c r="D323" s="136">
        <f>'[2]All Counts'!F323</f>
        <v>1</v>
      </c>
      <c r="E323" s="136">
        <f>'[2]All Counts'!G323</f>
        <v>1</v>
      </c>
      <c r="F323" s="136" t="str">
        <f>'[2]All Counts'!H323</f>
        <v>I-5 NB</v>
      </c>
      <c r="G323" s="136">
        <f>'[2]All Counts'!I323</f>
        <v>166</v>
      </c>
      <c r="H323" s="136">
        <f>'[2]All Counts'!J323</f>
        <v>0</v>
      </c>
      <c r="I323" s="136" t="str">
        <f>'[2]All Counts'!K323</f>
        <v>MISSION</v>
      </c>
      <c r="J323" s="136" t="str">
        <f>'[2]All Counts'!L323</f>
        <v>SR-76</v>
      </c>
      <c r="K323" s="136">
        <f>'[2]All Counts'!O323</f>
        <v>16392</v>
      </c>
      <c r="L323" s="57">
        <f>VLOOKUP(ws[[#This Row],[hwycov_id]],readme!D:G,4,FALSE)</f>
        <v>20515.982422000001</v>
      </c>
      <c r="M323" s="88">
        <f>ws[[#This Row],[flow]]/ws[[#This Row],[count]]-1</f>
        <v>0.25158506722791607</v>
      </c>
      <c r="N323" s="89">
        <f>POWER((ws[[#This Row],[flow]]-ws[[#This Row],[count]]),2)</f>
        <v>17007231.016964994</v>
      </c>
      <c r="O323" s="43">
        <f>VLOOKUP(ws[[#This Row],[hwycov_id]],count[],6,FALSE)</f>
        <v>0</v>
      </c>
      <c r="P323" s="43">
        <v>290</v>
      </c>
      <c r="Q323" s="43" t="str">
        <f>'[2]All Counts'!P323</f>
        <v>Caltran</v>
      </c>
      <c r="S323" s="94">
        <v>14263</v>
      </c>
      <c r="T323" s="17"/>
      <c r="U323" s="17"/>
      <c r="V323" s="17">
        <v>14198</v>
      </c>
      <c r="W323" s="17">
        <v>13394.523438</v>
      </c>
      <c r="X323" s="17"/>
      <c r="Y323" s="17"/>
      <c r="Z323" s="17"/>
      <c r="AA323" s="17"/>
      <c r="AB323" s="17">
        <v>14198</v>
      </c>
      <c r="AC323" s="17">
        <v>13394.523438</v>
      </c>
      <c r="AD323"/>
      <c r="AE323"/>
    </row>
    <row r="324" spans="1:31" x14ac:dyDescent="0.25">
      <c r="A324" s="136">
        <f>'[2]All Counts'!C324</f>
        <v>1</v>
      </c>
      <c r="B324" s="136">
        <f>'[2]All Counts'!D324</f>
        <v>1</v>
      </c>
      <c r="C324" s="136">
        <f>'[2]All Counts'!E324</f>
        <v>28512</v>
      </c>
      <c r="D324" s="136">
        <f>'[2]All Counts'!F324</f>
        <v>1</v>
      </c>
      <c r="E324" s="136">
        <f>'[2]All Counts'!G324</f>
        <v>1</v>
      </c>
      <c r="F324" s="136" t="str">
        <f>'[2]All Counts'!H324</f>
        <v>I-5 NB</v>
      </c>
      <c r="G324" s="136">
        <f>'[2]All Counts'!I324</f>
        <v>167</v>
      </c>
      <c r="H324" s="136">
        <f>'[2]All Counts'!J324</f>
        <v>0</v>
      </c>
      <c r="I324" s="136" t="str">
        <f>'[2]All Counts'!K324</f>
        <v>SR-76</v>
      </c>
      <c r="J324" s="136" t="str">
        <f>'[2]All Counts'!L324</f>
        <v>SR-76</v>
      </c>
      <c r="K324" s="136">
        <f>'[2]All Counts'!O324</f>
        <v>13004</v>
      </c>
      <c r="L324" s="57">
        <f>VLOOKUP(ws[[#This Row],[hwycov_id]],readme!D:G,4,FALSE)</f>
        <v>17549.816406000002</v>
      </c>
      <c r="M324" s="88">
        <f>ws[[#This Row],[flow]]/ws[[#This Row],[count]]-1</f>
        <v>0.34957062488465107</v>
      </c>
      <c r="N324" s="89">
        <f>POWER((ws[[#This Row],[flow]]-ws[[#This Row],[count]]),2)</f>
        <v>20664446.797058772</v>
      </c>
      <c r="O324" s="43">
        <f>VLOOKUP(ws[[#This Row],[hwycov_id]],count[],6,FALSE)</f>
        <v>0</v>
      </c>
      <c r="P324" s="43">
        <v>523</v>
      </c>
      <c r="Q324" s="43" t="str">
        <f>'[2]All Counts'!P324</f>
        <v>PeMS2016</v>
      </c>
      <c r="S324" s="94">
        <v>14265</v>
      </c>
      <c r="T324" s="17">
        <v>7722</v>
      </c>
      <c r="U324" s="17">
        <v>15294.254883</v>
      </c>
      <c r="V324" s="17"/>
      <c r="W324" s="17"/>
      <c r="X324" s="17"/>
      <c r="Y324" s="17"/>
      <c r="Z324" s="17"/>
      <c r="AA324" s="17"/>
      <c r="AB324" s="17">
        <v>7722</v>
      </c>
      <c r="AC324" s="17">
        <v>15294.254883</v>
      </c>
      <c r="AD324"/>
      <c r="AE324"/>
    </row>
    <row r="325" spans="1:31" x14ac:dyDescent="0.25">
      <c r="A325" s="136">
        <f>'[2]All Counts'!C325</f>
        <v>1</v>
      </c>
      <c r="B325" s="136">
        <f>'[2]All Counts'!D325</f>
        <v>1</v>
      </c>
      <c r="C325" s="136">
        <f>'[2]All Counts'!E325</f>
        <v>28486</v>
      </c>
      <c r="D325" s="136">
        <f>'[2]All Counts'!F325</f>
        <v>1</v>
      </c>
      <c r="E325" s="136">
        <f>'[2]All Counts'!G325</f>
        <v>1</v>
      </c>
      <c r="F325" s="136" t="str">
        <f>'[2]All Counts'!H325</f>
        <v>I-5 NB</v>
      </c>
      <c r="G325" s="136">
        <f>'[2]All Counts'!I325</f>
        <v>171</v>
      </c>
      <c r="H325" s="136">
        <f>'[2]All Counts'!J325</f>
        <v>0</v>
      </c>
      <c r="I325" s="136" t="str">
        <f>'[2]All Counts'!K325</f>
        <v>VANDEGRIFT</v>
      </c>
      <c r="J325" s="136" t="str">
        <f>'[2]All Counts'!L325</f>
        <v>VANDEGRIFT</v>
      </c>
      <c r="K325" s="136">
        <f>'[2]All Counts'!O325</f>
        <v>11005</v>
      </c>
      <c r="L325" s="57">
        <f>VLOOKUP(ws[[#This Row],[hwycov_id]],readme!D:G,4,FALSE)</f>
        <v>14461.248046999999</v>
      </c>
      <c r="M325" s="88">
        <f>ws[[#This Row],[flow]]/ws[[#This Row],[count]]-1</f>
        <v>0.31406161263062238</v>
      </c>
      <c r="N325" s="89">
        <f>POWER((ws[[#This Row],[flow]]-ws[[#This Row],[count]]),2)</f>
        <v>11945650.562391309</v>
      </c>
      <c r="O325" s="43">
        <f>VLOOKUP(ws[[#This Row],[hwycov_id]],count[],6,FALSE)</f>
        <v>0</v>
      </c>
      <c r="P325" s="43">
        <v>287</v>
      </c>
      <c r="Q325" s="43" t="str">
        <f>'[2]All Counts'!P325</f>
        <v>PeMS2016</v>
      </c>
      <c r="S325" s="94">
        <v>14286</v>
      </c>
      <c r="T325" s="17"/>
      <c r="U325" s="17"/>
      <c r="V325" s="17">
        <v>14999</v>
      </c>
      <c r="W325" s="17">
        <v>14800.663086</v>
      </c>
      <c r="X325" s="17"/>
      <c r="Y325" s="17"/>
      <c r="Z325" s="17"/>
      <c r="AA325" s="17"/>
      <c r="AB325" s="17">
        <v>14999</v>
      </c>
      <c r="AC325" s="17">
        <v>14800.663086</v>
      </c>
      <c r="AD325"/>
      <c r="AE325"/>
    </row>
    <row r="326" spans="1:31" x14ac:dyDescent="0.25">
      <c r="A326" s="136">
        <f>'[2]All Counts'!C326</f>
        <v>1</v>
      </c>
      <c r="B326" s="136">
        <f>'[2]All Counts'!D326</f>
        <v>1</v>
      </c>
      <c r="C326" s="136">
        <f>'[2]All Counts'!E326</f>
        <v>27597</v>
      </c>
      <c r="D326" s="136">
        <f>'[2]All Counts'!F326</f>
        <v>1</v>
      </c>
      <c r="E326" s="136">
        <f>'[2]All Counts'!G326</f>
        <v>1</v>
      </c>
      <c r="F326" s="136" t="str">
        <f>'[2]All Counts'!H326</f>
        <v>I-5 NB</v>
      </c>
      <c r="G326" s="136">
        <f>'[2]All Counts'!I326</f>
        <v>172</v>
      </c>
      <c r="H326" s="136">
        <f>'[2]All Counts'!J326</f>
        <v>7</v>
      </c>
      <c r="I326" s="136" t="str">
        <f>'[2]All Counts'!K326</f>
        <v>VANDEGRIFT</v>
      </c>
      <c r="J326" s="136" t="str">
        <f>'[2]All Counts'!L326</f>
        <v>LAS PULGAS</v>
      </c>
      <c r="K326" s="136">
        <f>'[2]All Counts'!O326</f>
        <v>11331</v>
      </c>
      <c r="L326" s="57">
        <f>VLOOKUP(ws[[#This Row],[hwycov_id]],readme!D:G,4,FALSE)</f>
        <v>14624.066406</v>
      </c>
      <c r="M326" s="88">
        <f>ws[[#This Row],[flow]]/ws[[#This Row],[count]]-1</f>
        <v>0.29062451734180561</v>
      </c>
      <c r="N326" s="89">
        <f>POWER((ws[[#This Row],[flow]]-ws[[#This Row],[count]]),2)</f>
        <v>10844286.354325756</v>
      </c>
      <c r="O326" s="43">
        <f>VLOOKUP(ws[[#This Row],[hwycov_id]],count[],6,FALSE)</f>
        <v>0</v>
      </c>
      <c r="P326" s="43">
        <v>524</v>
      </c>
      <c r="Q326" s="43" t="str">
        <f>'[2]All Counts'!P326</f>
        <v>PeMS2016</v>
      </c>
      <c r="S326" s="94">
        <v>14290</v>
      </c>
      <c r="T326" s="17">
        <v>18001</v>
      </c>
      <c r="U326" s="17">
        <v>19797.003906000002</v>
      </c>
      <c r="V326" s="17"/>
      <c r="W326" s="17"/>
      <c r="X326" s="17"/>
      <c r="Y326" s="17"/>
      <c r="Z326" s="17"/>
      <c r="AA326" s="17"/>
      <c r="AB326" s="17">
        <v>18001</v>
      </c>
      <c r="AC326" s="17">
        <v>19797.003906000002</v>
      </c>
      <c r="AD326"/>
      <c r="AE326"/>
    </row>
    <row r="327" spans="1:31" x14ac:dyDescent="0.25">
      <c r="A327" s="136">
        <f>'[2]All Counts'!C327</f>
        <v>1</v>
      </c>
      <c r="B327" s="136">
        <f>'[2]All Counts'!D327</f>
        <v>1</v>
      </c>
      <c r="C327" s="136">
        <f>'[2]All Counts'!E327</f>
        <v>27519</v>
      </c>
      <c r="D327" s="136">
        <f>'[2]All Counts'!F327</f>
        <v>1</v>
      </c>
      <c r="E327" s="136">
        <f>'[2]All Counts'!G327</f>
        <v>1</v>
      </c>
      <c r="F327" s="136" t="str">
        <f>'[2]All Counts'!H327</f>
        <v>I-5 NB</v>
      </c>
      <c r="G327" s="136">
        <f>'[2]All Counts'!I327</f>
        <v>174</v>
      </c>
      <c r="H327" s="136">
        <f>'[2]All Counts'!J327</f>
        <v>8</v>
      </c>
      <c r="I327" s="136" t="str">
        <f>'[2]All Counts'!K327</f>
        <v>LAS PULGAS</v>
      </c>
      <c r="J327" s="136" t="str">
        <f>'[2]All Counts'!L327</f>
        <v>BASILONE</v>
      </c>
      <c r="K327" s="136">
        <f>'[2]All Counts'!O327</f>
        <v>12094</v>
      </c>
      <c r="L327" s="57">
        <f>VLOOKUP(ws[[#This Row],[hwycov_id]],readme!D:G,4,FALSE)</f>
        <v>14625.247069999999</v>
      </c>
      <c r="M327" s="88">
        <f>ws[[#This Row],[flow]]/ws[[#This Row],[count]]-1</f>
        <v>0.20929775673887874</v>
      </c>
      <c r="N327" s="89">
        <f>POWER((ws[[#This Row],[flow]]-ws[[#This Row],[count]]),2)</f>
        <v>6407211.7293835822</v>
      </c>
      <c r="O327" s="43">
        <f>VLOOKUP(ws[[#This Row],[hwycov_id]],count[],6,FALSE)</f>
        <v>0</v>
      </c>
      <c r="P327" s="43">
        <v>285</v>
      </c>
      <c r="Q327" s="43" t="str">
        <f>'[2]All Counts'!P327</f>
        <v>PeMS2016</v>
      </c>
      <c r="S327" s="94">
        <v>14383</v>
      </c>
      <c r="T327" s="17"/>
      <c r="U327" s="17"/>
      <c r="V327" s="17">
        <v>31601</v>
      </c>
      <c r="W327" s="17">
        <v>26727.076172000001</v>
      </c>
      <c r="X327" s="17"/>
      <c r="Y327" s="17"/>
      <c r="Z327" s="17"/>
      <c r="AA327" s="17"/>
      <c r="AB327" s="17">
        <v>31601</v>
      </c>
      <c r="AC327" s="17">
        <v>26727.076172000001</v>
      </c>
      <c r="AD327"/>
      <c r="AE327"/>
    </row>
    <row r="328" spans="1:31" x14ac:dyDescent="0.25">
      <c r="A328" s="136">
        <f>'[2]All Counts'!C328</f>
        <v>31</v>
      </c>
      <c r="B328" s="136">
        <f>'[2]All Counts'!D328</f>
        <v>1</v>
      </c>
      <c r="C328" s="136">
        <f>'[2]All Counts'!E328</f>
        <v>25386</v>
      </c>
      <c r="D328" s="136">
        <f>'[2]All Counts'!F328</f>
        <v>1</v>
      </c>
      <c r="E328" s="136">
        <f>'[2]All Counts'!G328</f>
        <v>2</v>
      </c>
      <c r="F328" s="136" t="str">
        <f>'[2]All Counts'!H328</f>
        <v>I-5 HOV NB</v>
      </c>
      <c r="G328" s="136">
        <f>'[2]All Counts'!I328</f>
        <v>1</v>
      </c>
      <c r="H328" s="136">
        <f>'[2]All Counts'!J328</f>
        <v>1</v>
      </c>
      <c r="I328" s="136" t="str">
        <f>'[2]All Counts'!K328</f>
        <v>MIRA MESA</v>
      </c>
      <c r="J328" s="136" t="str">
        <f>'[2]All Counts'!L328</f>
        <v>CARMEL MOUNTAIN</v>
      </c>
      <c r="K328" s="136">
        <f>'[2]All Counts'!O328</f>
        <v>2637</v>
      </c>
      <c r="L328" s="57">
        <f>VLOOKUP(ws[[#This Row],[hwycov_id]],readme!D:G,4,FALSE)</f>
        <v>4525.5776370000003</v>
      </c>
      <c r="M328" s="88">
        <f>ws[[#This Row],[flow]]/ws[[#This Row],[count]]-1</f>
        <v>0.71618416268486929</v>
      </c>
      <c r="N328" s="89">
        <f>POWER((ws[[#This Row],[flow]]-ws[[#This Row],[count]]),2)</f>
        <v>3566725.490976505</v>
      </c>
      <c r="O328" s="43">
        <f>VLOOKUP(ws[[#This Row],[hwycov_id]],count[],6,FALSE)</f>
        <v>0</v>
      </c>
      <c r="P328" s="43">
        <v>452</v>
      </c>
      <c r="Q328" s="43" t="str">
        <f>'[2]All Counts'!P328</f>
        <v>PeMS2016</v>
      </c>
      <c r="S328" s="94">
        <v>14384</v>
      </c>
      <c r="T328" s="17">
        <v>31407</v>
      </c>
      <c r="U328" s="17">
        <v>43489.957030999998</v>
      </c>
      <c r="V328" s="17"/>
      <c r="W328" s="17"/>
      <c r="X328" s="17"/>
      <c r="Y328" s="17"/>
      <c r="Z328" s="17"/>
      <c r="AA328" s="17"/>
      <c r="AB328" s="17">
        <v>31407</v>
      </c>
      <c r="AC328" s="17">
        <v>43489.957030999998</v>
      </c>
      <c r="AD328"/>
      <c r="AE328"/>
    </row>
    <row r="329" spans="1:31" x14ac:dyDescent="0.25">
      <c r="A329" s="136">
        <f>'[2]All Counts'!C329</f>
        <v>31</v>
      </c>
      <c r="B329" s="136">
        <f>'[2]All Counts'!D329</f>
        <v>1</v>
      </c>
      <c r="C329" s="136">
        <f>'[2]All Counts'!E329</f>
        <v>22077</v>
      </c>
      <c r="D329" s="136">
        <f>'[2]All Counts'!F329</f>
        <v>1</v>
      </c>
      <c r="E329" s="136">
        <f>'[2]All Counts'!G329</f>
        <v>2</v>
      </c>
      <c r="F329" s="136" t="str">
        <f>'[2]All Counts'!H329</f>
        <v>I-5 HOV NB</v>
      </c>
      <c r="G329" s="136">
        <f>'[2]All Counts'!I329</f>
        <v>3</v>
      </c>
      <c r="H329" s="136">
        <f>'[2]All Counts'!J329</f>
        <v>0</v>
      </c>
      <c r="I329" s="136" t="str">
        <f>'[2]All Counts'!K329</f>
        <v>CARMEL VALLEY</v>
      </c>
      <c r="J329" s="136" t="str">
        <f>'[2]All Counts'!L329</f>
        <v>CARMEL VALLEY</v>
      </c>
      <c r="K329" s="136">
        <f>'[2]All Counts'!O329</f>
        <v>3507</v>
      </c>
      <c r="L329" s="57">
        <f>VLOOKUP(ws[[#This Row],[hwycov_id]],readme!D:G,4,FALSE)</f>
        <v>6483.7470700000003</v>
      </c>
      <c r="M329" s="88">
        <f>ws[[#This Row],[flow]]/ws[[#This Row],[count]]-1</f>
        <v>0.84880155973766769</v>
      </c>
      <c r="N329" s="89">
        <f>POWER((ws[[#This Row],[flow]]-ws[[#This Row],[count]]),2)</f>
        <v>8861023.1187535878</v>
      </c>
      <c r="O329" s="43">
        <f>VLOOKUP(ws[[#This Row],[hwycov_id]],count[],6,FALSE)</f>
        <v>0</v>
      </c>
      <c r="P329" s="43">
        <v>361</v>
      </c>
      <c r="Q329" s="43" t="str">
        <f>'[2]All Counts'!P329</f>
        <v>PeMS2016</v>
      </c>
      <c r="S329" s="94">
        <v>14386</v>
      </c>
      <c r="T329" s="17">
        <v>30988</v>
      </c>
      <c r="U329" s="17">
        <v>39695.21875</v>
      </c>
      <c r="V329" s="17"/>
      <c r="W329" s="17"/>
      <c r="X329" s="17"/>
      <c r="Y329" s="17"/>
      <c r="Z329" s="17"/>
      <c r="AA329" s="17"/>
      <c r="AB329" s="17">
        <v>30988</v>
      </c>
      <c r="AC329" s="17">
        <v>39695.21875</v>
      </c>
      <c r="AD329"/>
      <c r="AE329"/>
    </row>
    <row r="330" spans="1:31" x14ac:dyDescent="0.25">
      <c r="A330" s="136">
        <f>'[2]All Counts'!C330</f>
        <v>31</v>
      </c>
      <c r="B330" s="136">
        <f>'[2]All Counts'!D330</f>
        <v>1</v>
      </c>
      <c r="C330" s="136">
        <f>'[2]All Counts'!E330</f>
        <v>29571</v>
      </c>
      <c r="D330" s="136">
        <f>'[2]All Counts'!F330</f>
        <v>1</v>
      </c>
      <c r="E330" s="136">
        <f>'[2]All Counts'!G330</f>
        <v>2</v>
      </c>
      <c r="F330" s="136" t="str">
        <f>'[2]All Counts'!H330</f>
        <v>I-5 HOV NB</v>
      </c>
      <c r="G330" s="136">
        <f>'[2]All Counts'!I330</f>
        <v>5</v>
      </c>
      <c r="H330" s="136">
        <f>'[2]All Counts'!J330</f>
        <v>0</v>
      </c>
      <c r="I330" s="136" t="str">
        <f>'[2]All Counts'!K330</f>
        <v>CARMEL VALLEY</v>
      </c>
      <c r="J330" s="136" t="str">
        <f>'[2]All Counts'!L330</f>
        <v>VIA DE LA VALLE</v>
      </c>
      <c r="K330" s="136">
        <f>'[2]All Counts'!O330</f>
        <v>2521</v>
      </c>
      <c r="L330" s="57">
        <f>VLOOKUP(ws[[#This Row],[hwycov_id]],readme!D:G,4,FALSE)</f>
        <v>6483.7470700000003</v>
      </c>
      <c r="M330" s="88">
        <f>ws[[#This Row],[flow]]/ws[[#This Row],[count]]-1</f>
        <v>1.5718949107497027</v>
      </c>
      <c r="N330" s="89">
        <f>POWER((ws[[#This Row],[flow]]-ws[[#This Row],[count]]),2)</f>
        <v>15703364.340793587</v>
      </c>
      <c r="O330" s="43">
        <f>VLOOKUP(ws[[#This Row],[hwycov_id]],count[],6,FALSE)</f>
        <v>0</v>
      </c>
      <c r="P330" s="43">
        <v>362</v>
      </c>
      <c r="Q330" s="43" t="str">
        <f>'[2]All Counts'!P330</f>
        <v>PeMS2016</v>
      </c>
      <c r="S330" s="94">
        <v>14397</v>
      </c>
      <c r="T330" s="17">
        <v>35698</v>
      </c>
      <c r="U330" s="17">
        <v>42583.855469000002</v>
      </c>
      <c r="V330" s="17"/>
      <c r="W330" s="17"/>
      <c r="X330" s="17"/>
      <c r="Y330" s="17"/>
      <c r="Z330" s="17"/>
      <c r="AA330" s="17"/>
      <c r="AB330" s="17">
        <v>35698</v>
      </c>
      <c r="AC330" s="17">
        <v>42583.855469000002</v>
      </c>
      <c r="AD330"/>
      <c r="AE330"/>
    </row>
    <row r="331" spans="1:31" x14ac:dyDescent="0.25">
      <c r="A331" s="136">
        <f>'[2]All Counts'!C331</f>
        <v>31</v>
      </c>
      <c r="B331" s="136">
        <f>'[2]All Counts'!D331</f>
        <v>1</v>
      </c>
      <c r="C331" s="136">
        <f>'[2]All Counts'!E331</f>
        <v>25381</v>
      </c>
      <c r="D331" s="136">
        <f>'[2]All Counts'!F331</f>
        <v>1</v>
      </c>
      <c r="E331" s="136">
        <f>'[2]All Counts'!G331</f>
        <v>2</v>
      </c>
      <c r="F331" s="136" t="str">
        <f>'[2]All Counts'!H331</f>
        <v>I-5 HOV NB</v>
      </c>
      <c r="G331" s="136">
        <f>'[2]All Counts'!I331</f>
        <v>7</v>
      </c>
      <c r="H331" s="136">
        <f>'[2]All Counts'!J331</f>
        <v>1</v>
      </c>
      <c r="I331" s="136" t="str">
        <f>'[2]All Counts'!K331</f>
        <v>DEL MAR HEIGHTS</v>
      </c>
      <c r="J331" s="136" t="str">
        <f>'[2]All Counts'!L331</f>
        <v>VIA DE LA VALLE</v>
      </c>
      <c r="K331" s="136">
        <f>'[2]All Counts'!O331</f>
        <v>3058</v>
      </c>
      <c r="L331" s="57">
        <f>VLOOKUP(ws[[#This Row],[hwycov_id]],readme!D:G,4,FALSE)</f>
        <v>6483.7470700000003</v>
      </c>
      <c r="M331" s="88">
        <f>ws[[#This Row],[flow]]/ws[[#This Row],[count]]-1</f>
        <v>1.1202573806409419</v>
      </c>
      <c r="N331" s="89">
        <f>POWER((ws[[#This Row],[flow]]-ws[[#This Row],[count]]),2)</f>
        <v>11735742.987613587</v>
      </c>
      <c r="O331" s="43">
        <f>VLOOKUP(ws[[#This Row],[hwycov_id]],count[],6,FALSE)</f>
        <v>0</v>
      </c>
      <c r="P331" s="43">
        <v>358</v>
      </c>
      <c r="Q331" s="43" t="str">
        <f>'[2]All Counts'!P331</f>
        <v>PeMS2016</v>
      </c>
      <c r="S331" s="94">
        <v>14400</v>
      </c>
      <c r="T331" s="17"/>
      <c r="U331" s="17"/>
      <c r="V331" s="17">
        <v>28355</v>
      </c>
      <c r="W331" s="17">
        <v>27969.427734000001</v>
      </c>
      <c r="X331" s="17"/>
      <c r="Y331" s="17"/>
      <c r="Z331" s="17"/>
      <c r="AA331" s="17"/>
      <c r="AB331" s="17">
        <v>28355</v>
      </c>
      <c r="AC331" s="17">
        <v>27969.427734000001</v>
      </c>
      <c r="AD331"/>
      <c r="AE331"/>
    </row>
    <row r="332" spans="1:31" x14ac:dyDescent="0.25">
      <c r="A332" s="136">
        <f>'[2]All Counts'!C332</f>
        <v>31</v>
      </c>
      <c r="B332" s="136">
        <f>'[2]All Counts'!D332</f>
        <v>1</v>
      </c>
      <c r="C332" s="136">
        <f>'[2]All Counts'!E332</f>
        <v>29490</v>
      </c>
      <c r="D332" s="136">
        <f>'[2]All Counts'!F332</f>
        <v>1</v>
      </c>
      <c r="E332" s="136">
        <f>'[2]All Counts'!G332</f>
        <v>2</v>
      </c>
      <c r="F332" s="136" t="str">
        <f>'[2]All Counts'!H332</f>
        <v>I-5 HOV NB</v>
      </c>
      <c r="G332" s="136">
        <f>'[2]All Counts'!I332</f>
        <v>8</v>
      </c>
      <c r="H332" s="136">
        <f>'[2]All Counts'!J332</f>
        <v>1</v>
      </c>
      <c r="I332" s="136" t="str">
        <f>'[2]All Counts'!K332</f>
        <v>DEL MAR HEIGHTS</v>
      </c>
      <c r="J332" s="136" t="str">
        <f>'[2]All Counts'!L332</f>
        <v>VIA DE LA VALLE</v>
      </c>
      <c r="K332" s="136">
        <f>'[2]All Counts'!O332</f>
        <v>4350</v>
      </c>
      <c r="L332" s="57">
        <f>VLOOKUP(ws[[#This Row],[hwycov_id]],readme!D:G,4,FALSE)</f>
        <v>5962.09375</v>
      </c>
      <c r="M332" s="88">
        <f>ws[[#This Row],[flow]]/ws[[#This Row],[count]]-1</f>
        <v>0.37059626436781601</v>
      </c>
      <c r="N332" s="89">
        <f>POWER((ws[[#This Row],[flow]]-ws[[#This Row],[count]]),2)</f>
        <v>2598846.2587890625</v>
      </c>
      <c r="O332" s="43">
        <f>VLOOKUP(ws[[#This Row],[hwycov_id]],count[],6,FALSE)</f>
        <v>0</v>
      </c>
      <c r="P332" s="43">
        <v>455</v>
      </c>
      <c r="Q332" s="43" t="str">
        <f>'[2]All Counts'!P332</f>
        <v>PeMS2016</v>
      </c>
      <c r="S332" s="94">
        <v>14402</v>
      </c>
      <c r="T332" s="17">
        <v>32601</v>
      </c>
      <c r="U332" s="17">
        <v>40934.28125</v>
      </c>
      <c r="V332" s="17"/>
      <c r="W332" s="17"/>
      <c r="X332" s="17"/>
      <c r="Y332" s="17"/>
      <c r="Z332" s="17"/>
      <c r="AA332" s="17"/>
      <c r="AB332" s="17">
        <v>32601</v>
      </c>
      <c r="AC332" s="17">
        <v>40934.28125</v>
      </c>
      <c r="AD332"/>
      <c r="AE332"/>
    </row>
    <row r="333" spans="1:31" x14ac:dyDescent="0.25">
      <c r="A333" s="136">
        <f>'[2]All Counts'!C333</f>
        <v>2</v>
      </c>
      <c r="B333" s="136">
        <f>'[2]All Counts'!D333</f>
        <v>1</v>
      </c>
      <c r="C333" s="136">
        <f>'[2]All Counts'!E333</f>
        <v>16127</v>
      </c>
      <c r="D333" s="136">
        <f>'[2]All Counts'!F333</f>
        <v>1</v>
      </c>
      <c r="E333" s="136">
        <f>'[2]All Counts'!G333</f>
        <v>1</v>
      </c>
      <c r="F333" s="136" t="str">
        <f>'[2]All Counts'!H333</f>
        <v>I-15 NB</v>
      </c>
      <c r="G333" s="136">
        <f>'[2]All Counts'!I333</f>
        <v>1</v>
      </c>
      <c r="H333" s="136">
        <f>'[2]All Counts'!J333</f>
        <v>0</v>
      </c>
      <c r="I333" s="136" t="str">
        <f>'[2]All Counts'!K333</f>
        <v>I-5 NB</v>
      </c>
      <c r="J333" s="136" t="str">
        <f>'[2]All Counts'!L333</f>
        <v>OCEAN VIEW</v>
      </c>
      <c r="K333" s="136">
        <f>'[2]All Counts'!O333</f>
        <v>13149</v>
      </c>
      <c r="L333" s="57">
        <f>VLOOKUP(ws[[#This Row],[hwycov_id]],readme!D:G,4,FALSE)</f>
        <v>18554.042968999998</v>
      </c>
      <c r="M333" s="88">
        <f>ws[[#This Row],[flow]]/ws[[#This Row],[count]]-1</f>
        <v>0.41106114297665219</v>
      </c>
      <c r="N333" s="89">
        <f>POWER((ws[[#This Row],[flow]]-ws[[#This Row],[count]]),2)</f>
        <v>29214489.496736318</v>
      </c>
      <c r="O333" s="43">
        <f>VLOOKUP(ws[[#This Row],[hwycov_id]],count[],6,FALSE)</f>
        <v>0</v>
      </c>
      <c r="P333" s="43">
        <v>357</v>
      </c>
      <c r="Q333" s="43" t="str">
        <f>'[2]All Counts'!P333</f>
        <v>Caltran</v>
      </c>
      <c r="S333" s="94">
        <v>14407</v>
      </c>
      <c r="T333" s="17"/>
      <c r="U333" s="17"/>
      <c r="V333" s="17">
        <v>29905</v>
      </c>
      <c r="W333" s="17">
        <v>28587.242188</v>
      </c>
      <c r="X333" s="17"/>
      <c r="Y333" s="17"/>
      <c r="Z333" s="17"/>
      <c r="AA333" s="17"/>
      <c r="AB333" s="17">
        <v>29905</v>
      </c>
      <c r="AC333" s="17">
        <v>28587.242188</v>
      </c>
      <c r="AD333"/>
      <c r="AE333"/>
    </row>
    <row r="334" spans="1:31" x14ac:dyDescent="0.25">
      <c r="A334" s="136">
        <f>'[2]All Counts'!C334</f>
        <v>2</v>
      </c>
      <c r="B334" s="136">
        <f>'[2]All Counts'!D334</f>
        <v>1</v>
      </c>
      <c r="C334" s="136">
        <f>'[2]All Counts'!E334</f>
        <v>16128</v>
      </c>
      <c r="D334" s="136">
        <f>'[2]All Counts'!F334</f>
        <v>1</v>
      </c>
      <c r="E334" s="136">
        <f>'[2]All Counts'!G334</f>
        <v>1</v>
      </c>
      <c r="F334" s="136" t="str">
        <f>'[2]All Counts'!H334</f>
        <v>I-15 NB</v>
      </c>
      <c r="G334" s="136">
        <f>'[2]All Counts'!I334</f>
        <v>2</v>
      </c>
      <c r="H334" s="136">
        <f>'[2]All Counts'!J334</f>
        <v>0</v>
      </c>
      <c r="I334" s="136" t="str">
        <f>'[2]All Counts'!K334</f>
        <v>OCEAN VIEW</v>
      </c>
      <c r="J334" s="136" t="str">
        <f>'[2]All Counts'!L334</f>
        <v>OCEAN VIEW</v>
      </c>
      <c r="K334" s="136">
        <f>'[2]All Counts'!O334</f>
        <v>13795</v>
      </c>
      <c r="L334" s="57">
        <f>VLOOKUP(ws[[#This Row],[hwycov_id]],readme!D:G,4,FALSE)</f>
        <v>17869.894531000002</v>
      </c>
      <c r="M334" s="88">
        <f>ws[[#This Row],[flow]]/ws[[#This Row],[count]]-1</f>
        <v>0.29538923747734702</v>
      </c>
      <c r="N334" s="89">
        <f>POWER((ws[[#This Row],[flow]]-ws[[#This Row],[count]]),2)</f>
        <v>16604765.438773723</v>
      </c>
      <c r="O334" s="43">
        <f>VLOOKUP(ws[[#This Row],[hwycov_id]],count[],6,FALSE)</f>
        <v>0</v>
      </c>
      <c r="P334" s="43">
        <v>456</v>
      </c>
      <c r="Q334" s="43" t="str">
        <f>'[2]All Counts'!P334</f>
        <v>PeMS2016</v>
      </c>
      <c r="S334" s="94">
        <v>14409</v>
      </c>
      <c r="T334" s="17">
        <v>32473</v>
      </c>
      <c r="U334" s="17">
        <v>39932.179687999997</v>
      </c>
      <c r="V334" s="17"/>
      <c r="W334" s="17"/>
      <c r="X334" s="17"/>
      <c r="Y334" s="17"/>
      <c r="Z334" s="17"/>
      <c r="AA334" s="17"/>
      <c r="AB334" s="17">
        <v>32473</v>
      </c>
      <c r="AC334" s="17">
        <v>39932.179687999997</v>
      </c>
      <c r="AD334"/>
      <c r="AE334"/>
    </row>
    <row r="335" spans="1:31" x14ac:dyDescent="0.25">
      <c r="A335" s="136">
        <f>'[2]All Counts'!C335</f>
        <v>2</v>
      </c>
      <c r="B335" s="136">
        <f>'[2]All Counts'!D335</f>
        <v>1</v>
      </c>
      <c r="C335" s="136">
        <f>'[2]All Counts'!E335</f>
        <v>11327</v>
      </c>
      <c r="D335" s="136">
        <f>'[2]All Counts'!F335</f>
        <v>1</v>
      </c>
      <c r="E335" s="136">
        <f>'[2]All Counts'!G335</f>
        <v>1</v>
      </c>
      <c r="F335" s="136" t="str">
        <f>'[2]All Counts'!H335</f>
        <v>I-15 NB</v>
      </c>
      <c r="G335" s="136">
        <f>'[2]All Counts'!I335</f>
        <v>3</v>
      </c>
      <c r="H335" s="136">
        <f>'[2]All Counts'!J335</f>
        <v>0</v>
      </c>
      <c r="I335" s="136" t="str">
        <f>'[2]All Counts'!K335</f>
        <v>OCEAN VIEW</v>
      </c>
      <c r="J335" s="136" t="str">
        <f>'[2]All Counts'!L335</f>
        <v>IMPERIAL</v>
      </c>
      <c r="K335" s="136">
        <f>'[2]All Counts'!O335</f>
        <v>15197</v>
      </c>
      <c r="L335" s="57">
        <f>VLOOKUP(ws[[#This Row],[hwycov_id]],readme!D:G,4,FALSE)</f>
        <v>19397.427734000001</v>
      </c>
      <c r="M335" s="88">
        <f>ws[[#This Row],[flow]]/ws[[#This Row],[count]]-1</f>
        <v>0.27639848220043439</v>
      </c>
      <c r="N335" s="89">
        <f>POWER((ws[[#This Row],[flow]]-ws[[#This Row],[count]]),2)</f>
        <v>17643593.148556381</v>
      </c>
      <c r="O335" s="43">
        <f>VLOOKUP(ws[[#This Row],[hwycov_id]],count[],6,FALSE)</f>
        <v>0</v>
      </c>
      <c r="P335" s="43">
        <v>356</v>
      </c>
      <c r="Q335" s="43" t="str">
        <f>'[2]All Counts'!P335</f>
        <v>PeMS2016</v>
      </c>
      <c r="S335" s="94">
        <v>14410</v>
      </c>
      <c r="T335" s="17">
        <v>30190</v>
      </c>
      <c r="U335" s="17">
        <v>44996.722655999998</v>
      </c>
      <c r="V335" s="17"/>
      <c r="W335" s="17"/>
      <c r="X335" s="17"/>
      <c r="Y335" s="17"/>
      <c r="Z335" s="17"/>
      <c r="AA335" s="17"/>
      <c r="AB335" s="17">
        <v>30190</v>
      </c>
      <c r="AC335" s="17">
        <v>44996.722655999998</v>
      </c>
      <c r="AD335"/>
      <c r="AE335"/>
    </row>
    <row r="336" spans="1:31" x14ac:dyDescent="0.25">
      <c r="A336" s="136">
        <f>'[2]All Counts'!C336</f>
        <v>2</v>
      </c>
      <c r="B336" s="136">
        <f>'[2]All Counts'!D336</f>
        <v>1</v>
      </c>
      <c r="C336" s="136">
        <f>'[2]All Counts'!E336</f>
        <v>16136</v>
      </c>
      <c r="D336" s="136">
        <f>'[2]All Counts'!F336</f>
        <v>1</v>
      </c>
      <c r="E336" s="136">
        <f>'[2]All Counts'!G336</f>
        <v>1</v>
      </c>
      <c r="F336" s="136" t="str">
        <f>'[2]All Counts'!H336</f>
        <v>I-15 NB</v>
      </c>
      <c r="G336" s="136">
        <f>'[2]All Counts'!I336</f>
        <v>5</v>
      </c>
      <c r="H336" s="136">
        <f>'[2]All Counts'!J336</f>
        <v>0</v>
      </c>
      <c r="I336" s="136">
        <f>'[2]All Counts'!K336</f>
        <v>0</v>
      </c>
      <c r="J336" s="136" t="str">
        <f>'[2]All Counts'!L336</f>
        <v>MARKET</v>
      </c>
      <c r="K336" s="136">
        <f>'[2]All Counts'!O336</f>
        <v>16609</v>
      </c>
      <c r="L336" s="57">
        <f>VLOOKUP(ws[[#This Row],[hwycov_id]],readme!D:G,4,FALSE)</f>
        <v>20433.730468999998</v>
      </c>
      <c r="M336" s="88">
        <f>ws[[#This Row],[flow]]/ws[[#This Row],[count]]-1</f>
        <v>0.23028059901258335</v>
      </c>
      <c r="N336" s="89">
        <f>POWER((ws[[#This Row],[flow]]-ws[[#This Row],[count]]),2)</f>
        <v>14628563.160496946</v>
      </c>
      <c r="O336" s="43">
        <f>VLOOKUP(ws[[#This Row],[hwycov_id]],count[],6,FALSE)</f>
        <v>0</v>
      </c>
      <c r="P336" s="43">
        <v>355</v>
      </c>
      <c r="Q336" s="43" t="str">
        <f>'[2]All Counts'!P336</f>
        <v>Caltran</v>
      </c>
      <c r="S336" s="94">
        <v>14411</v>
      </c>
      <c r="T336" s="17"/>
      <c r="U336" s="17"/>
      <c r="V336" s="17">
        <v>29788</v>
      </c>
      <c r="W336" s="17">
        <v>30836.078125</v>
      </c>
      <c r="X336" s="17"/>
      <c r="Y336" s="17"/>
      <c r="Z336" s="17"/>
      <c r="AA336" s="17"/>
      <c r="AB336" s="17">
        <v>29788</v>
      </c>
      <c r="AC336" s="17">
        <v>30836.078125</v>
      </c>
      <c r="AD336"/>
      <c r="AE336"/>
    </row>
    <row r="337" spans="1:31" x14ac:dyDescent="0.25">
      <c r="A337" s="136">
        <f>'[2]All Counts'!C337</f>
        <v>2</v>
      </c>
      <c r="B337" s="136">
        <f>'[2]All Counts'!D337</f>
        <v>1</v>
      </c>
      <c r="C337" s="136">
        <f>'[2]All Counts'!E337</f>
        <v>8921</v>
      </c>
      <c r="D337" s="136">
        <f>'[2]All Counts'!F337</f>
        <v>1</v>
      </c>
      <c r="E337" s="136">
        <f>'[2]All Counts'!G337</f>
        <v>1</v>
      </c>
      <c r="F337" s="136" t="str">
        <f>'[2]All Counts'!H337</f>
        <v>I-15 NB</v>
      </c>
      <c r="G337" s="136">
        <f>'[2]All Counts'!I337</f>
        <v>8</v>
      </c>
      <c r="H337" s="136">
        <f>'[2]All Counts'!J337</f>
        <v>0</v>
      </c>
      <c r="I337" s="136" t="str">
        <f>'[2]All Counts'!K337</f>
        <v>SR-94 EB</v>
      </c>
      <c r="J337" s="136" t="str">
        <f>'[2]All Counts'!L337</f>
        <v>I-805 NB</v>
      </c>
      <c r="K337" s="136">
        <f>'[2]All Counts'!O337</f>
        <v>14799</v>
      </c>
      <c r="L337" s="57">
        <f>VLOOKUP(ws[[#This Row],[hwycov_id]],readme!D:G,4,FALSE)</f>
        <v>18744.759765999999</v>
      </c>
      <c r="M337" s="88">
        <f>ws[[#This Row],[flow]]/ws[[#This Row],[count]]-1</f>
        <v>0.26662340468950596</v>
      </c>
      <c r="N337" s="89">
        <f>POWER((ws[[#This Row],[flow]]-ws[[#This Row],[count]]),2)</f>
        <v>15569020.130984368</v>
      </c>
      <c r="O337" s="43">
        <f>VLOOKUP(ws[[#This Row],[hwycov_id]],count[],6,FALSE)</f>
        <v>0</v>
      </c>
      <c r="P337" s="43">
        <v>457</v>
      </c>
      <c r="Q337" s="43" t="str">
        <f>'[2]All Counts'!P337</f>
        <v>PeMS2016</v>
      </c>
      <c r="S337" s="94">
        <v>14412</v>
      </c>
      <c r="T337" s="17"/>
      <c r="U337" s="17"/>
      <c r="V337" s="17">
        <v>28889</v>
      </c>
      <c r="W337" s="17">
        <v>32198.744140999999</v>
      </c>
      <c r="X337" s="17"/>
      <c r="Y337" s="17"/>
      <c r="Z337" s="17"/>
      <c r="AA337" s="17"/>
      <c r="AB337" s="17">
        <v>28889</v>
      </c>
      <c r="AC337" s="17">
        <v>32198.744140999999</v>
      </c>
      <c r="AD337"/>
      <c r="AE337"/>
    </row>
    <row r="338" spans="1:31" x14ac:dyDescent="0.25">
      <c r="A338" s="136">
        <f>'[2]All Counts'!C338</f>
        <v>2</v>
      </c>
      <c r="B338" s="136">
        <f>'[2]All Counts'!D338</f>
        <v>1</v>
      </c>
      <c r="C338" s="136">
        <f>'[2]All Counts'!E338</f>
        <v>8939</v>
      </c>
      <c r="D338" s="136">
        <f>'[2]All Counts'!F338</f>
        <v>1</v>
      </c>
      <c r="E338" s="136">
        <f>'[2]All Counts'!G338</f>
        <v>1</v>
      </c>
      <c r="F338" s="136" t="str">
        <f>'[2]All Counts'!H338</f>
        <v>I-15 NB</v>
      </c>
      <c r="G338" s="136">
        <f>'[2]All Counts'!I338</f>
        <v>12</v>
      </c>
      <c r="H338" s="136">
        <f>'[2]All Counts'!J338</f>
        <v>0</v>
      </c>
      <c r="I338" s="136" t="str">
        <f>'[2]All Counts'!K338</f>
        <v>I-805 NB</v>
      </c>
      <c r="J338" s="136" t="str">
        <f>'[2]All Counts'!L338</f>
        <v>40TH</v>
      </c>
      <c r="K338" s="136">
        <f>'[2]All Counts'!O338</f>
        <v>20164</v>
      </c>
      <c r="L338" s="57">
        <f>VLOOKUP(ws[[#This Row],[hwycov_id]],readme!D:G,4,FALSE)</f>
        <v>24511.71875</v>
      </c>
      <c r="M338" s="88">
        <f>ws[[#This Row],[flow]]/ws[[#This Row],[count]]-1</f>
        <v>0.21561787095814333</v>
      </c>
      <c r="N338" s="89">
        <f>POWER((ws[[#This Row],[flow]]-ws[[#This Row],[count]]),2)</f>
        <v>18902658.329101563</v>
      </c>
      <c r="O338" s="43">
        <f>VLOOKUP(ws[[#This Row],[hwycov_id]],count[],6,FALSE)</f>
        <v>0</v>
      </c>
      <c r="P338" s="43">
        <v>458</v>
      </c>
      <c r="Q338" s="43" t="str">
        <f>'[2]All Counts'!P338</f>
        <v>PeMS2016</v>
      </c>
      <c r="S338" s="94">
        <v>14418</v>
      </c>
      <c r="T338" s="17"/>
      <c r="U338" s="17"/>
      <c r="V338" s="17">
        <v>30700</v>
      </c>
      <c r="W338" s="17">
        <v>33734.023437999997</v>
      </c>
      <c r="X338" s="17"/>
      <c r="Y338" s="17"/>
      <c r="Z338" s="17"/>
      <c r="AA338" s="17"/>
      <c r="AB338" s="17">
        <v>30700</v>
      </c>
      <c r="AC338" s="17">
        <v>33734.023437999997</v>
      </c>
      <c r="AD338"/>
      <c r="AE338"/>
    </row>
    <row r="339" spans="1:31" x14ac:dyDescent="0.25">
      <c r="A339" s="136">
        <f>'[2]All Counts'!C339</f>
        <v>2</v>
      </c>
      <c r="B339" s="136">
        <f>'[2]All Counts'!D339</f>
        <v>1</v>
      </c>
      <c r="C339" s="136">
        <f>'[2]All Counts'!E339</f>
        <v>27578</v>
      </c>
      <c r="D339" s="136">
        <f>'[2]All Counts'!F339</f>
        <v>1</v>
      </c>
      <c r="E339" s="136">
        <f>'[2]All Counts'!G339</f>
        <v>1</v>
      </c>
      <c r="F339" s="136" t="str">
        <f>'[2]All Counts'!H339</f>
        <v>I-15 NB</v>
      </c>
      <c r="G339" s="136">
        <f>'[2]All Counts'!I339</f>
        <v>16</v>
      </c>
      <c r="H339" s="136">
        <f>'[2]All Counts'!J339</f>
        <v>0</v>
      </c>
      <c r="I339" s="136" t="str">
        <f>'[2]All Counts'!K339</f>
        <v>EL CAJON</v>
      </c>
      <c r="J339" s="136" t="str">
        <f>'[2]All Counts'!L339</f>
        <v>EL CAJON</v>
      </c>
      <c r="K339" s="136">
        <f>'[2]All Counts'!O339</f>
        <v>15852</v>
      </c>
      <c r="L339" s="57">
        <f>VLOOKUP(ws[[#This Row],[hwycov_id]],readme!D:G,4,FALSE)</f>
        <v>21529.166015999999</v>
      </c>
      <c r="M339" s="88">
        <f>ws[[#This Row],[flow]]/ws[[#This Row],[count]]-1</f>
        <v>0.35813563058289177</v>
      </c>
      <c r="N339" s="89">
        <f>POWER((ws[[#This Row],[flow]]-ws[[#This Row],[count]]),2)</f>
        <v>32230213.973225303</v>
      </c>
      <c r="O339" s="43">
        <f>VLOOKUP(ws[[#This Row],[hwycov_id]],count[],6,FALSE)</f>
        <v>0</v>
      </c>
      <c r="P339" s="43">
        <v>459</v>
      </c>
      <c r="Q339" s="43" t="str">
        <f>'[2]All Counts'!P339</f>
        <v>PeMS2016</v>
      </c>
      <c r="S339" s="94">
        <v>14419</v>
      </c>
      <c r="T339" s="17"/>
      <c r="U339" s="17"/>
      <c r="V339" s="17">
        <v>28943</v>
      </c>
      <c r="W339" s="17">
        <v>34108.730469000002</v>
      </c>
      <c r="X339" s="17"/>
      <c r="Y339" s="17"/>
      <c r="Z339" s="17"/>
      <c r="AA339" s="17"/>
      <c r="AB339" s="17">
        <v>28943</v>
      </c>
      <c r="AC339" s="17">
        <v>34108.730469000002</v>
      </c>
      <c r="AD339"/>
      <c r="AE339"/>
    </row>
    <row r="340" spans="1:31" x14ac:dyDescent="0.25">
      <c r="A340" s="136">
        <f>'[2]All Counts'!C340</f>
        <v>2</v>
      </c>
      <c r="B340" s="136">
        <f>'[2]All Counts'!D340</f>
        <v>1</v>
      </c>
      <c r="C340" s="136">
        <f>'[2]All Counts'!E340</f>
        <v>8977</v>
      </c>
      <c r="D340" s="136">
        <f>'[2]All Counts'!F340</f>
        <v>1</v>
      </c>
      <c r="E340" s="136">
        <f>'[2]All Counts'!G340</f>
        <v>1</v>
      </c>
      <c r="F340" s="136" t="str">
        <f>'[2]All Counts'!H340</f>
        <v>I-15 NB</v>
      </c>
      <c r="G340" s="136">
        <f>'[2]All Counts'!I340</f>
        <v>2</v>
      </c>
      <c r="H340" s="136">
        <f>'[2]All Counts'!J340</f>
        <v>0</v>
      </c>
      <c r="I340" s="136" t="str">
        <f>'[2]All Counts'!K340</f>
        <v>ADAMS</v>
      </c>
      <c r="J340" s="136" t="str">
        <f>'[2]All Counts'!L340</f>
        <v>ADAMS</v>
      </c>
      <c r="K340" s="136">
        <f>'[2]All Counts'!O340</f>
        <v>18184</v>
      </c>
      <c r="L340" s="57">
        <f>VLOOKUP(ws[[#This Row],[hwycov_id]],readme!D:G,4,FALSE)</f>
        <v>21536.648438</v>
      </c>
      <c r="M340" s="88">
        <f>ws[[#This Row],[flow]]/ws[[#This Row],[count]]-1</f>
        <v>0.1843735392652881</v>
      </c>
      <c r="N340" s="89">
        <f>POWER((ws[[#This Row],[flow]]-ws[[#This Row],[count]]),2)</f>
        <v>11240251.548823841</v>
      </c>
      <c r="O340" s="43">
        <f>VLOOKUP(ws[[#This Row],[hwycov_id]],count[],6,FALSE)</f>
        <v>0</v>
      </c>
      <c r="P340" s="43">
        <v>460</v>
      </c>
      <c r="Q340" s="43" t="str">
        <f>'[2]All Counts'!P340</f>
        <v>PeMS2016</v>
      </c>
      <c r="S340" s="94">
        <v>14637</v>
      </c>
      <c r="T340" s="17"/>
      <c r="U340" s="17"/>
      <c r="V340" s="17">
        <v>22950</v>
      </c>
      <c r="W340" s="17">
        <v>21245.775390999999</v>
      </c>
      <c r="X340" s="17"/>
      <c r="Y340" s="17"/>
      <c r="Z340" s="17"/>
      <c r="AA340" s="17"/>
      <c r="AB340" s="17">
        <v>22950</v>
      </c>
      <c r="AC340" s="17">
        <v>21245.775390999999</v>
      </c>
      <c r="AD340"/>
      <c r="AE340"/>
    </row>
    <row r="341" spans="1:31" x14ac:dyDescent="0.25">
      <c r="A341" s="136">
        <f>'[2]All Counts'!C341</f>
        <v>2</v>
      </c>
      <c r="B341" s="136">
        <f>'[2]All Counts'!D341</f>
        <v>1</v>
      </c>
      <c r="C341" s="136">
        <f>'[2]All Counts'!E341</f>
        <v>6852</v>
      </c>
      <c r="D341" s="136">
        <f>'[2]All Counts'!F341</f>
        <v>1</v>
      </c>
      <c r="E341" s="136">
        <f>'[2]All Counts'!G341</f>
        <v>1</v>
      </c>
      <c r="F341" s="136" t="str">
        <f>'[2]All Counts'!H341</f>
        <v>I-15 NB</v>
      </c>
      <c r="G341" s="136">
        <f>'[2]All Counts'!I341</f>
        <v>6</v>
      </c>
      <c r="H341" s="136">
        <f>'[2]All Counts'!J341</f>
        <v>0</v>
      </c>
      <c r="I341" s="136" t="str">
        <f>'[2]All Counts'!K341</f>
        <v>I-8 EB</v>
      </c>
      <c r="J341" s="136" t="str">
        <f>'[2]All Counts'!L341</f>
        <v>I-8 EB</v>
      </c>
      <c r="K341" s="136">
        <f>'[2]All Counts'!O341</f>
        <v>17236</v>
      </c>
      <c r="L341" s="57">
        <f>VLOOKUP(ws[[#This Row],[hwycov_id]],readme!D:G,4,FALSE)</f>
        <v>16837.259765999999</v>
      </c>
      <c r="M341" s="88">
        <f>ws[[#This Row],[flow]]/ws[[#This Row],[count]]-1</f>
        <v>-2.3134151427245397E-2</v>
      </c>
      <c r="N341" s="89">
        <f>POWER((ws[[#This Row],[flow]]-ws[[#This Row],[count]]),2)</f>
        <v>158993.77421037538</v>
      </c>
      <c r="O341" s="43">
        <f>VLOOKUP(ws[[#This Row],[hwycov_id]],count[],6,FALSE)</f>
        <v>0</v>
      </c>
      <c r="P341" s="43">
        <v>449</v>
      </c>
      <c r="Q341" s="43" t="str">
        <f>'[2]All Counts'!P341</f>
        <v>PeMS2016</v>
      </c>
      <c r="S341" s="94">
        <v>14639</v>
      </c>
      <c r="T341" s="17">
        <v>28826</v>
      </c>
      <c r="U341" s="17">
        <v>33945.460937999997</v>
      </c>
      <c r="V341" s="17"/>
      <c r="W341" s="17"/>
      <c r="X341" s="17"/>
      <c r="Y341" s="17"/>
      <c r="Z341" s="17"/>
      <c r="AA341" s="17"/>
      <c r="AB341" s="17">
        <v>28826</v>
      </c>
      <c r="AC341" s="17">
        <v>33945.460937999997</v>
      </c>
      <c r="AD341"/>
      <c r="AE341"/>
    </row>
    <row r="342" spans="1:31" x14ac:dyDescent="0.25">
      <c r="A342" s="136">
        <f>'[2]All Counts'!C342</f>
        <v>2</v>
      </c>
      <c r="B342" s="136">
        <f>'[2]All Counts'!D342</f>
        <v>1</v>
      </c>
      <c r="C342" s="136">
        <f>'[2]All Counts'!E342</f>
        <v>16760</v>
      </c>
      <c r="D342" s="136">
        <f>'[2]All Counts'!F342</f>
        <v>1</v>
      </c>
      <c r="E342" s="136">
        <f>'[2]All Counts'!G342</f>
        <v>1</v>
      </c>
      <c r="F342" s="136" t="str">
        <f>'[2]All Counts'!H342</f>
        <v>I-15 NB</v>
      </c>
      <c r="G342" s="136">
        <f>'[2]All Counts'!I342</f>
        <v>8</v>
      </c>
      <c r="H342" s="136">
        <f>'[2]All Counts'!J342</f>
        <v>0</v>
      </c>
      <c r="I342" s="136" t="str">
        <f>'[2]All Counts'!K342</f>
        <v>I-8 EB</v>
      </c>
      <c r="J342" s="136" t="str">
        <f>'[2]All Counts'!L342</f>
        <v>I-8 EB</v>
      </c>
      <c r="K342" s="136">
        <f>'[2]All Counts'!O342</f>
        <v>16271</v>
      </c>
      <c r="L342" s="57">
        <f>VLOOKUP(ws[[#This Row],[hwycov_id]],readme!D:G,4,FALSE)</f>
        <v>21360.294922000001</v>
      </c>
      <c r="M342" s="88">
        <f>ws[[#This Row],[flow]]/ws[[#This Row],[count]]-1</f>
        <v>0.31278316772171344</v>
      </c>
      <c r="N342" s="89">
        <f>POWER((ws[[#This Row],[flow]]-ws[[#This Row],[count]]),2)</f>
        <v>25900922.803094994</v>
      </c>
      <c r="O342" s="43">
        <f>VLOOKUP(ws[[#This Row],[hwycov_id]],count[],6,FALSE)</f>
        <v>0</v>
      </c>
      <c r="P342" s="43">
        <v>364</v>
      </c>
      <c r="Q342" s="43" t="str">
        <f>'[2]All Counts'!P342</f>
        <v>PeMS2016</v>
      </c>
      <c r="S342" s="94">
        <v>14644</v>
      </c>
      <c r="T342" s="17"/>
      <c r="U342" s="17"/>
      <c r="V342" s="17">
        <v>35147</v>
      </c>
      <c r="W342" s="17">
        <v>23679.675781000002</v>
      </c>
      <c r="X342" s="17"/>
      <c r="Y342" s="17"/>
      <c r="Z342" s="17"/>
      <c r="AA342" s="17"/>
      <c r="AB342" s="17">
        <v>35147</v>
      </c>
      <c r="AC342" s="17">
        <v>23679.675781000002</v>
      </c>
      <c r="AD342"/>
      <c r="AE342"/>
    </row>
    <row r="343" spans="1:31" x14ac:dyDescent="0.25">
      <c r="A343" s="136">
        <f>'[2]All Counts'!C343</f>
        <v>2</v>
      </c>
      <c r="B343" s="136">
        <f>'[2]All Counts'!D343</f>
        <v>1</v>
      </c>
      <c r="C343" s="136">
        <f>'[2]All Counts'!E343</f>
        <v>15776</v>
      </c>
      <c r="D343" s="136">
        <f>'[2]All Counts'!F343</f>
        <v>1</v>
      </c>
      <c r="E343" s="136">
        <f>'[2]All Counts'!G343</f>
        <v>1</v>
      </c>
      <c r="F343" s="136" t="str">
        <f>'[2]All Counts'!H343</f>
        <v>I-15 NB</v>
      </c>
      <c r="G343" s="136">
        <f>'[2]All Counts'!I343</f>
        <v>10</v>
      </c>
      <c r="H343" s="136">
        <f>'[2]All Counts'!J343</f>
        <v>0</v>
      </c>
      <c r="I343" s="136" t="str">
        <f>'[2]All Counts'!K343</f>
        <v>I-8 WB</v>
      </c>
      <c r="J343" s="136" t="str">
        <f>'[2]All Counts'!L343</f>
        <v>FRIARS</v>
      </c>
      <c r="K343" s="136">
        <f>'[2]All Counts'!O343</f>
        <v>21966</v>
      </c>
      <c r="L343" s="57">
        <f>VLOOKUP(ws[[#This Row],[hwycov_id]],readme!D:G,4,FALSE)</f>
        <v>29934.923827999999</v>
      </c>
      <c r="M343" s="88">
        <f>ws[[#This Row],[flow]]/ws[[#This Row],[count]]-1</f>
        <v>0.36278447728307373</v>
      </c>
      <c r="N343" s="89">
        <f>POWER((ws[[#This Row],[flow]]-ws[[#This Row],[count]]),2)</f>
        <v>63503746.976466157</v>
      </c>
      <c r="O343" s="43">
        <f>VLOOKUP(ws[[#This Row],[hwycov_id]],count[],6,FALSE)</f>
        <v>0</v>
      </c>
      <c r="P343" s="43">
        <v>447</v>
      </c>
      <c r="Q343" s="43" t="str">
        <f>'[2]All Counts'!P343</f>
        <v>Caltran</v>
      </c>
      <c r="S343" s="94">
        <v>14660</v>
      </c>
      <c r="T343" s="17"/>
      <c r="U343" s="17"/>
      <c r="V343" s="17">
        <v>24886</v>
      </c>
      <c r="W343" s="17">
        <v>20698.996093999998</v>
      </c>
      <c r="X343" s="17"/>
      <c r="Y343" s="17"/>
      <c r="Z343" s="17"/>
      <c r="AA343" s="17"/>
      <c r="AB343" s="17">
        <v>24886</v>
      </c>
      <c r="AC343" s="17">
        <v>20698.996093999998</v>
      </c>
      <c r="AD343"/>
      <c r="AE343"/>
    </row>
    <row r="344" spans="1:31" x14ac:dyDescent="0.25">
      <c r="A344" s="136">
        <f>'[2]All Counts'!C344</f>
        <v>2</v>
      </c>
      <c r="B344" s="136">
        <f>'[2]All Counts'!D344</f>
        <v>1</v>
      </c>
      <c r="C344" s="136">
        <f>'[2]All Counts'!E344</f>
        <v>20457</v>
      </c>
      <c r="D344" s="136">
        <f>'[2]All Counts'!F344</f>
        <v>1</v>
      </c>
      <c r="E344" s="136">
        <f>'[2]All Counts'!G344</f>
        <v>1</v>
      </c>
      <c r="F344" s="136" t="str">
        <f>'[2]All Counts'!H344</f>
        <v>I-15 NB</v>
      </c>
      <c r="G344" s="136">
        <f>'[2]All Counts'!I344</f>
        <v>11</v>
      </c>
      <c r="H344" s="136">
        <f>'[2]All Counts'!J344</f>
        <v>0</v>
      </c>
      <c r="I344" s="136" t="str">
        <f>'[2]All Counts'!K344</f>
        <v>FRIARS</v>
      </c>
      <c r="J344" s="136" t="str">
        <f>'[2]All Counts'!L344</f>
        <v>FRIARS</v>
      </c>
      <c r="K344" s="136">
        <f>'[2]All Counts'!O344</f>
        <v>17640</v>
      </c>
      <c r="L344" s="57">
        <f>VLOOKUP(ws[[#This Row],[hwycov_id]],readme!D:G,4,FALSE)</f>
        <v>23573.1875</v>
      </c>
      <c r="M344" s="88">
        <f>ws[[#This Row],[flow]]/ws[[#This Row],[count]]-1</f>
        <v>0.33634849773242625</v>
      </c>
      <c r="N344" s="89">
        <f>POWER((ws[[#This Row],[flow]]-ws[[#This Row],[count]]),2)</f>
        <v>35202713.91015625</v>
      </c>
      <c r="O344" s="43">
        <f>VLOOKUP(ws[[#This Row],[hwycov_id]],count[],6,FALSE)</f>
        <v>0</v>
      </c>
      <c r="P344" s="43">
        <v>450</v>
      </c>
      <c r="Q344" s="43" t="str">
        <f>'[2]All Counts'!P344</f>
        <v>PeMS2016</v>
      </c>
      <c r="S344" s="94">
        <v>14682</v>
      </c>
      <c r="T344" s="17">
        <v>33562</v>
      </c>
      <c r="U344" s="17">
        <v>44456.273437999997</v>
      </c>
      <c r="V344" s="17"/>
      <c r="W344" s="17"/>
      <c r="X344" s="17"/>
      <c r="Y344" s="17"/>
      <c r="Z344" s="17"/>
      <c r="AA344" s="17"/>
      <c r="AB344" s="17">
        <v>33562</v>
      </c>
      <c r="AC344" s="17">
        <v>44456.273437999997</v>
      </c>
      <c r="AD344"/>
      <c r="AE344"/>
    </row>
    <row r="345" spans="1:31" x14ac:dyDescent="0.25">
      <c r="A345" s="136">
        <f>'[2]All Counts'!C345</f>
        <v>2</v>
      </c>
      <c r="B345" s="136">
        <f>'[2]All Counts'!D345</f>
        <v>1</v>
      </c>
      <c r="C345" s="136">
        <f>'[2]All Counts'!E345</f>
        <v>9328</v>
      </c>
      <c r="D345" s="136">
        <f>'[2]All Counts'!F345</f>
        <v>1</v>
      </c>
      <c r="E345" s="136">
        <f>'[2]All Counts'!G345</f>
        <v>1</v>
      </c>
      <c r="F345" s="136" t="str">
        <f>'[2]All Counts'!H345</f>
        <v>I-15 NB</v>
      </c>
      <c r="G345" s="136">
        <f>'[2]All Counts'!I345</f>
        <v>12</v>
      </c>
      <c r="H345" s="136">
        <f>'[2]All Counts'!J345</f>
        <v>0</v>
      </c>
      <c r="I345" s="136" t="str">
        <f>'[2]All Counts'!K345</f>
        <v>FRIARS</v>
      </c>
      <c r="J345" s="136" t="str">
        <f>'[2]All Counts'!L345</f>
        <v>STONECREST</v>
      </c>
      <c r="K345" s="136">
        <f>'[2]All Counts'!O345</f>
        <v>21823</v>
      </c>
      <c r="L345" s="57">
        <f>VLOOKUP(ws[[#This Row],[hwycov_id]],readme!D:G,4,FALSE)</f>
        <v>27071.931640999999</v>
      </c>
      <c r="M345" s="88">
        <f>ws[[#This Row],[flow]]/ws[[#This Row],[count]]-1</f>
        <v>0.24052291806809323</v>
      </c>
      <c r="N345" s="89">
        <f>POWER((ws[[#This Row],[flow]]-ws[[#This Row],[count]]),2)</f>
        <v>27551283.371890943</v>
      </c>
      <c r="O345" s="43">
        <f>VLOOKUP(ws[[#This Row],[hwycov_id]],count[],6,FALSE)</f>
        <v>0</v>
      </c>
      <c r="P345" s="43">
        <v>354</v>
      </c>
      <c r="Q345" s="43" t="str">
        <f>'[2]All Counts'!P345</f>
        <v>PeMS2016</v>
      </c>
      <c r="S345" s="94">
        <v>14782</v>
      </c>
      <c r="T345" s="17"/>
      <c r="U345" s="17"/>
      <c r="V345" s="17">
        <v>11431</v>
      </c>
      <c r="W345" s="17">
        <v>12578.014648</v>
      </c>
      <c r="X345" s="17"/>
      <c r="Y345" s="17"/>
      <c r="Z345" s="17"/>
      <c r="AA345" s="17"/>
      <c r="AB345" s="17">
        <v>11431</v>
      </c>
      <c r="AC345" s="17">
        <v>12578.014648</v>
      </c>
      <c r="AD345"/>
      <c r="AE345"/>
    </row>
    <row r="346" spans="1:31" x14ac:dyDescent="0.25">
      <c r="A346" s="136">
        <f>'[2]All Counts'!C346</f>
        <v>2</v>
      </c>
      <c r="B346" s="136">
        <f>'[2]All Counts'!D346</f>
        <v>1</v>
      </c>
      <c r="C346" s="136">
        <f>'[2]All Counts'!E346</f>
        <v>9333</v>
      </c>
      <c r="D346" s="136">
        <f>'[2]All Counts'!F346</f>
        <v>1</v>
      </c>
      <c r="E346" s="136">
        <f>'[2]All Counts'!G346</f>
        <v>1</v>
      </c>
      <c r="F346" s="136" t="str">
        <f>'[2]All Counts'!H346</f>
        <v>I-15 NB</v>
      </c>
      <c r="G346" s="136">
        <f>'[2]All Counts'!I346</f>
        <v>13</v>
      </c>
      <c r="H346" s="136">
        <f>'[2]All Counts'!J346</f>
        <v>0</v>
      </c>
      <c r="I346" s="136" t="str">
        <f>'[2]All Counts'!K346</f>
        <v>STONECREST</v>
      </c>
      <c r="J346" s="136" t="str">
        <f>'[2]All Counts'!L346</f>
        <v>AERO</v>
      </c>
      <c r="K346" s="136">
        <f>'[2]All Counts'!O346</f>
        <v>17693</v>
      </c>
      <c r="L346" s="57">
        <f>VLOOKUP(ws[[#This Row],[hwycov_id]],readme!D:G,4,FALSE)</f>
        <v>23501.767577999999</v>
      </c>
      <c r="M346" s="88">
        <f>ws[[#This Row],[flow]]/ws[[#This Row],[count]]-1</f>
        <v>0.32830879884700148</v>
      </c>
      <c r="N346" s="89">
        <f>POWER((ws[[#This Row],[flow]]-ws[[#This Row],[count]]),2)</f>
        <v>33741780.775223978</v>
      </c>
      <c r="O346" s="43">
        <f>VLOOKUP(ws[[#This Row],[hwycov_id]],count[],6,FALSE)</f>
        <v>0</v>
      </c>
      <c r="P346" s="43">
        <v>424</v>
      </c>
      <c r="Q346" s="43" t="str">
        <f>'[2]All Counts'!P346</f>
        <v>PeMS2016</v>
      </c>
      <c r="S346" s="94">
        <v>14949</v>
      </c>
      <c r="T346" s="17"/>
      <c r="U346" s="17"/>
      <c r="V346" s="17"/>
      <c r="W346" s="17"/>
      <c r="X346" s="17"/>
      <c r="Y346" s="17"/>
      <c r="Z346" s="17">
        <v>20885</v>
      </c>
      <c r="AA346" s="17">
        <v>20818.507812</v>
      </c>
      <c r="AB346" s="17">
        <v>20885</v>
      </c>
      <c r="AC346" s="17">
        <v>20818.507812</v>
      </c>
      <c r="AD346"/>
      <c r="AE346"/>
    </row>
    <row r="347" spans="1:31" x14ac:dyDescent="0.25">
      <c r="A347" s="136">
        <f>'[2]All Counts'!C347</f>
        <v>2</v>
      </c>
      <c r="B347" s="136">
        <f>'[2]All Counts'!D347</f>
        <v>1</v>
      </c>
      <c r="C347" s="136">
        <f>'[2]All Counts'!E347</f>
        <v>9336</v>
      </c>
      <c r="D347" s="136">
        <f>'[2]All Counts'!F347</f>
        <v>1</v>
      </c>
      <c r="E347" s="136">
        <f>'[2]All Counts'!G347</f>
        <v>1</v>
      </c>
      <c r="F347" s="136" t="str">
        <f>'[2]All Counts'!H347</f>
        <v>I-15 NB</v>
      </c>
      <c r="G347" s="136">
        <f>'[2]All Counts'!I347</f>
        <v>14</v>
      </c>
      <c r="H347" s="136">
        <f>'[2]All Counts'!J347</f>
        <v>0</v>
      </c>
      <c r="I347" s="136" t="str">
        <f>'[2]All Counts'!K347</f>
        <v>AERO</v>
      </c>
      <c r="J347" s="136" t="str">
        <f>'[2]All Counts'!L347</f>
        <v>BALBOA</v>
      </c>
      <c r="K347" s="136">
        <f>'[2]All Counts'!O347</f>
        <v>19558</v>
      </c>
      <c r="L347" s="57">
        <f>VLOOKUP(ws[[#This Row],[hwycov_id]],readme!D:G,4,FALSE)</f>
        <v>25353</v>
      </c>
      <c r="M347" s="88">
        <f>ws[[#This Row],[flow]]/ws[[#This Row],[count]]-1</f>
        <v>0.29629818999897739</v>
      </c>
      <c r="N347" s="89">
        <f>POWER((ws[[#This Row],[flow]]-ws[[#This Row],[count]]),2)</f>
        <v>33582025</v>
      </c>
      <c r="O347" s="43">
        <f>VLOOKUP(ws[[#This Row],[hwycov_id]],count[],6,FALSE)</f>
        <v>0</v>
      </c>
      <c r="P347" s="43">
        <v>585</v>
      </c>
      <c r="Q347" s="43" t="str">
        <f>'[2]All Counts'!P347</f>
        <v>PeMS2016</v>
      </c>
      <c r="S347" s="94">
        <v>14953</v>
      </c>
      <c r="T347" s="17"/>
      <c r="U347" s="17"/>
      <c r="V347" s="17"/>
      <c r="W347" s="17"/>
      <c r="X347" s="17"/>
      <c r="Y347" s="17"/>
      <c r="Z347" s="17">
        <v>32175</v>
      </c>
      <c r="AA347" s="17">
        <v>36448.117187999997</v>
      </c>
      <c r="AB347" s="17">
        <v>32175</v>
      </c>
      <c r="AC347" s="17">
        <v>36448.117187999997</v>
      </c>
      <c r="AD347"/>
      <c r="AE347"/>
    </row>
    <row r="348" spans="1:31" x14ac:dyDescent="0.25">
      <c r="A348" s="136">
        <f>'[2]All Counts'!C348</f>
        <v>2</v>
      </c>
      <c r="B348" s="136">
        <f>'[2]All Counts'!D348</f>
        <v>1</v>
      </c>
      <c r="C348" s="136">
        <f>'[2]All Counts'!E348</f>
        <v>9337</v>
      </c>
      <c r="D348" s="136">
        <f>'[2]All Counts'!F348</f>
        <v>1</v>
      </c>
      <c r="E348" s="136">
        <f>'[2]All Counts'!G348</f>
        <v>1</v>
      </c>
      <c r="F348" s="136" t="str">
        <f>'[2]All Counts'!H348</f>
        <v>I-15 NB</v>
      </c>
      <c r="G348" s="136">
        <f>'[2]All Counts'!I348</f>
        <v>15</v>
      </c>
      <c r="H348" s="136">
        <f>'[2]All Counts'!J348</f>
        <v>0</v>
      </c>
      <c r="I348" s="136" t="str">
        <f>'[2]All Counts'!K348</f>
        <v>BALBOA</v>
      </c>
      <c r="J348" s="136" t="str">
        <f>'[2]All Counts'!L348</f>
        <v>BALBOA</v>
      </c>
      <c r="K348" s="136">
        <f>'[2]All Counts'!O348</f>
        <v>16940</v>
      </c>
      <c r="L348" s="57">
        <f>VLOOKUP(ws[[#This Row],[hwycov_id]],readme!D:G,4,FALSE)</f>
        <v>21240.037109000001</v>
      </c>
      <c r="M348" s="88">
        <f>ws[[#This Row],[flow]]/ws[[#This Row],[count]]-1</f>
        <v>0.25383926263282186</v>
      </c>
      <c r="N348" s="89">
        <f>POWER((ws[[#This Row],[flow]]-ws[[#This Row],[count]]),2)</f>
        <v>18490319.138777085</v>
      </c>
      <c r="O348" s="43">
        <f>VLOOKUP(ws[[#This Row],[hwycov_id]],count[],6,FALSE)</f>
        <v>0</v>
      </c>
      <c r="P348" s="43">
        <v>573</v>
      </c>
      <c r="Q348" s="43" t="str">
        <f>'[2]All Counts'!P348</f>
        <v>PeMS2016</v>
      </c>
      <c r="S348" s="94">
        <v>15020</v>
      </c>
      <c r="T348" s="17">
        <v>15069</v>
      </c>
      <c r="U348" s="17">
        <v>18539.802734000001</v>
      </c>
      <c r="V348" s="17"/>
      <c r="W348" s="17"/>
      <c r="X348" s="17"/>
      <c r="Y348" s="17"/>
      <c r="Z348" s="17"/>
      <c r="AA348" s="17"/>
      <c r="AB348" s="17">
        <v>15069</v>
      </c>
      <c r="AC348" s="17">
        <v>18539.802734000001</v>
      </c>
      <c r="AD348"/>
      <c r="AE348"/>
    </row>
    <row r="349" spans="1:31" x14ac:dyDescent="0.25">
      <c r="A349" s="136">
        <f>'[2]All Counts'!C349</f>
        <v>2</v>
      </c>
      <c r="B349" s="136">
        <f>'[2]All Counts'!D349</f>
        <v>1</v>
      </c>
      <c r="C349" s="136">
        <f>'[2]All Counts'!E349</f>
        <v>9342</v>
      </c>
      <c r="D349" s="136">
        <f>'[2]All Counts'!F349</f>
        <v>1</v>
      </c>
      <c r="E349" s="136">
        <f>'[2]All Counts'!G349</f>
        <v>1</v>
      </c>
      <c r="F349" s="136" t="str">
        <f>'[2]All Counts'!H349</f>
        <v>I-15 NB</v>
      </c>
      <c r="G349" s="136">
        <f>'[2]All Counts'!I349</f>
        <v>18</v>
      </c>
      <c r="H349" s="136">
        <f>'[2]All Counts'!J349</f>
        <v>0</v>
      </c>
      <c r="I349" s="136" t="str">
        <f>'[2]All Counts'!K349</f>
        <v>BALBOA</v>
      </c>
      <c r="J349" s="136" t="str">
        <f>'[2]All Counts'!L349</f>
        <v>CLAIREMONT MESA</v>
      </c>
      <c r="K349" s="136">
        <f>'[2]All Counts'!O349</f>
        <v>19575</v>
      </c>
      <c r="L349" s="57">
        <f>VLOOKUP(ws[[#This Row],[hwycov_id]],readme!D:G,4,FALSE)</f>
        <v>23909.515625</v>
      </c>
      <c r="M349" s="88">
        <f>ws[[#This Row],[flow]]/ws[[#This Row],[count]]-1</f>
        <v>0.22143119412515966</v>
      </c>
      <c r="N349" s="89">
        <f>POWER((ws[[#This Row],[flow]]-ws[[#This Row],[count]]),2)</f>
        <v>18788025.703369141</v>
      </c>
      <c r="O349" s="43">
        <f>VLOOKUP(ws[[#This Row],[hwycov_id]],count[],6,FALSE)</f>
        <v>0</v>
      </c>
      <c r="P349" s="43">
        <v>282</v>
      </c>
      <c r="Q349" s="43" t="str">
        <f>'[2]All Counts'!P349</f>
        <v>PeMS2016</v>
      </c>
      <c r="S349" s="94">
        <v>15035</v>
      </c>
      <c r="T349" s="17"/>
      <c r="U349" s="17"/>
      <c r="V349" s="17">
        <v>18571</v>
      </c>
      <c r="W349" s="17">
        <v>23333.398438</v>
      </c>
      <c r="X349" s="17"/>
      <c r="Y349" s="17"/>
      <c r="Z349" s="17"/>
      <c r="AA349" s="17"/>
      <c r="AB349" s="17">
        <v>18571</v>
      </c>
      <c r="AC349" s="17">
        <v>23333.398438</v>
      </c>
      <c r="AD349"/>
      <c r="AE349"/>
    </row>
    <row r="350" spans="1:31" x14ac:dyDescent="0.25">
      <c r="A350" s="136">
        <f>'[2]All Counts'!C350</f>
        <v>2</v>
      </c>
      <c r="B350" s="136">
        <f>'[2]All Counts'!D350</f>
        <v>1</v>
      </c>
      <c r="C350" s="136">
        <f>'[2]All Counts'!E350</f>
        <v>15230</v>
      </c>
      <c r="D350" s="136">
        <f>'[2]All Counts'!F350</f>
        <v>1</v>
      </c>
      <c r="E350" s="136">
        <f>'[2]All Counts'!G350</f>
        <v>1</v>
      </c>
      <c r="F350" s="136" t="str">
        <f>'[2]All Counts'!H350</f>
        <v>I-15 NB</v>
      </c>
      <c r="G350" s="136">
        <f>'[2]All Counts'!I350</f>
        <v>19</v>
      </c>
      <c r="H350" s="136">
        <f>'[2]All Counts'!J350</f>
        <v>0</v>
      </c>
      <c r="I350" s="136" t="str">
        <f>'[2]All Counts'!K350</f>
        <v>CLAIREMONT MESA</v>
      </c>
      <c r="J350" s="136" t="str">
        <f>'[2]All Counts'!L350</f>
        <v>CLAIREMONT MESA</v>
      </c>
      <c r="K350" s="136">
        <f>'[2]All Counts'!O350</f>
        <v>15340</v>
      </c>
      <c r="L350" s="57">
        <f>VLOOKUP(ws[[#This Row],[hwycov_id]],readme!D:G,4,FALSE)</f>
        <v>21932.765625</v>
      </c>
      <c r="M350" s="88">
        <f>ws[[#This Row],[flow]]/ws[[#This Row],[count]]-1</f>
        <v>0.42977611636245117</v>
      </c>
      <c r="N350" s="89">
        <f>POWER((ws[[#This Row],[flow]]-ws[[#This Row],[count]]),2)</f>
        <v>43464558.586181641</v>
      </c>
      <c r="O350" s="43">
        <f>VLOOKUP(ws[[#This Row],[hwycov_id]],count[],6,FALSE)</f>
        <v>0</v>
      </c>
      <c r="P350" s="43">
        <v>527</v>
      </c>
      <c r="Q350" s="43" t="str">
        <f>'[2]All Counts'!P350</f>
        <v>PeMS2016</v>
      </c>
      <c r="S350" s="94">
        <v>15036</v>
      </c>
      <c r="T350" s="17">
        <v>13386</v>
      </c>
      <c r="U350" s="17">
        <v>19409.296875</v>
      </c>
      <c r="V350" s="17"/>
      <c r="W350" s="17"/>
      <c r="X350" s="17"/>
      <c r="Y350" s="17"/>
      <c r="Z350" s="17"/>
      <c r="AA350" s="17"/>
      <c r="AB350" s="17">
        <v>13386</v>
      </c>
      <c r="AC350" s="17">
        <v>19409.296875</v>
      </c>
      <c r="AD350"/>
      <c r="AE350"/>
    </row>
    <row r="351" spans="1:31" x14ac:dyDescent="0.25">
      <c r="A351" s="136">
        <f>'[2]All Counts'!C351</f>
        <v>2</v>
      </c>
      <c r="B351" s="136">
        <f>'[2]All Counts'!D351</f>
        <v>1</v>
      </c>
      <c r="C351" s="136">
        <f>'[2]All Counts'!E351</f>
        <v>22743</v>
      </c>
      <c r="D351" s="136">
        <f>'[2]All Counts'!F351</f>
        <v>1</v>
      </c>
      <c r="E351" s="136">
        <f>'[2]All Counts'!G351</f>
        <v>1</v>
      </c>
      <c r="F351" s="136" t="str">
        <f>'[2]All Counts'!H351</f>
        <v>I-15 NB</v>
      </c>
      <c r="G351" s="136">
        <f>'[2]All Counts'!I351</f>
        <v>20</v>
      </c>
      <c r="H351" s="136">
        <f>'[2]All Counts'!J351</f>
        <v>0</v>
      </c>
      <c r="I351" s="136" t="str">
        <f>'[2]All Counts'!K351</f>
        <v>SR-52 EB</v>
      </c>
      <c r="J351" s="136" t="str">
        <f>'[2]All Counts'!L351</f>
        <v>SR-52 WB</v>
      </c>
      <c r="K351" s="136">
        <f>'[2]All Counts'!O351</f>
        <v>17202</v>
      </c>
      <c r="L351" s="57">
        <f>VLOOKUP(ws[[#This Row],[hwycov_id]],readme!D:G,4,FALSE)</f>
        <v>19608.105468999998</v>
      </c>
      <c r="M351" s="88">
        <f>ws[[#This Row],[flow]]/ws[[#This Row],[count]]-1</f>
        <v>0.13987358847808373</v>
      </c>
      <c r="N351" s="89">
        <f>POWER((ws[[#This Row],[flow]]-ws[[#This Row],[count]]),2)</f>
        <v>5789343.5279517015</v>
      </c>
      <c r="O351" s="43">
        <f>VLOOKUP(ws[[#This Row],[hwycov_id]],count[],6,FALSE)</f>
        <v>0</v>
      </c>
      <c r="P351" s="43">
        <v>283</v>
      </c>
      <c r="Q351" s="43" t="str">
        <f>'[2]All Counts'!P351</f>
        <v>PeMS2016</v>
      </c>
      <c r="S351" s="94">
        <v>15038</v>
      </c>
      <c r="T351" s="17">
        <v>15159</v>
      </c>
      <c r="U351" s="17">
        <v>15634.189453000001</v>
      </c>
      <c r="V351" s="17"/>
      <c r="W351" s="17"/>
      <c r="X351" s="17"/>
      <c r="Y351" s="17"/>
      <c r="Z351" s="17"/>
      <c r="AA351" s="17"/>
      <c r="AB351" s="17">
        <v>15159</v>
      </c>
      <c r="AC351" s="17">
        <v>15634.189453000001</v>
      </c>
      <c r="AD351"/>
      <c r="AE351"/>
    </row>
    <row r="352" spans="1:31" x14ac:dyDescent="0.25">
      <c r="A352" s="136">
        <f>'[2]All Counts'!C352</f>
        <v>2</v>
      </c>
      <c r="B352" s="136">
        <f>'[2]All Counts'!D352</f>
        <v>1</v>
      </c>
      <c r="C352" s="136">
        <f>'[2]All Counts'!E352</f>
        <v>15188</v>
      </c>
      <c r="D352" s="136">
        <f>'[2]All Counts'!F352</f>
        <v>1</v>
      </c>
      <c r="E352" s="136">
        <f>'[2]All Counts'!G352</f>
        <v>1</v>
      </c>
      <c r="F352" s="136" t="str">
        <f>'[2]All Counts'!H352</f>
        <v>I-15 NB</v>
      </c>
      <c r="G352" s="136">
        <f>'[2]All Counts'!I352</f>
        <v>22</v>
      </c>
      <c r="H352" s="136">
        <f>'[2]All Counts'!J352</f>
        <v>0</v>
      </c>
      <c r="I352" s="136" t="str">
        <f>'[2]All Counts'!K352</f>
        <v>SR-52 WB</v>
      </c>
      <c r="J352" s="136" t="str">
        <f>'[2]All Counts'!L352</f>
        <v>I-15 HOV NB</v>
      </c>
      <c r="K352" s="136">
        <f>'[2]All Counts'!O352</f>
        <v>17983</v>
      </c>
      <c r="L352" s="57">
        <f>VLOOKUP(ws[[#This Row],[hwycov_id]],readme!D:G,4,FALSE)</f>
        <v>31245.378906000002</v>
      </c>
      <c r="M352" s="88">
        <f>ws[[#This Row],[flow]]/ws[[#This Row],[count]]-1</f>
        <v>0.73749535149863776</v>
      </c>
      <c r="N352" s="89">
        <f>POWER((ws[[#This Row],[flow]]-ws[[#This Row],[count]]),2)</f>
        <v>175890694.24631381</v>
      </c>
      <c r="O352" s="43">
        <f>VLOOKUP(ws[[#This Row],[hwycov_id]],count[],6,FALSE)</f>
        <v>0</v>
      </c>
      <c r="P352" s="43">
        <v>284</v>
      </c>
      <c r="Q352" s="43" t="str">
        <f>'[2]All Counts'!P352</f>
        <v>PeMS2016</v>
      </c>
      <c r="S352" s="94">
        <v>15039</v>
      </c>
      <c r="T352" s="17"/>
      <c r="U352" s="17"/>
      <c r="V352" s="17">
        <v>18571</v>
      </c>
      <c r="W352" s="17">
        <v>21410.935547000001</v>
      </c>
      <c r="X352" s="17"/>
      <c r="Y352" s="17"/>
      <c r="Z352" s="17"/>
      <c r="AA352" s="17"/>
      <c r="AB352" s="17">
        <v>18571</v>
      </c>
      <c r="AC352" s="17">
        <v>21410.935547000001</v>
      </c>
      <c r="AD352"/>
      <c r="AE352"/>
    </row>
    <row r="353" spans="1:31" x14ac:dyDescent="0.25">
      <c r="A353" s="136">
        <f>'[2]All Counts'!C353</f>
        <v>2</v>
      </c>
      <c r="B353" s="136">
        <f>'[2]All Counts'!D353</f>
        <v>1</v>
      </c>
      <c r="C353" s="136">
        <f>'[2]All Counts'!E353</f>
        <v>15187</v>
      </c>
      <c r="D353" s="136">
        <f>'[2]All Counts'!F353</f>
        <v>1</v>
      </c>
      <c r="E353" s="136">
        <f>'[2]All Counts'!G353</f>
        <v>1</v>
      </c>
      <c r="F353" s="136" t="str">
        <f>'[2]All Counts'!H353</f>
        <v>I-15 NB</v>
      </c>
      <c r="G353" s="136">
        <f>'[2]All Counts'!I353</f>
        <v>23</v>
      </c>
      <c r="H353" s="136">
        <f>'[2]All Counts'!J353</f>
        <v>0</v>
      </c>
      <c r="I353" s="136" t="str">
        <f>'[2]All Counts'!K353</f>
        <v>I-15 HOV NB</v>
      </c>
      <c r="J353" s="136" t="str">
        <f>'[2]All Counts'!L353</f>
        <v>SR-163 NB</v>
      </c>
      <c r="K353" s="136">
        <f>'[2]All Counts'!O353</f>
        <v>28908</v>
      </c>
      <c r="L353" s="57">
        <f>VLOOKUP(ws[[#This Row],[hwycov_id]],readme!D:G,4,FALSE)</f>
        <v>25285.912109000001</v>
      </c>
      <c r="M353" s="88">
        <f>ws[[#This Row],[flow]]/ws[[#This Row],[count]]-1</f>
        <v>-0.1252970766223882</v>
      </c>
      <c r="N353" s="89">
        <f>POWER((ws[[#This Row],[flow]]-ws[[#This Row],[count]]),2)</f>
        <v>13119520.690128822</v>
      </c>
      <c r="O353" s="43">
        <f>VLOOKUP(ws[[#This Row],[hwycov_id]],count[],6,FALSE)</f>
        <v>0</v>
      </c>
      <c r="P353" s="43">
        <v>526</v>
      </c>
      <c r="Q353" s="43" t="str">
        <f>'[2]All Counts'!P353</f>
        <v>PeMS2016</v>
      </c>
      <c r="S353" s="94">
        <v>15064</v>
      </c>
      <c r="T353" s="17">
        <v>13509</v>
      </c>
      <c r="U353" s="17">
        <v>22865.240234000001</v>
      </c>
      <c r="V353" s="17"/>
      <c r="W353" s="17"/>
      <c r="X353" s="17"/>
      <c r="Y353" s="17"/>
      <c r="Z353" s="17"/>
      <c r="AA353" s="17"/>
      <c r="AB353" s="17">
        <v>13509</v>
      </c>
      <c r="AC353" s="17">
        <v>22865.240234000001</v>
      </c>
      <c r="AD353"/>
      <c r="AE353"/>
    </row>
    <row r="354" spans="1:31" x14ac:dyDescent="0.25">
      <c r="A354" s="136">
        <f>'[2]All Counts'!C354</f>
        <v>2</v>
      </c>
      <c r="B354" s="136">
        <f>'[2]All Counts'!D354</f>
        <v>1</v>
      </c>
      <c r="C354" s="136">
        <f>'[2]All Counts'!E354</f>
        <v>574</v>
      </c>
      <c r="D354" s="136">
        <f>'[2]All Counts'!F354</f>
        <v>1</v>
      </c>
      <c r="E354" s="136">
        <f>'[2]All Counts'!G354</f>
        <v>1</v>
      </c>
      <c r="F354" s="136" t="str">
        <f>'[2]All Counts'!H354</f>
        <v>I-15 NB</v>
      </c>
      <c r="G354" s="136">
        <f>'[2]All Counts'!I354</f>
        <v>24</v>
      </c>
      <c r="H354" s="136">
        <f>'[2]All Counts'!J354</f>
        <v>0</v>
      </c>
      <c r="I354" s="136" t="str">
        <f>'[2]All Counts'!K354</f>
        <v>SR-163 NB</v>
      </c>
      <c r="J354" s="136" t="str">
        <f>'[2]All Counts'!L354</f>
        <v>MIRAMAR WAY</v>
      </c>
      <c r="K354" s="136">
        <f>'[2]All Counts'!O354</f>
        <v>36352</v>
      </c>
      <c r="L354" s="57">
        <f>VLOOKUP(ws[[#This Row],[hwycov_id]],readme!D:G,4,FALSE)</f>
        <v>45436.929687999997</v>
      </c>
      <c r="M354" s="88">
        <f>ws[[#This Row],[flow]]/ws[[#This Row],[count]]-1</f>
        <v>0.24991553939260558</v>
      </c>
      <c r="N354" s="89">
        <f>POWER((ws[[#This Row],[flow]]-ws[[#This Row],[count]]),2)</f>
        <v>82535947.435903713</v>
      </c>
      <c r="O354" s="43">
        <f>VLOOKUP(ws[[#This Row],[hwycov_id]],count[],6,FALSE)</f>
        <v>0</v>
      </c>
      <c r="P354" s="43">
        <v>171</v>
      </c>
      <c r="Q354" s="43" t="str">
        <f>'[2]All Counts'!P354</f>
        <v>PeMS2016</v>
      </c>
      <c r="S354" s="94">
        <v>15065</v>
      </c>
      <c r="T354" s="17"/>
      <c r="U354" s="17"/>
      <c r="V354" s="17">
        <v>19570</v>
      </c>
      <c r="W354" s="17">
        <v>26757.148438</v>
      </c>
      <c r="X354" s="17"/>
      <c r="Y354" s="17"/>
      <c r="Z354" s="17"/>
      <c r="AA354" s="17"/>
      <c r="AB354" s="17">
        <v>19570</v>
      </c>
      <c r="AC354" s="17">
        <v>26757.148438</v>
      </c>
      <c r="AD354"/>
      <c r="AE354"/>
    </row>
    <row r="355" spans="1:31" x14ac:dyDescent="0.25">
      <c r="A355" s="136">
        <f>'[2]All Counts'!C355</f>
        <v>2</v>
      </c>
      <c r="B355" s="136">
        <f>'[2]All Counts'!D355</f>
        <v>1</v>
      </c>
      <c r="C355" s="136">
        <f>'[2]All Counts'!E355</f>
        <v>14682</v>
      </c>
      <c r="D355" s="136">
        <f>'[2]All Counts'!F355</f>
        <v>1</v>
      </c>
      <c r="E355" s="136">
        <f>'[2]All Counts'!G355</f>
        <v>1</v>
      </c>
      <c r="F355" s="136" t="str">
        <f>'[2]All Counts'!H355</f>
        <v>I-15 NB</v>
      </c>
      <c r="G355" s="136">
        <f>'[2]All Counts'!I355</f>
        <v>26</v>
      </c>
      <c r="H355" s="136">
        <f>'[2]All Counts'!J355</f>
        <v>0</v>
      </c>
      <c r="I355" s="136" t="str">
        <f>'[2]All Counts'!K355</f>
        <v>MIRAMAR WAY</v>
      </c>
      <c r="J355" s="136" t="str">
        <f>'[2]All Counts'!L355</f>
        <v>MIRAMAR WAY</v>
      </c>
      <c r="K355" s="136">
        <f>'[2]All Counts'!O355</f>
        <v>33562</v>
      </c>
      <c r="L355" s="57">
        <f>VLOOKUP(ws[[#This Row],[hwycov_id]],readme!D:G,4,FALSE)</f>
        <v>44456.273437999997</v>
      </c>
      <c r="M355" s="88">
        <f>ws[[#This Row],[flow]]/ws[[#This Row],[count]]-1</f>
        <v>0.32460143728025725</v>
      </c>
      <c r="N355" s="89">
        <f>POWER((ws[[#This Row],[flow]]-ws[[#This Row],[count]]),2)</f>
        <v>118685193.74191226</v>
      </c>
      <c r="O355" s="43">
        <f>VLOOKUP(ws[[#This Row],[hwycov_id]],count[],6,FALSE)</f>
        <v>0</v>
      </c>
      <c r="P355" s="43">
        <v>607</v>
      </c>
      <c r="Q355" s="43" t="str">
        <f>'[2]All Counts'!P355</f>
        <v>PeMS2016</v>
      </c>
      <c r="S355" s="94">
        <v>15081</v>
      </c>
      <c r="T355" s="17">
        <v>15648</v>
      </c>
      <c r="U355" s="17">
        <v>25737.396484000001</v>
      </c>
      <c r="V355" s="17"/>
      <c r="W355" s="17"/>
      <c r="X355" s="17"/>
      <c r="Y355" s="17"/>
      <c r="Z355" s="17"/>
      <c r="AA355" s="17"/>
      <c r="AB355" s="17">
        <v>15648</v>
      </c>
      <c r="AC355" s="17">
        <v>25737.396484000001</v>
      </c>
      <c r="AD355"/>
      <c r="AE355"/>
    </row>
    <row r="356" spans="1:31" x14ac:dyDescent="0.25">
      <c r="A356" s="136">
        <f>'[2]All Counts'!C356</f>
        <v>2</v>
      </c>
      <c r="B356" s="136">
        <f>'[2]All Counts'!D356</f>
        <v>1</v>
      </c>
      <c r="C356" s="136">
        <f>'[2]All Counts'!E356</f>
        <v>14410</v>
      </c>
      <c r="D356" s="136">
        <f>'[2]All Counts'!F356</f>
        <v>1</v>
      </c>
      <c r="E356" s="136">
        <f>'[2]All Counts'!G356</f>
        <v>1</v>
      </c>
      <c r="F356" s="136" t="str">
        <f>'[2]All Counts'!H356</f>
        <v>I-15 NB</v>
      </c>
      <c r="G356" s="136">
        <f>'[2]All Counts'!I356</f>
        <v>27</v>
      </c>
      <c r="H356" s="136">
        <f>'[2]All Counts'!J356</f>
        <v>0</v>
      </c>
      <c r="I356" s="136" t="str">
        <f>'[2]All Counts'!K356</f>
        <v>MIRAMAR WAY</v>
      </c>
      <c r="J356" s="136" t="str">
        <f>'[2]All Counts'!L356</f>
        <v>POMERADO</v>
      </c>
      <c r="K356" s="136">
        <f>'[2]All Counts'!O356</f>
        <v>30190</v>
      </c>
      <c r="L356" s="57">
        <f>VLOOKUP(ws[[#This Row],[hwycov_id]],readme!D:G,4,FALSE)</f>
        <v>44996.722655999998</v>
      </c>
      <c r="M356" s="88">
        <f>ws[[#This Row],[flow]]/ws[[#This Row],[count]]-1</f>
        <v>0.49045123073865504</v>
      </c>
      <c r="N356" s="89">
        <f>POWER((ws[[#This Row],[flow]]-ws[[#This Row],[count]]),2)</f>
        <v>219239035.81170365</v>
      </c>
      <c r="O356" s="43">
        <f>VLOOKUP(ws[[#This Row],[hwycov_id]],count[],6,FALSE)</f>
        <v>0</v>
      </c>
      <c r="P356" s="43">
        <v>170</v>
      </c>
      <c r="Q356" s="43" t="str">
        <f>'[2]All Counts'!P356</f>
        <v>PeMS2016</v>
      </c>
      <c r="S356" s="94">
        <v>15157</v>
      </c>
      <c r="T356" s="17"/>
      <c r="U356" s="17"/>
      <c r="V356" s="17"/>
      <c r="W356" s="17"/>
      <c r="X356" s="17">
        <v>10718</v>
      </c>
      <c r="Y356" s="17">
        <v>12089.399414</v>
      </c>
      <c r="Z356" s="17"/>
      <c r="AA356" s="17"/>
      <c r="AB356" s="17">
        <v>10718</v>
      </c>
      <c r="AC356" s="17">
        <v>12089.399414</v>
      </c>
      <c r="AD356"/>
      <c r="AE356"/>
    </row>
    <row r="357" spans="1:31" x14ac:dyDescent="0.25">
      <c r="A357" s="136">
        <f>'[2]All Counts'!C357</f>
        <v>2</v>
      </c>
      <c r="B357" s="136">
        <f>'[2]All Counts'!D357</f>
        <v>1</v>
      </c>
      <c r="C357" s="136">
        <f>'[2]All Counts'!E357</f>
        <v>14409</v>
      </c>
      <c r="D357" s="136">
        <f>'[2]All Counts'!F357</f>
        <v>1</v>
      </c>
      <c r="E357" s="136">
        <f>'[2]All Counts'!G357</f>
        <v>1</v>
      </c>
      <c r="F357" s="136" t="str">
        <f>'[2]All Counts'!H357</f>
        <v>I-15 NB</v>
      </c>
      <c r="G357" s="136">
        <f>'[2]All Counts'!I357</f>
        <v>28</v>
      </c>
      <c r="H357" s="136">
        <f>'[2]All Counts'!J357</f>
        <v>0</v>
      </c>
      <c r="I357" s="136" t="str">
        <f>'[2]All Counts'!K357</f>
        <v>POMERADO</v>
      </c>
      <c r="J357" s="136" t="str">
        <f>'[2]All Counts'!L357</f>
        <v>POMERADO</v>
      </c>
      <c r="K357" s="136">
        <f>'[2]All Counts'!O357</f>
        <v>32473</v>
      </c>
      <c r="L357" s="57">
        <f>VLOOKUP(ws[[#This Row],[hwycov_id]],readme!D:G,4,FALSE)</f>
        <v>39932.179687999997</v>
      </c>
      <c r="M357" s="88">
        <f>ws[[#This Row],[flow]]/ws[[#This Row],[count]]-1</f>
        <v>0.22970405222800472</v>
      </c>
      <c r="N357" s="89">
        <f>POWER((ws[[#This Row],[flow]]-ws[[#This Row],[count]]),2)</f>
        <v>55639361.617871724</v>
      </c>
      <c r="O357" s="43">
        <f>VLOOKUP(ws[[#This Row],[hwycov_id]],count[],6,FALSE)</f>
        <v>0</v>
      </c>
      <c r="P357" s="43">
        <v>101</v>
      </c>
      <c r="Q357" s="43" t="str">
        <f>'[2]All Counts'!P357</f>
        <v>PeMS2016</v>
      </c>
      <c r="S357" s="94">
        <v>15187</v>
      </c>
      <c r="T357" s="17">
        <v>28908</v>
      </c>
      <c r="U357" s="17">
        <v>25285.912109000001</v>
      </c>
      <c r="V357" s="17"/>
      <c r="W357" s="17"/>
      <c r="X357" s="17"/>
      <c r="Y357" s="17"/>
      <c r="Z357" s="17"/>
      <c r="AA357" s="17"/>
      <c r="AB357" s="17">
        <v>28908</v>
      </c>
      <c r="AC357" s="17">
        <v>25285.912109000001</v>
      </c>
      <c r="AD357"/>
      <c r="AE357"/>
    </row>
    <row r="358" spans="1:31" x14ac:dyDescent="0.25">
      <c r="A358" s="136">
        <f>'[2]All Counts'!C358</f>
        <v>2</v>
      </c>
      <c r="B358" s="136">
        <f>'[2]All Counts'!D358</f>
        <v>1</v>
      </c>
      <c r="C358" s="136">
        <f>'[2]All Counts'!E358</f>
        <v>14402</v>
      </c>
      <c r="D358" s="136">
        <f>'[2]All Counts'!F358</f>
        <v>1</v>
      </c>
      <c r="E358" s="136">
        <f>'[2]All Counts'!G358</f>
        <v>1</v>
      </c>
      <c r="F358" s="136" t="str">
        <f>'[2]All Counts'!H358</f>
        <v>I-15 NB</v>
      </c>
      <c r="G358" s="136">
        <f>'[2]All Counts'!I358</f>
        <v>32</v>
      </c>
      <c r="H358" s="136">
        <f>'[2]All Counts'!J358</f>
        <v>0</v>
      </c>
      <c r="I358" s="136" t="str">
        <f>'[2]All Counts'!K358</f>
        <v>CARROLL CANYON</v>
      </c>
      <c r="J358" s="136" t="str">
        <f>'[2]All Counts'!L358</f>
        <v>CARROLL CANYON</v>
      </c>
      <c r="K358" s="136">
        <f>'[2]All Counts'!O358</f>
        <v>32601</v>
      </c>
      <c r="L358" s="57">
        <f>VLOOKUP(ws[[#This Row],[hwycov_id]],readme!D:G,4,FALSE)</f>
        <v>40934.28125</v>
      </c>
      <c r="M358" s="88">
        <f>ws[[#This Row],[flow]]/ws[[#This Row],[count]]-1</f>
        <v>0.25561428330419322</v>
      </c>
      <c r="N358" s="89">
        <f>POWER((ws[[#This Row],[flow]]-ws[[#This Row],[count]]),2)</f>
        <v>69443576.391601563</v>
      </c>
      <c r="O358" s="43">
        <f>VLOOKUP(ws[[#This Row],[hwycov_id]],count[],6,FALSE)</f>
        <v>0</v>
      </c>
      <c r="P358" s="43">
        <v>352</v>
      </c>
      <c r="Q358" s="43" t="str">
        <f>'[2]All Counts'!P358</f>
        <v>PeMS2016</v>
      </c>
      <c r="S358" s="94">
        <v>15188</v>
      </c>
      <c r="T358" s="17">
        <v>17983</v>
      </c>
      <c r="U358" s="17">
        <v>31245.378906000002</v>
      </c>
      <c r="V358" s="17"/>
      <c r="W358" s="17"/>
      <c r="X358" s="17"/>
      <c r="Y358" s="17"/>
      <c r="Z358" s="17"/>
      <c r="AA358" s="17"/>
      <c r="AB358" s="17">
        <v>17983</v>
      </c>
      <c r="AC358" s="17">
        <v>31245.378906000002</v>
      </c>
      <c r="AD358"/>
      <c r="AE358"/>
    </row>
    <row r="359" spans="1:31" x14ac:dyDescent="0.25">
      <c r="A359" s="136">
        <f>'[2]All Counts'!C359</f>
        <v>2</v>
      </c>
      <c r="B359" s="136">
        <f>'[2]All Counts'!D359</f>
        <v>1</v>
      </c>
      <c r="C359" s="136">
        <f>'[2]All Counts'!E359</f>
        <v>14397</v>
      </c>
      <c r="D359" s="136">
        <f>'[2]All Counts'!F359</f>
        <v>1</v>
      </c>
      <c r="E359" s="136">
        <f>'[2]All Counts'!G359</f>
        <v>1</v>
      </c>
      <c r="F359" s="136" t="str">
        <f>'[2]All Counts'!H359</f>
        <v>I-15 NB</v>
      </c>
      <c r="G359" s="136">
        <f>'[2]All Counts'!I359</f>
        <v>33</v>
      </c>
      <c r="H359" s="136">
        <f>'[2]All Counts'!J359</f>
        <v>0</v>
      </c>
      <c r="I359" s="136" t="str">
        <f>'[2]All Counts'!K359</f>
        <v>CARROLL CANYON</v>
      </c>
      <c r="J359" s="136" t="str">
        <f>'[2]All Counts'!L359</f>
        <v>MIRA MESA</v>
      </c>
      <c r="K359" s="136">
        <f>'[2]All Counts'!O359</f>
        <v>35698</v>
      </c>
      <c r="L359" s="57">
        <f>VLOOKUP(ws[[#This Row],[hwycov_id]],readme!D:G,4,FALSE)</f>
        <v>42583.855469000002</v>
      </c>
      <c r="M359" s="88">
        <f>ws[[#This Row],[flow]]/ws[[#This Row],[count]]-1</f>
        <v>0.19289191184380083</v>
      </c>
      <c r="N359" s="89">
        <f>POWER((ws[[#This Row],[flow]]-ws[[#This Row],[count]]),2)</f>
        <v>47415005.539957233</v>
      </c>
      <c r="O359" s="43">
        <f>VLOOKUP(ws[[#This Row],[hwycov_id]],count[],6,FALSE)</f>
        <v>0</v>
      </c>
      <c r="P359" s="43">
        <v>351</v>
      </c>
      <c r="Q359" s="43" t="str">
        <f>'[2]All Counts'!P359</f>
        <v>PeMS2016</v>
      </c>
      <c r="S359" s="94">
        <v>15191</v>
      </c>
      <c r="T359" s="17"/>
      <c r="U359" s="17"/>
      <c r="V359" s="17">
        <v>21049</v>
      </c>
      <c r="W359" s="17">
        <v>28499.787109000001</v>
      </c>
      <c r="X359" s="17"/>
      <c r="Y359" s="17"/>
      <c r="Z359" s="17"/>
      <c r="AA359" s="17"/>
      <c r="AB359" s="17">
        <v>21049</v>
      </c>
      <c r="AC359" s="17">
        <v>28499.787109000001</v>
      </c>
      <c r="AD359"/>
      <c r="AE359"/>
    </row>
    <row r="360" spans="1:31" x14ac:dyDescent="0.25">
      <c r="A360" s="136">
        <f>'[2]All Counts'!C360</f>
        <v>2</v>
      </c>
      <c r="B360" s="136">
        <f>'[2]All Counts'!D360</f>
        <v>1</v>
      </c>
      <c r="C360" s="136">
        <f>'[2]All Counts'!E360</f>
        <v>25099</v>
      </c>
      <c r="D360" s="136">
        <f>'[2]All Counts'!F360</f>
        <v>1</v>
      </c>
      <c r="E360" s="136">
        <f>'[2]All Counts'!G360</f>
        <v>1</v>
      </c>
      <c r="F360" s="136" t="str">
        <f>'[2]All Counts'!H360</f>
        <v>I-15 NB</v>
      </c>
      <c r="G360" s="136">
        <f>'[2]All Counts'!I360</f>
        <v>34</v>
      </c>
      <c r="H360" s="136">
        <f>'[2]All Counts'!J360</f>
        <v>0</v>
      </c>
      <c r="I360" s="136" t="str">
        <f>'[2]All Counts'!K360</f>
        <v>MIRA MESA</v>
      </c>
      <c r="J360" s="136" t="str">
        <f>'[2]All Counts'!L360</f>
        <v>MIRA MESA</v>
      </c>
      <c r="K360" s="136">
        <f>'[2]All Counts'!O360</f>
        <v>29575</v>
      </c>
      <c r="L360" s="57">
        <f>VLOOKUP(ws[[#This Row],[hwycov_id]],readme!D:G,4,FALSE)</f>
        <v>38712.15625</v>
      </c>
      <c r="M360" s="88">
        <f>ws[[#This Row],[flow]]/ws[[#This Row],[count]]-1</f>
        <v>0.30894864750633988</v>
      </c>
      <c r="N360" s="89">
        <f>POWER((ws[[#This Row],[flow]]-ws[[#This Row],[count]]),2)</f>
        <v>83487624.336914063</v>
      </c>
      <c r="O360" s="43">
        <f>VLOOKUP(ws[[#This Row],[hwycov_id]],count[],6,FALSE)</f>
        <v>0</v>
      </c>
      <c r="P360" s="43">
        <v>464</v>
      </c>
      <c r="Q360" s="43" t="str">
        <f>'[2]All Counts'!P360</f>
        <v>SANDAG</v>
      </c>
      <c r="S360" s="94">
        <v>15196</v>
      </c>
      <c r="T360" s="17"/>
      <c r="U360" s="17"/>
      <c r="V360" s="17">
        <v>19875</v>
      </c>
      <c r="W360" s="17">
        <v>24547.953125</v>
      </c>
      <c r="X360" s="17"/>
      <c r="Y360" s="17"/>
      <c r="Z360" s="17"/>
      <c r="AA360" s="17"/>
      <c r="AB360" s="17">
        <v>19875</v>
      </c>
      <c r="AC360" s="17">
        <v>24547.953125</v>
      </c>
      <c r="AD360"/>
      <c r="AE360"/>
    </row>
    <row r="361" spans="1:31" x14ac:dyDescent="0.25">
      <c r="A361" s="136">
        <f>'[2]All Counts'!C361</f>
        <v>2</v>
      </c>
      <c r="B361" s="136">
        <f>'[2]All Counts'!D361</f>
        <v>1</v>
      </c>
      <c r="C361" s="136">
        <f>'[2]All Counts'!E361</f>
        <v>28810</v>
      </c>
      <c r="D361" s="136">
        <f>'[2]All Counts'!F361</f>
        <v>1</v>
      </c>
      <c r="E361" s="136">
        <f>'[2]All Counts'!G361</f>
        <v>1</v>
      </c>
      <c r="F361" s="136" t="str">
        <f>'[2]All Counts'!H361</f>
        <v>I-15 NB</v>
      </c>
      <c r="G361" s="136">
        <f>'[2]All Counts'!I361</f>
        <v>35</v>
      </c>
      <c r="H361" s="136">
        <f>'[2]All Counts'!J361</f>
        <v>0</v>
      </c>
      <c r="I361" s="136" t="str">
        <f>'[2]All Counts'!K361</f>
        <v>MIRA MESA</v>
      </c>
      <c r="J361" s="136" t="str">
        <f>'[2]All Counts'!L361</f>
        <v>MIRA MESA</v>
      </c>
      <c r="K361" s="136">
        <f>'[2]All Counts'!O361</f>
        <v>29565</v>
      </c>
      <c r="L361" s="57">
        <f>VLOOKUP(ws[[#This Row],[hwycov_id]],readme!D:G,4,FALSE)</f>
        <v>38480.796875</v>
      </c>
      <c r="M361" s="88">
        <f>ws[[#This Row],[flow]]/ws[[#This Row],[count]]-1</f>
        <v>0.30156593522746489</v>
      </c>
      <c r="N361" s="89">
        <f>POWER((ws[[#This Row],[flow]]-ws[[#This Row],[count]]),2)</f>
        <v>79491433.916259766</v>
      </c>
      <c r="O361" s="43">
        <f>VLOOKUP(ws[[#This Row],[hwycov_id]],count[],6,FALSE)</f>
        <v>0</v>
      </c>
      <c r="P361" s="43">
        <v>463</v>
      </c>
      <c r="Q361" s="43" t="str">
        <f>'[2]All Counts'!P361</f>
        <v>PeMS2016</v>
      </c>
      <c r="S361" s="94">
        <v>15206</v>
      </c>
      <c r="T361" s="17">
        <v>19955</v>
      </c>
      <c r="U361" s="17">
        <v>21461.546875</v>
      </c>
      <c r="V361" s="17"/>
      <c r="W361" s="17"/>
      <c r="X361" s="17"/>
      <c r="Y361" s="17"/>
      <c r="Z361" s="17"/>
      <c r="AA361" s="17"/>
      <c r="AB361" s="17">
        <v>19955</v>
      </c>
      <c r="AC361" s="17">
        <v>21461.546875</v>
      </c>
      <c r="AD361"/>
      <c r="AE361"/>
    </row>
    <row r="362" spans="1:31" x14ac:dyDescent="0.25">
      <c r="A362" s="136">
        <f>'[2]All Counts'!C362</f>
        <v>2</v>
      </c>
      <c r="B362" s="136">
        <f>'[2]All Counts'!D362</f>
        <v>1</v>
      </c>
      <c r="C362" s="136">
        <f>'[2]All Counts'!E362</f>
        <v>14384</v>
      </c>
      <c r="D362" s="136">
        <f>'[2]All Counts'!F362</f>
        <v>1</v>
      </c>
      <c r="E362" s="136">
        <f>'[2]All Counts'!G362</f>
        <v>1</v>
      </c>
      <c r="F362" s="136" t="str">
        <f>'[2]All Counts'!H362</f>
        <v>I-15 NB</v>
      </c>
      <c r="G362" s="136">
        <f>'[2]All Counts'!I362</f>
        <v>37</v>
      </c>
      <c r="H362" s="136">
        <f>'[2]All Counts'!J362</f>
        <v>0</v>
      </c>
      <c r="I362" s="136" t="str">
        <f>'[2]All Counts'!K362</f>
        <v>MIRA MESA</v>
      </c>
      <c r="J362" s="136" t="str">
        <f>'[2]All Counts'!L362</f>
        <v>MERCY</v>
      </c>
      <c r="K362" s="136">
        <f>'[2]All Counts'!O362</f>
        <v>31407</v>
      </c>
      <c r="L362" s="57">
        <f>VLOOKUP(ws[[#This Row],[hwycov_id]],readme!D:G,4,FALSE)</f>
        <v>43489.957030999998</v>
      </c>
      <c r="M362" s="88">
        <f>ws[[#This Row],[flow]]/ws[[#This Row],[count]]-1</f>
        <v>0.38472178275543656</v>
      </c>
      <c r="N362" s="89">
        <f>POWER((ws[[#This Row],[flow]]-ws[[#This Row],[count]]),2)</f>
        <v>145997850.61299229</v>
      </c>
      <c r="O362" s="43">
        <f>VLOOKUP(ws[[#This Row],[hwycov_id]],count[],6,FALSE)</f>
        <v>0</v>
      </c>
      <c r="P362" s="43">
        <v>113</v>
      </c>
      <c r="Q362" s="43" t="str">
        <f>'[2]All Counts'!P362</f>
        <v>PeMS2016</v>
      </c>
      <c r="S362" s="94">
        <v>15230</v>
      </c>
      <c r="T362" s="17">
        <v>15340</v>
      </c>
      <c r="U362" s="17">
        <v>21932.765625</v>
      </c>
      <c r="V362" s="17"/>
      <c r="W362" s="17"/>
      <c r="X362" s="17"/>
      <c r="Y362" s="17"/>
      <c r="Z362" s="17"/>
      <c r="AA362" s="17"/>
      <c r="AB362" s="17">
        <v>15340</v>
      </c>
      <c r="AC362" s="17">
        <v>21932.765625</v>
      </c>
      <c r="AD362"/>
      <c r="AE362"/>
    </row>
    <row r="363" spans="1:31" x14ac:dyDescent="0.25">
      <c r="A363" s="136">
        <f>'[2]All Counts'!C363</f>
        <v>2</v>
      </c>
      <c r="B363" s="136">
        <f>'[2]All Counts'!D363</f>
        <v>1</v>
      </c>
      <c r="C363" s="136">
        <f>'[2]All Counts'!E363</f>
        <v>14386</v>
      </c>
      <c r="D363" s="136">
        <f>'[2]All Counts'!F363</f>
        <v>1</v>
      </c>
      <c r="E363" s="136">
        <f>'[2]All Counts'!G363</f>
        <v>1</v>
      </c>
      <c r="F363" s="136" t="str">
        <f>'[2]All Counts'!H363</f>
        <v>I-15 NB</v>
      </c>
      <c r="G363" s="136">
        <f>'[2]All Counts'!I363</f>
        <v>38</v>
      </c>
      <c r="H363" s="136">
        <f>'[2]All Counts'!J363</f>
        <v>0</v>
      </c>
      <c r="I363" s="136" t="str">
        <f>'[2]All Counts'!K363</f>
        <v>MERCY</v>
      </c>
      <c r="J363" s="136" t="str">
        <f>'[2]All Counts'!L363</f>
        <v>MERCY</v>
      </c>
      <c r="K363" s="136">
        <f>'[2]All Counts'!O363</f>
        <v>30988</v>
      </c>
      <c r="L363" s="57">
        <f>VLOOKUP(ws[[#This Row],[hwycov_id]],readme!D:G,4,FALSE)</f>
        <v>39695.21875</v>
      </c>
      <c r="M363" s="88">
        <f>ws[[#This Row],[flow]]/ws[[#This Row],[count]]-1</f>
        <v>0.28098679327481602</v>
      </c>
      <c r="N363" s="89">
        <f>POWER((ws[[#This Row],[flow]]-ws[[#This Row],[count]]),2)</f>
        <v>75815658.360351563</v>
      </c>
      <c r="O363" s="43">
        <f>VLOOKUP(ws[[#This Row],[hwycov_id]],count[],6,FALSE)</f>
        <v>0</v>
      </c>
      <c r="P363" s="43">
        <v>349</v>
      </c>
      <c r="Q363" s="43" t="str">
        <f>'[2]All Counts'!P363</f>
        <v>PeMS2016</v>
      </c>
      <c r="S363" s="94">
        <v>15238</v>
      </c>
      <c r="T363" s="17"/>
      <c r="U363" s="17"/>
      <c r="V363" s="17"/>
      <c r="W363" s="17"/>
      <c r="X363" s="17">
        <v>7702</v>
      </c>
      <c r="Y363" s="17">
        <v>13229.370117</v>
      </c>
      <c r="Z363" s="17"/>
      <c r="AA363" s="17"/>
      <c r="AB363" s="17">
        <v>7702</v>
      </c>
      <c r="AC363" s="17">
        <v>13229.370117</v>
      </c>
      <c r="AD363"/>
      <c r="AE363"/>
    </row>
    <row r="364" spans="1:31" x14ac:dyDescent="0.25">
      <c r="A364" s="136">
        <f>'[2]All Counts'!C364</f>
        <v>2</v>
      </c>
      <c r="B364" s="136">
        <f>'[2]All Counts'!D364</f>
        <v>1</v>
      </c>
      <c r="C364" s="136">
        <f>'[2]All Counts'!E364</f>
        <v>10859</v>
      </c>
      <c r="D364" s="136">
        <f>'[2]All Counts'!F364</f>
        <v>1</v>
      </c>
      <c r="E364" s="136">
        <f>'[2]All Counts'!G364</f>
        <v>1</v>
      </c>
      <c r="F364" s="136" t="str">
        <f>'[2]All Counts'!H364</f>
        <v>I-15 NB</v>
      </c>
      <c r="G364" s="136">
        <f>'[2]All Counts'!I364</f>
        <v>40</v>
      </c>
      <c r="H364" s="136">
        <f>'[2]All Counts'!J364</f>
        <v>0</v>
      </c>
      <c r="I364" s="136" t="str">
        <f>'[2]All Counts'!K364</f>
        <v>POWAY</v>
      </c>
      <c r="J364" s="136" t="str">
        <f>'[2]All Counts'!L364</f>
        <v>POWAY</v>
      </c>
      <c r="K364" s="136">
        <f>'[2]All Counts'!O364</f>
        <v>27642</v>
      </c>
      <c r="L364" s="57">
        <f>VLOOKUP(ws[[#This Row],[hwycov_id]],readme!D:G,4,FALSE)</f>
        <v>33039.964844000002</v>
      </c>
      <c r="M364" s="88">
        <f>ws[[#This Row],[flow]]/ws[[#This Row],[count]]-1</f>
        <v>0.19528126922798639</v>
      </c>
      <c r="N364" s="89">
        <f>POWER((ws[[#This Row],[flow]]-ws[[#This Row],[count]]),2)</f>
        <v>29138024.457059965</v>
      </c>
      <c r="O364" s="43">
        <f>VLOOKUP(ws[[#This Row],[hwycov_id]],count[],6,FALSE)</f>
        <v>0</v>
      </c>
      <c r="P364" s="43">
        <v>92</v>
      </c>
      <c r="Q364" s="43" t="str">
        <f>'[2]All Counts'!P364</f>
        <v>PeMS2016</v>
      </c>
      <c r="S364" s="94">
        <v>15239</v>
      </c>
      <c r="T364" s="17"/>
      <c r="U364" s="17"/>
      <c r="V364" s="17"/>
      <c r="W364" s="17"/>
      <c r="X364" s="17"/>
      <c r="Y364" s="17"/>
      <c r="Z364" s="17">
        <v>14034</v>
      </c>
      <c r="AA364" s="17">
        <v>17307.417968999998</v>
      </c>
      <c r="AB364" s="17">
        <v>14034</v>
      </c>
      <c r="AC364" s="17">
        <v>17307.417968999998</v>
      </c>
      <c r="AD364"/>
      <c r="AE364"/>
    </row>
    <row r="365" spans="1:31" x14ac:dyDescent="0.25">
      <c r="A365" s="136">
        <f>'[2]All Counts'!C365</f>
        <v>2</v>
      </c>
      <c r="B365" s="136">
        <f>'[2]All Counts'!D365</f>
        <v>1</v>
      </c>
      <c r="C365" s="136">
        <f>'[2]All Counts'!E365</f>
        <v>14639</v>
      </c>
      <c r="D365" s="136">
        <f>'[2]All Counts'!F365</f>
        <v>1</v>
      </c>
      <c r="E365" s="136">
        <f>'[2]All Counts'!G365</f>
        <v>1</v>
      </c>
      <c r="F365" s="136" t="str">
        <f>'[2]All Counts'!H365</f>
        <v>I-15 NB</v>
      </c>
      <c r="G365" s="136">
        <f>'[2]All Counts'!I365</f>
        <v>42</v>
      </c>
      <c r="H365" s="136">
        <f>'[2]All Counts'!J365</f>
        <v>0</v>
      </c>
      <c r="I365" s="136" t="str">
        <f>'[2]All Counts'!K365</f>
        <v>POWAY</v>
      </c>
      <c r="J365" s="136" t="str">
        <f>'[2]All Counts'!L365</f>
        <v>I-15 HOV NB</v>
      </c>
      <c r="K365" s="136">
        <f>'[2]All Counts'!O365</f>
        <v>28826</v>
      </c>
      <c r="L365" s="57">
        <f>VLOOKUP(ws[[#This Row],[hwycov_id]],readme!D:G,4,FALSE)</f>
        <v>33945.460937999997</v>
      </c>
      <c r="M365" s="88">
        <f>ws[[#This Row],[flow]]/ws[[#This Row],[count]]-1</f>
        <v>0.17759872816207589</v>
      </c>
      <c r="N365" s="89">
        <f>POWER((ws[[#This Row],[flow]]-ws[[#This Row],[count]]),2)</f>
        <v>26208880.295707803</v>
      </c>
      <c r="O365" s="43">
        <f>VLOOKUP(ws[[#This Row],[hwycov_id]],count[],6,FALSE)</f>
        <v>0</v>
      </c>
      <c r="P365" s="43">
        <v>686</v>
      </c>
      <c r="Q365" s="43" t="str">
        <f>'[2]All Counts'!P365</f>
        <v>SANDAG</v>
      </c>
      <c r="S365" s="94">
        <v>15277</v>
      </c>
      <c r="T365" s="17"/>
      <c r="U365" s="17"/>
      <c r="V365" s="17"/>
      <c r="W365" s="17"/>
      <c r="X365" s="17">
        <v>7448</v>
      </c>
      <c r="Y365" s="17">
        <v>11403.620117</v>
      </c>
      <c r="Z365" s="17"/>
      <c r="AA365" s="17"/>
      <c r="AB365" s="17">
        <v>7448</v>
      </c>
      <c r="AC365" s="17">
        <v>11403.620117</v>
      </c>
      <c r="AD365"/>
      <c r="AE365"/>
    </row>
    <row r="366" spans="1:31" x14ac:dyDescent="0.25">
      <c r="A366" s="136">
        <f>'[2]All Counts'!C366</f>
        <v>2</v>
      </c>
      <c r="B366" s="136">
        <f>'[2]All Counts'!D366</f>
        <v>1</v>
      </c>
      <c r="C366" s="136">
        <f>'[2]All Counts'!E366</f>
        <v>3968</v>
      </c>
      <c r="D366" s="136">
        <f>'[2]All Counts'!F366</f>
        <v>1</v>
      </c>
      <c r="E366" s="136">
        <f>'[2]All Counts'!G366</f>
        <v>1</v>
      </c>
      <c r="F366" s="136" t="str">
        <f>'[2]All Counts'!H366</f>
        <v>I-15 NB</v>
      </c>
      <c r="G366" s="136">
        <f>'[2]All Counts'!I366</f>
        <v>44</v>
      </c>
      <c r="H366" s="136">
        <f>'[2]All Counts'!J366</f>
        <v>0</v>
      </c>
      <c r="I366" s="136" t="str">
        <f>'[2]All Counts'!K366</f>
        <v>SR-56 EB</v>
      </c>
      <c r="J366" s="136" t="str">
        <f>'[2]All Counts'!L366</f>
        <v>SR-56 WB</v>
      </c>
      <c r="K366" s="136">
        <f>'[2]All Counts'!O366</f>
        <v>25764</v>
      </c>
      <c r="L366" s="57">
        <f>VLOOKUP(ws[[#This Row],[hwycov_id]],readme!D:G,4,FALSE)</f>
        <v>30967.765625</v>
      </c>
      <c r="M366" s="88">
        <f>ws[[#This Row],[flow]]/ws[[#This Row],[count]]-1</f>
        <v>0.20197817206179169</v>
      </c>
      <c r="N366" s="89">
        <f>POWER((ws[[#This Row],[flow]]-ws[[#This Row],[count]]),2)</f>
        <v>27079176.679931641</v>
      </c>
      <c r="O366" s="43">
        <f>VLOOKUP(ws[[#This Row],[hwycov_id]],count[],6,FALSE)</f>
        <v>0</v>
      </c>
      <c r="P366" s="43">
        <v>89</v>
      </c>
      <c r="Q366" s="43" t="str">
        <f>'[2]All Counts'!P366</f>
        <v>PeMS2016</v>
      </c>
      <c r="S366" s="94">
        <v>15317</v>
      </c>
      <c r="T366" s="17">
        <v>21001</v>
      </c>
      <c r="U366" s="17">
        <v>23101.960938</v>
      </c>
      <c r="V366" s="17"/>
      <c r="W366" s="17"/>
      <c r="X366" s="17"/>
      <c r="Y366" s="17"/>
      <c r="Z366" s="17"/>
      <c r="AA366" s="17"/>
      <c r="AB366" s="17">
        <v>21001</v>
      </c>
      <c r="AC366" s="17">
        <v>23101.960938</v>
      </c>
      <c r="AD366"/>
      <c r="AE366"/>
    </row>
    <row r="367" spans="1:31" x14ac:dyDescent="0.25">
      <c r="A367" s="136">
        <f>'[2]All Counts'!C367</f>
        <v>2</v>
      </c>
      <c r="B367" s="136">
        <f>'[2]All Counts'!D367</f>
        <v>1</v>
      </c>
      <c r="C367" s="136">
        <f>'[2]All Counts'!E367</f>
        <v>13672</v>
      </c>
      <c r="D367" s="136">
        <f>'[2]All Counts'!F367</f>
        <v>1</v>
      </c>
      <c r="E367" s="136">
        <f>'[2]All Counts'!G367</f>
        <v>1</v>
      </c>
      <c r="F367" s="136" t="str">
        <f>'[2]All Counts'!H367</f>
        <v>I-15 NB</v>
      </c>
      <c r="G367" s="136">
        <f>'[2]All Counts'!I367</f>
        <v>48</v>
      </c>
      <c r="H367" s="136">
        <f>'[2]All Counts'!J367</f>
        <v>0</v>
      </c>
      <c r="I367" s="136" t="str">
        <f>'[2]All Counts'!K367</f>
        <v>CARMEL MTN</v>
      </c>
      <c r="J367" s="136" t="str">
        <f>'[2]All Counts'!L367</f>
        <v>CARMEL MTN</v>
      </c>
      <c r="K367" s="136">
        <f>'[2]All Counts'!O367</f>
        <v>26402</v>
      </c>
      <c r="L367" s="57">
        <f>VLOOKUP(ws[[#This Row],[hwycov_id]],readme!D:G,4,FALSE)</f>
        <v>32506.59375</v>
      </c>
      <c r="M367" s="88">
        <f>ws[[#This Row],[flow]]/ws[[#This Row],[count]]-1</f>
        <v>0.23121709529581103</v>
      </c>
      <c r="N367" s="89">
        <f>POWER((ws[[#This Row],[flow]]-ws[[#This Row],[count]]),2)</f>
        <v>37266064.852539063</v>
      </c>
      <c r="O367" s="43">
        <f>VLOOKUP(ws[[#This Row],[hwycov_id]],count[],6,FALSE)</f>
        <v>0</v>
      </c>
      <c r="P367" s="43">
        <v>112</v>
      </c>
      <c r="Q367" s="43" t="str">
        <f>'[2]All Counts'!P367</f>
        <v>PeMS2016</v>
      </c>
      <c r="S367" s="94">
        <v>15425</v>
      </c>
      <c r="T367" s="17"/>
      <c r="U367" s="17"/>
      <c r="V367" s="17"/>
      <c r="W367" s="17"/>
      <c r="X367" s="17">
        <v>22829</v>
      </c>
      <c r="Y367" s="17">
        <v>22000.673827999999</v>
      </c>
      <c r="Z367" s="17"/>
      <c r="AA367" s="17"/>
      <c r="AB367" s="17">
        <v>22829</v>
      </c>
      <c r="AC367" s="17">
        <v>22000.673827999999</v>
      </c>
      <c r="AD367"/>
      <c r="AE367"/>
    </row>
    <row r="368" spans="1:31" x14ac:dyDescent="0.25">
      <c r="A368" s="136">
        <f>'[2]All Counts'!C368</f>
        <v>2</v>
      </c>
      <c r="B368" s="136">
        <f>'[2]All Counts'!D368</f>
        <v>1</v>
      </c>
      <c r="C368" s="136">
        <f>'[2]All Counts'!E368</f>
        <v>13662</v>
      </c>
      <c r="D368" s="136">
        <f>'[2]All Counts'!F368</f>
        <v>1</v>
      </c>
      <c r="E368" s="136">
        <f>'[2]All Counts'!G368</f>
        <v>1</v>
      </c>
      <c r="F368" s="136" t="str">
        <f>'[2]All Counts'!H368</f>
        <v>I-15 NB</v>
      </c>
      <c r="G368" s="136">
        <f>'[2]All Counts'!I368</f>
        <v>49</v>
      </c>
      <c r="H368" s="136">
        <f>'[2]All Counts'!J368</f>
        <v>0</v>
      </c>
      <c r="I368" s="136" t="str">
        <f>'[2]All Counts'!K368</f>
        <v>CARMEL MTN</v>
      </c>
      <c r="J368" s="136" t="str">
        <f>'[2]All Counts'!L368</f>
        <v>CAM DEL NORTE</v>
      </c>
      <c r="K368" s="136">
        <f>'[2]All Counts'!O368</f>
        <v>28364</v>
      </c>
      <c r="L368" s="57">
        <f>VLOOKUP(ws[[#This Row],[hwycov_id]],readme!D:G,4,FALSE)</f>
        <v>34559.582030999998</v>
      </c>
      <c r="M368" s="88">
        <f>ws[[#This Row],[flow]]/ws[[#This Row],[count]]-1</f>
        <v>0.21843118146241713</v>
      </c>
      <c r="N368" s="89">
        <f>POWER((ws[[#This Row],[flow]]-ws[[#This Row],[count]]),2)</f>
        <v>38385236.702850059</v>
      </c>
      <c r="O368" s="43">
        <f>VLOOKUP(ws[[#This Row],[hwycov_id]],count[],6,FALSE)</f>
        <v>0</v>
      </c>
      <c r="P368" s="43">
        <v>216</v>
      </c>
      <c r="Q368" s="43" t="str">
        <f>'[2]All Counts'!P368</f>
        <v>PeMS2016</v>
      </c>
      <c r="S368" s="94">
        <v>15430</v>
      </c>
      <c r="T368" s="17"/>
      <c r="U368" s="17"/>
      <c r="V368" s="17"/>
      <c r="W368" s="17"/>
      <c r="X368" s="17">
        <v>24478</v>
      </c>
      <c r="Y368" s="17">
        <v>24292.134765999999</v>
      </c>
      <c r="Z368" s="17"/>
      <c r="AA368" s="17"/>
      <c r="AB368" s="17">
        <v>24478</v>
      </c>
      <c r="AC368" s="17">
        <v>24292.134765999999</v>
      </c>
      <c r="AD368"/>
      <c r="AE368"/>
    </row>
    <row r="369" spans="1:31" x14ac:dyDescent="0.25">
      <c r="A369" s="136">
        <f>'[2]All Counts'!C369</f>
        <v>2</v>
      </c>
      <c r="B369" s="136">
        <f>'[2]All Counts'!D369</f>
        <v>1</v>
      </c>
      <c r="C369" s="136">
        <f>'[2]All Counts'!E369</f>
        <v>516</v>
      </c>
      <c r="D369" s="136">
        <f>'[2]All Counts'!F369</f>
        <v>1</v>
      </c>
      <c r="E369" s="136">
        <f>'[2]All Counts'!G369</f>
        <v>1</v>
      </c>
      <c r="F369" s="136" t="str">
        <f>'[2]All Counts'!H369</f>
        <v>I-15 NB</v>
      </c>
      <c r="G369" s="136">
        <f>'[2]All Counts'!I369</f>
        <v>50</v>
      </c>
      <c r="H369" s="136">
        <f>'[2]All Counts'!J369</f>
        <v>0</v>
      </c>
      <c r="I369" s="136" t="str">
        <f>'[2]All Counts'!K369</f>
        <v>CAM DEL NORTE</v>
      </c>
      <c r="J369" s="136" t="str">
        <f>'[2]All Counts'!L369</f>
        <v>CAM DEL NORTE</v>
      </c>
      <c r="K369" s="136">
        <f>'[2]All Counts'!O369</f>
        <v>24337</v>
      </c>
      <c r="L369" s="57">
        <f>VLOOKUP(ws[[#This Row],[hwycov_id]],readme!D:G,4,FALSE)</f>
        <v>30733.279297000001</v>
      </c>
      <c r="M369" s="88">
        <f>ws[[#This Row],[flow]]/ws[[#This Row],[count]]-1</f>
        <v>0.26282118983440861</v>
      </c>
      <c r="N369" s="89">
        <f>POWER((ws[[#This Row],[flow]]-ws[[#This Row],[count]]),2)</f>
        <v>40912388.845230825</v>
      </c>
      <c r="O369" s="43">
        <f>VLOOKUP(ws[[#This Row],[hwycov_id]],count[],6,FALSE)</f>
        <v>0</v>
      </c>
      <c r="P369" s="43">
        <v>215</v>
      </c>
      <c r="Q369" s="43" t="str">
        <f>'[2]All Counts'!P369</f>
        <v>PeMS2016</v>
      </c>
      <c r="S369" s="94">
        <v>15432</v>
      </c>
      <c r="T369" s="17"/>
      <c r="U369" s="17"/>
      <c r="V369" s="17"/>
      <c r="W369" s="17"/>
      <c r="X369" s="17"/>
      <c r="Y369" s="17"/>
      <c r="Z369" s="17">
        <v>32759</v>
      </c>
      <c r="AA369" s="17">
        <v>39223.183594000002</v>
      </c>
      <c r="AB369" s="17">
        <v>32759</v>
      </c>
      <c r="AC369" s="17">
        <v>39223.183594000002</v>
      </c>
      <c r="AD369"/>
      <c r="AE369"/>
    </row>
    <row r="370" spans="1:31" x14ac:dyDescent="0.25">
      <c r="A370" s="136">
        <f>'[2]All Counts'!C370</f>
        <v>2</v>
      </c>
      <c r="B370" s="136">
        <f>'[2]All Counts'!D370</f>
        <v>1</v>
      </c>
      <c r="C370" s="136">
        <f>'[2]All Counts'!E370</f>
        <v>31205</v>
      </c>
      <c r="D370" s="136">
        <f>'[2]All Counts'!F370</f>
        <v>1</v>
      </c>
      <c r="E370" s="136">
        <f>'[2]All Counts'!G370</f>
        <v>1</v>
      </c>
      <c r="F370" s="136" t="str">
        <f>'[2]All Counts'!H370</f>
        <v>I-15 NB</v>
      </c>
      <c r="G370" s="136">
        <f>'[2]All Counts'!I370</f>
        <v>52</v>
      </c>
      <c r="H370" s="136">
        <f>'[2]All Counts'!J370</f>
        <v>0</v>
      </c>
      <c r="I370" s="136" t="str">
        <f>'[2]All Counts'!K370</f>
        <v>CAM DEL NORTE</v>
      </c>
      <c r="J370" s="136" t="str">
        <f>'[2]All Counts'!L370</f>
        <v>BERNARDO CENTER</v>
      </c>
      <c r="K370" s="136">
        <f>'[2]All Counts'!O370</f>
        <v>28835</v>
      </c>
      <c r="L370" s="57">
        <f>VLOOKUP(ws[[#This Row],[hwycov_id]],readme!D:G,4,FALSE)</f>
        <v>33523.140625</v>
      </c>
      <c r="M370" s="88">
        <f>ws[[#This Row],[flow]]/ws[[#This Row],[count]]-1</f>
        <v>0.16258507456216398</v>
      </c>
      <c r="N370" s="89">
        <f>POWER((ws[[#This Row],[flow]]-ws[[#This Row],[count]]),2)</f>
        <v>21978662.519775391</v>
      </c>
      <c r="O370" s="43">
        <f>VLOOKUP(ws[[#This Row],[hwycov_id]],count[],6,FALSE)</f>
        <v>0</v>
      </c>
      <c r="P370" s="43">
        <v>572</v>
      </c>
      <c r="Q370" s="43" t="str">
        <f>'[2]All Counts'!P370</f>
        <v>PeMS2016</v>
      </c>
      <c r="S370" s="94">
        <v>15439</v>
      </c>
      <c r="T370" s="17"/>
      <c r="U370" s="17"/>
      <c r="V370" s="17"/>
      <c r="W370" s="17"/>
      <c r="X370" s="17">
        <v>22466</v>
      </c>
      <c r="Y370" s="17">
        <v>22167.529297000001</v>
      </c>
      <c r="Z370" s="17"/>
      <c r="AA370" s="17"/>
      <c r="AB370" s="17">
        <v>22466</v>
      </c>
      <c r="AC370" s="17">
        <v>22167.529297000001</v>
      </c>
      <c r="AD370"/>
      <c r="AE370"/>
    </row>
    <row r="371" spans="1:31" x14ac:dyDescent="0.25">
      <c r="A371" s="136">
        <f>'[2]All Counts'!C371</f>
        <v>2</v>
      </c>
      <c r="B371" s="136">
        <f>'[2]All Counts'!D371</f>
        <v>1</v>
      </c>
      <c r="C371" s="136">
        <f>'[2]All Counts'!E371</f>
        <v>13648</v>
      </c>
      <c r="D371" s="136">
        <f>'[2]All Counts'!F371</f>
        <v>1</v>
      </c>
      <c r="E371" s="136">
        <f>'[2]All Counts'!G371</f>
        <v>1</v>
      </c>
      <c r="F371" s="136" t="str">
        <f>'[2]All Counts'!H371</f>
        <v>I-15 NB</v>
      </c>
      <c r="G371" s="136">
        <f>'[2]All Counts'!I371</f>
        <v>53</v>
      </c>
      <c r="H371" s="136">
        <f>'[2]All Counts'!J371</f>
        <v>0</v>
      </c>
      <c r="I371" s="136" t="str">
        <f>'[2]All Counts'!K371</f>
        <v>BERNARDO CENTER</v>
      </c>
      <c r="J371" s="136" t="str">
        <f>'[2]All Counts'!L371</f>
        <v>BERNARDO CENTER</v>
      </c>
      <c r="K371" s="136">
        <f>'[2]All Counts'!O371</f>
        <v>24137</v>
      </c>
      <c r="L371" s="57">
        <f>VLOOKUP(ws[[#This Row],[hwycov_id]],readme!D:G,4,FALSE)</f>
        <v>31013.923827999999</v>
      </c>
      <c r="M371" s="88">
        <f>ws[[#This Row],[flow]]/ws[[#This Row],[count]]-1</f>
        <v>0.28491211948460871</v>
      </c>
      <c r="N371" s="89">
        <f>POWER((ws[[#This Row],[flow]]-ws[[#This Row],[count]]),2)</f>
        <v>47292081.336114161</v>
      </c>
      <c r="O371" s="43">
        <f>VLOOKUP(ws[[#This Row],[hwycov_id]],count[],6,FALSE)</f>
        <v>0</v>
      </c>
      <c r="P371" s="43">
        <v>214</v>
      </c>
      <c r="Q371" s="43" t="str">
        <f>'[2]All Counts'!P371</f>
        <v>PeMS2016</v>
      </c>
      <c r="S371" s="94">
        <v>15442</v>
      </c>
      <c r="T371" s="17"/>
      <c r="U371" s="17"/>
      <c r="V371" s="17"/>
      <c r="W371" s="17"/>
      <c r="X371" s="17">
        <v>22776</v>
      </c>
      <c r="Y371" s="17">
        <v>23376.226562</v>
      </c>
      <c r="Z371" s="17"/>
      <c r="AA371" s="17"/>
      <c r="AB371" s="17">
        <v>22776</v>
      </c>
      <c r="AC371" s="17">
        <v>23376.226562</v>
      </c>
      <c r="AD371"/>
      <c r="AE371"/>
    </row>
    <row r="372" spans="1:31" x14ac:dyDescent="0.25">
      <c r="A372" s="136">
        <f>'[2]All Counts'!C372</f>
        <v>2</v>
      </c>
      <c r="B372" s="136">
        <f>'[2]All Counts'!D372</f>
        <v>1</v>
      </c>
      <c r="C372" s="136">
        <f>'[2]All Counts'!E372</f>
        <v>13637</v>
      </c>
      <c r="D372" s="136">
        <f>'[2]All Counts'!F372</f>
        <v>1</v>
      </c>
      <c r="E372" s="136">
        <f>'[2]All Counts'!G372</f>
        <v>1</v>
      </c>
      <c r="F372" s="136" t="str">
        <f>'[2]All Counts'!H372</f>
        <v>I-15 NB</v>
      </c>
      <c r="G372" s="136">
        <f>'[2]All Counts'!I372</f>
        <v>54</v>
      </c>
      <c r="H372" s="136">
        <f>'[2]All Counts'!J372</f>
        <v>0</v>
      </c>
      <c r="I372" s="136" t="str">
        <f>'[2]All Counts'!K372</f>
        <v>BERNARDO CENTER</v>
      </c>
      <c r="J372" s="136" t="str">
        <f>'[2]All Counts'!L372</f>
        <v>RANCHO BERNARDO</v>
      </c>
      <c r="K372" s="136">
        <f>'[2]All Counts'!O372</f>
        <v>27093</v>
      </c>
      <c r="L372" s="57">
        <f>VLOOKUP(ws[[#This Row],[hwycov_id]],readme!D:G,4,FALSE)</f>
        <v>32644.353515999999</v>
      </c>
      <c r="M372" s="88">
        <f>ws[[#This Row],[flow]]/ws[[#This Row],[count]]-1</f>
        <v>0.20489991938877194</v>
      </c>
      <c r="N372" s="89">
        <f>POWER((ws[[#This Row],[flow]]-ws[[#This Row],[count]]),2)</f>
        <v>30817525.859605554</v>
      </c>
      <c r="O372" s="43">
        <f>VLOOKUP(ws[[#This Row],[hwycov_id]],count[],6,FALSE)</f>
        <v>0</v>
      </c>
      <c r="P372" s="43">
        <v>213</v>
      </c>
      <c r="Q372" s="43" t="str">
        <f>'[2]All Counts'!P372</f>
        <v>PeMS2016</v>
      </c>
      <c r="S372" s="94">
        <v>15443</v>
      </c>
      <c r="T372" s="17"/>
      <c r="U372" s="17"/>
      <c r="V372" s="17"/>
      <c r="W372" s="17"/>
      <c r="X372" s="17"/>
      <c r="Y372" s="17"/>
      <c r="Z372" s="17">
        <v>31197</v>
      </c>
      <c r="AA372" s="17">
        <v>37989.25</v>
      </c>
      <c r="AB372" s="17">
        <v>31197</v>
      </c>
      <c r="AC372" s="17">
        <v>37989.25</v>
      </c>
      <c r="AD372"/>
      <c r="AE372"/>
    </row>
    <row r="373" spans="1:31" x14ac:dyDescent="0.25">
      <c r="A373" s="136">
        <f>'[2]All Counts'!C373</f>
        <v>2</v>
      </c>
      <c r="B373" s="136">
        <f>'[2]All Counts'!D373</f>
        <v>1</v>
      </c>
      <c r="C373" s="136">
        <f>'[2]All Counts'!E373</f>
        <v>13639</v>
      </c>
      <c r="D373" s="136">
        <f>'[2]All Counts'!F373</f>
        <v>1</v>
      </c>
      <c r="E373" s="136">
        <f>'[2]All Counts'!G373</f>
        <v>1</v>
      </c>
      <c r="F373" s="136" t="str">
        <f>'[2]All Counts'!H373</f>
        <v>I-15 NB</v>
      </c>
      <c r="G373" s="136">
        <f>'[2]All Counts'!I373</f>
        <v>55</v>
      </c>
      <c r="H373" s="136">
        <f>'[2]All Counts'!J373</f>
        <v>0</v>
      </c>
      <c r="I373" s="136" t="str">
        <f>'[2]All Counts'!K373</f>
        <v>RANCHO BERNARDO</v>
      </c>
      <c r="J373" s="136" t="str">
        <f>'[2]All Counts'!L373</f>
        <v>RANCHO BERNARDO</v>
      </c>
      <c r="K373" s="136">
        <f>'[2]All Counts'!O373</f>
        <v>26992</v>
      </c>
      <c r="L373" s="57">
        <f>VLOOKUP(ws[[#This Row],[hwycov_id]],readme!D:G,4,FALSE)</f>
        <v>29717.554688</v>
      </c>
      <c r="M373" s="88">
        <f>ws[[#This Row],[flow]]/ws[[#This Row],[count]]-1</f>
        <v>0.10097638885595739</v>
      </c>
      <c r="N373" s="89">
        <f>POWER((ws[[#This Row],[flow]]-ws[[#This Row],[count]]),2)</f>
        <v>7428648.3572787782</v>
      </c>
      <c r="O373" s="43">
        <f>VLOOKUP(ws[[#This Row],[hwycov_id]],count[],6,FALSE)</f>
        <v>0</v>
      </c>
      <c r="P373" s="43">
        <v>574</v>
      </c>
      <c r="Q373" s="43" t="str">
        <f>'[2]All Counts'!P373</f>
        <v>SANDAG</v>
      </c>
      <c r="S373" s="94">
        <v>15456</v>
      </c>
      <c r="T373" s="17"/>
      <c r="U373" s="17"/>
      <c r="V373" s="17"/>
      <c r="W373" s="17"/>
      <c r="X373" s="17">
        <v>18472</v>
      </c>
      <c r="Y373" s="17">
        <v>19621.810547000001</v>
      </c>
      <c r="Z373" s="17"/>
      <c r="AA373" s="17"/>
      <c r="AB373" s="17">
        <v>18472</v>
      </c>
      <c r="AC373" s="17">
        <v>19621.810547000001</v>
      </c>
      <c r="AD373"/>
      <c r="AE373"/>
    </row>
    <row r="374" spans="1:31" x14ac:dyDescent="0.25">
      <c r="A374" s="136">
        <f>'[2]All Counts'!C374</f>
        <v>2</v>
      </c>
      <c r="B374" s="136">
        <f>'[2]All Counts'!D374</f>
        <v>1</v>
      </c>
      <c r="C374" s="136">
        <f>'[2]All Counts'!E374</f>
        <v>13640</v>
      </c>
      <c r="D374" s="136">
        <f>'[2]All Counts'!F374</f>
        <v>1</v>
      </c>
      <c r="E374" s="136">
        <f>'[2]All Counts'!G374</f>
        <v>1</v>
      </c>
      <c r="F374" s="136" t="str">
        <f>'[2]All Counts'!H374</f>
        <v>I-15 NB</v>
      </c>
      <c r="G374" s="136">
        <f>'[2]All Counts'!I374</f>
        <v>56</v>
      </c>
      <c r="H374" s="136">
        <f>'[2]All Counts'!J374</f>
        <v>0</v>
      </c>
      <c r="I374" s="136" t="str">
        <f>'[2]All Counts'!K374</f>
        <v>RANCHO BERNARDO</v>
      </c>
      <c r="J374" s="136" t="str">
        <f>'[2]All Counts'!L374</f>
        <v>RANCHO BERNARDO</v>
      </c>
      <c r="K374" s="136">
        <f>'[2]All Counts'!O374</f>
        <v>26769</v>
      </c>
      <c r="L374" s="57">
        <f>VLOOKUP(ws[[#This Row],[hwycov_id]],readme!D:G,4,FALSE)</f>
        <v>32120.431640999999</v>
      </c>
      <c r="M374" s="88">
        <f>ws[[#This Row],[flow]]/ws[[#This Row],[count]]-1</f>
        <v>0.19991152605625917</v>
      </c>
      <c r="N374" s="89">
        <f>POWER((ws[[#This Row],[flow]]-ws[[#This Row],[count]]),2)</f>
        <v>28637820.608295944</v>
      </c>
      <c r="O374" s="43">
        <f>VLOOKUP(ws[[#This Row],[hwycov_id]],count[],6,FALSE)</f>
        <v>0</v>
      </c>
      <c r="P374" s="43">
        <v>212</v>
      </c>
      <c r="Q374" s="43" t="str">
        <f>'[2]All Counts'!P374</f>
        <v>PeMS2016</v>
      </c>
      <c r="S374" s="94">
        <v>15457</v>
      </c>
      <c r="T374" s="17"/>
      <c r="U374" s="17"/>
      <c r="V374" s="17"/>
      <c r="W374" s="17"/>
      <c r="X374" s="17"/>
      <c r="Y374" s="17"/>
      <c r="Z374" s="17">
        <v>29007</v>
      </c>
      <c r="AA374" s="17">
        <v>29659.685547000001</v>
      </c>
      <c r="AB374" s="17">
        <v>29007</v>
      </c>
      <c r="AC374" s="17">
        <v>29659.685547000001</v>
      </c>
      <c r="AD374"/>
      <c r="AE374"/>
    </row>
    <row r="375" spans="1:31" x14ac:dyDescent="0.25">
      <c r="A375" s="136">
        <f>'[2]All Counts'!C375</f>
        <v>2</v>
      </c>
      <c r="B375" s="136">
        <f>'[2]All Counts'!D375</f>
        <v>1</v>
      </c>
      <c r="C375" s="136">
        <f>'[2]All Counts'!E375</f>
        <v>31206</v>
      </c>
      <c r="D375" s="136">
        <f>'[2]All Counts'!F375</f>
        <v>1</v>
      </c>
      <c r="E375" s="136">
        <f>'[2]All Counts'!G375</f>
        <v>1</v>
      </c>
      <c r="F375" s="136" t="str">
        <f>'[2]All Counts'!H375</f>
        <v>I-15 NB</v>
      </c>
      <c r="G375" s="136">
        <f>'[2]All Counts'!I375</f>
        <v>58</v>
      </c>
      <c r="H375" s="136">
        <f>'[2]All Counts'!J375</f>
        <v>1</v>
      </c>
      <c r="I375" s="136" t="str">
        <f>'[2]All Counts'!K375</f>
        <v>RANCHO BERNARDO</v>
      </c>
      <c r="J375" s="136" t="str">
        <f>'[2]All Counts'!L375</f>
        <v>POMERADO</v>
      </c>
      <c r="K375" s="136">
        <f>'[2]All Counts'!O375</f>
        <v>29783</v>
      </c>
      <c r="L375" s="57">
        <f>VLOOKUP(ws[[#This Row],[hwycov_id]],readme!D:G,4,FALSE)</f>
        <v>33736.074219000002</v>
      </c>
      <c r="M375" s="88">
        <f>ws[[#This Row],[flow]]/ws[[#This Row],[count]]-1</f>
        <v>0.13272921529060211</v>
      </c>
      <c r="N375" s="89">
        <f>POWER((ws[[#This Row],[flow]]-ws[[#This Row],[count]]),2)</f>
        <v>15626795.780922474</v>
      </c>
      <c r="O375" s="43">
        <f>VLOOKUP(ws[[#This Row],[hwycov_id]],count[],6,FALSE)</f>
        <v>0</v>
      </c>
      <c r="P375" s="43">
        <v>575</v>
      </c>
      <c r="Q375" s="43" t="str">
        <f>'[2]All Counts'!P375</f>
        <v>PeMS2016</v>
      </c>
      <c r="S375" s="94">
        <v>15458</v>
      </c>
      <c r="T375" s="17"/>
      <c r="U375" s="17"/>
      <c r="V375" s="17"/>
      <c r="W375" s="17"/>
      <c r="X375" s="17">
        <v>18996</v>
      </c>
      <c r="Y375" s="17">
        <v>21832.712890999999</v>
      </c>
      <c r="Z375" s="17"/>
      <c r="AA375" s="17"/>
      <c r="AB375" s="17">
        <v>18996</v>
      </c>
      <c r="AC375" s="17">
        <v>21832.712890999999</v>
      </c>
      <c r="AD375"/>
      <c r="AE375"/>
    </row>
    <row r="376" spans="1:31" x14ac:dyDescent="0.25">
      <c r="A376" s="136">
        <f>'[2]All Counts'!C376</f>
        <v>2</v>
      </c>
      <c r="B376" s="136">
        <f>'[2]All Counts'!D376</f>
        <v>1</v>
      </c>
      <c r="C376" s="136">
        <f>'[2]All Counts'!E376</f>
        <v>554</v>
      </c>
      <c r="D376" s="136">
        <f>'[2]All Counts'!F376</f>
        <v>1</v>
      </c>
      <c r="E376" s="136">
        <f>'[2]All Counts'!G376</f>
        <v>1</v>
      </c>
      <c r="F376" s="136" t="str">
        <f>'[2]All Counts'!H376</f>
        <v>I-15 NB</v>
      </c>
      <c r="G376" s="136">
        <f>'[2]All Counts'!I376</f>
        <v>59</v>
      </c>
      <c r="H376" s="136">
        <f>'[2]All Counts'!J376</f>
        <v>0</v>
      </c>
      <c r="I376" s="136" t="str">
        <f>'[2]All Counts'!K376</f>
        <v>RANCHO BERNARDO</v>
      </c>
      <c r="J376" s="136" t="str">
        <f>'[2]All Counts'!L376</f>
        <v>POMERADO</v>
      </c>
      <c r="K376" s="136">
        <f>'[2]All Counts'!O376</f>
        <v>28594</v>
      </c>
      <c r="L376" s="57">
        <f>VLOOKUP(ws[[#This Row],[hwycov_id]],readme!D:G,4,FALSE)</f>
        <v>34795.949219000002</v>
      </c>
      <c r="M376" s="88">
        <f>ws[[#This Row],[flow]]/ws[[#This Row],[count]]-1</f>
        <v>0.21689687413443393</v>
      </c>
      <c r="N376" s="89">
        <f>POWER((ws[[#This Row],[flow]]-ws[[#This Row],[count]]),2)</f>
        <v>38464174.115054734</v>
      </c>
      <c r="O376" s="43">
        <f>VLOOKUP(ws[[#This Row],[hwycov_id]],count[],6,FALSE)</f>
        <v>0</v>
      </c>
      <c r="P376" s="43">
        <v>211</v>
      </c>
      <c r="Q376" s="43" t="str">
        <f>'[2]All Counts'!P376</f>
        <v>PeMS2016</v>
      </c>
      <c r="S376" s="94">
        <v>15459</v>
      </c>
      <c r="T376" s="17"/>
      <c r="U376" s="17"/>
      <c r="V376" s="17"/>
      <c r="W376" s="17"/>
      <c r="X376" s="17"/>
      <c r="Y376" s="17"/>
      <c r="Z376" s="17">
        <v>28021</v>
      </c>
      <c r="AA376" s="17">
        <v>32558.337890999999</v>
      </c>
      <c r="AB376" s="17">
        <v>28021</v>
      </c>
      <c r="AC376" s="17">
        <v>32558.337890999999</v>
      </c>
      <c r="AD376"/>
      <c r="AE376"/>
    </row>
    <row r="377" spans="1:31" x14ac:dyDescent="0.25">
      <c r="A377" s="136">
        <f>'[2]All Counts'!C377</f>
        <v>2</v>
      </c>
      <c r="B377" s="136">
        <f>'[2]All Counts'!D377</f>
        <v>1</v>
      </c>
      <c r="C377" s="136">
        <f>'[2]All Counts'!E377</f>
        <v>8809</v>
      </c>
      <c r="D377" s="136">
        <f>'[2]All Counts'!F377</f>
        <v>1</v>
      </c>
      <c r="E377" s="136">
        <f>'[2]All Counts'!G377</f>
        <v>1</v>
      </c>
      <c r="F377" s="136" t="str">
        <f>'[2]All Counts'!H377</f>
        <v>I-15 NB</v>
      </c>
      <c r="G377" s="136">
        <f>'[2]All Counts'!I377</f>
        <v>60</v>
      </c>
      <c r="H377" s="136">
        <f>'[2]All Counts'!J377</f>
        <v>0</v>
      </c>
      <c r="I377" s="136" t="str">
        <f>'[2]All Counts'!K377</f>
        <v>POMERADO</v>
      </c>
      <c r="J377" s="136" t="str">
        <f>'[2]All Counts'!L377</f>
        <v>POMERADO</v>
      </c>
      <c r="K377" s="136">
        <f>'[2]All Counts'!O377</f>
        <v>28063</v>
      </c>
      <c r="L377" s="57">
        <f>VLOOKUP(ws[[#This Row],[hwycov_id]],readme!D:G,4,FALSE)</f>
        <v>33639.695312000003</v>
      </c>
      <c r="M377" s="88">
        <f>ws[[#This Row],[flow]]/ws[[#This Row],[count]]-1</f>
        <v>0.19872056843530639</v>
      </c>
      <c r="N377" s="89">
        <f>POWER((ws[[#This Row],[flow]]-ws[[#This Row],[count]]),2)</f>
        <v>31099530.602882817</v>
      </c>
      <c r="O377" s="43">
        <f>VLOOKUP(ws[[#This Row],[hwycov_id]],count[],6,FALSE)</f>
        <v>0</v>
      </c>
      <c r="P377" s="43">
        <v>576</v>
      </c>
      <c r="Q377" s="43" t="str">
        <f>'[2]All Counts'!P377</f>
        <v>PeMS2016</v>
      </c>
      <c r="S377" s="94">
        <v>15688</v>
      </c>
      <c r="T377" s="17"/>
      <c r="U377" s="17"/>
      <c r="V377" s="17">
        <v>23134</v>
      </c>
      <c r="W377" s="17">
        <v>24033.806640999999</v>
      </c>
      <c r="X377" s="17"/>
      <c r="Y377" s="17"/>
      <c r="Z377" s="17"/>
      <c r="AA377" s="17"/>
      <c r="AB377" s="17">
        <v>23134</v>
      </c>
      <c r="AC377" s="17">
        <v>24033.806640999999</v>
      </c>
      <c r="AD377"/>
      <c r="AE377"/>
    </row>
    <row r="378" spans="1:31" x14ac:dyDescent="0.25">
      <c r="A378" s="136">
        <f>'[2]All Counts'!C378</f>
        <v>2</v>
      </c>
      <c r="B378" s="136">
        <f>'[2]All Counts'!D378</f>
        <v>1</v>
      </c>
      <c r="C378" s="136">
        <f>'[2]All Counts'!E378</f>
        <v>8807</v>
      </c>
      <c r="D378" s="136">
        <f>'[2]All Counts'!F378</f>
        <v>1</v>
      </c>
      <c r="E378" s="136">
        <f>'[2]All Counts'!G378</f>
        <v>1</v>
      </c>
      <c r="F378" s="136" t="str">
        <f>'[2]All Counts'!H378</f>
        <v>I-15 NB</v>
      </c>
      <c r="G378" s="136">
        <f>'[2]All Counts'!I378</f>
        <v>61</v>
      </c>
      <c r="H378" s="136">
        <f>'[2]All Counts'!J378</f>
        <v>0</v>
      </c>
      <c r="I378" s="136" t="str">
        <f>'[2]All Counts'!K378</f>
        <v>POMERADO</v>
      </c>
      <c r="J378" s="136" t="str">
        <f>'[2]All Counts'!L378</f>
        <v>VIA RANCHO</v>
      </c>
      <c r="K378" s="136">
        <f>'[2]All Counts'!O378</f>
        <v>31840</v>
      </c>
      <c r="L378" s="57">
        <f>VLOOKUP(ws[[#This Row],[hwycov_id]],readme!D:G,4,FALSE)</f>
        <v>36329.992187999997</v>
      </c>
      <c r="M378" s="88">
        <f>ws[[#This Row],[flow]]/ws[[#This Row],[count]]-1</f>
        <v>0.14101734258793952</v>
      </c>
      <c r="N378" s="89">
        <f>POWER((ws[[#This Row],[flow]]-ws[[#This Row],[count]]),2)</f>
        <v>20160029.848300997</v>
      </c>
      <c r="O378" s="43">
        <f>VLOOKUP(ws[[#This Row],[hwycov_id]],count[],6,FALSE)</f>
        <v>0</v>
      </c>
      <c r="P378" s="43">
        <v>667</v>
      </c>
      <c r="Q378" s="43" t="str">
        <f>'[2]All Counts'!P378</f>
        <v>PeMS2016</v>
      </c>
      <c r="S378" s="94">
        <v>15690</v>
      </c>
      <c r="T378" s="17">
        <v>15413</v>
      </c>
      <c r="U378" s="17">
        <v>18458.734375</v>
      </c>
      <c r="V378" s="17"/>
      <c r="W378" s="17"/>
      <c r="X378" s="17"/>
      <c r="Y378" s="17"/>
      <c r="Z378" s="17"/>
      <c r="AA378" s="17"/>
      <c r="AB378" s="17">
        <v>15413</v>
      </c>
      <c r="AC378" s="17">
        <v>18458.734375</v>
      </c>
      <c r="AD378"/>
      <c r="AE378"/>
    </row>
    <row r="379" spans="1:31" x14ac:dyDescent="0.25">
      <c r="A379" s="136">
        <f>'[2]All Counts'!C379</f>
        <v>2</v>
      </c>
      <c r="B379" s="136">
        <f>'[2]All Counts'!D379</f>
        <v>1</v>
      </c>
      <c r="C379" s="136">
        <f>'[2]All Counts'!E379</f>
        <v>721</v>
      </c>
      <c r="D379" s="136">
        <f>'[2]All Counts'!F379</f>
        <v>1</v>
      </c>
      <c r="E379" s="136">
        <f>'[2]All Counts'!G379</f>
        <v>1</v>
      </c>
      <c r="F379" s="136" t="str">
        <f>'[2]All Counts'!H379</f>
        <v>I-15 NB</v>
      </c>
      <c r="G379" s="136">
        <f>'[2]All Counts'!I379</f>
        <v>63</v>
      </c>
      <c r="H379" s="136">
        <f>'[2]All Counts'!J379</f>
        <v>0</v>
      </c>
      <c r="I379" s="136" t="str">
        <f>'[2]All Counts'!K379</f>
        <v>VIA RANCHO</v>
      </c>
      <c r="J379" s="136" t="str">
        <f>'[2]All Counts'!L379</f>
        <v>VIA RANCHO</v>
      </c>
      <c r="K379" s="136">
        <f>'[2]All Counts'!O379</f>
        <v>26470</v>
      </c>
      <c r="L379" s="57">
        <f>VLOOKUP(ws[[#This Row],[hwycov_id]],readme!D:G,4,FALSE)</f>
        <v>32537.75</v>
      </c>
      <c r="M379" s="88">
        <f>ws[[#This Row],[flow]]/ws[[#This Row],[count]]-1</f>
        <v>0.22923120513789197</v>
      </c>
      <c r="N379" s="89">
        <f>POWER((ws[[#This Row],[flow]]-ws[[#This Row],[count]]),2)</f>
        <v>36817590.0625</v>
      </c>
      <c r="O379" s="43">
        <f>VLOOKUP(ws[[#This Row],[hwycov_id]],count[],6,FALSE)</f>
        <v>0</v>
      </c>
      <c r="P379" s="43">
        <v>109</v>
      </c>
      <c r="Q379" s="43" t="str">
        <f>'[2]All Counts'!P379</f>
        <v>PeMS2016</v>
      </c>
      <c r="S379" s="94">
        <v>15705</v>
      </c>
      <c r="T379" s="17"/>
      <c r="U379" s="17"/>
      <c r="V379" s="17">
        <v>17086</v>
      </c>
      <c r="W379" s="17">
        <v>21550.384765999999</v>
      </c>
      <c r="X379" s="17"/>
      <c r="Y379" s="17"/>
      <c r="Z379" s="17"/>
      <c r="AA379" s="17"/>
      <c r="AB379" s="17">
        <v>17086</v>
      </c>
      <c r="AC379" s="17">
        <v>21550.384765999999</v>
      </c>
      <c r="AD379"/>
      <c r="AE379"/>
    </row>
    <row r="380" spans="1:31" x14ac:dyDescent="0.25">
      <c r="A380" s="136">
        <f>'[2]All Counts'!C380</f>
        <v>2</v>
      </c>
      <c r="B380" s="136">
        <f>'[2]All Counts'!D380</f>
        <v>1</v>
      </c>
      <c r="C380" s="136">
        <f>'[2]All Counts'!E380</f>
        <v>12955</v>
      </c>
      <c r="D380" s="136">
        <f>'[2]All Counts'!F380</f>
        <v>1</v>
      </c>
      <c r="E380" s="136">
        <f>'[2]All Counts'!G380</f>
        <v>1</v>
      </c>
      <c r="F380" s="136" t="str">
        <f>'[2]All Counts'!H380</f>
        <v>I-15 NB</v>
      </c>
      <c r="G380" s="136">
        <f>'[2]All Counts'!I380</f>
        <v>66</v>
      </c>
      <c r="H380" s="136">
        <f>'[2]All Counts'!J380</f>
        <v>0</v>
      </c>
      <c r="I380" s="136" t="str">
        <f>'[2]All Counts'!K380</f>
        <v>CENTRE CITY</v>
      </c>
      <c r="J380" s="136" t="str">
        <f>'[2]All Counts'!L380</f>
        <v>CITRACADO</v>
      </c>
      <c r="K380" s="136">
        <f>'[2]All Counts'!O380</f>
        <v>22650</v>
      </c>
      <c r="L380" s="57">
        <f>VLOOKUP(ws[[#This Row],[hwycov_id]],readme!D:G,4,FALSE)</f>
        <v>26809.587890999999</v>
      </c>
      <c r="M380" s="88">
        <f>ws[[#This Row],[flow]]/ws[[#This Row],[count]]-1</f>
        <v>0.18364626450331123</v>
      </c>
      <c r="N380" s="89">
        <f>POWER((ws[[#This Row],[flow]]-ws[[#This Row],[count]]),2)</f>
        <v>17302171.422953822</v>
      </c>
      <c r="O380" s="43">
        <f>VLOOKUP(ws[[#This Row],[hwycov_id]],count[],6,FALSE)</f>
        <v>0</v>
      </c>
      <c r="P380" s="43">
        <v>669</v>
      </c>
      <c r="Q380" s="43" t="str">
        <f>'[2]All Counts'!P380</f>
        <v>PeMS2016</v>
      </c>
      <c r="S380" s="94">
        <v>15714</v>
      </c>
      <c r="T380" s="17">
        <v>23080</v>
      </c>
      <c r="U380" s="17">
        <v>28339.908202999999</v>
      </c>
      <c r="V380" s="17"/>
      <c r="W380" s="17"/>
      <c r="X380" s="17"/>
      <c r="Y380" s="17"/>
      <c r="Z380" s="17"/>
      <c r="AA380" s="17"/>
      <c r="AB380" s="17">
        <v>23080</v>
      </c>
      <c r="AC380" s="17">
        <v>28339.908202999999</v>
      </c>
      <c r="AD380"/>
      <c r="AE380"/>
    </row>
    <row r="381" spans="1:31" x14ac:dyDescent="0.25">
      <c r="A381" s="136">
        <f>'[2]All Counts'!C381</f>
        <v>2</v>
      </c>
      <c r="B381" s="136">
        <f>'[2]All Counts'!D381</f>
        <v>1</v>
      </c>
      <c r="C381" s="136">
        <f>'[2]All Counts'!E381</f>
        <v>12957</v>
      </c>
      <c r="D381" s="136">
        <f>'[2]All Counts'!F381</f>
        <v>1</v>
      </c>
      <c r="E381" s="136">
        <f>'[2]All Counts'!G381</f>
        <v>1</v>
      </c>
      <c r="F381" s="136" t="str">
        <f>'[2]All Counts'!H381</f>
        <v>I-15 NB</v>
      </c>
      <c r="G381" s="136">
        <f>'[2]All Counts'!I381</f>
        <v>68</v>
      </c>
      <c r="H381" s="136">
        <f>'[2]All Counts'!J381</f>
        <v>0</v>
      </c>
      <c r="I381" s="136" t="str">
        <f>'[2]All Counts'!K381</f>
        <v>CITRACADO</v>
      </c>
      <c r="J381" s="136" t="str">
        <f>'[2]All Counts'!L381</f>
        <v>CITRACADO</v>
      </c>
      <c r="K381" s="136">
        <f>'[2]All Counts'!O381</f>
        <v>26201</v>
      </c>
      <c r="L381" s="57">
        <f>VLOOKUP(ws[[#This Row],[hwycov_id]],readme!D:G,4,FALSE)</f>
        <v>29579.943359000001</v>
      </c>
      <c r="M381" s="88">
        <f>ws[[#This Row],[flow]]/ws[[#This Row],[count]]-1</f>
        <v>0.12896238155032247</v>
      </c>
      <c r="N381" s="89">
        <f>POWER((ws[[#This Row],[flow]]-ws[[#This Row],[count]]),2)</f>
        <v>11417258.223330209</v>
      </c>
      <c r="O381" s="43">
        <f>VLOOKUP(ws[[#This Row],[hwycov_id]],count[],6,FALSE)</f>
        <v>0</v>
      </c>
      <c r="P381" s="43">
        <v>108</v>
      </c>
      <c r="Q381" s="43" t="str">
        <f>'[2]All Counts'!P381</f>
        <v>SANDAG</v>
      </c>
      <c r="S381" s="94">
        <v>15722</v>
      </c>
      <c r="T381" s="17"/>
      <c r="U381" s="17"/>
      <c r="V381" s="17">
        <v>19872</v>
      </c>
      <c r="W381" s="17">
        <v>21519.048827999999</v>
      </c>
      <c r="X381" s="17"/>
      <c r="Y381" s="17"/>
      <c r="Z381" s="17"/>
      <c r="AA381" s="17"/>
      <c r="AB381" s="17">
        <v>19872</v>
      </c>
      <c r="AC381" s="17">
        <v>21519.048827999999</v>
      </c>
      <c r="AD381"/>
      <c r="AE381"/>
    </row>
    <row r="382" spans="1:31" x14ac:dyDescent="0.25">
      <c r="A382" s="136">
        <f>'[2]All Counts'!C382</f>
        <v>2</v>
      </c>
      <c r="B382" s="136">
        <f>'[2]All Counts'!D382</f>
        <v>1</v>
      </c>
      <c r="C382" s="136">
        <f>'[2]All Counts'!E382</f>
        <v>556</v>
      </c>
      <c r="D382" s="136">
        <f>'[2]All Counts'!F382</f>
        <v>1</v>
      </c>
      <c r="E382" s="136">
        <f>'[2]All Counts'!G382</f>
        <v>1</v>
      </c>
      <c r="F382" s="136" t="str">
        <f>'[2]All Counts'!H382</f>
        <v>I-15 NB</v>
      </c>
      <c r="G382" s="136">
        <f>'[2]All Counts'!I382</f>
        <v>70</v>
      </c>
      <c r="H382" s="136">
        <f>'[2]All Counts'!J382</f>
        <v>0</v>
      </c>
      <c r="I382" s="136" t="str">
        <f>'[2]All Counts'!K382</f>
        <v>CITRACADO</v>
      </c>
      <c r="J382" s="136" t="str">
        <f>'[2]All Counts'!L382</f>
        <v>09TH</v>
      </c>
      <c r="K382" s="136">
        <f>'[2]All Counts'!O382</f>
        <v>25479</v>
      </c>
      <c r="L382" s="57">
        <f>VLOOKUP(ws[[#This Row],[hwycov_id]],readme!D:G,4,FALSE)</f>
        <v>30023.519531000002</v>
      </c>
      <c r="M382" s="88">
        <f>ws[[#This Row],[flow]]/ws[[#This Row],[count]]-1</f>
        <v>0.17836333965226281</v>
      </c>
      <c r="N382" s="89">
        <f>POWER((ws[[#This Row],[flow]]-ws[[#This Row],[count]]),2)</f>
        <v>20652657.767640475</v>
      </c>
      <c r="O382" s="43">
        <f>VLOOKUP(ws[[#This Row],[hwycov_id]],count[],6,FALSE)</f>
        <v>0</v>
      </c>
      <c r="P382" s="43">
        <v>671</v>
      </c>
      <c r="Q382" s="43" t="str">
        <f>'[2]All Counts'!P382</f>
        <v>PeMS2016</v>
      </c>
      <c r="S382" s="94">
        <v>15768</v>
      </c>
      <c r="T382" s="17"/>
      <c r="U382" s="17"/>
      <c r="V382" s="17">
        <v>28304</v>
      </c>
      <c r="W382" s="17">
        <v>31958.804688</v>
      </c>
      <c r="X382" s="17"/>
      <c r="Y382" s="17"/>
      <c r="Z382" s="17"/>
      <c r="AA382" s="17"/>
      <c r="AB382" s="17">
        <v>28304</v>
      </c>
      <c r="AC382" s="17">
        <v>31958.804688</v>
      </c>
      <c r="AD382"/>
      <c r="AE382"/>
    </row>
    <row r="383" spans="1:31" x14ac:dyDescent="0.25">
      <c r="A383" s="136">
        <f>'[2]All Counts'!C383</f>
        <v>2</v>
      </c>
      <c r="B383" s="136">
        <f>'[2]All Counts'!D383</f>
        <v>1</v>
      </c>
      <c r="C383" s="136">
        <f>'[2]All Counts'!E383</f>
        <v>669</v>
      </c>
      <c r="D383" s="136">
        <f>'[2]All Counts'!F383</f>
        <v>1</v>
      </c>
      <c r="E383" s="136">
        <f>'[2]All Counts'!G383</f>
        <v>1</v>
      </c>
      <c r="F383" s="136" t="str">
        <f>'[2]All Counts'!H383</f>
        <v>I-15 NB</v>
      </c>
      <c r="G383" s="136">
        <f>'[2]All Counts'!I383</f>
        <v>71</v>
      </c>
      <c r="H383" s="136">
        <f>'[2]All Counts'!J383</f>
        <v>0</v>
      </c>
      <c r="I383" s="136" t="str">
        <f>'[2]All Counts'!K383</f>
        <v>09TH</v>
      </c>
      <c r="J383" s="136" t="str">
        <f>'[2]All Counts'!L383</f>
        <v>09TH</v>
      </c>
      <c r="K383" s="136">
        <f>'[2]All Counts'!O383</f>
        <v>25100</v>
      </c>
      <c r="L383" s="57">
        <f>VLOOKUP(ws[[#This Row],[hwycov_id]],readme!D:G,4,FALSE)</f>
        <v>28008.777343999998</v>
      </c>
      <c r="M383" s="88">
        <f>ws[[#This Row],[flow]]/ws[[#This Row],[count]]-1</f>
        <v>0.11588754358565723</v>
      </c>
      <c r="N383" s="89">
        <f>POWER((ws[[#This Row],[flow]]-ws[[#This Row],[count]]),2)</f>
        <v>8460985.6369676851</v>
      </c>
      <c r="O383" s="43">
        <f>VLOOKUP(ws[[#This Row],[hwycov_id]],count[],6,FALSE)</f>
        <v>0</v>
      </c>
      <c r="P383" s="43">
        <v>468</v>
      </c>
      <c r="Q383" s="43" t="str">
        <f>'[2]All Counts'!P383</f>
        <v>PeMS2016</v>
      </c>
      <c r="S383" s="94">
        <v>15776</v>
      </c>
      <c r="T383" s="17">
        <v>21966</v>
      </c>
      <c r="U383" s="17">
        <v>29934.923827999999</v>
      </c>
      <c r="V383" s="17"/>
      <c r="W383" s="17"/>
      <c r="X383" s="17"/>
      <c r="Y383" s="17"/>
      <c r="Z383" s="17"/>
      <c r="AA383" s="17"/>
      <c r="AB383" s="17">
        <v>21966</v>
      </c>
      <c r="AC383" s="17">
        <v>29934.923827999999</v>
      </c>
      <c r="AD383"/>
      <c r="AE383"/>
    </row>
    <row r="384" spans="1:31" x14ac:dyDescent="0.25">
      <c r="A384" s="136">
        <f>'[2]All Counts'!C384</f>
        <v>2</v>
      </c>
      <c r="B384" s="136">
        <f>'[2]All Counts'!D384</f>
        <v>1</v>
      </c>
      <c r="C384" s="136">
        <f>'[2]All Counts'!E384</f>
        <v>12929</v>
      </c>
      <c r="D384" s="136">
        <f>'[2]All Counts'!F384</f>
        <v>1</v>
      </c>
      <c r="E384" s="136">
        <f>'[2]All Counts'!G384</f>
        <v>1</v>
      </c>
      <c r="F384" s="136" t="str">
        <f>'[2]All Counts'!H384</f>
        <v>I-15 NB</v>
      </c>
      <c r="G384" s="136">
        <f>'[2]All Counts'!I384</f>
        <v>72</v>
      </c>
      <c r="H384" s="136">
        <f>'[2]All Counts'!J384</f>
        <v>0</v>
      </c>
      <c r="I384" s="136" t="str">
        <f>'[2]All Counts'!K384</f>
        <v>09TH</v>
      </c>
      <c r="J384" s="136" t="str">
        <f>'[2]All Counts'!L384</f>
        <v>VALLEY</v>
      </c>
      <c r="K384" s="136">
        <f>'[2]All Counts'!O384</f>
        <v>21239</v>
      </c>
      <c r="L384" s="57">
        <f>VLOOKUP(ws[[#This Row],[hwycov_id]],readme!D:G,4,FALSE)</f>
        <v>29044.328125</v>
      </c>
      <c r="M384" s="88">
        <f>ws[[#This Row],[flow]]/ws[[#This Row],[count]]-1</f>
        <v>0.3674997940110174</v>
      </c>
      <c r="N384" s="89">
        <f>POWER((ws[[#This Row],[flow]]-ws[[#This Row],[count]]),2)</f>
        <v>60923147.138916016</v>
      </c>
      <c r="O384" s="43">
        <f>VLOOKUP(ws[[#This Row],[hwycov_id]],count[],6,FALSE)</f>
        <v>0</v>
      </c>
      <c r="P384" s="43">
        <v>342</v>
      </c>
      <c r="Q384" s="43" t="str">
        <f>'[2]All Counts'!P384</f>
        <v>Caltran</v>
      </c>
      <c r="S384" s="94">
        <v>15853</v>
      </c>
      <c r="T384" s="17"/>
      <c r="U384" s="17"/>
      <c r="V384" s="17"/>
      <c r="W384" s="17"/>
      <c r="X384" s="17"/>
      <c r="Y384" s="17"/>
      <c r="Z384" s="17">
        <v>25413</v>
      </c>
      <c r="AA384" s="17">
        <v>26780.556640999999</v>
      </c>
      <c r="AB384" s="17">
        <v>25413</v>
      </c>
      <c r="AC384" s="17">
        <v>26780.556640999999</v>
      </c>
      <c r="AD384"/>
      <c r="AE384"/>
    </row>
    <row r="385" spans="1:31" x14ac:dyDescent="0.25">
      <c r="A385" s="136">
        <f>'[2]All Counts'!C385</f>
        <v>2</v>
      </c>
      <c r="B385" s="136">
        <f>'[2]All Counts'!D385</f>
        <v>1</v>
      </c>
      <c r="C385" s="136">
        <f>'[2]All Counts'!E385</f>
        <v>28588</v>
      </c>
      <c r="D385" s="136">
        <f>'[2]All Counts'!F385</f>
        <v>1</v>
      </c>
      <c r="E385" s="136">
        <f>'[2]All Counts'!G385</f>
        <v>1</v>
      </c>
      <c r="F385" s="136" t="str">
        <f>'[2]All Counts'!H385</f>
        <v>I-15 NB</v>
      </c>
      <c r="G385" s="136">
        <f>'[2]All Counts'!I385</f>
        <v>73</v>
      </c>
      <c r="H385" s="136">
        <f>'[2]All Counts'!J385</f>
        <v>0</v>
      </c>
      <c r="I385" s="136" t="str">
        <f>'[2]All Counts'!K385</f>
        <v>VALLEY</v>
      </c>
      <c r="J385" s="136" t="str">
        <f>'[2]All Counts'!L385</f>
        <v>VALLEY</v>
      </c>
      <c r="K385" s="136">
        <f>'[2]All Counts'!O385</f>
        <v>25689</v>
      </c>
      <c r="L385" s="57">
        <f>VLOOKUP(ws[[#This Row],[hwycov_id]],readme!D:G,4,FALSE)</f>
        <v>27098.158202999999</v>
      </c>
      <c r="M385" s="88">
        <f>ws[[#This Row],[flow]]/ws[[#This Row],[count]]-1</f>
        <v>5.4854537078126819E-2</v>
      </c>
      <c r="N385" s="89">
        <f>POWER((ws[[#This Row],[flow]]-ws[[#This Row],[count]]),2)</f>
        <v>1985726.8410821864</v>
      </c>
      <c r="O385" s="43">
        <f>VLOOKUP(ws[[#This Row],[hwycov_id]],count[],6,FALSE)</f>
        <v>0</v>
      </c>
      <c r="P385" s="43">
        <v>747</v>
      </c>
      <c r="Q385" s="43" t="str">
        <f>'[2]All Counts'!P385</f>
        <v>PeMS2016</v>
      </c>
      <c r="S385" s="94">
        <v>15854</v>
      </c>
      <c r="T385" s="17"/>
      <c r="U385" s="17"/>
      <c r="V385" s="17"/>
      <c r="W385" s="17"/>
      <c r="X385" s="17">
        <v>13758</v>
      </c>
      <c r="Y385" s="17">
        <v>14145.419921999999</v>
      </c>
      <c r="Z385" s="17"/>
      <c r="AA385" s="17"/>
      <c r="AB385" s="17">
        <v>13758</v>
      </c>
      <c r="AC385" s="17">
        <v>14145.419921999999</v>
      </c>
      <c r="AD385"/>
      <c r="AE385"/>
    </row>
    <row r="386" spans="1:31" x14ac:dyDescent="0.25">
      <c r="A386" s="136">
        <f>'[2]All Counts'!C386</f>
        <v>2</v>
      </c>
      <c r="B386" s="136">
        <f>'[2]All Counts'!D386</f>
        <v>1</v>
      </c>
      <c r="C386" s="136">
        <f>'[2]All Counts'!E386</f>
        <v>558</v>
      </c>
      <c r="D386" s="136">
        <f>'[2]All Counts'!F386</f>
        <v>1</v>
      </c>
      <c r="E386" s="136">
        <f>'[2]All Counts'!G386</f>
        <v>1</v>
      </c>
      <c r="F386" s="136" t="str">
        <f>'[2]All Counts'!H386</f>
        <v>I-15 NB</v>
      </c>
      <c r="G386" s="136">
        <f>'[2]All Counts'!I386</f>
        <v>76</v>
      </c>
      <c r="H386" s="136">
        <f>'[2]All Counts'!J386</f>
        <v>0</v>
      </c>
      <c r="I386" s="136" t="str">
        <f>'[2]All Counts'!K386</f>
        <v>SR-78 WB</v>
      </c>
      <c r="J386" s="136" t="str">
        <f>'[2]All Counts'!L386</f>
        <v>SR-78 EB</v>
      </c>
      <c r="K386" s="136">
        <f>'[2]All Counts'!O386</f>
        <v>19188</v>
      </c>
      <c r="L386" s="57">
        <f>VLOOKUP(ws[[#This Row],[hwycov_id]],readme!D:G,4,FALSE)</f>
        <v>17664.904297000001</v>
      </c>
      <c r="M386" s="88">
        <f>ws[[#This Row],[flow]]/ws[[#This Row],[count]]-1</f>
        <v>-7.9377512143006035E-2</v>
      </c>
      <c r="N386" s="89">
        <f>POWER((ws[[#This Row],[flow]]-ws[[#This Row],[count]]),2)</f>
        <v>2319820.5204970613</v>
      </c>
      <c r="O386" s="43">
        <f>VLOOKUP(ws[[#This Row],[hwycov_id]],count[],6,FALSE)</f>
        <v>0</v>
      </c>
      <c r="P386" s="43">
        <v>16</v>
      </c>
      <c r="Q386" s="43" t="str">
        <f>'[2]All Counts'!P386</f>
        <v>PeMS2016</v>
      </c>
      <c r="S386" s="94">
        <v>15855</v>
      </c>
      <c r="T386" s="17"/>
      <c r="U386" s="17"/>
      <c r="V386" s="17"/>
      <c r="W386" s="17"/>
      <c r="X386" s="17"/>
      <c r="Y386" s="17"/>
      <c r="Z386" s="17">
        <v>23078</v>
      </c>
      <c r="AA386" s="17">
        <v>25083.037109000001</v>
      </c>
      <c r="AB386" s="17">
        <v>23078</v>
      </c>
      <c r="AC386" s="17">
        <v>25083.037109000001</v>
      </c>
      <c r="AD386"/>
      <c r="AE386"/>
    </row>
    <row r="387" spans="1:31" x14ac:dyDescent="0.25">
      <c r="A387" s="136">
        <f>'[2]All Counts'!C387</f>
        <v>2</v>
      </c>
      <c r="B387" s="136">
        <f>'[2]All Counts'!D387</f>
        <v>1</v>
      </c>
      <c r="C387" s="136">
        <f>'[2]All Counts'!E387</f>
        <v>27165</v>
      </c>
      <c r="D387" s="136">
        <f>'[2]All Counts'!F387</f>
        <v>1</v>
      </c>
      <c r="E387" s="136">
        <f>'[2]All Counts'!G387</f>
        <v>1</v>
      </c>
      <c r="F387" s="136" t="str">
        <f>'[2]All Counts'!H387</f>
        <v>I-15 NB</v>
      </c>
      <c r="G387" s="136">
        <f>'[2]All Counts'!I387</f>
        <v>79</v>
      </c>
      <c r="H387" s="136">
        <f>'[2]All Counts'!J387</f>
        <v>0</v>
      </c>
      <c r="I387" s="136" t="str">
        <f>'[2]All Counts'!K387</f>
        <v>EL NORTE</v>
      </c>
      <c r="J387" s="136" t="str">
        <f>'[2]All Counts'!L387</f>
        <v>EL NORTE</v>
      </c>
      <c r="K387" s="136">
        <f>'[2]All Counts'!O387</f>
        <v>17365</v>
      </c>
      <c r="L387" s="57">
        <f>VLOOKUP(ws[[#This Row],[hwycov_id]],readme!D:G,4,FALSE)</f>
        <v>17158.490234000001</v>
      </c>
      <c r="M387" s="88">
        <f>ws[[#This Row],[flow]]/ws[[#This Row],[count]]-1</f>
        <v>-1.1892298646703048E-2</v>
      </c>
      <c r="N387" s="89">
        <f>POWER((ws[[#This Row],[flow]]-ws[[#This Row],[count]]),2)</f>
        <v>42646.283453374432</v>
      </c>
      <c r="O387" s="43">
        <f>VLOOKUP(ws[[#This Row],[hwycov_id]],count[],6,FALSE)</f>
        <v>0</v>
      </c>
      <c r="P387" s="43">
        <v>745</v>
      </c>
      <c r="Q387" s="43" t="str">
        <f>'[2]All Counts'!P387</f>
        <v>PeMS2016</v>
      </c>
      <c r="S387" s="94">
        <v>15856</v>
      </c>
      <c r="T387" s="17"/>
      <c r="U387" s="17"/>
      <c r="V387" s="17"/>
      <c r="W387" s="17"/>
      <c r="X387" s="17">
        <v>12035</v>
      </c>
      <c r="Y387" s="17">
        <v>12521.715819999999</v>
      </c>
      <c r="Z387" s="17"/>
      <c r="AA387" s="17"/>
      <c r="AB387" s="17">
        <v>12035</v>
      </c>
      <c r="AC387" s="17">
        <v>12521.715819999999</v>
      </c>
      <c r="AD387"/>
      <c r="AE387"/>
    </row>
    <row r="388" spans="1:31" x14ac:dyDescent="0.25">
      <c r="A388" s="136">
        <f>'[2]All Counts'!C388</f>
        <v>2</v>
      </c>
      <c r="B388" s="136">
        <f>'[2]All Counts'!D388</f>
        <v>1</v>
      </c>
      <c r="C388" s="136">
        <f>'[2]All Counts'!E388</f>
        <v>27183</v>
      </c>
      <c r="D388" s="136">
        <f>'[2]All Counts'!F388</f>
        <v>1</v>
      </c>
      <c r="E388" s="136">
        <f>'[2]All Counts'!G388</f>
        <v>1</v>
      </c>
      <c r="F388" s="136" t="str">
        <f>'[2]All Counts'!H388</f>
        <v>I-15 NB</v>
      </c>
      <c r="G388" s="136">
        <f>'[2]All Counts'!I388</f>
        <v>80</v>
      </c>
      <c r="H388" s="136">
        <f>'[2]All Counts'!J388</f>
        <v>1</v>
      </c>
      <c r="I388" s="136" t="str">
        <f>'[2]All Counts'!K388</f>
        <v>EL NORTE</v>
      </c>
      <c r="J388" s="136" t="str">
        <f>'[2]All Counts'!L388</f>
        <v>CENTRE CITY</v>
      </c>
      <c r="K388" s="136">
        <f>'[2]All Counts'!O388</f>
        <v>19536</v>
      </c>
      <c r="L388" s="57">
        <f>VLOOKUP(ws[[#This Row],[hwycov_id]],readme!D:G,4,FALSE)</f>
        <v>18405.800781000002</v>
      </c>
      <c r="M388" s="88">
        <f>ws[[#This Row],[flow]]/ws[[#This Row],[count]]-1</f>
        <v>-5.7852130374692834E-2</v>
      </c>
      <c r="N388" s="89">
        <f>POWER((ws[[#This Row],[flow]]-ws[[#This Row],[count]]),2)</f>
        <v>1277350.2746282062</v>
      </c>
      <c r="O388" s="43">
        <f>VLOOKUP(ws[[#This Row],[hwycov_id]],count[],6,FALSE)</f>
        <v>0</v>
      </c>
      <c r="P388" s="43">
        <v>17</v>
      </c>
      <c r="Q388" s="43" t="str">
        <f>'[2]All Counts'!P388</f>
        <v>PeMS2016</v>
      </c>
      <c r="S388" s="94">
        <v>15857</v>
      </c>
      <c r="T388" s="17"/>
      <c r="U388" s="17"/>
      <c r="V388" s="17"/>
      <c r="W388" s="17"/>
      <c r="X388" s="17">
        <v>12035</v>
      </c>
      <c r="Y388" s="17">
        <v>12742.094727</v>
      </c>
      <c r="Z388" s="17"/>
      <c r="AA388" s="17"/>
      <c r="AB388" s="17">
        <v>12035</v>
      </c>
      <c r="AC388" s="17">
        <v>12742.094727</v>
      </c>
      <c r="AD388"/>
      <c r="AE388"/>
    </row>
    <row r="389" spans="1:31" x14ac:dyDescent="0.25">
      <c r="A389" s="136">
        <f>'[2]All Counts'!C389</f>
        <v>2</v>
      </c>
      <c r="B389" s="136">
        <f>'[2]All Counts'!D389</f>
        <v>1</v>
      </c>
      <c r="C389" s="136">
        <f>'[2]All Counts'!E389</f>
        <v>27181</v>
      </c>
      <c r="D389" s="136">
        <f>'[2]All Counts'!F389</f>
        <v>1</v>
      </c>
      <c r="E389" s="136">
        <f>'[2]All Counts'!G389</f>
        <v>1</v>
      </c>
      <c r="F389" s="136" t="str">
        <f>'[2]All Counts'!H389</f>
        <v>I-15 NB</v>
      </c>
      <c r="G389" s="136">
        <f>'[2]All Counts'!I389</f>
        <v>83</v>
      </c>
      <c r="H389" s="136">
        <f>'[2]All Counts'!J389</f>
        <v>1</v>
      </c>
      <c r="I389" s="136" t="str">
        <f>'[2]All Counts'!K389</f>
        <v>CENTRE CITY</v>
      </c>
      <c r="J389" s="136" t="str">
        <f>'[2]All Counts'!L389</f>
        <v>DEER SPRINGS</v>
      </c>
      <c r="K389" s="136">
        <f>'[2]All Counts'!O389</f>
        <v>20545</v>
      </c>
      <c r="L389" s="57">
        <f>VLOOKUP(ws[[#This Row],[hwycov_id]],readme!D:G,4,FALSE)</f>
        <v>19877.898438</v>
      </c>
      <c r="M389" s="88">
        <f>ws[[#This Row],[flow]]/ws[[#This Row],[count]]-1</f>
        <v>-3.2470263421757073E-2</v>
      </c>
      <c r="N389" s="89">
        <f>POWER((ws[[#This Row],[flow]]-ws[[#This Row],[count]]),2)</f>
        <v>445024.49402283964</v>
      </c>
      <c r="O389" s="43">
        <f>VLOOKUP(ws[[#This Row],[hwycov_id]],count[],6,FALSE)</f>
        <v>0</v>
      </c>
      <c r="P389" s="43">
        <v>18</v>
      </c>
      <c r="Q389" s="43" t="str">
        <f>'[2]All Counts'!P389</f>
        <v>PeMS2016</v>
      </c>
      <c r="S389" s="94">
        <v>15859</v>
      </c>
      <c r="T389" s="17"/>
      <c r="U389" s="17"/>
      <c r="V389" s="17"/>
      <c r="W389" s="17"/>
      <c r="X389" s="17"/>
      <c r="Y389" s="17"/>
      <c r="Z389" s="17">
        <v>21430</v>
      </c>
      <c r="AA389" s="17">
        <v>24066.369140999999</v>
      </c>
      <c r="AB389" s="17">
        <v>21430</v>
      </c>
      <c r="AC389" s="17">
        <v>24066.369140999999</v>
      </c>
      <c r="AD389"/>
      <c r="AE389"/>
    </row>
    <row r="390" spans="1:31" x14ac:dyDescent="0.25">
      <c r="A390" s="136">
        <f>'[2]All Counts'!C390</f>
        <v>2</v>
      </c>
      <c r="B390" s="136">
        <f>'[2]All Counts'!D390</f>
        <v>1</v>
      </c>
      <c r="C390" s="136">
        <f>'[2]All Counts'!E390</f>
        <v>27166</v>
      </c>
      <c r="D390" s="136">
        <f>'[2]All Counts'!F390</f>
        <v>1</v>
      </c>
      <c r="E390" s="136">
        <f>'[2]All Counts'!G390</f>
        <v>1</v>
      </c>
      <c r="F390" s="136" t="str">
        <f>'[2]All Counts'!H390</f>
        <v>I-15 NB</v>
      </c>
      <c r="G390" s="136">
        <f>'[2]All Counts'!I390</f>
        <v>84</v>
      </c>
      <c r="H390" s="136">
        <f>'[2]All Counts'!J390</f>
        <v>0</v>
      </c>
      <c r="I390" s="136" t="str">
        <f>'[2]All Counts'!K390</f>
        <v>DEER SPRINGS</v>
      </c>
      <c r="J390" s="136" t="str">
        <f>'[2]All Counts'!L390</f>
        <v>DEER SPRINGS</v>
      </c>
      <c r="K390" s="136">
        <f>'[2]All Counts'!O390</f>
        <v>14601</v>
      </c>
      <c r="L390" s="57">
        <f>VLOOKUP(ws[[#This Row],[hwycov_id]],readme!D:G,4,FALSE)</f>
        <v>18797.330077999999</v>
      </c>
      <c r="M390" s="88">
        <f>ws[[#This Row],[flow]]/ws[[#This Row],[count]]-1</f>
        <v>0.28740018341209495</v>
      </c>
      <c r="N390" s="89">
        <f>POWER((ws[[#This Row],[flow]]-ws[[#This Row],[count]]),2)</f>
        <v>17609186.123527478</v>
      </c>
      <c r="O390" s="43">
        <f>VLOOKUP(ws[[#This Row],[hwycov_id]],count[],6,FALSE)</f>
        <v>0</v>
      </c>
      <c r="P390" s="43">
        <v>744</v>
      </c>
      <c r="Q390" s="43" t="str">
        <f>'[2]All Counts'!P390</f>
        <v>PeMS2016</v>
      </c>
      <c r="S390" s="94">
        <v>15862</v>
      </c>
      <c r="T390" s="17"/>
      <c r="U390" s="17"/>
      <c r="V390" s="17"/>
      <c r="W390" s="17"/>
      <c r="X390" s="17">
        <v>11230</v>
      </c>
      <c r="Y390" s="17">
        <v>11834.413086</v>
      </c>
      <c r="Z390" s="17"/>
      <c r="AA390" s="17"/>
      <c r="AB390" s="17">
        <v>11230</v>
      </c>
      <c r="AC390" s="17">
        <v>11834.413086</v>
      </c>
      <c r="AD390"/>
      <c r="AE390"/>
    </row>
    <row r="391" spans="1:31" x14ac:dyDescent="0.25">
      <c r="A391" s="136">
        <f>'[2]All Counts'!C391</f>
        <v>2</v>
      </c>
      <c r="B391" s="136">
        <f>'[2]All Counts'!D391</f>
        <v>1</v>
      </c>
      <c r="C391" s="136">
        <f>'[2]All Counts'!E391</f>
        <v>27352</v>
      </c>
      <c r="D391" s="136">
        <f>'[2]All Counts'!F391</f>
        <v>1</v>
      </c>
      <c r="E391" s="136">
        <f>'[2]All Counts'!G391</f>
        <v>1</v>
      </c>
      <c r="F391" s="136" t="str">
        <f>'[2]All Counts'!H391</f>
        <v>I-15 NB</v>
      </c>
      <c r="G391" s="136">
        <f>'[2]All Counts'!I391</f>
        <v>85</v>
      </c>
      <c r="H391" s="136">
        <f>'[2]All Counts'!J391</f>
        <v>3</v>
      </c>
      <c r="I391" s="136" t="str">
        <f>'[2]All Counts'!K391</f>
        <v>DEER SPRINGS</v>
      </c>
      <c r="J391" s="136" t="str">
        <f>'[2]All Counts'!L391</f>
        <v>GOPHER CANYON</v>
      </c>
      <c r="K391" s="136">
        <f>'[2]All Counts'!O391</f>
        <v>20665</v>
      </c>
      <c r="L391" s="57">
        <f>VLOOKUP(ws[[#This Row],[hwycov_id]],readme!D:G,4,FALSE)</f>
        <v>20315.898438</v>
      </c>
      <c r="M391" s="88">
        <f>ws[[#This Row],[flow]]/ws[[#This Row],[count]]-1</f>
        <v>-1.6893373433341408E-2</v>
      </c>
      <c r="N391" s="89">
        <f>POWER((ws[[#This Row],[flow]]-ws[[#This Row],[count]]),2)</f>
        <v>121871.90059083972</v>
      </c>
      <c r="O391" s="43">
        <f>VLOOKUP(ws[[#This Row],[hwycov_id]],count[],6,FALSE)</f>
        <v>0</v>
      </c>
      <c r="P391" s="43">
        <v>19</v>
      </c>
      <c r="Q391" s="43" t="str">
        <f>'[2]All Counts'!P391</f>
        <v>Caltran</v>
      </c>
      <c r="S391" s="94">
        <v>15863</v>
      </c>
      <c r="T391" s="17"/>
      <c r="U391" s="17"/>
      <c r="V391" s="17"/>
      <c r="W391" s="17"/>
      <c r="X391" s="17">
        <v>4738</v>
      </c>
      <c r="Y391" s="17">
        <v>5167.0859380000002</v>
      </c>
      <c r="Z391" s="17"/>
      <c r="AA391" s="17"/>
      <c r="AB391" s="17">
        <v>4738</v>
      </c>
      <c r="AC391" s="17">
        <v>5167.0859380000002</v>
      </c>
      <c r="AD391"/>
      <c r="AE391"/>
    </row>
    <row r="392" spans="1:31" x14ac:dyDescent="0.25">
      <c r="A392" s="136">
        <f>'[2]All Counts'!C392</f>
        <v>2</v>
      </c>
      <c r="B392" s="136">
        <f>'[2]All Counts'!D392</f>
        <v>1</v>
      </c>
      <c r="C392" s="136">
        <f>'[2]All Counts'!E392</f>
        <v>26667</v>
      </c>
      <c r="D392" s="136">
        <f>'[2]All Counts'!F392</f>
        <v>1</v>
      </c>
      <c r="E392" s="136">
        <f>'[2]All Counts'!G392</f>
        <v>1</v>
      </c>
      <c r="F392" s="136" t="str">
        <f>'[2]All Counts'!H392</f>
        <v>I-15 NB</v>
      </c>
      <c r="G392" s="136">
        <f>'[2]All Counts'!I392</f>
        <v>91</v>
      </c>
      <c r="H392" s="136">
        <f>'[2]All Counts'!J392</f>
        <v>0</v>
      </c>
      <c r="I392" s="136" t="str">
        <f>'[2]All Counts'!K392</f>
        <v>PALA</v>
      </c>
      <c r="J392" s="136" t="str">
        <f>'[2]All Counts'!L392</f>
        <v>PALA</v>
      </c>
      <c r="K392" s="136">
        <f>'[2]All Counts'!O392</f>
        <v>19555</v>
      </c>
      <c r="L392" s="57">
        <f>VLOOKUP(ws[[#This Row],[hwycov_id]],readme!D:G,4,FALSE)</f>
        <v>16794.769531000002</v>
      </c>
      <c r="M392" s="88">
        <f>ws[[#This Row],[flow]]/ws[[#This Row],[count]]-1</f>
        <v>-0.14115215898747113</v>
      </c>
      <c r="N392" s="89">
        <f>POWER((ws[[#This Row],[flow]]-ws[[#This Row],[count]]),2)</f>
        <v>7618872.2419959502</v>
      </c>
      <c r="O392" s="43">
        <f>VLOOKUP(ws[[#This Row],[hwycov_id]],count[],6,FALSE)</f>
        <v>0</v>
      </c>
      <c r="P392" s="43">
        <v>20</v>
      </c>
      <c r="Q392" s="43" t="str">
        <f>'[2]All Counts'!P392</f>
        <v>Caltran</v>
      </c>
      <c r="S392" s="94">
        <v>15870</v>
      </c>
      <c r="T392" s="17">
        <v>13736</v>
      </c>
      <c r="U392" s="17">
        <v>14083.180664</v>
      </c>
      <c r="V392" s="17"/>
      <c r="W392" s="17"/>
      <c r="X392" s="17"/>
      <c r="Y392" s="17"/>
      <c r="Z392" s="17"/>
      <c r="AA392" s="17"/>
      <c r="AB392" s="17">
        <v>13736</v>
      </c>
      <c r="AC392" s="17">
        <v>14083.180664</v>
      </c>
      <c r="AD392"/>
      <c r="AE392"/>
    </row>
    <row r="393" spans="1:31" x14ac:dyDescent="0.25">
      <c r="A393" s="136">
        <f>'[2]All Counts'!C393</f>
        <v>2</v>
      </c>
      <c r="B393" s="136">
        <f>'[2]All Counts'!D393</f>
        <v>1</v>
      </c>
      <c r="C393" s="136">
        <f>'[2]All Counts'!E393</f>
        <v>27193</v>
      </c>
      <c r="D393" s="136">
        <f>'[2]All Counts'!F393</f>
        <v>1</v>
      </c>
      <c r="E393" s="136">
        <f>'[2]All Counts'!G393</f>
        <v>1</v>
      </c>
      <c r="F393" s="136" t="str">
        <f>'[2]All Counts'!H393</f>
        <v>I-15 NB</v>
      </c>
      <c r="G393" s="136">
        <f>'[2]All Counts'!I393</f>
        <v>93</v>
      </c>
      <c r="H393" s="136">
        <f>'[2]All Counts'!J393</f>
        <v>1</v>
      </c>
      <c r="I393" s="136" t="str">
        <f>'[2]All Counts'!K393</f>
        <v>PALA</v>
      </c>
      <c r="J393" s="136" t="str">
        <f>'[2]All Counts'!L393</f>
        <v>STEWART CANYON</v>
      </c>
      <c r="K393" s="136">
        <f>'[2]All Counts'!O393</f>
        <v>14064</v>
      </c>
      <c r="L393" s="57">
        <f>VLOOKUP(ws[[#This Row],[hwycov_id]],readme!D:G,4,FALSE)</f>
        <v>18164.095702999999</v>
      </c>
      <c r="M393" s="88">
        <f>ws[[#This Row],[flow]]/ws[[#This Row],[count]]-1</f>
        <v>0.29153126443401578</v>
      </c>
      <c r="N393" s="89">
        <f>POWER((ws[[#This Row],[flow]]-ws[[#This Row],[count]]),2)</f>
        <v>16810784.773759056</v>
      </c>
      <c r="O393" s="43">
        <f>VLOOKUP(ws[[#This Row],[hwycov_id]],count[],6,FALSE)</f>
        <v>0</v>
      </c>
      <c r="P393" s="43">
        <v>157</v>
      </c>
      <c r="Q393" s="43" t="str">
        <f>'[2]All Counts'!P393</f>
        <v>PeMS2016</v>
      </c>
      <c r="S393" s="94">
        <v>15914</v>
      </c>
      <c r="T393" s="17"/>
      <c r="U393" s="17"/>
      <c r="V393" s="17">
        <v>17883</v>
      </c>
      <c r="W393" s="17">
        <v>16453.330077999999</v>
      </c>
      <c r="X393" s="17"/>
      <c r="Y393" s="17"/>
      <c r="Z393" s="17"/>
      <c r="AA393" s="17"/>
      <c r="AB393" s="17">
        <v>17883</v>
      </c>
      <c r="AC393" s="17">
        <v>16453.330077999999</v>
      </c>
      <c r="AD393"/>
      <c r="AE393"/>
    </row>
    <row r="394" spans="1:31" x14ac:dyDescent="0.25">
      <c r="A394" s="136">
        <f>'[2]All Counts'!C394</f>
        <v>2</v>
      </c>
      <c r="B394" s="136">
        <f>'[2]All Counts'!D394</f>
        <v>1</v>
      </c>
      <c r="C394" s="136">
        <f>'[2]All Counts'!E394</f>
        <v>27195</v>
      </c>
      <c r="D394" s="136">
        <f>'[2]All Counts'!F394</f>
        <v>1</v>
      </c>
      <c r="E394" s="136">
        <f>'[2]All Counts'!G394</f>
        <v>1</v>
      </c>
      <c r="F394" s="136" t="str">
        <f>'[2]All Counts'!H394</f>
        <v>I-15 NB</v>
      </c>
      <c r="G394" s="136">
        <f>'[2]All Counts'!I394</f>
        <v>97</v>
      </c>
      <c r="H394" s="136">
        <f>'[2]All Counts'!J394</f>
        <v>2</v>
      </c>
      <c r="I394" s="136" t="str">
        <f>'[2]All Counts'!K394</f>
        <v>MISSION</v>
      </c>
      <c r="J394" s="136" t="str">
        <f>'[2]All Counts'!L394</f>
        <v>RAINBOW VALLEY WEST</v>
      </c>
      <c r="K394" s="136">
        <f>'[2]All Counts'!O394</f>
        <v>17544</v>
      </c>
      <c r="L394" s="57">
        <f>VLOOKUP(ws[[#This Row],[hwycov_id]],readme!D:G,4,FALSE)</f>
        <v>17436.033202999999</v>
      </c>
      <c r="M394" s="88">
        <f>ws[[#This Row],[flow]]/ws[[#This Row],[count]]-1</f>
        <v>-6.1540581965344732E-3</v>
      </c>
      <c r="N394" s="89">
        <f>POWER((ws[[#This Row],[flow]]-ws[[#This Row],[count]]),2)</f>
        <v>11656.829254439415</v>
      </c>
      <c r="O394" s="43">
        <f>VLOOKUP(ws[[#This Row],[hwycov_id]],count[],6,FALSE)</f>
        <v>0</v>
      </c>
      <c r="P394" s="43">
        <v>478</v>
      </c>
      <c r="Q394" s="43" t="str">
        <f>'[2]All Counts'!P394</f>
        <v>PeMS2016</v>
      </c>
      <c r="S394" s="94">
        <v>15917</v>
      </c>
      <c r="T394" s="17"/>
      <c r="U394" s="17"/>
      <c r="V394" s="17">
        <v>13241</v>
      </c>
      <c r="W394" s="17">
        <v>10274.478515999999</v>
      </c>
      <c r="X394" s="17"/>
      <c r="Y394" s="17"/>
      <c r="Z394" s="17"/>
      <c r="AA394" s="17"/>
      <c r="AB394" s="17">
        <v>13241</v>
      </c>
      <c r="AC394" s="17">
        <v>10274.478515999999</v>
      </c>
      <c r="AD394"/>
      <c r="AE394"/>
    </row>
    <row r="395" spans="1:31" x14ac:dyDescent="0.25">
      <c r="A395" s="136">
        <f>'[2]All Counts'!C395</f>
        <v>29</v>
      </c>
      <c r="B395" s="136">
        <f>'[2]All Counts'!D395</f>
        <v>1</v>
      </c>
      <c r="C395" s="136">
        <f>'[2]All Counts'!E395</f>
        <v>460</v>
      </c>
      <c r="D395" s="136">
        <f>'[2]All Counts'!F395</f>
        <v>1</v>
      </c>
      <c r="E395" s="136">
        <f>'[2]All Counts'!G395</f>
        <v>2</v>
      </c>
      <c r="F395" s="136" t="str">
        <f>'[2]All Counts'!H395</f>
        <v>I-15 HOV NB</v>
      </c>
      <c r="G395" s="136">
        <f>'[2]All Counts'!I395</f>
        <v>2</v>
      </c>
      <c r="H395" s="136">
        <f>'[2]All Counts'!J395</f>
        <v>0</v>
      </c>
      <c r="I395" s="136" t="str">
        <f>'[2]All Counts'!K395</f>
        <v>SR-163 NB</v>
      </c>
      <c r="J395" s="136" t="str">
        <f>'[2]All Counts'!L395</f>
        <v>SR-163</v>
      </c>
      <c r="K395" s="136">
        <f>'[2]All Counts'!O395</f>
        <v>6812</v>
      </c>
      <c r="L395" s="57">
        <f>VLOOKUP(ws[[#This Row],[hwycov_id]],readme!D:G,4,FALSE)</f>
        <v>9642.2431639999995</v>
      </c>
      <c r="M395" s="88">
        <f>ws[[#This Row],[flow]]/ws[[#This Row],[count]]-1</f>
        <v>0.41547903170874911</v>
      </c>
      <c r="N395" s="89">
        <f>POWER((ws[[#This Row],[flow]]-ws[[#This Row],[count]]),2)</f>
        <v>8010276.3673687279</v>
      </c>
      <c r="O395" s="43">
        <f>VLOOKUP(ws[[#This Row],[hwycov_id]],count[],6,FALSE)</f>
        <v>0</v>
      </c>
      <c r="P395" s="43">
        <v>477</v>
      </c>
      <c r="Q395" s="43" t="str">
        <f>'[2]All Counts'!P395</f>
        <v>PeMS2016</v>
      </c>
      <c r="S395" s="94">
        <v>16038</v>
      </c>
      <c r="T395" s="17">
        <v>22459</v>
      </c>
      <c r="U395" s="17">
        <v>25766.71875</v>
      </c>
      <c r="V395" s="17"/>
      <c r="W395" s="17"/>
      <c r="X395" s="17"/>
      <c r="Y395" s="17"/>
      <c r="Z395" s="17"/>
      <c r="AA395" s="17"/>
      <c r="AB395" s="17">
        <v>22459</v>
      </c>
      <c r="AC395" s="17">
        <v>25766.71875</v>
      </c>
      <c r="AD395"/>
      <c r="AE395"/>
    </row>
    <row r="396" spans="1:31" x14ac:dyDescent="0.25">
      <c r="A396" s="136">
        <f>'[2]All Counts'!C396</f>
        <v>29</v>
      </c>
      <c r="B396" s="136">
        <f>'[2]All Counts'!D396</f>
        <v>1</v>
      </c>
      <c r="C396" s="136">
        <f>'[2]All Counts'!E396</f>
        <v>526</v>
      </c>
      <c r="D396" s="136">
        <f>'[2]All Counts'!F396</f>
        <v>1</v>
      </c>
      <c r="E396" s="136">
        <f>'[2]All Counts'!G396</f>
        <v>2</v>
      </c>
      <c r="F396" s="136" t="str">
        <f>'[2]All Counts'!H396</f>
        <v>I-15 HOV NB</v>
      </c>
      <c r="G396" s="136">
        <f>'[2]All Counts'!I396</f>
        <v>3</v>
      </c>
      <c r="H396" s="136">
        <f>'[2]All Counts'!J396</f>
        <v>1</v>
      </c>
      <c r="I396" s="136" t="str">
        <f>'[2]All Counts'!K396</f>
        <v>SR-163 NB</v>
      </c>
      <c r="J396" s="136" t="str">
        <f>'[2]All Counts'!L396</f>
        <v>SR-163</v>
      </c>
      <c r="K396" s="136">
        <f>'[2]All Counts'!O396</f>
        <v>8034</v>
      </c>
      <c r="L396" s="57">
        <f>VLOOKUP(ws[[#This Row],[hwycov_id]],readme!D:G,4,FALSE)</f>
        <v>9712.640625</v>
      </c>
      <c r="M396" s="88">
        <f>ws[[#This Row],[flow]]/ws[[#This Row],[count]]-1</f>
        <v>0.20894207430918588</v>
      </c>
      <c r="N396" s="89">
        <f>POWER((ws[[#This Row],[flow]]-ws[[#This Row],[count]]),2)</f>
        <v>2817834.3479003906</v>
      </c>
      <c r="O396" s="43">
        <f>VLOOKUP(ws[[#This Row],[hwycov_id]],count[],6,FALSE)</f>
        <v>0</v>
      </c>
      <c r="P396" s="43">
        <v>107</v>
      </c>
      <c r="Q396" s="43" t="str">
        <f>'[2]All Counts'!P396</f>
        <v>SANDAG</v>
      </c>
      <c r="S396" s="94">
        <v>16045</v>
      </c>
      <c r="T396" s="17"/>
      <c r="U396" s="17"/>
      <c r="V396" s="17">
        <v>10840</v>
      </c>
      <c r="W396" s="17">
        <v>11890.033203000001</v>
      </c>
      <c r="X396" s="17"/>
      <c r="Y396" s="17"/>
      <c r="Z396" s="17"/>
      <c r="AA396" s="17"/>
      <c r="AB396" s="17">
        <v>10840</v>
      </c>
      <c r="AC396" s="17">
        <v>11890.033203000001</v>
      </c>
      <c r="AD396"/>
      <c r="AE396"/>
    </row>
    <row r="397" spans="1:31" x14ac:dyDescent="0.25">
      <c r="A397" s="136">
        <f>'[2]All Counts'!C397</f>
        <v>29</v>
      </c>
      <c r="B397" s="136">
        <f>'[2]All Counts'!D397</f>
        <v>1</v>
      </c>
      <c r="C397" s="136">
        <f>'[2]All Counts'!E397</f>
        <v>23044</v>
      </c>
      <c r="D397" s="136">
        <f>'[2]All Counts'!F397</f>
        <v>1</v>
      </c>
      <c r="E397" s="136">
        <f>'[2]All Counts'!G397</f>
        <v>2</v>
      </c>
      <c r="F397" s="136" t="str">
        <f>'[2]All Counts'!H397</f>
        <v>I-15 HOV NB</v>
      </c>
      <c r="G397" s="136">
        <f>'[2]All Counts'!I397</f>
        <v>4</v>
      </c>
      <c r="H397" s="136">
        <f>'[2]All Counts'!J397</f>
        <v>1</v>
      </c>
      <c r="I397" s="136" t="str">
        <f>'[2]All Counts'!K397</f>
        <v>SR-163 NB</v>
      </c>
      <c r="J397" s="136" t="str">
        <f>'[2]All Counts'!L397</f>
        <v>SR-163</v>
      </c>
      <c r="K397" s="136">
        <f>'[2]All Counts'!O397</f>
        <v>8924</v>
      </c>
      <c r="L397" s="57">
        <f>VLOOKUP(ws[[#This Row],[hwycov_id]],readme!D:G,4,FALSE)</f>
        <v>9327.5654300000006</v>
      </c>
      <c r="M397" s="88">
        <f>ws[[#This Row],[flow]]/ws[[#This Row],[count]]-1</f>
        <v>4.5222482070820247E-2</v>
      </c>
      <c r="N397" s="89">
        <f>POWER((ws[[#This Row],[flow]]-ws[[#This Row],[count]]),2)</f>
        <v>162865.05629108535</v>
      </c>
      <c r="O397" s="43">
        <f>VLOOKUP(ws[[#This Row],[hwycov_id]],count[],6,FALSE)</f>
        <v>0</v>
      </c>
      <c r="P397" s="43">
        <v>673</v>
      </c>
      <c r="Q397" s="43" t="str">
        <f>'[2]All Counts'!P397</f>
        <v>PeMS2016</v>
      </c>
      <c r="S397" s="94">
        <v>16046</v>
      </c>
      <c r="T397" s="17">
        <v>13015</v>
      </c>
      <c r="U397" s="17">
        <v>15635.049805000001</v>
      </c>
      <c r="V397" s="17"/>
      <c r="W397" s="17"/>
      <c r="X397" s="17"/>
      <c r="Y397" s="17"/>
      <c r="Z397" s="17"/>
      <c r="AA397" s="17"/>
      <c r="AB397" s="17">
        <v>13015</v>
      </c>
      <c r="AC397" s="17">
        <v>15635.049805000001</v>
      </c>
      <c r="AD397"/>
      <c r="AE397"/>
    </row>
    <row r="398" spans="1:31" x14ac:dyDescent="0.25">
      <c r="A398" s="136">
        <f>'[2]All Counts'!C398</f>
        <v>29</v>
      </c>
      <c r="B398" s="136">
        <f>'[2]All Counts'!D398</f>
        <v>1</v>
      </c>
      <c r="C398" s="136">
        <f>'[2]All Counts'!E398</f>
        <v>459</v>
      </c>
      <c r="D398" s="136">
        <f>'[2]All Counts'!F398</f>
        <v>1</v>
      </c>
      <c r="E398" s="136">
        <f>'[2]All Counts'!G398</f>
        <v>2</v>
      </c>
      <c r="F398" s="136" t="str">
        <f>'[2]All Counts'!H398</f>
        <v>I-15 HOV NB</v>
      </c>
      <c r="G398" s="136">
        <f>'[2]All Counts'!I398</f>
        <v>7</v>
      </c>
      <c r="H398" s="136">
        <f>'[2]All Counts'!J398</f>
        <v>1</v>
      </c>
      <c r="I398" s="136" t="str">
        <f>'[2]All Counts'!K398</f>
        <v>MIRA MESA</v>
      </c>
      <c r="J398" s="136" t="str">
        <f>'[2]All Counts'!L398</f>
        <v>RANCHO PENASQUITOS</v>
      </c>
      <c r="K398" s="136">
        <f>'[2]All Counts'!O398</f>
        <v>8857</v>
      </c>
      <c r="L398" s="57">
        <f>VLOOKUP(ws[[#This Row],[hwycov_id]],readme!D:G,4,FALSE)</f>
        <v>9682.6972659999992</v>
      </c>
      <c r="M398" s="88">
        <f>ws[[#This Row],[flow]]/ws[[#This Row],[count]]-1</f>
        <v>9.322538850626616E-2</v>
      </c>
      <c r="N398" s="89">
        <f>POWER((ws[[#This Row],[flow]]-ws[[#This Row],[count]]),2)</f>
        <v>681775.97507987346</v>
      </c>
      <c r="O398" s="43">
        <f>VLOOKUP(ws[[#This Row],[hwycov_id]],count[],6,FALSE)</f>
        <v>0</v>
      </c>
      <c r="P398" s="43">
        <v>106</v>
      </c>
      <c r="Q398" s="43" t="str">
        <f>'[2]All Counts'!P398</f>
        <v>PeMS2016</v>
      </c>
      <c r="S398" s="94">
        <v>16085</v>
      </c>
      <c r="T398" s="17"/>
      <c r="U398" s="17"/>
      <c r="V398" s="17"/>
      <c r="W398" s="17"/>
      <c r="X398" s="17">
        <v>25919</v>
      </c>
      <c r="Y398" s="17">
        <v>22583.816406000002</v>
      </c>
      <c r="Z398" s="17"/>
      <c r="AA398" s="17"/>
      <c r="AB398" s="17">
        <v>25919</v>
      </c>
      <c r="AC398" s="17">
        <v>22583.816406000002</v>
      </c>
      <c r="AD398"/>
      <c r="AE398"/>
    </row>
    <row r="399" spans="1:31" x14ac:dyDescent="0.25">
      <c r="A399" s="136">
        <f>'[2]All Counts'!C399</f>
        <v>29</v>
      </c>
      <c r="B399" s="136">
        <f>'[2]All Counts'!D399</f>
        <v>1</v>
      </c>
      <c r="C399" s="136">
        <f>'[2]All Counts'!E399</f>
        <v>461</v>
      </c>
      <c r="D399" s="136">
        <f>'[2]All Counts'!F399</f>
        <v>1</v>
      </c>
      <c r="E399" s="136">
        <f>'[2]All Counts'!G399</f>
        <v>2</v>
      </c>
      <c r="F399" s="136" t="str">
        <f>'[2]All Counts'!H399</f>
        <v>I-15 HOV NB</v>
      </c>
      <c r="G399" s="136">
        <f>'[2]All Counts'!I399</f>
        <v>8</v>
      </c>
      <c r="H399" s="136">
        <f>'[2]All Counts'!J399</f>
        <v>1</v>
      </c>
      <c r="I399" s="136" t="str">
        <f>'[2]All Counts'!K399</f>
        <v>MIRA MESA</v>
      </c>
      <c r="J399" s="136" t="str">
        <f>'[2]All Counts'!L399</f>
        <v>RANCHO PENASQUITOS</v>
      </c>
      <c r="K399" s="136">
        <f>'[2]All Counts'!O399</f>
        <v>9658</v>
      </c>
      <c r="L399" s="57">
        <f>VLOOKUP(ws[[#This Row],[hwycov_id]],readme!D:G,4,FALSE)</f>
        <v>9682.6972659999992</v>
      </c>
      <c r="M399" s="88">
        <f>ws[[#This Row],[flow]]/ws[[#This Row],[count]]-1</f>
        <v>2.5571822323462445E-3</v>
      </c>
      <c r="N399" s="89">
        <f>POWER((ws[[#This Row],[flow]]-ws[[#This Row],[count]]),2)</f>
        <v>609.95494787471739</v>
      </c>
      <c r="O399" s="43">
        <f>VLOOKUP(ws[[#This Row],[hwycov_id]],count[],6,FALSE)</f>
        <v>0</v>
      </c>
      <c r="P399" s="43">
        <v>221</v>
      </c>
      <c r="Q399" s="43" t="str">
        <f>'[2]All Counts'!P399</f>
        <v>PeMS2016</v>
      </c>
      <c r="S399" s="94">
        <v>16096</v>
      </c>
      <c r="T399" s="17"/>
      <c r="U399" s="17"/>
      <c r="V399" s="17"/>
      <c r="W399" s="17"/>
      <c r="X399" s="17"/>
      <c r="Y399" s="17"/>
      <c r="Z399" s="17">
        <v>22510</v>
      </c>
      <c r="AA399" s="17">
        <v>24158.677734000001</v>
      </c>
      <c r="AB399" s="17">
        <v>22510</v>
      </c>
      <c r="AC399" s="17">
        <v>24158.677734000001</v>
      </c>
      <c r="AD399"/>
      <c r="AE399"/>
    </row>
    <row r="400" spans="1:31" x14ac:dyDescent="0.25">
      <c r="A400" s="136">
        <f>'[2]All Counts'!C400</f>
        <v>29</v>
      </c>
      <c r="B400" s="136">
        <f>'[2]All Counts'!D400</f>
        <v>1</v>
      </c>
      <c r="C400" s="136">
        <f>'[2]All Counts'!E400</f>
        <v>512</v>
      </c>
      <c r="D400" s="136">
        <f>'[2]All Counts'!F400</f>
        <v>1</v>
      </c>
      <c r="E400" s="136">
        <f>'[2]All Counts'!G400</f>
        <v>2</v>
      </c>
      <c r="F400" s="136" t="str">
        <f>'[2]All Counts'!H400</f>
        <v>I-15 HOV NB</v>
      </c>
      <c r="G400" s="136">
        <f>'[2]All Counts'!I400</f>
        <v>12</v>
      </c>
      <c r="H400" s="136">
        <f>'[2]All Counts'!J400</f>
        <v>2</v>
      </c>
      <c r="I400" s="136" t="str">
        <f>'[2]All Counts'!K400</f>
        <v>SR-56 EB</v>
      </c>
      <c r="J400" s="136" t="str">
        <f>'[2]All Counts'!L400</f>
        <v>CARMEL MTN</v>
      </c>
      <c r="K400" s="136">
        <f>'[2]All Counts'!O400</f>
        <v>8158</v>
      </c>
      <c r="L400" s="57">
        <f>VLOOKUP(ws[[#This Row],[hwycov_id]],readme!D:G,4,FALSE)</f>
        <v>9136.4882809999999</v>
      </c>
      <c r="M400" s="88">
        <f>ws[[#This Row],[flow]]/ws[[#This Row],[count]]-1</f>
        <v>0.11994217712674682</v>
      </c>
      <c r="N400" s="89">
        <f>POWER((ws[[#This Row],[flow]]-ws[[#This Row],[count]]),2)</f>
        <v>957439.31605433475</v>
      </c>
      <c r="O400" s="43">
        <f>VLOOKUP(ws[[#This Row],[hwycov_id]],count[],6,FALSE)</f>
        <v>0</v>
      </c>
      <c r="P400" s="43">
        <v>571</v>
      </c>
      <c r="Q400" s="43" t="str">
        <f>'[2]All Counts'!P400</f>
        <v>PeMS2016</v>
      </c>
      <c r="S400" s="94">
        <v>16125</v>
      </c>
      <c r="T400" s="17">
        <v>21321</v>
      </c>
      <c r="U400" s="17">
        <v>30691.626952999999</v>
      </c>
      <c r="V400" s="17"/>
      <c r="W400" s="17"/>
      <c r="X400" s="17"/>
      <c r="Y400" s="17"/>
      <c r="Z400" s="17"/>
      <c r="AA400" s="17"/>
      <c r="AB400" s="17">
        <v>21321</v>
      </c>
      <c r="AC400" s="17">
        <v>30691.626952999999</v>
      </c>
      <c r="AD400"/>
      <c r="AE400"/>
    </row>
    <row r="401" spans="1:31" x14ac:dyDescent="0.25">
      <c r="A401" s="136">
        <f>'[2]All Counts'!C401</f>
        <v>29</v>
      </c>
      <c r="B401" s="136">
        <f>'[2]All Counts'!D401</f>
        <v>1</v>
      </c>
      <c r="C401" s="136">
        <f>'[2]All Counts'!E401</f>
        <v>464</v>
      </c>
      <c r="D401" s="136">
        <f>'[2]All Counts'!F401</f>
        <v>1</v>
      </c>
      <c r="E401" s="136">
        <f>'[2]All Counts'!G401</f>
        <v>2</v>
      </c>
      <c r="F401" s="136" t="str">
        <f>'[2]All Counts'!H401</f>
        <v>I-15 HOV NB</v>
      </c>
      <c r="G401" s="136">
        <f>'[2]All Counts'!I401</f>
        <v>13</v>
      </c>
      <c r="H401" s="136">
        <f>'[2]All Counts'!J401</f>
        <v>0</v>
      </c>
      <c r="I401" s="136" t="str">
        <f>'[2]All Counts'!K401</f>
        <v>SR-56 EB</v>
      </c>
      <c r="J401" s="136" t="str">
        <f>'[2]All Counts'!L401</f>
        <v>CARMEL MTN</v>
      </c>
      <c r="K401" s="136">
        <f>'[2]All Counts'!O401</f>
        <v>7848</v>
      </c>
      <c r="L401" s="57">
        <f>VLOOKUP(ws[[#This Row],[hwycov_id]],readme!D:G,4,FALSE)</f>
        <v>8813.7617190000001</v>
      </c>
      <c r="M401" s="88">
        <f>ws[[#This Row],[flow]]/ws[[#This Row],[count]]-1</f>
        <v>0.12305832301223241</v>
      </c>
      <c r="N401" s="89">
        <f>POWER((ws[[#This Row],[flow]]-ws[[#This Row],[count]]),2)</f>
        <v>932695.69788583508</v>
      </c>
      <c r="O401" s="43">
        <f>VLOOKUP(ws[[#This Row],[hwycov_id]],count[],6,FALSE)</f>
        <v>0</v>
      </c>
      <c r="P401" s="43">
        <v>318</v>
      </c>
      <c r="Q401" s="43" t="str">
        <f>'[2]All Counts'!P401</f>
        <v>PeMS2016</v>
      </c>
      <c r="S401" s="94">
        <v>16127</v>
      </c>
      <c r="T401" s="17">
        <v>13149</v>
      </c>
      <c r="U401" s="17">
        <v>18554.042968999998</v>
      </c>
      <c r="V401" s="17"/>
      <c r="W401" s="17"/>
      <c r="X401" s="17"/>
      <c r="Y401" s="17"/>
      <c r="Z401" s="17"/>
      <c r="AA401" s="17"/>
      <c r="AB401" s="17">
        <v>13149</v>
      </c>
      <c r="AC401" s="17">
        <v>18554.042968999998</v>
      </c>
      <c r="AD401"/>
      <c r="AE401"/>
    </row>
    <row r="402" spans="1:31" x14ac:dyDescent="0.25">
      <c r="A402" s="136">
        <f>'[2]All Counts'!C402</f>
        <v>29</v>
      </c>
      <c r="B402" s="136">
        <f>'[2]All Counts'!D402</f>
        <v>1</v>
      </c>
      <c r="C402" s="136">
        <f>'[2]All Counts'!E402</f>
        <v>468</v>
      </c>
      <c r="D402" s="136">
        <f>'[2]All Counts'!F402</f>
        <v>1</v>
      </c>
      <c r="E402" s="136">
        <f>'[2]All Counts'!G402</f>
        <v>2</v>
      </c>
      <c r="F402" s="136" t="str">
        <f>'[2]All Counts'!H402</f>
        <v>I-15 HOV NB</v>
      </c>
      <c r="G402" s="136">
        <f>'[2]All Counts'!I402</f>
        <v>14</v>
      </c>
      <c r="H402" s="136">
        <f>'[2]All Counts'!J402</f>
        <v>0</v>
      </c>
      <c r="I402" s="136" t="str">
        <f>'[2]All Counts'!K402</f>
        <v>CAM DEL NORTE</v>
      </c>
      <c r="J402" s="136" t="str">
        <f>'[2]All Counts'!L402</f>
        <v>RANCHO BERNARDO</v>
      </c>
      <c r="K402" s="136">
        <f>'[2]All Counts'!O402</f>
        <v>9271</v>
      </c>
      <c r="L402" s="57">
        <f>VLOOKUP(ws[[#This Row],[hwycov_id]],readme!D:G,4,FALSE)</f>
        <v>8230.4082030000009</v>
      </c>
      <c r="M402" s="88">
        <f>ws[[#This Row],[flow]]/ws[[#This Row],[count]]-1</f>
        <v>-0.11224159173767656</v>
      </c>
      <c r="N402" s="89">
        <f>POWER((ws[[#This Row],[flow]]-ws[[#This Row],[count]]),2)</f>
        <v>1082831.2879836874</v>
      </c>
      <c r="O402" s="43">
        <f>VLOOKUP(ws[[#This Row],[hwycov_id]],count[],6,FALSE)</f>
        <v>0</v>
      </c>
      <c r="P402" s="43">
        <v>332</v>
      </c>
      <c r="Q402" s="43" t="str">
        <f>'[2]All Counts'!P402</f>
        <v>PeMS2016</v>
      </c>
      <c r="S402" s="94">
        <v>16128</v>
      </c>
      <c r="T402" s="17">
        <v>13795</v>
      </c>
      <c r="U402" s="17">
        <v>17869.894531000002</v>
      </c>
      <c r="V402" s="17"/>
      <c r="W402" s="17"/>
      <c r="X402" s="17"/>
      <c r="Y402" s="17"/>
      <c r="Z402" s="17"/>
      <c r="AA402" s="17"/>
      <c r="AB402" s="17">
        <v>13795</v>
      </c>
      <c r="AC402" s="17">
        <v>17869.894531000002</v>
      </c>
      <c r="AD402"/>
      <c r="AE402"/>
    </row>
    <row r="403" spans="1:31" x14ac:dyDescent="0.25">
      <c r="A403" s="136">
        <f>'[2]All Counts'!C403</f>
        <v>29</v>
      </c>
      <c r="B403" s="136">
        <f>'[2]All Counts'!D403</f>
        <v>1</v>
      </c>
      <c r="C403" s="136">
        <f>'[2]All Counts'!E403</f>
        <v>469</v>
      </c>
      <c r="D403" s="136">
        <f>'[2]All Counts'!F403</f>
        <v>1</v>
      </c>
      <c r="E403" s="136">
        <f>'[2]All Counts'!G403</f>
        <v>2</v>
      </c>
      <c r="F403" s="136" t="str">
        <f>'[2]All Counts'!H403</f>
        <v>I-15 HOV NB</v>
      </c>
      <c r="G403" s="136">
        <f>'[2]All Counts'!I403</f>
        <v>15</v>
      </c>
      <c r="H403" s="136">
        <f>'[2]All Counts'!J403</f>
        <v>1</v>
      </c>
      <c r="I403" s="136" t="str">
        <f>'[2]All Counts'!K403</f>
        <v>CAM DEL NORTE</v>
      </c>
      <c r="J403" s="136" t="str">
        <f>'[2]All Counts'!L403</f>
        <v>RANCHO BERNARDO</v>
      </c>
      <c r="K403" s="136">
        <f>'[2]All Counts'!O403</f>
        <v>8031</v>
      </c>
      <c r="L403" s="57">
        <f>VLOOKUP(ws[[#This Row],[hwycov_id]],readme!D:G,4,FALSE)</f>
        <v>11116.642578000001</v>
      </c>
      <c r="M403" s="88">
        <f>ws[[#This Row],[flow]]/ws[[#This Row],[count]]-1</f>
        <v>0.38421648337691461</v>
      </c>
      <c r="N403" s="89">
        <f>POWER((ws[[#This Row],[flow]]-ws[[#This Row],[count]]),2)</f>
        <v>9521190.1191664916</v>
      </c>
      <c r="O403" s="43">
        <f>VLOOKUP(ws[[#This Row],[hwycov_id]],count[],6,FALSE)</f>
        <v>0</v>
      </c>
      <c r="P403" s="43">
        <v>333</v>
      </c>
      <c r="Q403" s="43" t="str">
        <f>'[2]All Counts'!P403</f>
        <v>PeMS2016</v>
      </c>
      <c r="S403" s="94">
        <v>16136</v>
      </c>
      <c r="T403" s="17">
        <v>16609</v>
      </c>
      <c r="U403" s="17">
        <v>20433.730468999998</v>
      </c>
      <c r="V403" s="17"/>
      <c r="W403" s="17"/>
      <c r="X403" s="17"/>
      <c r="Y403" s="17"/>
      <c r="Z403" s="17"/>
      <c r="AA403" s="17"/>
      <c r="AB403" s="17">
        <v>16609</v>
      </c>
      <c r="AC403" s="17">
        <v>20433.730468999998</v>
      </c>
      <c r="AD403"/>
      <c r="AE403"/>
    </row>
    <row r="404" spans="1:31" x14ac:dyDescent="0.25">
      <c r="A404" s="136">
        <f>'[2]All Counts'!C404</f>
        <v>29</v>
      </c>
      <c r="B404" s="136">
        <f>'[2]All Counts'!D404</f>
        <v>1</v>
      </c>
      <c r="C404" s="136">
        <f>'[2]All Counts'!E404</f>
        <v>470</v>
      </c>
      <c r="D404" s="136">
        <f>'[2]All Counts'!F404</f>
        <v>1</v>
      </c>
      <c r="E404" s="136">
        <f>'[2]All Counts'!G404</f>
        <v>2</v>
      </c>
      <c r="F404" s="136" t="str">
        <f>'[2]All Counts'!H404</f>
        <v>I-15 HOV NB</v>
      </c>
      <c r="G404" s="136">
        <f>'[2]All Counts'!I404</f>
        <v>16</v>
      </c>
      <c r="H404" s="136">
        <f>'[2]All Counts'!J404</f>
        <v>0</v>
      </c>
      <c r="I404" s="136" t="str">
        <f>'[2]All Counts'!K404</f>
        <v>CAM DEL NORTE</v>
      </c>
      <c r="J404" s="136" t="str">
        <f>'[2]All Counts'!L404</f>
        <v>RANCHO BERNARDO</v>
      </c>
      <c r="K404" s="136">
        <f>'[2]All Counts'!O404</f>
        <v>9947</v>
      </c>
      <c r="L404" s="57">
        <f>VLOOKUP(ws[[#This Row],[hwycov_id]],readme!D:G,4,FALSE)</f>
        <v>10056.764648</v>
      </c>
      <c r="M404" s="88">
        <f>ws[[#This Row],[flow]]/ws[[#This Row],[count]]-1</f>
        <v>1.1034950035186508E-2</v>
      </c>
      <c r="N404" s="89">
        <f>POWER((ws[[#This Row],[flow]]-ws[[#This Row],[count]]),2)</f>
        <v>12048.277950563972</v>
      </c>
      <c r="O404" s="43">
        <f>VLOOKUP(ws[[#This Row],[hwycov_id]],count[],6,FALSE)</f>
        <v>0</v>
      </c>
      <c r="P404" s="43">
        <v>335</v>
      </c>
      <c r="Q404" s="43" t="str">
        <f>'[2]All Counts'!P404</f>
        <v>PeMS2016</v>
      </c>
      <c r="S404" s="94">
        <v>16144</v>
      </c>
      <c r="T404" s="17"/>
      <c r="U404" s="17"/>
      <c r="V404" s="17"/>
      <c r="W404" s="17"/>
      <c r="X404" s="17"/>
      <c r="Y404" s="17"/>
      <c r="Z404" s="17">
        <v>10773</v>
      </c>
      <c r="AA404" s="17">
        <v>10832.131836</v>
      </c>
      <c r="AB404" s="17">
        <v>10773</v>
      </c>
      <c r="AC404" s="17">
        <v>10832.131836</v>
      </c>
      <c r="AD404"/>
      <c r="AE404"/>
    </row>
    <row r="405" spans="1:31" x14ac:dyDescent="0.25">
      <c r="A405" s="136">
        <f>'[2]All Counts'!C405</f>
        <v>29</v>
      </c>
      <c r="B405" s="136">
        <f>'[2]All Counts'!D405</f>
        <v>1</v>
      </c>
      <c r="C405" s="136">
        <f>'[2]All Counts'!E405</f>
        <v>23053</v>
      </c>
      <c r="D405" s="136">
        <f>'[2]All Counts'!F405</f>
        <v>1</v>
      </c>
      <c r="E405" s="136">
        <f>'[2]All Counts'!G405</f>
        <v>2</v>
      </c>
      <c r="F405" s="136" t="str">
        <f>'[2]All Counts'!H405</f>
        <v>I-15 HOV NB</v>
      </c>
      <c r="G405" s="136">
        <f>'[2]All Counts'!I405</f>
        <v>17</v>
      </c>
      <c r="H405" s="136">
        <f>'[2]All Counts'!J405</f>
        <v>1</v>
      </c>
      <c r="I405" s="136" t="str">
        <f>'[2]All Counts'!K405</f>
        <v>RANCHO BERNARDO</v>
      </c>
      <c r="J405" s="136" t="str">
        <f>'[2]All Counts'!L405</f>
        <v>POMERADO</v>
      </c>
      <c r="K405" s="136">
        <f>'[2]All Counts'!O405</f>
        <v>10052</v>
      </c>
      <c r="L405" s="57">
        <f>VLOOKUP(ws[[#This Row],[hwycov_id]],readme!D:G,4,FALSE)</f>
        <v>10056.764648</v>
      </c>
      <c r="M405" s="88">
        <f>ws[[#This Row],[flow]]/ws[[#This Row],[count]]-1</f>
        <v>4.7400000000008546E-4</v>
      </c>
      <c r="N405" s="89">
        <f>POWER((ws[[#This Row],[flow]]-ws[[#This Row],[count]]),2)</f>
        <v>22.701870563906922</v>
      </c>
      <c r="O405" s="43">
        <f>VLOOKUP(ws[[#This Row],[hwycov_id]],count[],6,FALSE)</f>
        <v>0</v>
      </c>
      <c r="P405" s="43">
        <v>709</v>
      </c>
      <c r="Q405" s="43" t="str">
        <f>'[2]All Counts'!P405</f>
        <v>PeMS2016</v>
      </c>
      <c r="S405" s="94">
        <v>16162</v>
      </c>
      <c r="T405" s="17"/>
      <c r="U405" s="17"/>
      <c r="V405" s="17">
        <v>20825</v>
      </c>
      <c r="W405" s="17">
        <v>13179.798828000001</v>
      </c>
      <c r="X405" s="17"/>
      <c r="Y405" s="17"/>
      <c r="Z405" s="17"/>
      <c r="AA405" s="17"/>
      <c r="AB405" s="17">
        <v>20825</v>
      </c>
      <c r="AC405" s="17">
        <v>13179.798828000001</v>
      </c>
      <c r="AD405"/>
      <c r="AE405"/>
    </row>
    <row r="406" spans="1:31" x14ac:dyDescent="0.25">
      <c r="A406" s="136">
        <f>'[2]All Counts'!C406</f>
        <v>29</v>
      </c>
      <c r="B406" s="136">
        <f>'[2]All Counts'!D406</f>
        <v>1</v>
      </c>
      <c r="C406" s="136">
        <f>'[2]All Counts'!E406</f>
        <v>473</v>
      </c>
      <c r="D406" s="136">
        <f>'[2]All Counts'!F406</f>
        <v>1</v>
      </c>
      <c r="E406" s="136">
        <f>'[2]All Counts'!G406</f>
        <v>2</v>
      </c>
      <c r="F406" s="136" t="str">
        <f>'[2]All Counts'!H406</f>
        <v>I-15 HOV NB</v>
      </c>
      <c r="G406" s="136">
        <f>'[2]All Counts'!I406</f>
        <v>18</v>
      </c>
      <c r="H406" s="136">
        <f>'[2]All Counts'!J406</f>
        <v>0</v>
      </c>
      <c r="I406" s="136" t="str">
        <f>'[2]All Counts'!K406</f>
        <v>VIA RANCHO</v>
      </c>
      <c r="J406" s="136" t="str">
        <f>'[2]All Counts'!L406</f>
        <v>VIA RANCHO</v>
      </c>
      <c r="K406" s="136">
        <f>'[2]All Counts'!O406</f>
        <v>9971</v>
      </c>
      <c r="L406" s="57">
        <f>VLOOKUP(ws[[#This Row],[hwycov_id]],readme!D:G,4,FALSE)</f>
        <v>8831.734375</v>
      </c>
      <c r="M406" s="88">
        <f>ws[[#This Row],[flow]]/ws[[#This Row],[count]]-1</f>
        <v>-0.11425791044027678</v>
      </c>
      <c r="N406" s="89">
        <f>POWER((ws[[#This Row],[flow]]-ws[[#This Row],[count]]),2)</f>
        <v>1297926.1643066406</v>
      </c>
      <c r="O406" s="43">
        <f>VLOOKUP(ws[[#This Row],[hwycov_id]],count[],6,FALSE)</f>
        <v>0</v>
      </c>
      <c r="P406" s="43">
        <v>663</v>
      </c>
      <c r="Q406" s="43" t="str">
        <f>'[2]All Counts'!P406</f>
        <v>PeMS2016</v>
      </c>
      <c r="S406" s="94">
        <v>16163</v>
      </c>
      <c r="T406" s="17"/>
      <c r="U406" s="17"/>
      <c r="V406" s="17">
        <v>25016</v>
      </c>
      <c r="W406" s="17">
        <v>15696.981444999999</v>
      </c>
      <c r="X406" s="17"/>
      <c r="Y406" s="17"/>
      <c r="Z406" s="17"/>
      <c r="AA406" s="17"/>
      <c r="AB406" s="17">
        <v>25016</v>
      </c>
      <c r="AC406" s="17">
        <v>15696.981444999999</v>
      </c>
      <c r="AD406"/>
      <c r="AE406"/>
    </row>
    <row r="407" spans="1:31" x14ac:dyDescent="0.25">
      <c r="A407" s="136">
        <f>'[2]All Counts'!C407</f>
        <v>29</v>
      </c>
      <c r="B407" s="136">
        <f>'[2]All Counts'!D407</f>
        <v>1</v>
      </c>
      <c r="C407" s="136">
        <f>'[2]All Counts'!E407</f>
        <v>510</v>
      </c>
      <c r="D407" s="136">
        <f>'[2]All Counts'!F407</f>
        <v>1</v>
      </c>
      <c r="E407" s="136">
        <f>'[2]All Counts'!G407</f>
        <v>2</v>
      </c>
      <c r="F407" s="136" t="str">
        <f>'[2]All Counts'!H407</f>
        <v>I-15 HOV NB</v>
      </c>
      <c r="G407" s="136">
        <f>'[2]All Counts'!I407</f>
        <v>19</v>
      </c>
      <c r="H407" s="136">
        <f>'[2]All Counts'!J407</f>
        <v>1</v>
      </c>
      <c r="I407" s="136" t="str">
        <f>'[2]All Counts'!K407</f>
        <v>VIA RANCHO</v>
      </c>
      <c r="J407" s="136" t="str">
        <f>'[2]All Counts'!L407</f>
        <v>CITRACADO</v>
      </c>
      <c r="K407" s="136">
        <f>'[2]All Counts'!O407</f>
        <v>9553</v>
      </c>
      <c r="L407" s="57">
        <f>VLOOKUP(ws[[#This Row],[hwycov_id]],readme!D:G,4,FALSE)</f>
        <v>9763.4189449999994</v>
      </c>
      <c r="M407" s="88">
        <f>ws[[#This Row],[flow]]/ws[[#This Row],[count]]-1</f>
        <v>2.202647806971636E-2</v>
      </c>
      <c r="N407" s="89">
        <f>POWER((ws[[#This Row],[flow]]-ws[[#This Row],[count]]),2)</f>
        <v>44276.13241491279</v>
      </c>
      <c r="O407" s="43">
        <f>VLOOKUP(ws[[#This Row],[hwycov_id]],count[],6,FALSE)</f>
        <v>0</v>
      </c>
      <c r="P407" s="43">
        <v>664</v>
      </c>
      <c r="Q407" s="43" t="str">
        <f>'[2]All Counts'!P407</f>
        <v>PeMS2016</v>
      </c>
      <c r="S407" s="94">
        <v>16183</v>
      </c>
      <c r="T407" s="17">
        <v>16031</v>
      </c>
      <c r="U407" s="17">
        <v>15686.220703000001</v>
      </c>
      <c r="V407" s="17"/>
      <c r="W407" s="17"/>
      <c r="X407" s="17"/>
      <c r="Y407" s="17"/>
      <c r="Z407" s="17"/>
      <c r="AA407" s="17"/>
      <c r="AB407" s="17">
        <v>16031</v>
      </c>
      <c r="AC407" s="17">
        <v>15686.220703000001</v>
      </c>
      <c r="AD407"/>
      <c r="AE407"/>
    </row>
    <row r="408" spans="1:31" x14ac:dyDescent="0.25">
      <c r="A408" s="136">
        <f>'[2]All Counts'!C408</f>
        <v>29</v>
      </c>
      <c r="B408" s="136">
        <f>'[2]All Counts'!D408</f>
        <v>1</v>
      </c>
      <c r="C408" s="136">
        <f>'[2]All Counts'!E408</f>
        <v>29368</v>
      </c>
      <c r="D408" s="136">
        <f>'[2]All Counts'!F408</f>
        <v>1</v>
      </c>
      <c r="E408" s="136">
        <f>'[2]All Counts'!G408</f>
        <v>2</v>
      </c>
      <c r="F408" s="136" t="str">
        <f>'[2]All Counts'!H408</f>
        <v>I-15 HOV NB</v>
      </c>
      <c r="G408" s="136">
        <f>'[2]All Counts'!I408</f>
        <v>20</v>
      </c>
      <c r="H408" s="136">
        <f>'[2]All Counts'!J408</f>
        <v>2</v>
      </c>
      <c r="I408" s="136" t="str">
        <f>'[2]All Counts'!K408</f>
        <v>VIA RANCHO</v>
      </c>
      <c r="J408" s="136" t="str">
        <f>'[2]All Counts'!L408</f>
        <v>CITRACADO</v>
      </c>
      <c r="K408" s="136">
        <f>'[2]All Counts'!O408</f>
        <v>6574</v>
      </c>
      <c r="L408" s="57">
        <f>VLOOKUP(ws[[#This Row],[hwycov_id]],readme!D:G,4,FALSE)</f>
        <v>6289.7080079999996</v>
      </c>
      <c r="M408" s="88">
        <f>ws[[#This Row],[flow]]/ws[[#This Row],[count]]-1</f>
        <v>-4.3244902951019237E-2</v>
      </c>
      <c r="N408" s="89">
        <f>POWER((ws[[#This Row],[flow]]-ws[[#This Row],[count]]),2)</f>
        <v>80821.93671532828</v>
      </c>
      <c r="O408" s="43">
        <f>VLOOKUP(ws[[#This Row],[hwycov_id]],count[],6,FALSE)</f>
        <v>0</v>
      </c>
      <c r="P408" s="43">
        <v>140</v>
      </c>
      <c r="Q408" s="43" t="str">
        <f>'[2]All Counts'!P408</f>
        <v>PeMS2016</v>
      </c>
      <c r="S408" s="94">
        <v>16272</v>
      </c>
      <c r="T408" s="17"/>
      <c r="U408" s="17"/>
      <c r="V408" s="17">
        <v>20948</v>
      </c>
      <c r="W408" s="17">
        <v>20066.865234000001</v>
      </c>
      <c r="X408" s="17"/>
      <c r="Y408" s="17"/>
      <c r="Z408" s="17"/>
      <c r="AA408" s="17"/>
      <c r="AB408" s="17">
        <v>20948</v>
      </c>
      <c r="AC408" s="17">
        <v>20066.865234000001</v>
      </c>
      <c r="AD408"/>
      <c r="AE408"/>
    </row>
    <row r="409" spans="1:31" x14ac:dyDescent="0.25">
      <c r="A409" s="136">
        <f>'[2]All Counts'!C409</f>
        <v>29</v>
      </c>
      <c r="B409" s="136">
        <f>'[2]All Counts'!D409</f>
        <v>1</v>
      </c>
      <c r="C409" s="136">
        <f>'[2]All Counts'!E409</f>
        <v>9808</v>
      </c>
      <c r="D409" s="136">
        <f>'[2]All Counts'!F409</f>
        <v>1</v>
      </c>
      <c r="E409" s="136">
        <f>'[2]All Counts'!G409</f>
        <v>2</v>
      </c>
      <c r="F409" s="136" t="str">
        <f>'[2]All Counts'!H409</f>
        <v>I-15 HOV NB</v>
      </c>
      <c r="G409" s="136">
        <f>'[2]All Counts'!I409</f>
        <v>21</v>
      </c>
      <c r="H409" s="136">
        <f>'[2]All Counts'!J409</f>
        <v>0</v>
      </c>
      <c r="I409" s="136" t="str">
        <f>'[2]All Counts'!K409</f>
        <v>VALLEY</v>
      </c>
      <c r="J409" s="136" t="str">
        <f>'[2]All Counts'!L409</f>
        <v>SR-78</v>
      </c>
      <c r="K409" s="136">
        <f>'[2]All Counts'!O409</f>
        <v>5329</v>
      </c>
      <c r="L409" s="57">
        <f>VLOOKUP(ws[[#This Row],[hwycov_id]],readme!D:G,4,FALSE)</f>
        <v>5462.951172</v>
      </c>
      <c r="M409" s="88">
        <f>ws[[#This Row],[flow]]/ws[[#This Row],[count]]-1</f>
        <v>2.5136267967723835E-2</v>
      </c>
      <c r="N409" s="89">
        <f>POWER((ws[[#This Row],[flow]]-ws[[#This Row],[count]]),2)</f>
        <v>17942.916480173597</v>
      </c>
      <c r="O409" s="43">
        <f>VLOOKUP(ws[[#This Row],[hwycov_id]],count[],6,FALSE)</f>
        <v>0</v>
      </c>
      <c r="P409" s="43">
        <v>506</v>
      </c>
      <c r="Q409" s="43" t="str">
        <f>'[2]All Counts'!P409</f>
        <v>PeMS2016</v>
      </c>
      <c r="S409" s="94">
        <v>16275</v>
      </c>
      <c r="T409" s="17">
        <v>22564</v>
      </c>
      <c r="U409" s="17">
        <v>30655.644531000002</v>
      </c>
      <c r="V409" s="17"/>
      <c r="W409" s="17"/>
      <c r="X409" s="17"/>
      <c r="Y409" s="17"/>
      <c r="Z409" s="17"/>
      <c r="AA409" s="17"/>
      <c r="AB409" s="17">
        <v>22564</v>
      </c>
      <c r="AC409" s="17">
        <v>30655.644531000002</v>
      </c>
      <c r="AD409"/>
      <c r="AE409"/>
    </row>
    <row r="410" spans="1:31" x14ac:dyDescent="0.25">
      <c r="A410" s="136">
        <f>'[2]All Counts'!C410</f>
        <v>30</v>
      </c>
      <c r="B410" s="136">
        <f>'[2]All Counts'!D410</f>
        <v>2</v>
      </c>
      <c r="C410" s="136">
        <f>'[2]All Counts'!E410</f>
        <v>25749</v>
      </c>
      <c r="D410" s="136">
        <f>'[2]All Counts'!F410</f>
        <v>1</v>
      </c>
      <c r="E410" s="136">
        <f>'[2]All Counts'!G410</f>
        <v>2</v>
      </c>
      <c r="F410" s="136" t="str">
        <f>'[2]All Counts'!H410</f>
        <v>I-15 HOV SB</v>
      </c>
      <c r="G410" s="136">
        <f>'[2]All Counts'!I410</f>
        <v>3</v>
      </c>
      <c r="H410" s="136">
        <f>'[2]All Counts'!J410</f>
        <v>2</v>
      </c>
      <c r="I410" s="136" t="str">
        <f>'[2]All Counts'!K410</f>
        <v>SR-78</v>
      </c>
      <c r="J410" s="136" t="str">
        <f>'[2]All Counts'!L410</f>
        <v>VALLEY</v>
      </c>
      <c r="K410" s="136">
        <f>'[2]All Counts'!O410</f>
        <v>2864</v>
      </c>
      <c r="L410" s="57">
        <f>VLOOKUP(ws[[#This Row],[hwycov_id]],readme!D:G,4,FALSE)</f>
        <v>2576.515625</v>
      </c>
      <c r="M410" s="88">
        <f>ws[[#This Row],[flow]]/ws[[#This Row],[count]]-1</f>
        <v>-0.10037862255586594</v>
      </c>
      <c r="N410" s="89">
        <f>POWER((ws[[#This Row],[flow]]-ws[[#This Row],[count]]),2)</f>
        <v>82647.265869140625</v>
      </c>
      <c r="O410" s="43">
        <f>VLOOKUP(ws[[#This Row],[hwycov_id]],count[],6,FALSE)</f>
        <v>0</v>
      </c>
      <c r="P410" s="43">
        <v>306</v>
      </c>
      <c r="Q410" s="43" t="str">
        <f>'[2]All Counts'!P410</f>
        <v>PeMS2016</v>
      </c>
      <c r="S410" s="94">
        <v>16290</v>
      </c>
      <c r="T410" s="17">
        <v>21530</v>
      </c>
      <c r="U410" s="17">
        <v>28770.027343999998</v>
      </c>
      <c r="V410" s="17"/>
      <c r="W410" s="17"/>
      <c r="X410" s="17"/>
      <c r="Y410" s="17"/>
      <c r="Z410" s="17"/>
      <c r="AA410" s="17"/>
      <c r="AB410" s="17">
        <v>21530</v>
      </c>
      <c r="AC410" s="17">
        <v>28770.027343999998</v>
      </c>
      <c r="AD410"/>
      <c r="AE410"/>
    </row>
    <row r="411" spans="1:31" x14ac:dyDescent="0.25">
      <c r="A411" s="136">
        <f>'[2]All Counts'!C411</f>
        <v>30</v>
      </c>
      <c r="B411" s="136">
        <f>'[2]All Counts'!D411</f>
        <v>2</v>
      </c>
      <c r="C411" s="136">
        <f>'[2]All Counts'!E411</f>
        <v>29442</v>
      </c>
      <c r="D411" s="136">
        <f>'[2]All Counts'!F411</f>
        <v>1</v>
      </c>
      <c r="E411" s="136">
        <f>'[2]All Counts'!G411</f>
        <v>2</v>
      </c>
      <c r="F411" s="136" t="str">
        <f>'[2]All Counts'!H411</f>
        <v>I-15 HOV SB</v>
      </c>
      <c r="G411" s="136">
        <f>'[2]All Counts'!I411</f>
        <v>4</v>
      </c>
      <c r="H411" s="136">
        <f>'[2]All Counts'!J411</f>
        <v>1</v>
      </c>
      <c r="I411" s="136" t="str">
        <f>'[2]All Counts'!K411</f>
        <v>CITRACADO</v>
      </c>
      <c r="J411" s="136" t="str">
        <f>'[2]All Counts'!L411</f>
        <v>CITRACADO</v>
      </c>
      <c r="K411" s="136">
        <f>'[2]All Counts'!O411</f>
        <v>3405</v>
      </c>
      <c r="L411" s="57">
        <f>VLOOKUP(ws[[#This Row],[hwycov_id]],readme!D:G,4,FALSE)</f>
        <v>2672.876221</v>
      </c>
      <c r="M411" s="88">
        <f>ws[[#This Row],[flow]]/ws[[#This Row],[count]]-1</f>
        <v>-0.21501432569750367</v>
      </c>
      <c r="N411" s="89">
        <f>POWER((ws[[#This Row],[flow]]-ws[[#This Row],[count]]),2)</f>
        <v>536005.22777724091</v>
      </c>
      <c r="O411" s="43">
        <f>VLOOKUP(ws[[#This Row],[hwycov_id]],count[],6,FALSE)</f>
        <v>0</v>
      </c>
      <c r="P411" s="43">
        <v>307</v>
      </c>
      <c r="Q411" s="43" t="str">
        <f>'[2]All Counts'!P411</f>
        <v>PeMS2016</v>
      </c>
      <c r="S411" s="94">
        <v>16291</v>
      </c>
      <c r="T411" s="17">
        <v>22460</v>
      </c>
      <c r="U411" s="17">
        <v>30049.851562</v>
      </c>
      <c r="V411" s="17"/>
      <c r="W411" s="17"/>
      <c r="X411" s="17"/>
      <c r="Y411" s="17"/>
      <c r="Z411" s="17"/>
      <c r="AA411" s="17"/>
      <c r="AB411" s="17">
        <v>22460</v>
      </c>
      <c r="AC411" s="17">
        <v>30049.851562</v>
      </c>
      <c r="AD411"/>
      <c r="AE411"/>
    </row>
    <row r="412" spans="1:31" x14ac:dyDescent="0.25">
      <c r="A412" s="136">
        <f>'[2]All Counts'!C412</f>
        <v>30</v>
      </c>
      <c r="B412" s="136">
        <f>'[2]All Counts'!D412</f>
        <v>2</v>
      </c>
      <c r="C412" s="136">
        <f>'[2]All Counts'!E412</f>
        <v>513</v>
      </c>
      <c r="D412" s="136">
        <f>'[2]All Counts'!F412</f>
        <v>1</v>
      </c>
      <c r="E412" s="136">
        <f>'[2]All Counts'!G412</f>
        <v>2</v>
      </c>
      <c r="F412" s="136" t="str">
        <f>'[2]All Counts'!H412</f>
        <v>I-15 HOV SB</v>
      </c>
      <c r="G412" s="136">
        <f>'[2]All Counts'!I412</f>
        <v>5</v>
      </c>
      <c r="H412" s="136">
        <f>'[2]All Counts'!J412</f>
        <v>0</v>
      </c>
      <c r="I412" s="136" t="str">
        <f>'[2]All Counts'!K412</f>
        <v>VIA RANCHO</v>
      </c>
      <c r="J412" s="136" t="str">
        <f>'[2]All Counts'!L412</f>
        <v>VIA RANCHO</v>
      </c>
      <c r="K412" s="136">
        <f>'[2]All Counts'!O412</f>
        <v>2933</v>
      </c>
      <c r="L412" s="57">
        <f>VLOOKUP(ws[[#This Row],[hwycov_id]],readme!D:G,4,FALSE)</f>
        <v>2260.2270509999998</v>
      </c>
      <c r="M412" s="88">
        <f>ws[[#This Row],[flow]]/ws[[#This Row],[count]]-1</f>
        <v>-0.22938048039549952</v>
      </c>
      <c r="N412" s="89">
        <f>POWER((ws[[#This Row],[flow]]-ws[[#This Row],[count]]),2)</f>
        <v>452623.44090615679</v>
      </c>
      <c r="O412" s="43">
        <f>VLOOKUP(ws[[#This Row],[hwycov_id]],count[],6,FALSE)</f>
        <v>0</v>
      </c>
      <c r="P412" s="43">
        <v>308</v>
      </c>
      <c r="Q412" s="43" t="str">
        <f>'[2]All Counts'!P412</f>
        <v>PeMS2016</v>
      </c>
      <c r="S412" s="94">
        <v>16350</v>
      </c>
      <c r="T412" s="17"/>
      <c r="U412" s="17"/>
      <c r="V412" s="17"/>
      <c r="W412" s="17"/>
      <c r="X412" s="17"/>
      <c r="Y412" s="17"/>
      <c r="Z412" s="17">
        <v>12710</v>
      </c>
      <c r="AA412" s="17">
        <v>12247.650390999999</v>
      </c>
      <c r="AB412" s="17">
        <v>12710</v>
      </c>
      <c r="AC412" s="17">
        <v>12247.650390999999</v>
      </c>
      <c r="AD412"/>
      <c r="AE412"/>
    </row>
    <row r="413" spans="1:31" x14ac:dyDescent="0.25">
      <c r="A413" s="136">
        <f>'[2]All Counts'!C413</f>
        <v>30</v>
      </c>
      <c r="B413" s="136">
        <f>'[2]All Counts'!D413</f>
        <v>2</v>
      </c>
      <c r="C413" s="136">
        <f>'[2]All Counts'!E413</f>
        <v>23128</v>
      </c>
      <c r="D413" s="136">
        <f>'[2]All Counts'!F413</f>
        <v>1</v>
      </c>
      <c r="E413" s="136">
        <f>'[2]All Counts'!G413</f>
        <v>2</v>
      </c>
      <c r="F413" s="136" t="str">
        <f>'[2]All Counts'!H413</f>
        <v>I-15 HOV SB</v>
      </c>
      <c r="G413" s="136">
        <f>'[2]All Counts'!I413</f>
        <v>6</v>
      </c>
      <c r="H413" s="136">
        <f>'[2]All Counts'!J413</f>
        <v>2</v>
      </c>
      <c r="I413" s="136" t="str">
        <f>'[2]All Counts'!K413</f>
        <v>VIA RANCHO</v>
      </c>
      <c r="J413" s="136" t="str">
        <f>'[2]All Counts'!L413</f>
        <v>VIA RANCHO</v>
      </c>
      <c r="K413" s="136">
        <f>'[2]All Counts'!O413</f>
        <v>4115</v>
      </c>
      <c r="L413" s="57">
        <f>VLOOKUP(ws[[#This Row],[hwycov_id]],readme!D:G,4,FALSE)</f>
        <v>3654.3554690000001</v>
      </c>
      <c r="M413" s="88">
        <f>ws[[#This Row],[flow]]/ws[[#This Row],[count]]-1</f>
        <v>-0.11194277788578366</v>
      </c>
      <c r="N413" s="89">
        <f>POWER((ws[[#This Row],[flow]]-ws[[#This Row],[count]]),2)</f>
        <v>212193.3839402099</v>
      </c>
      <c r="O413" s="43">
        <f>VLOOKUP(ws[[#This Row],[hwycov_id]],count[],6,FALSE)</f>
        <v>0</v>
      </c>
      <c r="P413" s="43">
        <v>706</v>
      </c>
      <c r="Q413" s="43" t="str">
        <f>'[2]All Counts'!P413</f>
        <v>PeMS2016</v>
      </c>
      <c r="S413" s="94">
        <v>16351</v>
      </c>
      <c r="T413" s="17"/>
      <c r="U413" s="17"/>
      <c r="V413" s="17"/>
      <c r="W413" s="17"/>
      <c r="X413" s="17">
        <v>5806</v>
      </c>
      <c r="Y413" s="17">
        <v>7528.3403319999998</v>
      </c>
      <c r="Z413" s="17"/>
      <c r="AA413" s="17"/>
      <c r="AB413" s="17">
        <v>5806</v>
      </c>
      <c r="AC413" s="17">
        <v>7528.3403319999998</v>
      </c>
      <c r="AD413"/>
      <c r="AE413"/>
    </row>
    <row r="414" spans="1:31" x14ac:dyDescent="0.25">
      <c r="A414" s="136">
        <f>'[2]All Counts'!C414</f>
        <v>30</v>
      </c>
      <c r="B414" s="136">
        <f>'[2]All Counts'!D414</f>
        <v>2</v>
      </c>
      <c r="C414" s="136">
        <f>'[2]All Counts'!E414</f>
        <v>31204</v>
      </c>
      <c r="D414" s="136">
        <f>'[2]All Counts'!F414</f>
        <v>1</v>
      </c>
      <c r="E414" s="136">
        <f>'[2]All Counts'!G414</f>
        <v>2</v>
      </c>
      <c r="F414" s="136" t="str">
        <f>'[2]All Counts'!H414</f>
        <v>I-15 HOV SB</v>
      </c>
      <c r="G414" s="136">
        <f>'[2]All Counts'!I414</f>
        <v>9</v>
      </c>
      <c r="H414" s="136">
        <f>'[2]All Counts'!J414</f>
        <v>1</v>
      </c>
      <c r="I414" s="136" t="str">
        <f>'[2]All Counts'!K414</f>
        <v>RANCHO BERNARDO</v>
      </c>
      <c r="J414" s="136" t="str">
        <f>'[2]All Counts'!L414</f>
        <v>CAM DEL NORTE</v>
      </c>
      <c r="K414" s="136">
        <f>'[2]All Counts'!O414</f>
        <v>5672</v>
      </c>
      <c r="L414" s="57">
        <f>VLOOKUP(ws[[#This Row],[hwycov_id]],readme!D:G,4,FALSE)</f>
        <v>3941.8483890000002</v>
      </c>
      <c r="M414" s="88">
        <f>ws[[#This Row],[flow]]/ws[[#This Row],[count]]-1</f>
        <v>-0.30503378191114239</v>
      </c>
      <c r="N414" s="89">
        <f>POWER((ws[[#This Row],[flow]]-ws[[#This Row],[count]]),2)</f>
        <v>2993424.5970458947</v>
      </c>
      <c r="O414" s="43">
        <f>VLOOKUP(ws[[#This Row],[hwycov_id]],count[],6,FALSE)</f>
        <v>0</v>
      </c>
      <c r="P414" s="43">
        <v>72</v>
      </c>
      <c r="Q414" s="43" t="str">
        <f>'[2]All Counts'!P414</f>
        <v>PeMS2016</v>
      </c>
      <c r="S414" s="94">
        <v>16352</v>
      </c>
      <c r="T414" s="17"/>
      <c r="U414" s="17"/>
      <c r="V414" s="17"/>
      <c r="W414" s="17"/>
      <c r="X414" s="17">
        <v>7385</v>
      </c>
      <c r="Y414" s="17">
        <v>9097.2070309999999</v>
      </c>
      <c r="Z414" s="17"/>
      <c r="AA414" s="17"/>
      <c r="AB414" s="17">
        <v>7385</v>
      </c>
      <c r="AC414" s="17">
        <v>9097.2070309999999</v>
      </c>
      <c r="AD414"/>
      <c r="AE414"/>
    </row>
    <row r="415" spans="1:31" x14ac:dyDescent="0.25">
      <c r="A415" s="136">
        <f>'[2]All Counts'!C415</f>
        <v>30</v>
      </c>
      <c r="B415" s="136">
        <f>'[2]All Counts'!D415</f>
        <v>2</v>
      </c>
      <c r="C415" s="136">
        <f>'[2]All Counts'!E415</f>
        <v>525</v>
      </c>
      <c r="D415" s="136">
        <f>'[2]All Counts'!F415</f>
        <v>1</v>
      </c>
      <c r="E415" s="136">
        <f>'[2]All Counts'!G415</f>
        <v>2</v>
      </c>
      <c r="F415" s="136" t="str">
        <f>'[2]All Counts'!H415</f>
        <v>I-15 HOV SB</v>
      </c>
      <c r="G415" s="136">
        <f>'[2]All Counts'!I415</f>
        <v>14</v>
      </c>
      <c r="H415" s="136">
        <f>'[2]All Counts'!J415</f>
        <v>1</v>
      </c>
      <c r="I415" s="136" t="str">
        <f>'[2]All Counts'!K415</f>
        <v>I-15 SB</v>
      </c>
      <c r="J415" s="136" t="str">
        <f>'[2]All Counts'!L415</f>
        <v>RANCHO PENASQUITOS</v>
      </c>
      <c r="K415" s="136">
        <f>'[2]All Counts'!O415</f>
        <v>5214</v>
      </c>
      <c r="L415" s="57">
        <f>VLOOKUP(ws[[#This Row],[hwycov_id]],readme!D:G,4,FALSE)</f>
        <v>4912.2539059999999</v>
      </c>
      <c r="M415" s="88">
        <f>ws[[#This Row],[flow]]/ws[[#This Row],[count]]-1</f>
        <v>-5.7872285001917878E-2</v>
      </c>
      <c r="N415" s="89">
        <f>POWER((ws[[#This Row],[flow]]-ws[[#This Row],[count]]),2)</f>
        <v>91050.705244256882</v>
      </c>
      <c r="O415" s="43">
        <f>VLOOKUP(ws[[#This Row],[hwycov_id]],count[],6,FALSE)</f>
        <v>0</v>
      </c>
      <c r="P415" s="43">
        <v>69</v>
      </c>
      <c r="Q415" s="43" t="str">
        <f>'[2]All Counts'!P415</f>
        <v>PeMS2016</v>
      </c>
      <c r="S415" s="94">
        <v>16353</v>
      </c>
      <c r="T415" s="17"/>
      <c r="U415" s="17"/>
      <c r="V415" s="17"/>
      <c r="W415" s="17"/>
      <c r="X415" s="17"/>
      <c r="Y415" s="17"/>
      <c r="Z415" s="17">
        <v>12737</v>
      </c>
      <c r="AA415" s="17">
        <v>12556.775390999999</v>
      </c>
      <c r="AB415" s="17">
        <v>12737</v>
      </c>
      <c r="AC415" s="17">
        <v>12556.775390999999</v>
      </c>
      <c r="AD415"/>
      <c r="AE415"/>
    </row>
    <row r="416" spans="1:31" x14ac:dyDescent="0.25">
      <c r="A416" s="136">
        <f>'[2]All Counts'!C416</f>
        <v>30</v>
      </c>
      <c r="B416" s="136">
        <f>'[2]All Counts'!D416</f>
        <v>2</v>
      </c>
      <c r="C416" s="136">
        <f>'[2]All Counts'!E416</f>
        <v>553</v>
      </c>
      <c r="D416" s="136">
        <f>'[2]All Counts'!F416</f>
        <v>1</v>
      </c>
      <c r="E416" s="136">
        <f>'[2]All Counts'!G416</f>
        <v>2</v>
      </c>
      <c r="F416" s="136" t="str">
        <f>'[2]All Counts'!H416</f>
        <v>I-15 HOV SB</v>
      </c>
      <c r="G416" s="136">
        <f>'[2]All Counts'!I416</f>
        <v>15</v>
      </c>
      <c r="H416" s="136">
        <f>'[2]All Counts'!J416</f>
        <v>1</v>
      </c>
      <c r="I416" s="136" t="str">
        <f>'[2]All Counts'!K416</f>
        <v>I-15 SB</v>
      </c>
      <c r="J416" s="136" t="str">
        <f>'[2]All Counts'!L416</f>
        <v>RANCHO PENASQUITOS</v>
      </c>
      <c r="K416" s="136">
        <f>'[2]All Counts'!O416</f>
        <v>5376</v>
      </c>
      <c r="L416" s="57">
        <f>VLOOKUP(ws[[#This Row],[hwycov_id]],readme!D:G,4,FALSE)</f>
        <v>4118.1098629999997</v>
      </c>
      <c r="M416" s="88">
        <f>ws[[#This Row],[flow]]/ws[[#This Row],[count]]-1</f>
        <v>-0.23398254036458344</v>
      </c>
      <c r="N416" s="89">
        <f>POWER((ws[[#This Row],[flow]]-ws[[#This Row],[count]]),2)</f>
        <v>1582287.5967618795</v>
      </c>
      <c r="O416" s="43">
        <f>VLOOKUP(ws[[#This Row],[hwycov_id]],count[],6,FALSE)</f>
        <v>0</v>
      </c>
      <c r="P416" s="43">
        <v>708</v>
      </c>
      <c r="Q416" s="43" t="str">
        <f>'[2]All Counts'!P416</f>
        <v>PeMS2016</v>
      </c>
      <c r="S416" s="94">
        <v>16354</v>
      </c>
      <c r="T416" s="17"/>
      <c r="U416" s="17"/>
      <c r="V416" s="17"/>
      <c r="W416" s="17"/>
      <c r="X416" s="17">
        <v>5505</v>
      </c>
      <c r="Y416" s="17">
        <v>6504.1083980000003</v>
      </c>
      <c r="Z416" s="17"/>
      <c r="AA416" s="17"/>
      <c r="AB416" s="17">
        <v>5505</v>
      </c>
      <c r="AC416" s="17">
        <v>6504.1083980000003</v>
      </c>
      <c r="AD416"/>
      <c r="AE416"/>
    </row>
    <row r="417" spans="1:31" x14ac:dyDescent="0.25">
      <c r="A417" s="136">
        <f>'[2]All Counts'!C417</f>
        <v>30</v>
      </c>
      <c r="B417" s="136">
        <f>'[2]All Counts'!D417</f>
        <v>2</v>
      </c>
      <c r="C417" s="136">
        <f>'[2]All Counts'!E417</f>
        <v>23142</v>
      </c>
      <c r="D417" s="136">
        <f>'[2]All Counts'!F417</f>
        <v>1</v>
      </c>
      <c r="E417" s="136">
        <f>'[2]All Counts'!G417</f>
        <v>2</v>
      </c>
      <c r="F417" s="136" t="str">
        <f>'[2]All Counts'!H417</f>
        <v>I-15 HOV SB</v>
      </c>
      <c r="G417" s="136">
        <f>'[2]All Counts'!I417</f>
        <v>18</v>
      </c>
      <c r="H417" s="136">
        <f>'[2]All Counts'!J417</f>
        <v>1</v>
      </c>
      <c r="I417" s="136" t="str">
        <f>'[2]All Counts'!K417</f>
        <v>MIRA MESA</v>
      </c>
      <c r="J417" s="136" t="str">
        <f>'[2]All Counts'!L417</f>
        <v>POMERADO</v>
      </c>
      <c r="K417" s="136">
        <f>'[2]All Counts'!O417</f>
        <v>5183</v>
      </c>
      <c r="L417" s="57">
        <f>VLOOKUP(ws[[#This Row],[hwycov_id]],readme!D:G,4,FALSE)</f>
        <v>5428.9711909999996</v>
      </c>
      <c r="M417" s="88">
        <f>ws[[#This Row],[flow]]/ws[[#This Row],[count]]-1</f>
        <v>4.7457300983986039E-2</v>
      </c>
      <c r="N417" s="89">
        <f>POWER((ws[[#This Row],[flow]]-ws[[#This Row],[count]]),2)</f>
        <v>60501.826801958305</v>
      </c>
      <c r="O417" s="43">
        <f>VLOOKUP(ws[[#This Row],[hwycov_id]],count[],6,FALSE)</f>
        <v>0</v>
      </c>
      <c r="P417" s="43">
        <v>68</v>
      </c>
      <c r="Q417" s="43" t="str">
        <f>'[2]All Counts'!P417</f>
        <v>PeMS2016</v>
      </c>
      <c r="S417" s="94">
        <v>16356</v>
      </c>
      <c r="T417" s="17"/>
      <c r="U417" s="17"/>
      <c r="V417" s="17"/>
      <c r="W417" s="17"/>
      <c r="X417" s="17"/>
      <c r="Y417" s="17"/>
      <c r="Z417" s="17">
        <v>13298</v>
      </c>
      <c r="AA417" s="17">
        <v>14247.068359000001</v>
      </c>
      <c r="AB417" s="17">
        <v>13298</v>
      </c>
      <c r="AC417" s="17">
        <v>14247.068359000001</v>
      </c>
      <c r="AD417"/>
      <c r="AE417"/>
    </row>
    <row r="418" spans="1:31" x14ac:dyDescent="0.25">
      <c r="A418" s="136">
        <f>'[2]All Counts'!C418</f>
        <v>9</v>
      </c>
      <c r="B418" s="136">
        <f>'[2]All Counts'!D418</f>
        <v>2</v>
      </c>
      <c r="C418" s="136">
        <f>'[2]All Counts'!E418</f>
        <v>27196</v>
      </c>
      <c r="D418" s="136">
        <f>'[2]All Counts'!F418</f>
        <v>1</v>
      </c>
      <c r="E418" s="136">
        <f>'[2]All Counts'!G418</f>
        <v>1</v>
      </c>
      <c r="F418" s="136" t="str">
        <f>'[2]All Counts'!H418</f>
        <v>I-15 SB</v>
      </c>
      <c r="G418" s="136">
        <f>'[2]All Counts'!I418</f>
        <v>3</v>
      </c>
      <c r="H418" s="136">
        <f>'[2]All Counts'!J418</f>
        <v>2</v>
      </c>
      <c r="I418" s="136" t="str">
        <f>'[2]All Counts'!K418</f>
        <v>RAINBOW VALLEY WEST</v>
      </c>
      <c r="J418" s="136" t="str">
        <f>'[2]All Counts'!L418</f>
        <v>MISSION</v>
      </c>
      <c r="K418" s="136">
        <f>'[2]All Counts'!O418</f>
        <v>7958</v>
      </c>
      <c r="L418" s="57">
        <f>VLOOKUP(ws[[#This Row],[hwycov_id]],readme!D:G,4,FALSE)</f>
        <v>14727.751953000001</v>
      </c>
      <c r="M418" s="88">
        <f>ws[[#This Row],[flow]]/ws[[#This Row],[count]]-1</f>
        <v>0.85068509085197297</v>
      </c>
      <c r="N418" s="89">
        <f>POWER((ws[[#This Row],[flow]]-ws[[#This Row],[count]]),2)</f>
        <v>45829541.505147323</v>
      </c>
      <c r="O418" s="43">
        <f>VLOOKUP(ws[[#This Row],[hwycov_id]],count[],6,FALSE)</f>
        <v>0</v>
      </c>
      <c r="P418" s="43">
        <v>703</v>
      </c>
      <c r="Q418" s="43" t="str">
        <f>'[2]All Counts'!P418</f>
        <v>PeMS2016</v>
      </c>
      <c r="S418" s="94">
        <v>16357</v>
      </c>
      <c r="T418" s="17"/>
      <c r="U418" s="17"/>
      <c r="V418" s="17"/>
      <c r="W418" s="17"/>
      <c r="X418" s="17">
        <v>5886</v>
      </c>
      <c r="Y418" s="17">
        <v>8087.0600590000004</v>
      </c>
      <c r="Z418" s="17"/>
      <c r="AA418" s="17"/>
      <c r="AB418" s="17">
        <v>5886</v>
      </c>
      <c r="AC418" s="17">
        <v>8087.0600590000004</v>
      </c>
      <c r="AD418"/>
      <c r="AE418"/>
    </row>
    <row r="419" spans="1:31" x14ac:dyDescent="0.25">
      <c r="A419" s="136">
        <f>'[2]All Counts'!C419</f>
        <v>9</v>
      </c>
      <c r="B419" s="136">
        <f>'[2]All Counts'!D419</f>
        <v>2</v>
      </c>
      <c r="C419" s="136">
        <f>'[2]All Counts'!E419</f>
        <v>27194</v>
      </c>
      <c r="D419" s="136">
        <f>'[2]All Counts'!F419</f>
        <v>1</v>
      </c>
      <c r="E419" s="136">
        <f>'[2]All Counts'!G419</f>
        <v>1</v>
      </c>
      <c r="F419" s="136" t="str">
        <f>'[2]All Counts'!H419</f>
        <v>I-15 SB</v>
      </c>
      <c r="G419" s="136">
        <f>'[2]All Counts'!I419</f>
        <v>7</v>
      </c>
      <c r="H419" s="136">
        <f>'[2]All Counts'!J419</f>
        <v>1</v>
      </c>
      <c r="I419" s="136" t="str">
        <f>'[2]All Counts'!K419</f>
        <v>STEWART CANYON</v>
      </c>
      <c r="J419" s="136" t="str">
        <f>'[2]All Counts'!L419</f>
        <v>PALA</v>
      </c>
      <c r="K419" s="136">
        <f>'[2]All Counts'!O419</f>
        <v>7434</v>
      </c>
      <c r="L419" s="57">
        <f>VLOOKUP(ws[[#This Row],[hwycov_id]],readme!D:G,4,FALSE)</f>
        <v>14480.724609000001</v>
      </c>
      <c r="M419" s="88">
        <f>ws[[#This Row],[flow]]/ws[[#This Row],[count]]-1</f>
        <v>0.94790484382566587</v>
      </c>
      <c r="N419" s="89">
        <f>POWER((ws[[#This Row],[flow]]-ws[[#This Row],[count]]),2)</f>
        <v>49656327.715086214</v>
      </c>
      <c r="O419" s="43">
        <f>VLOOKUP(ws[[#This Row],[hwycov_id]],count[],6,FALSE)</f>
        <v>0</v>
      </c>
      <c r="P419" s="43">
        <v>75</v>
      </c>
      <c r="Q419" s="43" t="str">
        <f>'[2]All Counts'!P419</f>
        <v>PeMS2016</v>
      </c>
      <c r="S419" s="94">
        <v>16358</v>
      </c>
      <c r="T419" s="17"/>
      <c r="U419" s="17"/>
      <c r="V419" s="17"/>
      <c r="W419" s="17"/>
      <c r="X419" s="17">
        <v>5188</v>
      </c>
      <c r="Y419" s="17">
        <v>7528.3403319999998</v>
      </c>
      <c r="Z419" s="17"/>
      <c r="AA419" s="17"/>
      <c r="AB419" s="17">
        <v>5188</v>
      </c>
      <c r="AC419" s="17">
        <v>7528.3403319999998</v>
      </c>
      <c r="AD419"/>
      <c r="AE419"/>
    </row>
    <row r="420" spans="1:31" x14ac:dyDescent="0.25">
      <c r="A420" s="136">
        <f>'[2]All Counts'!C420</f>
        <v>9</v>
      </c>
      <c r="B420" s="136">
        <f>'[2]All Counts'!D420</f>
        <v>2</v>
      </c>
      <c r="C420" s="136">
        <f>'[2]All Counts'!E420</f>
        <v>26675</v>
      </c>
      <c r="D420" s="136">
        <f>'[2]All Counts'!F420</f>
        <v>1</v>
      </c>
      <c r="E420" s="136">
        <f>'[2]All Counts'!G420</f>
        <v>1</v>
      </c>
      <c r="F420" s="136" t="str">
        <f>'[2]All Counts'!H420</f>
        <v>I-15 SB</v>
      </c>
      <c r="G420" s="136">
        <f>'[2]All Counts'!I420</f>
        <v>8</v>
      </c>
      <c r="H420" s="136">
        <f>'[2]All Counts'!J420</f>
        <v>0</v>
      </c>
      <c r="I420" s="136" t="str">
        <f>'[2]All Counts'!K420</f>
        <v>PALA</v>
      </c>
      <c r="J420" s="136" t="str">
        <f>'[2]All Counts'!L420</f>
        <v>PALA</v>
      </c>
      <c r="K420" s="136">
        <f>'[2]All Counts'!O420</f>
        <v>10880</v>
      </c>
      <c r="L420" s="57">
        <f>VLOOKUP(ws[[#This Row],[hwycov_id]],readme!D:G,4,FALSE)</f>
        <v>12195.829102</v>
      </c>
      <c r="M420" s="88">
        <f>ws[[#This Row],[flow]]/ws[[#This Row],[count]]-1</f>
        <v>0.12094017481617647</v>
      </c>
      <c r="N420" s="89">
        <f>POWER((ws[[#This Row],[flow]]-ws[[#This Row],[count]]),2)</f>
        <v>1731406.2256701256</v>
      </c>
      <c r="O420" s="43">
        <f>VLOOKUP(ws[[#This Row],[hwycov_id]],count[],6,FALSE)</f>
        <v>0</v>
      </c>
      <c r="P420" s="43">
        <v>73</v>
      </c>
      <c r="Q420" s="43" t="str">
        <f>'[2]All Counts'!P420</f>
        <v>Caltran</v>
      </c>
      <c r="S420" s="94">
        <v>16359</v>
      </c>
      <c r="T420" s="17"/>
      <c r="U420" s="17"/>
      <c r="V420" s="17"/>
      <c r="W420" s="17"/>
      <c r="X420" s="17">
        <v>5917</v>
      </c>
      <c r="Y420" s="17">
        <v>6405.9536129999997</v>
      </c>
      <c r="Z420" s="17"/>
      <c r="AA420" s="17"/>
      <c r="AB420" s="17">
        <v>5917</v>
      </c>
      <c r="AC420" s="17">
        <v>6405.9536129999997</v>
      </c>
      <c r="AD420"/>
      <c r="AE420"/>
    </row>
    <row r="421" spans="1:31" x14ac:dyDescent="0.25">
      <c r="A421" s="136">
        <f>'[2]All Counts'!C421</f>
        <v>9</v>
      </c>
      <c r="B421" s="136">
        <f>'[2]All Counts'!D421</f>
        <v>2</v>
      </c>
      <c r="C421" s="136">
        <f>'[2]All Counts'!E421</f>
        <v>27172</v>
      </c>
      <c r="D421" s="136">
        <f>'[2]All Counts'!F421</f>
        <v>1</v>
      </c>
      <c r="E421" s="136">
        <f>'[2]All Counts'!G421</f>
        <v>1</v>
      </c>
      <c r="F421" s="136" t="str">
        <f>'[2]All Counts'!H421</f>
        <v>I-15 SB</v>
      </c>
      <c r="G421" s="136">
        <f>'[2]All Counts'!I421</f>
        <v>10</v>
      </c>
      <c r="H421" s="136">
        <f>'[2]All Counts'!J421</f>
        <v>2</v>
      </c>
      <c r="I421" s="136" t="str">
        <f>'[2]All Counts'!K421</f>
        <v>PALA</v>
      </c>
      <c r="J421" s="136" t="str">
        <f>'[2]All Counts'!L421</f>
        <v>OLD 395</v>
      </c>
      <c r="K421" s="136">
        <f>'[2]All Counts'!O421</f>
        <v>10056</v>
      </c>
      <c r="L421" s="57">
        <f>VLOOKUP(ws[[#This Row],[hwycov_id]],readme!D:G,4,FALSE)</f>
        <v>13632.411133</v>
      </c>
      <c r="M421" s="88">
        <f>ws[[#This Row],[flow]]/ws[[#This Row],[count]]-1</f>
        <v>0.35564947623309462</v>
      </c>
      <c r="N421" s="89">
        <f>POWER((ws[[#This Row],[flow]]-ws[[#This Row],[count]]),2)</f>
        <v>12790716.592246341</v>
      </c>
      <c r="O421" s="43">
        <f>VLOOKUP(ws[[#This Row],[hwycov_id]],count[],6,FALSE)</f>
        <v>0</v>
      </c>
      <c r="P421" s="43">
        <v>74</v>
      </c>
      <c r="Q421" s="43" t="str">
        <f>'[2]All Counts'!P421</f>
        <v>Caltran</v>
      </c>
      <c r="S421" s="94">
        <v>16360</v>
      </c>
      <c r="T421" s="17"/>
      <c r="U421" s="17"/>
      <c r="V421" s="17"/>
      <c r="W421" s="17"/>
      <c r="X421" s="17"/>
      <c r="Y421" s="17"/>
      <c r="Z421" s="17">
        <v>12653</v>
      </c>
      <c r="AA421" s="17">
        <v>12247.650390999999</v>
      </c>
      <c r="AB421" s="17">
        <v>12653</v>
      </c>
      <c r="AC421" s="17">
        <v>12247.650390999999</v>
      </c>
      <c r="AD421"/>
      <c r="AE421"/>
    </row>
    <row r="422" spans="1:31" x14ac:dyDescent="0.25">
      <c r="A422" s="136">
        <f>'[2]All Counts'!C422</f>
        <v>9</v>
      </c>
      <c r="B422" s="136">
        <f>'[2]All Counts'!D422</f>
        <v>2</v>
      </c>
      <c r="C422" s="136">
        <f>'[2]All Counts'!E422</f>
        <v>27351</v>
      </c>
      <c r="D422" s="136">
        <f>'[2]All Counts'!F422</f>
        <v>1</v>
      </c>
      <c r="E422" s="136">
        <f>'[2]All Counts'!G422</f>
        <v>1</v>
      </c>
      <c r="F422" s="136" t="str">
        <f>'[2]All Counts'!H422</f>
        <v>I-15 SB</v>
      </c>
      <c r="G422" s="136">
        <f>'[2]All Counts'!I422</f>
        <v>14</v>
      </c>
      <c r="H422" s="136">
        <f>'[2]All Counts'!J422</f>
        <v>3</v>
      </c>
      <c r="I422" s="136" t="str">
        <f>'[2]All Counts'!K422</f>
        <v>GOPHER CANYON</v>
      </c>
      <c r="J422" s="136" t="str">
        <f>'[2]All Counts'!L422</f>
        <v>DEER SPRINGS</v>
      </c>
      <c r="K422" s="136">
        <f>'[2]All Counts'!O422</f>
        <v>11506</v>
      </c>
      <c r="L422" s="57">
        <f>VLOOKUP(ws[[#This Row],[hwycov_id]],readme!D:G,4,FALSE)</f>
        <v>13605.152344</v>
      </c>
      <c r="M422" s="88">
        <f>ws[[#This Row],[flow]]/ws[[#This Row],[count]]-1</f>
        <v>0.18243980045193808</v>
      </c>
      <c r="N422" s="89">
        <f>POWER((ws[[#This Row],[flow]]-ws[[#This Row],[count]]),2)</f>
        <v>4406440.5633206945</v>
      </c>
      <c r="O422" s="43">
        <f>VLOOKUP(ws[[#This Row],[hwycov_id]],count[],6,FALSE)</f>
        <v>0</v>
      </c>
      <c r="P422" s="43">
        <v>705</v>
      </c>
      <c r="Q422" s="43" t="str">
        <f>'[2]All Counts'!P422</f>
        <v>PeMS2016</v>
      </c>
      <c r="S422" s="94">
        <v>16427</v>
      </c>
      <c r="T422" s="17"/>
      <c r="U422" s="17"/>
      <c r="V422" s="17"/>
      <c r="W422" s="17"/>
      <c r="X422" s="17">
        <v>18053</v>
      </c>
      <c r="Y422" s="17">
        <v>16431.582031000002</v>
      </c>
      <c r="Z422" s="17"/>
      <c r="AA422" s="17"/>
      <c r="AB422" s="17">
        <v>18053</v>
      </c>
      <c r="AC422" s="17">
        <v>16431.582031000002</v>
      </c>
      <c r="AD422"/>
      <c r="AE422"/>
    </row>
    <row r="423" spans="1:31" x14ac:dyDescent="0.25">
      <c r="A423" s="136">
        <f>'[2]All Counts'!C423</f>
        <v>9</v>
      </c>
      <c r="B423" s="136">
        <f>'[2]All Counts'!D423</f>
        <v>2</v>
      </c>
      <c r="C423" s="136">
        <f>'[2]All Counts'!E423</f>
        <v>14782</v>
      </c>
      <c r="D423" s="136">
        <f>'[2]All Counts'!F423</f>
        <v>1</v>
      </c>
      <c r="E423" s="136">
        <f>'[2]All Counts'!G423</f>
        <v>1</v>
      </c>
      <c r="F423" s="136" t="str">
        <f>'[2]All Counts'!H423</f>
        <v>I-15 SB</v>
      </c>
      <c r="G423" s="136">
        <f>'[2]All Counts'!I423</f>
        <v>16</v>
      </c>
      <c r="H423" s="136">
        <f>'[2]All Counts'!J423</f>
        <v>1</v>
      </c>
      <c r="I423" s="136" t="str">
        <f>'[2]All Counts'!K423</f>
        <v>DEER SPRINGS</v>
      </c>
      <c r="J423" s="136" t="str">
        <f>'[2]All Counts'!L423</f>
        <v>CENTRE CITY</v>
      </c>
      <c r="K423" s="136">
        <f>'[2]All Counts'!O423</f>
        <v>11431</v>
      </c>
      <c r="L423" s="57">
        <f>VLOOKUP(ws[[#This Row],[hwycov_id]],readme!D:G,4,FALSE)</f>
        <v>12578.014648</v>
      </c>
      <c r="M423" s="88">
        <f>ws[[#This Row],[flow]]/ws[[#This Row],[count]]-1</f>
        <v>0.10034245892747795</v>
      </c>
      <c r="N423" s="89">
        <f>POWER((ws[[#This Row],[flow]]-ws[[#This Row],[count]]),2)</f>
        <v>1315642.6027265645</v>
      </c>
      <c r="O423" s="43">
        <f>VLOOKUP(ws[[#This Row],[hwycov_id]],count[],6,FALSE)</f>
        <v>0</v>
      </c>
      <c r="P423" s="43">
        <v>44</v>
      </c>
      <c r="Q423" s="43" t="str">
        <f>'[2]All Counts'!P423</f>
        <v>PeMS2016</v>
      </c>
      <c r="S423" s="94">
        <v>16428</v>
      </c>
      <c r="T423" s="17"/>
      <c r="U423" s="17"/>
      <c r="V423" s="17"/>
      <c r="W423" s="17"/>
      <c r="X423" s="17"/>
      <c r="Y423" s="17"/>
      <c r="Z423" s="17">
        <v>14152</v>
      </c>
      <c r="AA423" s="17">
        <v>18340.689452999999</v>
      </c>
      <c r="AB423" s="17">
        <v>14152</v>
      </c>
      <c r="AC423" s="17">
        <v>18340.689452999999</v>
      </c>
      <c r="AD423"/>
      <c r="AE423"/>
    </row>
    <row r="424" spans="1:31" x14ac:dyDescent="0.25">
      <c r="A424" s="136">
        <f>'[2]All Counts'!C424</f>
        <v>9</v>
      </c>
      <c r="B424" s="136">
        <f>'[2]All Counts'!D424</f>
        <v>2</v>
      </c>
      <c r="C424" s="136">
        <f>'[2]All Counts'!E424</f>
        <v>27182</v>
      </c>
      <c r="D424" s="136">
        <f>'[2]All Counts'!F424</f>
        <v>1</v>
      </c>
      <c r="E424" s="136">
        <f>'[2]All Counts'!G424</f>
        <v>1</v>
      </c>
      <c r="F424" s="136" t="str">
        <f>'[2]All Counts'!H424</f>
        <v>I-15 SB</v>
      </c>
      <c r="G424" s="136">
        <f>'[2]All Counts'!I424</f>
        <v>19</v>
      </c>
      <c r="H424" s="136">
        <f>'[2]All Counts'!J424</f>
        <v>1</v>
      </c>
      <c r="I424" s="136" t="str">
        <f>'[2]All Counts'!K424</f>
        <v>CENTRE CITY</v>
      </c>
      <c r="J424" s="136" t="str">
        <f>'[2]All Counts'!L424</f>
        <v>EL NORTE</v>
      </c>
      <c r="K424" s="136">
        <f>'[2]All Counts'!O424</f>
        <v>8921</v>
      </c>
      <c r="L424" s="57">
        <f>VLOOKUP(ws[[#This Row],[hwycov_id]],readme!D:G,4,FALSE)</f>
        <v>10564.071289</v>
      </c>
      <c r="M424" s="88">
        <f>ws[[#This Row],[flow]]/ws[[#This Row],[count]]-1</f>
        <v>0.18418016915144042</v>
      </c>
      <c r="N424" s="89">
        <f>POWER((ws[[#This Row],[flow]]-ws[[#This Row],[count]]),2)</f>
        <v>2699683.2607361199</v>
      </c>
      <c r="O424" s="43">
        <f>VLOOKUP(ws[[#This Row],[hwycov_id]],count[],6,FALSE)</f>
        <v>0</v>
      </c>
      <c r="P424" s="43">
        <v>730</v>
      </c>
      <c r="Q424" s="43" t="str">
        <f>'[2]All Counts'!P424</f>
        <v>PeMS2016</v>
      </c>
      <c r="S424" s="94">
        <v>16430</v>
      </c>
      <c r="T424" s="17"/>
      <c r="U424" s="17"/>
      <c r="V424" s="17"/>
      <c r="W424" s="17"/>
      <c r="X424" s="17">
        <v>13498</v>
      </c>
      <c r="Y424" s="17">
        <v>16431.582031000002</v>
      </c>
      <c r="Z424" s="17"/>
      <c r="AA424" s="17"/>
      <c r="AB424" s="17">
        <v>13498</v>
      </c>
      <c r="AC424" s="17">
        <v>16431.582031000002</v>
      </c>
      <c r="AD424"/>
      <c r="AE424"/>
    </row>
    <row r="425" spans="1:31" x14ac:dyDescent="0.25">
      <c r="A425" s="136">
        <f>'[2]All Counts'!C425</f>
        <v>9</v>
      </c>
      <c r="B425" s="136">
        <f>'[2]All Counts'!D425</f>
        <v>2</v>
      </c>
      <c r="C425" s="136">
        <f>'[2]All Counts'!E425</f>
        <v>27184</v>
      </c>
      <c r="D425" s="136">
        <f>'[2]All Counts'!F425</f>
        <v>1</v>
      </c>
      <c r="E425" s="136">
        <f>'[2]All Counts'!G425</f>
        <v>1</v>
      </c>
      <c r="F425" s="136" t="str">
        <f>'[2]All Counts'!H425</f>
        <v>I-15 SB</v>
      </c>
      <c r="G425" s="136">
        <f>'[2]All Counts'!I425</f>
        <v>20</v>
      </c>
      <c r="H425" s="136">
        <f>'[2]All Counts'!J425</f>
        <v>0</v>
      </c>
      <c r="I425" s="136" t="str">
        <f>'[2]All Counts'!K425</f>
        <v>EL NORTE</v>
      </c>
      <c r="J425" s="136" t="str">
        <f>'[2]All Counts'!L425</f>
        <v>EL NORTE</v>
      </c>
      <c r="K425" s="136">
        <f>'[2]All Counts'!O425</f>
        <v>9672</v>
      </c>
      <c r="L425" s="57">
        <f>VLOOKUP(ws[[#This Row],[hwycov_id]],readme!D:G,4,FALSE)</f>
        <v>10145.104492</v>
      </c>
      <c r="M425" s="88">
        <f>ws[[#This Row],[flow]]/ws[[#This Row],[count]]-1</f>
        <v>4.8914856492969339E-2</v>
      </c>
      <c r="N425" s="89">
        <f>POWER((ws[[#This Row],[flow]]-ws[[#This Row],[count]]),2)</f>
        <v>223827.86035057844</v>
      </c>
      <c r="O425" s="43">
        <f>VLOOKUP(ws[[#This Row],[hwycov_id]],count[],6,FALSE)</f>
        <v>0</v>
      </c>
      <c r="P425" s="43">
        <v>43</v>
      </c>
      <c r="Q425" s="43" t="str">
        <f>'[2]All Counts'!P425</f>
        <v>PeMS2016</v>
      </c>
      <c r="S425" s="94">
        <v>16446</v>
      </c>
      <c r="T425" s="17"/>
      <c r="U425" s="17"/>
      <c r="V425" s="17"/>
      <c r="W425" s="17"/>
      <c r="X425" s="17"/>
      <c r="Y425" s="17"/>
      <c r="Z425" s="17">
        <v>15361</v>
      </c>
      <c r="AA425" s="17">
        <v>19198.648438</v>
      </c>
      <c r="AB425" s="17">
        <v>15361</v>
      </c>
      <c r="AC425" s="17">
        <v>19198.648438</v>
      </c>
      <c r="AD425"/>
      <c r="AE425"/>
    </row>
    <row r="426" spans="1:31" x14ac:dyDescent="0.25">
      <c r="A426" s="136">
        <f>'[2]All Counts'!C426</f>
        <v>9</v>
      </c>
      <c r="B426" s="136">
        <f>'[2]All Counts'!D426</f>
        <v>2</v>
      </c>
      <c r="C426" s="136">
        <f>'[2]All Counts'!E426</f>
        <v>28569</v>
      </c>
      <c r="D426" s="136">
        <f>'[2]All Counts'!F426</f>
        <v>1</v>
      </c>
      <c r="E426" s="136">
        <f>'[2]All Counts'!G426</f>
        <v>1</v>
      </c>
      <c r="F426" s="136" t="str">
        <f>'[2]All Counts'!H426</f>
        <v>I-15 SB</v>
      </c>
      <c r="G426" s="136">
        <f>'[2]All Counts'!I426</f>
        <v>22</v>
      </c>
      <c r="H426" s="136">
        <f>'[2]All Counts'!J426</f>
        <v>0</v>
      </c>
      <c r="I426" s="136" t="str">
        <f>'[2]All Counts'!K426</f>
        <v>SR-78 WB</v>
      </c>
      <c r="J426" s="136" t="str">
        <f>'[2]All Counts'!L426</f>
        <v>SR-78 WB</v>
      </c>
      <c r="K426" s="136">
        <f>'[2]All Counts'!O426</f>
        <v>12337</v>
      </c>
      <c r="L426" s="57">
        <f>VLOOKUP(ws[[#This Row],[hwycov_id]],readme!D:G,4,FALSE)</f>
        <v>10345.674805000001</v>
      </c>
      <c r="M426" s="88">
        <f>ws[[#This Row],[flow]]/ws[[#This Row],[count]]-1</f>
        <v>-0.16141081259625512</v>
      </c>
      <c r="N426" s="89">
        <f>POWER((ws[[#This Row],[flow]]-ws[[#This Row],[count]]),2)</f>
        <v>3965376.0322417859</v>
      </c>
      <c r="O426" s="43">
        <f>VLOOKUP(ws[[#This Row],[hwycov_id]],count[],6,FALSE)</f>
        <v>0</v>
      </c>
      <c r="P426" s="43">
        <v>733</v>
      </c>
      <c r="Q426" s="43" t="str">
        <f>'[2]All Counts'!P426</f>
        <v>PeMS2016</v>
      </c>
      <c r="S426" s="94">
        <v>16489</v>
      </c>
      <c r="T426" s="17"/>
      <c r="U426" s="17"/>
      <c r="V426" s="17"/>
      <c r="W426" s="17"/>
      <c r="X426" s="17"/>
      <c r="Y426" s="17"/>
      <c r="Z426" s="17">
        <v>18307</v>
      </c>
      <c r="AA426" s="17">
        <v>16772.240234000001</v>
      </c>
      <c r="AB426" s="17">
        <v>18307</v>
      </c>
      <c r="AC426" s="17">
        <v>16772.240234000001</v>
      </c>
      <c r="AD426"/>
      <c r="AE426"/>
    </row>
    <row r="427" spans="1:31" x14ac:dyDescent="0.25">
      <c r="A427" s="136">
        <f>'[2]All Counts'!C427</f>
        <v>9</v>
      </c>
      <c r="B427" s="136">
        <f>'[2]All Counts'!D427</f>
        <v>2</v>
      </c>
      <c r="C427" s="136">
        <f>'[2]All Counts'!E427</f>
        <v>31193</v>
      </c>
      <c r="D427" s="136">
        <f>'[2]All Counts'!F427</f>
        <v>1</v>
      </c>
      <c r="E427" s="136">
        <f>'[2]All Counts'!G427</f>
        <v>1</v>
      </c>
      <c r="F427" s="136" t="str">
        <f>'[2]All Counts'!H427</f>
        <v>I-15 SB</v>
      </c>
      <c r="G427" s="136">
        <f>'[2]All Counts'!I427</f>
        <v>23</v>
      </c>
      <c r="H427" s="136">
        <f>'[2]All Counts'!J427</f>
        <v>0</v>
      </c>
      <c r="I427" s="136" t="str">
        <f>'[2]All Counts'!K427</f>
        <v>SR-78 WB</v>
      </c>
      <c r="J427" s="136" t="str">
        <f>'[2]All Counts'!L427</f>
        <v>SR-78 EB</v>
      </c>
      <c r="K427" s="136">
        <f>'[2]All Counts'!O427</f>
        <v>12404</v>
      </c>
      <c r="L427" s="57">
        <f>VLOOKUP(ws[[#This Row],[hwycov_id]],readme!D:G,4,FALSE)</f>
        <v>12606.211914</v>
      </c>
      <c r="M427" s="88">
        <f>ws[[#This Row],[flow]]/ws[[#This Row],[count]]-1</f>
        <v>1.6302153660109564E-2</v>
      </c>
      <c r="N427" s="89">
        <f>POWER((ws[[#This Row],[flow]]-ws[[#This Row],[count]]),2)</f>
        <v>40889.658163543201</v>
      </c>
      <c r="O427" s="43">
        <f>VLOOKUP(ws[[#This Row],[hwycov_id]],count[],6,FALSE)</f>
        <v>0</v>
      </c>
      <c r="P427" s="43">
        <v>715</v>
      </c>
      <c r="Q427" s="43" t="str">
        <f>'[2]All Counts'!P427</f>
        <v>SANDAG</v>
      </c>
      <c r="S427" s="94">
        <v>16523</v>
      </c>
      <c r="T427" s="17"/>
      <c r="U427" s="17"/>
      <c r="V427" s="17"/>
      <c r="W427" s="17"/>
      <c r="X427" s="17"/>
      <c r="Y427" s="17"/>
      <c r="Z427" s="17">
        <v>10219</v>
      </c>
      <c r="AA427" s="17">
        <v>9648.4882809999999</v>
      </c>
      <c r="AB427" s="17">
        <v>10219</v>
      </c>
      <c r="AC427" s="17">
        <v>9648.4882809999999</v>
      </c>
      <c r="AD427"/>
      <c r="AE427"/>
    </row>
    <row r="428" spans="1:31" x14ac:dyDescent="0.25">
      <c r="A428" s="136">
        <f>'[2]All Counts'!C428</f>
        <v>9</v>
      </c>
      <c r="B428" s="136">
        <f>'[2]All Counts'!D428</f>
        <v>2</v>
      </c>
      <c r="C428" s="136">
        <f>'[2]All Counts'!E428</f>
        <v>28587</v>
      </c>
      <c r="D428" s="136">
        <f>'[2]All Counts'!F428</f>
        <v>1</v>
      </c>
      <c r="E428" s="136">
        <f>'[2]All Counts'!G428</f>
        <v>1</v>
      </c>
      <c r="F428" s="136" t="str">
        <f>'[2]All Counts'!H428</f>
        <v>I-15 SB</v>
      </c>
      <c r="G428" s="136">
        <f>'[2]All Counts'!I428</f>
        <v>26</v>
      </c>
      <c r="H428" s="136">
        <f>'[2]All Counts'!J428</f>
        <v>0</v>
      </c>
      <c r="I428" s="136" t="str">
        <f>'[2]All Counts'!K428</f>
        <v>VALLEY</v>
      </c>
      <c r="J428" s="136" t="str">
        <f>'[2]All Counts'!L428</f>
        <v>VALLEY</v>
      </c>
      <c r="K428" s="136">
        <f>'[2]All Counts'!O428</f>
        <v>18744</v>
      </c>
      <c r="L428" s="57">
        <f>VLOOKUP(ws[[#This Row],[hwycov_id]],readme!D:G,4,FALSE)</f>
        <v>21829.029297000001</v>
      </c>
      <c r="M428" s="88">
        <f>ws[[#This Row],[flow]]/ws[[#This Row],[count]]-1</f>
        <v>0.16458756386043549</v>
      </c>
      <c r="N428" s="89">
        <f>POWER((ws[[#This Row],[flow]]-ws[[#This Row],[count]]),2)</f>
        <v>9517405.7633483205</v>
      </c>
      <c r="O428" s="43">
        <f>VLOOKUP(ws[[#This Row],[hwycov_id]],count[],6,FALSE)</f>
        <v>0</v>
      </c>
      <c r="P428" s="43">
        <v>711</v>
      </c>
      <c r="Q428" s="43" t="str">
        <f>'[2]All Counts'!P428</f>
        <v>PeMS2016</v>
      </c>
      <c r="S428" s="94">
        <v>16533</v>
      </c>
      <c r="T428" s="17"/>
      <c r="U428" s="17"/>
      <c r="V428" s="17"/>
      <c r="W428" s="17"/>
      <c r="X428" s="17">
        <v>15169</v>
      </c>
      <c r="Y428" s="17">
        <v>14407.948242</v>
      </c>
      <c r="Z428" s="17"/>
      <c r="AA428" s="17"/>
      <c r="AB428" s="17">
        <v>15169</v>
      </c>
      <c r="AC428" s="17">
        <v>14407.948242</v>
      </c>
      <c r="AD428"/>
      <c r="AE428"/>
    </row>
    <row r="429" spans="1:31" x14ac:dyDescent="0.25">
      <c r="A429" s="136">
        <f>'[2]All Counts'!C429</f>
        <v>9</v>
      </c>
      <c r="B429" s="136">
        <f>'[2]All Counts'!D429</f>
        <v>2</v>
      </c>
      <c r="C429" s="136">
        <f>'[2]All Counts'!E429</f>
        <v>12943</v>
      </c>
      <c r="D429" s="136">
        <f>'[2]All Counts'!F429</f>
        <v>1</v>
      </c>
      <c r="E429" s="136">
        <f>'[2]All Counts'!G429</f>
        <v>1</v>
      </c>
      <c r="F429" s="136" t="str">
        <f>'[2]All Counts'!H429</f>
        <v>I-15 SB</v>
      </c>
      <c r="G429" s="136">
        <f>'[2]All Counts'!I429</f>
        <v>27</v>
      </c>
      <c r="H429" s="136">
        <f>'[2]All Counts'!J429</f>
        <v>0</v>
      </c>
      <c r="I429" s="136" t="str">
        <f>'[2]All Counts'!K429</f>
        <v>VALLEY</v>
      </c>
      <c r="J429" s="136" t="str">
        <f>'[2]All Counts'!L429</f>
        <v>09TH</v>
      </c>
      <c r="K429" s="136">
        <f>'[2]All Counts'!O429</f>
        <v>18909</v>
      </c>
      <c r="L429" s="57">
        <f>VLOOKUP(ws[[#This Row],[hwycov_id]],readme!D:G,4,FALSE)</f>
        <v>22804.449218999998</v>
      </c>
      <c r="M429" s="88">
        <f>ws[[#This Row],[flow]]/ws[[#This Row],[count]]-1</f>
        <v>0.206010324131366</v>
      </c>
      <c r="N429" s="89">
        <f>POWER((ws[[#This Row],[flow]]-ws[[#This Row],[count]]),2)</f>
        <v>15174524.617807696</v>
      </c>
      <c r="O429" s="43">
        <f>VLOOKUP(ws[[#This Row],[hwycov_id]],count[],6,FALSE)</f>
        <v>0</v>
      </c>
      <c r="P429" s="43">
        <v>217</v>
      </c>
      <c r="Q429" s="43" t="str">
        <f>'[2]All Counts'!P429</f>
        <v>Caltran</v>
      </c>
      <c r="S429" s="94">
        <v>16564</v>
      </c>
      <c r="T429" s="17"/>
      <c r="U429" s="17"/>
      <c r="V429" s="17"/>
      <c r="W429" s="17"/>
      <c r="X429" s="17">
        <v>12863</v>
      </c>
      <c r="Y429" s="17">
        <v>12627.659180000001</v>
      </c>
      <c r="Z429" s="17"/>
      <c r="AA429" s="17"/>
      <c r="AB429" s="17">
        <v>12863</v>
      </c>
      <c r="AC429" s="17">
        <v>12627.659180000001</v>
      </c>
      <c r="AD429"/>
      <c r="AE429"/>
    </row>
    <row r="430" spans="1:31" x14ac:dyDescent="0.25">
      <c r="A430" s="136">
        <f>'[2]All Counts'!C430</f>
        <v>9</v>
      </c>
      <c r="B430" s="136">
        <f>'[2]All Counts'!D430</f>
        <v>2</v>
      </c>
      <c r="C430" s="136">
        <f>'[2]All Counts'!E430</f>
        <v>12944</v>
      </c>
      <c r="D430" s="136">
        <f>'[2]All Counts'!F430</f>
        <v>1</v>
      </c>
      <c r="E430" s="136">
        <f>'[2]All Counts'!G430</f>
        <v>1</v>
      </c>
      <c r="F430" s="136" t="str">
        <f>'[2]All Counts'!H430</f>
        <v>I-15 SB</v>
      </c>
      <c r="G430" s="136">
        <f>'[2]All Counts'!I430</f>
        <v>28</v>
      </c>
      <c r="H430" s="136">
        <f>'[2]All Counts'!J430</f>
        <v>0</v>
      </c>
      <c r="I430" s="136" t="str">
        <f>'[2]All Counts'!K430</f>
        <v>09TH</v>
      </c>
      <c r="J430" s="136" t="str">
        <f>'[2]All Counts'!L430</f>
        <v>09TH</v>
      </c>
      <c r="K430" s="136">
        <f>'[2]All Counts'!O430</f>
        <v>16666</v>
      </c>
      <c r="L430" s="57">
        <f>VLOOKUP(ws[[#This Row],[hwycov_id]],readme!D:G,4,FALSE)</f>
        <v>21718.832031000002</v>
      </c>
      <c r="M430" s="88">
        <f>ws[[#This Row],[flow]]/ws[[#This Row],[count]]-1</f>
        <v>0.30318204914196589</v>
      </c>
      <c r="N430" s="89">
        <f>POWER((ws[[#This Row],[flow]]-ws[[#This Row],[count]]),2)</f>
        <v>25531111.533499602</v>
      </c>
      <c r="O430" s="43">
        <f>VLOOKUP(ws[[#This Row],[hwycov_id]],count[],6,FALSE)</f>
        <v>0</v>
      </c>
      <c r="P430" s="43">
        <v>53</v>
      </c>
      <c r="Q430" s="43" t="str">
        <f>'[2]All Counts'!P430</f>
        <v>PeMS2016</v>
      </c>
      <c r="S430" s="94">
        <v>16565</v>
      </c>
      <c r="T430" s="17"/>
      <c r="U430" s="17"/>
      <c r="V430" s="17"/>
      <c r="W430" s="17"/>
      <c r="X430" s="17"/>
      <c r="Y430" s="17"/>
      <c r="Z430" s="17">
        <v>16661</v>
      </c>
      <c r="AA430" s="17">
        <v>15961.9375</v>
      </c>
      <c r="AB430" s="17">
        <v>16661</v>
      </c>
      <c r="AC430" s="17">
        <v>15961.9375</v>
      </c>
      <c r="AD430"/>
      <c r="AE430"/>
    </row>
    <row r="431" spans="1:31" x14ac:dyDescent="0.25">
      <c r="A431" s="136">
        <f>'[2]All Counts'!C431</f>
        <v>9</v>
      </c>
      <c r="B431" s="136">
        <f>'[2]All Counts'!D431</f>
        <v>2</v>
      </c>
      <c r="C431" s="136">
        <f>'[2]All Counts'!E431</f>
        <v>12946</v>
      </c>
      <c r="D431" s="136">
        <f>'[2]All Counts'!F431</f>
        <v>1</v>
      </c>
      <c r="E431" s="136">
        <f>'[2]All Counts'!G431</f>
        <v>1</v>
      </c>
      <c r="F431" s="136" t="str">
        <f>'[2]All Counts'!H431</f>
        <v>I-15 SB</v>
      </c>
      <c r="G431" s="136">
        <f>'[2]All Counts'!I431</f>
        <v>31</v>
      </c>
      <c r="H431" s="136">
        <f>'[2]All Counts'!J431</f>
        <v>0</v>
      </c>
      <c r="I431" s="136" t="str">
        <f>'[2]All Counts'!K431</f>
        <v>CITRACADO</v>
      </c>
      <c r="J431" s="136" t="str">
        <f>'[2]All Counts'!L431</f>
        <v>CITRACADO</v>
      </c>
      <c r="K431" s="136">
        <f>'[2]All Counts'!O431</f>
        <v>19255</v>
      </c>
      <c r="L431" s="57">
        <f>VLOOKUP(ws[[#This Row],[hwycov_id]],readme!D:G,4,FALSE)</f>
        <v>21684.171875</v>
      </c>
      <c r="M431" s="88">
        <f>ws[[#This Row],[flow]]/ws[[#This Row],[count]]-1</f>
        <v>0.12615797844715648</v>
      </c>
      <c r="N431" s="89">
        <f>POWER((ws[[#This Row],[flow]]-ws[[#This Row],[count]]),2)</f>
        <v>5900875.9982910156</v>
      </c>
      <c r="O431" s="43">
        <f>VLOOKUP(ws[[#This Row],[hwycov_id]],count[],6,FALSE)</f>
        <v>0</v>
      </c>
      <c r="P431" s="43">
        <v>723</v>
      </c>
      <c r="Q431" s="43" t="str">
        <f>'[2]All Counts'!P431</f>
        <v>PeMS2016</v>
      </c>
      <c r="S431" s="94">
        <v>16566</v>
      </c>
      <c r="T431" s="17"/>
      <c r="U431" s="17"/>
      <c r="V431" s="17"/>
      <c r="W431" s="17"/>
      <c r="X431" s="17"/>
      <c r="Y431" s="17"/>
      <c r="Z431" s="17">
        <v>13311</v>
      </c>
      <c r="AA431" s="17">
        <v>13378.260742</v>
      </c>
      <c r="AB431" s="17">
        <v>13311</v>
      </c>
      <c r="AC431" s="17">
        <v>13378.260742</v>
      </c>
      <c r="AD431"/>
      <c r="AE431"/>
    </row>
    <row r="432" spans="1:31" x14ac:dyDescent="0.25">
      <c r="A432" s="136">
        <f>'[2]All Counts'!C432</f>
        <v>9</v>
      </c>
      <c r="B432" s="136">
        <f>'[2]All Counts'!D432</f>
        <v>2</v>
      </c>
      <c r="C432" s="136">
        <f>'[2]All Counts'!E432</f>
        <v>12952</v>
      </c>
      <c r="D432" s="136">
        <f>'[2]All Counts'!F432</f>
        <v>1</v>
      </c>
      <c r="E432" s="136">
        <f>'[2]All Counts'!G432</f>
        <v>1</v>
      </c>
      <c r="F432" s="136" t="str">
        <f>'[2]All Counts'!H432</f>
        <v>I-15 SB</v>
      </c>
      <c r="G432" s="136">
        <f>'[2]All Counts'!I432</f>
        <v>32</v>
      </c>
      <c r="H432" s="136">
        <f>'[2]All Counts'!J432</f>
        <v>1</v>
      </c>
      <c r="I432" s="136" t="str">
        <f>'[2]All Counts'!K432</f>
        <v>CITRACADO</v>
      </c>
      <c r="J432" s="136" t="str">
        <f>'[2]All Counts'!L432</f>
        <v>CENTRE CITY</v>
      </c>
      <c r="K432" s="136">
        <f>'[2]All Counts'!O432</f>
        <v>19724</v>
      </c>
      <c r="L432" s="57">
        <f>VLOOKUP(ws[[#This Row],[hwycov_id]],readme!D:G,4,FALSE)</f>
        <v>22115.740234000001</v>
      </c>
      <c r="M432" s="88">
        <f>ws[[#This Row],[flow]]/ws[[#This Row],[count]]-1</f>
        <v>0.12126040529304394</v>
      </c>
      <c r="N432" s="89">
        <f>POWER((ws[[#This Row],[flow]]-ws[[#This Row],[count]]),2)</f>
        <v>5720421.3469343781</v>
      </c>
      <c r="O432" s="43">
        <f>VLOOKUP(ws[[#This Row],[hwycov_id]],count[],6,FALSE)</f>
        <v>0</v>
      </c>
      <c r="P432" s="43">
        <v>722</v>
      </c>
      <c r="Q432" s="43" t="str">
        <f>'[2]All Counts'!P432</f>
        <v>PeMS2016</v>
      </c>
      <c r="S432" s="94">
        <v>16570</v>
      </c>
      <c r="T432" s="17"/>
      <c r="U432" s="17"/>
      <c r="V432" s="17">
        <v>30787</v>
      </c>
      <c r="W432" s="17">
        <v>34693.183594000002</v>
      </c>
      <c r="X432" s="17"/>
      <c r="Y432" s="17"/>
      <c r="Z432" s="17"/>
      <c r="AA432" s="17"/>
      <c r="AB432" s="17">
        <v>30787</v>
      </c>
      <c r="AC432" s="17">
        <v>34693.183594000002</v>
      </c>
      <c r="AD432"/>
      <c r="AE432"/>
    </row>
    <row r="433" spans="1:31" x14ac:dyDescent="0.25">
      <c r="A433" s="136">
        <f>'[2]All Counts'!C433</f>
        <v>9</v>
      </c>
      <c r="B433" s="136">
        <f>'[2]All Counts'!D433</f>
        <v>2</v>
      </c>
      <c r="C433" s="136">
        <f>'[2]All Counts'!E433</f>
        <v>12950</v>
      </c>
      <c r="D433" s="136">
        <f>'[2]All Counts'!F433</f>
        <v>1</v>
      </c>
      <c r="E433" s="136">
        <f>'[2]All Counts'!G433</f>
        <v>1</v>
      </c>
      <c r="F433" s="136" t="str">
        <f>'[2]All Counts'!H433</f>
        <v>I-15 SB</v>
      </c>
      <c r="G433" s="136">
        <f>'[2]All Counts'!I433</f>
        <v>34</v>
      </c>
      <c r="H433" s="136">
        <f>'[2]All Counts'!J433</f>
        <v>0</v>
      </c>
      <c r="I433" s="136" t="str">
        <f>'[2]All Counts'!K433</f>
        <v>CENTRE CITY</v>
      </c>
      <c r="J433" s="136" t="str">
        <f>'[2]All Counts'!L433</f>
        <v>VIA RANCHO</v>
      </c>
      <c r="K433" s="136">
        <f>'[2]All Counts'!O433</f>
        <v>22193</v>
      </c>
      <c r="L433" s="57">
        <f>VLOOKUP(ws[[#This Row],[hwycov_id]],readme!D:G,4,FALSE)</f>
        <v>25555.226562</v>
      </c>
      <c r="M433" s="88">
        <f>ws[[#This Row],[flow]]/ws[[#This Row],[count]]-1</f>
        <v>0.15149941702338565</v>
      </c>
      <c r="N433" s="89">
        <f>POWER((ws[[#This Row],[flow]]-ws[[#This Row],[count]]),2)</f>
        <v>11304567.454218339</v>
      </c>
      <c r="O433" s="43">
        <f>VLOOKUP(ws[[#This Row],[hwycov_id]],count[],6,FALSE)</f>
        <v>0</v>
      </c>
      <c r="P433" s="43">
        <v>469</v>
      </c>
      <c r="Q433" s="43" t="str">
        <f>'[2]All Counts'!P433</f>
        <v>PeMS2016</v>
      </c>
      <c r="S433" s="94">
        <v>16578</v>
      </c>
      <c r="T433" s="17"/>
      <c r="U433" s="17"/>
      <c r="V433" s="17">
        <v>21357</v>
      </c>
      <c r="W433" s="17">
        <v>27787.896484000001</v>
      </c>
      <c r="X433" s="17"/>
      <c r="Y433" s="17"/>
      <c r="Z433" s="17"/>
      <c r="AA433" s="17"/>
      <c r="AB433" s="17">
        <v>21357</v>
      </c>
      <c r="AC433" s="17">
        <v>27787.896484000001</v>
      </c>
      <c r="AD433"/>
      <c r="AE433"/>
    </row>
    <row r="434" spans="1:31" x14ac:dyDescent="0.25">
      <c r="A434" s="136">
        <f>'[2]All Counts'!C434</f>
        <v>9</v>
      </c>
      <c r="B434" s="136">
        <f>'[2]All Counts'!D434</f>
        <v>2</v>
      </c>
      <c r="C434" s="136">
        <f>'[2]All Counts'!E434</f>
        <v>26879</v>
      </c>
      <c r="D434" s="136">
        <f>'[2]All Counts'!F434</f>
        <v>1</v>
      </c>
      <c r="E434" s="136">
        <f>'[2]All Counts'!G434</f>
        <v>1</v>
      </c>
      <c r="F434" s="136" t="str">
        <f>'[2]All Counts'!H434</f>
        <v>I-15 SB</v>
      </c>
      <c r="G434" s="136">
        <f>'[2]All Counts'!I434</f>
        <v>35</v>
      </c>
      <c r="H434" s="136">
        <f>'[2]All Counts'!J434</f>
        <v>0</v>
      </c>
      <c r="I434" s="136" t="str">
        <f>'[2]All Counts'!K434</f>
        <v>VIA RANCHO</v>
      </c>
      <c r="J434" s="136" t="str">
        <f>'[2]All Counts'!L434</f>
        <v>VIA RANCHO</v>
      </c>
      <c r="K434" s="136">
        <f>'[2]All Counts'!O434</f>
        <v>19445</v>
      </c>
      <c r="L434" s="57">
        <f>VLOOKUP(ws[[#This Row],[hwycov_id]],readme!D:G,4,FALSE)</f>
        <v>24528.134765999999</v>
      </c>
      <c r="M434" s="88">
        <f>ws[[#This Row],[flow]]/ws[[#This Row],[count]]-1</f>
        <v>0.26141089051169963</v>
      </c>
      <c r="N434" s="89">
        <f>POWER((ws[[#This Row],[flow]]-ws[[#This Row],[count]]),2)</f>
        <v>25838259.049317867</v>
      </c>
      <c r="O434" s="43">
        <f>VLOOKUP(ws[[#This Row],[hwycov_id]],count[],6,FALSE)</f>
        <v>0</v>
      </c>
      <c r="P434" s="43">
        <v>542</v>
      </c>
      <c r="Q434" s="43" t="str">
        <f>'[2]All Counts'!P434</f>
        <v>PeMS2016</v>
      </c>
      <c r="S434" s="94">
        <v>16760</v>
      </c>
      <c r="T434" s="17">
        <v>16271</v>
      </c>
      <c r="U434" s="17">
        <v>21360.294922000001</v>
      </c>
      <c r="V434" s="17"/>
      <c r="W434" s="17"/>
      <c r="X434" s="17"/>
      <c r="Y434" s="17"/>
      <c r="Z434" s="17"/>
      <c r="AA434" s="17"/>
      <c r="AB434" s="17">
        <v>16271</v>
      </c>
      <c r="AC434" s="17">
        <v>21360.294922000001</v>
      </c>
      <c r="AD434"/>
      <c r="AE434"/>
    </row>
    <row r="435" spans="1:31" x14ac:dyDescent="0.25">
      <c r="A435" s="136">
        <f>'[2]All Counts'!C435</f>
        <v>9</v>
      </c>
      <c r="B435" s="136">
        <f>'[2]All Counts'!D435</f>
        <v>2</v>
      </c>
      <c r="C435" s="136">
        <f>'[2]All Counts'!E435</f>
        <v>8808</v>
      </c>
      <c r="D435" s="136">
        <f>'[2]All Counts'!F435</f>
        <v>1</v>
      </c>
      <c r="E435" s="136">
        <f>'[2]All Counts'!G435</f>
        <v>1</v>
      </c>
      <c r="F435" s="136" t="str">
        <f>'[2]All Counts'!H435</f>
        <v>I-15 SB</v>
      </c>
      <c r="G435" s="136">
        <f>'[2]All Counts'!I435</f>
        <v>37</v>
      </c>
      <c r="H435" s="136">
        <f>'[2]All Counts'!J435</f>
        <v>0</v>
      </c>
      <c r="I435" s="136" t="str">
        <f>'[2]All Counts'!K435</f>
        <v>VIA RANCHO</v>
      </c>
      <c r="J435" s="136" t="str">
        <f>'[2]All Counts'!L435</f>
        <v>WEST BERNARDO</v>
      </c>
      <c r="K435" s="136">
        <f>'[2]All Counts'!O435</f>
        <v>22985</v>
      </c>
      <c r="L435" s="57">
        <f>VLOOKUP(ws[[#This Row],[hwycov_id]],readme!D:G,4,FALSE)</f>
        <v>26946.195312</v>
      </c>
      <c r="M435" s="88">
        <f>ws[[#This Row],[flow]]/ws[[#This Row],[count]]-1</f>
        <v>0.17233827765934295</v>
      </c>
      <c r="N435" s="89">
        <f>POWER((ws[[#This Row],[flow]]-ws[[#This Row],[count]]),2)</f>
        <v>15691068.299810776</v>
      </c>
      <c r="O435" s="43">
        <f>VLOOKUP(ws[[#This Row],[hwycov_id]],count[],6,FALSE)</f>
        <v>0</v>
      </c>
      <c r="P435" s="43">
        <v>341</v>
      </c>
      <c r="Q435" s="43" t="str">
        <f>'[2]All Counts'!P435</f>
        <v>PeMS2016</v>
      </c>
      <c r="S435" s="94">
        <v>16761</v>
      </c>
      <c r="T435" s="17"/>
      <c r="U435" s="17"/>
      <c r="V435" s="17">
        <v>17524</v>
      </c>
      <c r="W435" s="17">
        <v>19930.167968999998</v>
      </c>
      <c r="X435" s="17"/>
      <c r="Y435" s="17"/>
      <c r="Z435" s="17"/>
      <c r="AA435" s="17"/>
      <c r="AB435" s="17">
        <v>17524</v>
      </c>
      <c r="AC435" s="17">
        <v>19930.167968999998</v>
      </c>
      <c r="AD435"/>
      <c r="AE435"/>
    </row>
    <row r="436" spans="1:31" x14ac:dyDescent="0.25">
      <c r="A436" s="136">
        <f>'[2]All Counts'!C436</f>
        <v>9</v>
      </c>
      <c r="B436" s="136">
        <f>'[2]All Counts'!D436</f>
        <v>2</v>
      </c>
      <c r="C436" s="136">
        <f>'[2]All Counts'!E436</f>
        <v>8810</v>
      </c>
      <c r="D436" s="136">
        <f>'[2]All Counts'!F436</f>
        <v>1</v>
      </c>
      <c r="E436" s="136">
        <f>'[2]All Counts'!G436</f>
        <v>1</v>
      </c>
      <c r="F436" s="136" t="str">
        <f>'[2]All Counts'!H436</f>
        <v>I-15 SB</v>
      </c>
      <c r="G436" s="136">
        <f>'[2]All Counts'!I436</f>
        <v>38</v>
      </c>
      <c r="H436" s="136">
        <f>'[2]All Counts'!J436</f>
        <v>0</v>
      </c>
      <c r="I436" s="136" t="str">
        <f>'[2]All Counts'!K436</f>
        <v>WEST BERNARDO</v>
      </c>
      <c r="J436" s="136" t="str">
        <f>'[2]All Counts'!L436</f>
        <v>WEST BERNARDO</v>
      </c>
      <c r="K436" s="136">
        <f>'[2]All Counts'!O436</f>
        <v>20830</v>
      </c>
      <c r="L436" s="57">
        <f>VLOOKUP(ws[[#This Row],[hwycov_id]],readme!D:G,4,FALSE)</f>
        <v>21752.992188</v>
      </c>
      <c r="M436" s="88">
        <f>ws[[#This Row],[flow]]/ws[[#This Row],[count]]-1</f>
        <v>4.4310714738358126E-2</v>
      </c>
      <c r="N436" s="89">
        <f>POWER((ws[[#This Row],[flow]]-ws[[#This Row],[count]]),2)</f>
        <v>851914.57910902763</v>
      </c>
      <c r="O436" s="43">
        <f>VLOOKUP(ws[[#This Row],[hwycov_id]],count[],6,FALSE)</f>
        <v>0</v>
      </c>
      <c r="P436" s="43">
        <v>470</v>
      </c>
      <c r="Q436" s="43" t="str">
        <f>'[2]All Counts'!P436</f>
        <v>PeMS2016</v>
      </c>
      <c r="S436" s="94">
        <v>19481</v>
      </c>
      <c r="T436" s="17"/>
      <c r="U436" s="17"/>
      <c r="V436" s="17"/>
      <c r="W436" s="17"/>
      <c r="X436" s="17"/>
      <c r="Y436" s="17"/>
      <c r="Z436" s="17">
        <v>14757</v>
      </c>
      <c r="AA436" s="17">
        <v>17693.544922000001</v>
      </c>
      <c r="AB436" s="17">
        <v>14757</v>
      </c>
      <c r="AC436" s="17">
        <v>17693.544922000001</v>
      </c>
      <c r="AD436"/>
      <c r="AE436"/>
    </row>
    <row r="437" spans="1:31" x14ac:dyDescent="0.25">
      <c r="A437" s="136">
        <f>'[2]All Counts'!C437</f>
        <v>9</v>
      </c>
      <c r="B437" s="136">
        <f>'[2]All Counts'!D437</f>
        <v>2</v>
      </c>
      <c r="C437" s="136">
        <f>'[2]All Counts'!E437</f>
        <v>31207</v>
      </c>
      <c r="D437" s="136">
        <f>'[2]All Counts'!F437</f>
        <v>1</v>
      </c>
      <c r="E437" s="136">
        <f>'[2]All Counts'!G437</f>
        <v>1</v>
      </c>
      <c r="F437" s="136" t="str">
        <f>'[2]All Counts'!H437</f>
        <v>I-15 SB</v>
      </c>
      <c r="G437" s="136">
        <f>'[2]All Counts'!I437</f>
        <v>39</v>
      </c>
      <c r="H437" s="136">
        <f>'[2]All Counts'!J437</f>
        <v>1</v>
      </c>
      <c r="I437" s="136" t="str">
        <f>'[2]All Counts'!K437</f>
        <v>WEST BERNARDO</v>
      </c>
      <c r="J437" s="136" t="str">
        <f>'[2]All Counts'!L437</f>
        <v>RANCHO BERNARDO</v>
      </c>
      <c r="K437" s="136">
        <f>'[2]All Counts'!O437</f>
        <v>21409</v>
      </c>
      <c r="L437" s="57">
        <f>VLOOKUP(ws[[#This Row],[hwycov_id]],readme!D:G,4,FALSE)</f>
        <v>22075.931640999999</v>
      </c>
      <c r="M437" s="88">
        <f>ws[[#This Row],[flow]]/ws[[#This Row],[count]]-1</f>
        <v>3.1151928674856277E-2</v>
      </c>
      <c r="N437" s="89">
        <f>POWER((ws[[#This Row],[flow]]-ws[[#This Row],[count]]),2)</f>
        <v>444797.81376695185</v>
      </c>
      <c r="O437" s="43">
        <f>VLOOKUP(ws[[#This Row],[hwycov_id]],count[],6,FALSE)</f>
        <v>0</v>
      </c>
      <c r="P437" s="43">
        <v>688</v>
      </c>
      <c r="Q437" s="43" t="str">
        <f>'[2]All Counts'!P437</f>
        <v>PeMS2016</v>
      </c>
      <c r="S437" s="94">
        <v>19571</v>
      </c>
      <c r="T437" s="17"/>
      <c r="U437" s="17"/>
      <c r="V437" s="17"/>
      <c r="W437" s="17"/>
      <c r="X437" s="17"/>
      <c r="Y437" s="17"/>
      <c r="Z437" s="17">
        <v>11206</v>
      </c>
      <c r="AA437" s="17">
        <v>16209.459961</v>
      </c>
      <c r="AB437" s="17">
        <v>11206</v>
      </c>
      <c r="AC437" s="17">
        <v>16209.459961</v>
      </c>
      <c r="AD437"/>
      <c r="AE437"/>
    </row>
    <row r="438" spans="1:31" x14ac:dyDescent="0.25">
      <c r="A438" s="136">
        <f>'[2]All Counts'!C438</f>
        <v>9</v>
      </c>
      <c r="B438" s="136">
        <f>'[2]All Counts'!D438</f>
        <v>2</v>
      </c>
      <c r="C438" s="136">
        <f>'[2]All Counts'!E438</f>
        <v>568</v>
      </c>
      <c r="D438" s="136">
        <f>'[2]All Counts'!F438</f>
        <v>1</v>
      </c>
      <c r="E438" s="136">
        <f>'[2]All Counts'!G438</f>
        <v>1</v>
      </c>
      <c r="F438" s="136" t="str">
        <f>'[2]All Counts'!H438</f>
        <v>I-15 SB</v>
      </c>
      <c r="G438" s="136">
        <f>'[2]All Counts'!I438</f>
        <v>41</v>
      </c>
      <c r="H438" s="136">
        <f>'[2]All Counts'!J438</f>
        <v>0</v>
      </c>
      <c r="I438" s="136" t="str">
        <f>'[2]All Counts'!K438</f>
        <v>RANCHO BERNARDO</v>
      </c>
      <c r="J438" s="136" t="str">
        <f>'[2]All Counts'!L438</f>
        <v>RANCHO BERNARDO</v>
      </c>
      <c r="K438" s="136">
        <f>'[2]All Counts'!O438</f>
        <v>18692</v>
      </c>
      <c r="L438" s="57">
        <f>VLOOKUP(ws[[#This Row],[hwycov_id]],readme!D:G,4,FALSE)</f>
        <v>20140.960938</v>
      </c>
      <c r="M438" s="88">
        <f>ws[[#This Row],[flow]]/ws[[#This Row],[count]]-1</f>
        <v>7.7517704793494513E-2</v>
      </c>
      <c r="N438" s="89">
        <f>POWER((ws[[#This Row],[flow]]-ws[[#This Row],[count]]),2)</f>
        <v>2099487.7998498403</v>
      </c>
      <c r="O438" s="43">
        <f>VLOOKUP(ws[[#This Row],[hwycov_id]],count[],6,FALSE)</f>
        <v>0</v>
      </c>
      <c r="P438" s="43">
        <v>731</v>
      </c>
      <c r="Q438" s="43" t="str">
        <f>'[2]All Counts'!P438</f>
        <v>PeMS2016</v>
      </c>
      <c r="S438" s="94">
        <v>20457</v>
      </c>
      <c r="T438" s="17">
        <v>17640</v>
      </c>
      <c r="U438" s="17">
        <v>23573.1875</v>
      </c>
      <c r="V438" s="17"/>
      <c r="W438" s="17"/>
      <c r="X438" s="17"/>
      <c r="Y438" s="17"/>
      <c r="Z438" s="17"/>
      <c r="AA438" s="17"/>
      <c r="AB438" s="17">
        <v>17640</v>
      </c>
      <c r="AC438" s="17">
        <v>23573.1875</v>
      </c>
      <c r="AD438"/>
      <c r="AE438"/>
    </row>
    <row r="439" spans="1:31" x14ac:dyDescent="0.25">
      <c r="A439" s="136">
        <f>'[2]All Counts'!C439</f>
        <v>9</v>
      </c>
      <c r="B439" s="136">
        <f>'[2]All Counts'!D439</f>
        <v>2</v>
      </c>
      <c r="C439" s="136">
        <f>'[2]All Counts'!E439</f>
        <v>13646</v>
      </c>
      <c r="D439" s="136">
        <f>'[2]All Counts'!F439</f>
        <v>1</v>
      </c>
      <c r="E439" s="136">
        <f>'[2]All Counts'!G439</f>
        <v>1</v>
      </c>
      <c r="F439" s="136" t="str">
        <f>'[2]All Counts'!H439</f>
        <v>I-15 SB</v>
      </c>
      <c r="G439" s="136">
        <f>'[2]All Counts'!I439</f>
        <v>42</v>
      </c>
      <c r="H439" s="136">
        <f>'[2]All Counts'!J439</f>
        <v>0</v>
      </c>
      <c r="I439" s="136" t="str">
        <f>'[2]All Counts'!K439</f>
        <v>RANCHO BERNARDO</v>
      </c>
      <c r="J439" s="136" t="str">
        <f>'[2]All Counts'!L439</f>
        <v>BERNARDO CENTER</v>
      </c>
      <c r="K439" s="136">
        <f>'[2]All Counts'!O439</f>
        <v>22442</v>
      </c>
      <c r="L439" s="57">
        <f>VLOOKUP(ws[[#This Row],[hwycov_id]],readme!D:G,4,FALSE)</f>
        <v>22404.412109000001</v>
      </c>
      <c r="M439" s="88">
        <f>ws[[#This Row],[flow]]/ws[[#This Row],[count]]-1</f>
        <v>-1.6748904286605359E-3</v>
      </c>
      <c r="N439" s="89">
        <f>POWER((ws[[#This Row],[flow]]-ws[[#This Row],[count]]),2)</f>
        <v>1412.8495498278221</v>
      </c>
      <c r="O439" s="43">
        <f>VLOOKUP(ws[[#This Row],[hwycov_id]],count[],6,FALSE)</f>
        <v>0</v>
      </c>
      <c r="P439" s="43">
        <v>343</v>
      </c>
      <c r="Q439" s="43" t="str">
        <f>'[2]All Counts'!P439</f>
        <v>SANDAG</v>
      </c>
      <c r="S439" s="94">
        <v>20463</v>
      </c>
      <c r="T439" s="17"/>
      <c r="U439" s="17"/>
      <c r="V439" s="17">
        <v>20069</v>
      </c>
      <c r="W439" s="17">
        <v>20716.410156000002</v>
      </c>
      <c r="X439" s="17"/>
      <c r="Y439" s="17"/>
      <c r="Z439" s="17"/>
      <c r="AA439" s="17"/>
      <c r="AB439" s="17">
        <v>20069</v>
      </c>
      <c r="AC439" s="17">
        <v>20716.410156000002</v>
      </c>
      <c r="AD439"/>
      <c r="AE439"/>
    </row>
    <row r="440" spans="1:31" x14ac:dyDescent="0.25">
      <c r="A440" s="136">
        <f>'[2]All Counts'!C440</f>
        <v>9</v>
      </c>
      <c r="B440" s="136">
        <f>'[2]All Counts'!D440</f>
        <v>2</v>
      </c>
      <c r="C440" s="136">
        <f>'[2]All Counts'!E440</f>
        <v>13649</v>
      </c>
      <c r="D440" s="136">
        <f>'[2]All Counts'!F440</f>
        <v>1</v>
      </c>
      <c r="E440" s="136">
        <f>'[2]All Counts'!G440</f>
        <v>1</v>
      </c>
      <c r="F440" s="136" t="str">
        <f>'[2]All Counts'!H440</f>
        <v>I-15 SB</v>
      </c>
      <c r="G440" s="136">
        <f>'[2]All Counts'!I440</f>
        <v>43</v>
      </c>
      <c r="H440" s="136">
        <f>'[2]All Counts'!J440</f>
        <v>0</v>
      </c>
      <c r="I440" s="136" t="str">
        <f>'[2]All Counts'!K440</f>
        <v>BERNARDO CENTER</v>
      </c>
      <c r="J440" s="136" t="str">
        <f>'[2]All Counts'!L440</f>
        <v>BERNARDO CENTER</v>
      </c>
      <c r="K440" s="136">
        <f>'[2]All Counts'!O440</f>
        <v>21029</v>
      </c>
      <c r="L440" s="57">
        <f>VLOOKUP(ws[[#This Row],[hwycov_id]],readme!D:G,4,FALSE)</f>
        <v>20416.167968999998</v>
      </c>
      <c r="M440" s="88">
        <f>ws[[#This Row],[flow]]/ws[[#This Row],[count]]-1</f>
        <v>-2.9142233629749437E-2</v>
      </c>
      <c r="N440" s="89">
        <f>POWER((ws[[#This Row],[flow]]-ws[[#This Row],[count]]),2)</f>
        <v>375563.09821958706</v>
      </c>
      <c r="O440" s="43">
        <f>VLOOKUP(ws[[#This Row],[hwycov_id]],count[],6,FALSE)</f>
        <v>0</v>
      </c>
      <c r="P440" s="43">
        <v>473</v>
      </c>
      <c r="Q440" s="43" t="str">
        <f>'[2]All Counts'!P440</f>
        <v>PeMS2016</v>
      </c>
      <c r="S440" s="94">
        <v>20464</v>
      </c>
      <c r="T440" s="17">
        <v>13335</v>
      </c>
      <c r="U440" s="17">
        <v>10422.435546999999</v>
      </c>
      <c r="V440" s="17"/>
      <c r="W440" s="17"/>
      <c r="X440" s="17"/>
      <c r="Y440" s="17"/>
      <c r="Z440" s="17"/>
      <c r="AA440" s="17"/>
      <c r="AB440" s="17">
        <v>13335</v>
      </c>
      <c r="AC440" s="17">
        <v>10422.435546999999</v>
      </c>
      <c r="AD440"/>
      <c r="AE440"/>
    </row>
    <row r="441" spans="1:31" x14ac:dyDescent="0.25">
      <c r="A441" s="136">
        <f>'[2]All Counts'!C441</f>
        <v>9</v>
      </c>
      <c r="B441" s="136">
        <f>'[2]All Counts'!D441</f>
        <v>2</v>
      </c>
      <c r="C441" s="136">
        <f>'[2]All Counts'!E441</f>
        <v>13653</v>
      </c>
      <c r="D441" s="136">
        <f>'[2]All Counts'!F441</f>
        <v>1</v>
      </c>
      <c r="E441" s="136">
        <f>'[2]All Counts'!G441</f>
        <v>1</v>
      </c>
      <c r="F441" s="136" t="str">
        <f>'[2]All Counts'!H441</f>
        <v>I-15 SB</v>
      </c>
      <c r="G441" s="136">
        <f>'[2]All Counts'!I441</f>
        <v>44</v>
      </c>
      <c r="H441" s="136">
        <f>'[2]All Counts'!J441</f>
        <v>0</v>
      </c>
      <c r="I441" s="136" t="str">
        <f>'[2]All Counts'!K441</f>
        <v>BERNARDO CENTER</v>
      </c>
      <c r="J441" s="136" t="str">
        <f>'[2]All Counts'!L441</f>
        <v>CAM DEL NORTE</v>
      </c>
      <c r="K441" s="136">
        <f>'[2]All Counts'!O441</f>
        <v>24646</v>
      </c>
      <c r="L441" s="57">
        <f>VLOOKUP(ws[[#This Row],[hwycov_id]],readme!D:G,4,FALSE)</f>
        <v>21767.917968999998</v>
      </c>
      <c r="M441" s="88">
        <f>ws[[#This Row],[flow]]/ws[[#This Row],[count]]-1</f>
        <v>-0.11677684131299204</v>
      </c>
      <c r="N441" s="89">
        <f>POWER((ws[[#This Row],[flow]]-ws[[#This Row],[count]]),2)</f>
        <v>8283356.1771650948</v>
      </c>
      <c r="O441" s="43">
        <f>VLOOKUP(ws[[#This Row],[hwycov_id]],count[],6,FALSE)</f>
        <v>0</v>
      </c>
      <c r="P441" s="43">
        <v>240</v>
      </c>
      <c r="Q441" s="43" t="str">
        <f>'[2]All Counts'!P441</f>
        <v>PeMS2016</v>
      </c>
      <c r="S441" s="94">
        <v>20465</v>
      </c>
      <c r="T441" s="17">
        <v>19491</v>
      </c>
      <c r="U441" s="17">
        <v>26961.078125</v>
      </c>
      <c r="V441" s="17"/>
      <c r="W441" s="17"/>
      <c r="X441" s="17"/>
      <c r="Y441" s="17"/>
      <c r="Z441" s="17"/>
      <c r="AA441" s="17"/>
      <c r="AB441" s="17">
        <v>19491</v>
      </c>
      <c r="AC441" s="17">
        <v>26961.078125</v>
      </c>
      <c r="AD441"/>
      <c r="AE441"/>
    </row>
    <row r="442" spans="1:31" x14ac:dyDescent="0.25">
      <c r="A442" s="136">
        <f>'[2]All Counts'!C442</f>
        <v>9</v>
      </c>
      <c r="B442" s="136">
        <f>'[2]All Counts'!D442</f>
        <v>2</v>
      </c>
      <c r="C442" s="136">
        <f>'[2]All Counts'!E442</f>
        <v>31208</v>
      </c>
      <c r="D442" s="136">
        <f>'[2]All Counts'!F442</f>
        <v>1</v>
      </c>
      <c r="E442" s="136">
        <f>'[2]All Counts'!G442</f>
        <v>1</v>
      </c>
      <c r="F442" s="136" t="str">
        <f>'[2]All Counts'!H442</f>
        <v>I-15 SB</v>
      </c>
      <c r="G442" s="136">
        <f>'[2]All Counts'!I442</f>
        <v>45</v>
      </c>
      <c r="H442" s="136">
        <f>'[2]All Counts'!J442</f>
        <v>0</v>
      </c>
      <c r="I442" s="136" t="str">
        <f>'[2]All Counts'!K442</f>
        <v>CAM DEL NORTE</v>
      </c>
      <c r="J442" s="136" t="str">
        <f>'[2]All Counts'!L442</f>
        <v>CAM DEL NORTE</v>
      </c>
      <c r="K442" s="136">
        <f>'[2]All Counts'!O442</f>
        <v>21420</v>
      </c>
      <c r="L442" s="57">
        <f>VLOOKUP(ws[[#This Row],[hwycov_id]],readme!D:G,4,FALSE)</f>
        <v>19453.318359000001</v>
      </c>
      <c r="M442" s="88">
        <f>ws[[#This Row],[flow]]/ws[[#This Row],[count]]-1</f>
        <v>-9.1815202661064355E-2</v>
      </c>
      <c r="N442" s="89">
        <f>POWER((ws[[#This Row],[flow]]-ws[[#This Row],[count]]),2)</f>
        <v>3867836.6770464499</v>
      </c>
      <c r="O442" s="43">
        <f>VLOOKUP(ws[[#This Row],[hwycov_id]],count[],6,FALSE)</f>
        <v>0</v>
      </c>
      <c r="P442" s="43">
        <v>255</v>
      </c>
      <c r="Q442" s="43" t="str">
        <f>'[2]All Counts'!P442</f>
        <v>PeMS2016</v>
      </c>
      <c r="S442" s="94">
        <v>20466</v>
      </c>
      <c r="T442" s="17">
        <v>13222</v>
      </c>
      <c r="U442" s="17">
        <v>17586.066406000002</v>
      </c>
      <c r="V442" s="17"/>
      <c r="W442" s="17"/>
      <c r="X442" s="17"/>
      <c r="Y442" s="17"/>
      <c r="Z442" s="17"/>
      <c r="AA442" s="17"/>
      <c r="AB442" s="17">
        <v>13222</v>
      </c>
      <c r="AC442" s="17">
        <v>17586.066406000002</v>
      </c>
      <c r="AD442"/>
      <c r="AE442"/>
    </row>
    <row r="443" spans="1:31" x14ac:dyDescent="0.25">
      <c r="A443" s="136">
        <f>'[2]All Counts'!C443</f>
        <v>9</v>
      </c>
      <c r="B443" s="136">
        <f>'[2]All Counts'!D443</f>
        <v>2</v>
      </c>
      <c r="C443" s="136">
        <f>'[2]All Counts'!E443</f>
        <v>13661</v>
      </c>
      <c r="D443" s="136">
        <f>'[2]All Counts'!F443</f>
        <v>1</v>
      </c>
      <c r="E443" s="136">
        <f>'[2]All Counts'!G443</f>
        <v>1</v>
      </c>
      <c r="F443" s="136" t="str">
        <f>'[2]All Counts'!H443</f>
        <v>I-15 SB</v>
      </c>
      <c r="G443" s="136">
        <f>'[2]All Counts'!I443</f>
        <v>46</v>
      </c>
      <c r="H443" s="136">
        <f>'[2]All Counts'!J443</f>
        <v>0</v>
      </c>
      <c r="I443" s="136" t="str">
        <f>'[2]All Counts'!K443</f>
        <v>CAM DEL NORTE</v>
      </c>
      <c r="J443" s="136" t="str">
        <f>'[2]All Counts'!L443</f>
        <v>CAM DEL NORTE</v>
      </c>
      <c r="K443" s="136">
        <f>'[2]All Counts'!O443</f>
        <v>21294</v>
      </c>
      <c r="L443" s="57">
        <f>VLOOKUP(ws[[#This Row],[hwycov_id]],readme!D:G,4,FALSE)</f>
        <v>20548.189452999999</v>
      </c>
      <c r="M443" s="88">
        <f>ws[[#This Row],[flow]]/ws[[#This Row],[count]]-1</f>
        <v>-3.5024445712407259E-2</v>
      </c>
      <c r="N443" s="89">
        <f>POWER((ws[[#This Row],[flow]]-ws[[#This Row],[count]]),2)</f>
        <v>556233.37201644061</v>
      </c>
      <c r="O443" s="43">
        <f>VLOOKUP(ws[[#This Row],[hwycov_id]],count[],6,FALSE)</f>
        <v>0</v>
      </c>
      <c r="P443" s="43">
        <v>256</v>
      </c>
      <c r="Q443" s="43" t="str">
        <f>'[2]All Counts'!P443</f>
        <v>SANDAG</v>
      </c>
      <c r="S443" s="94">
        <v>20467</v>
      </c>
      <c r="T443" s="17">
        <v>16004</v>
      </c>
      <c r="U443" s="17">
        <v>18888.876952999999</v>
      </c>
      <c r="V443" s="17"/>
      <c r="W443" s="17"/>
      <c r="X443" s="17"/>
      <c r="Y443" s="17"/>
      <c r="Z443" s="17"/>
      <c r="AA443" s="17"/>
      <c r="AB443" s="17">
        <v>16004</v>
      </c>
      <c r="AC443" s="17">
        <v>18888.876952999999</v>
      </c>
      <c r="AD443"/>
      <c r="AE443"/>
    </row>
    <row r="444" spans="1:31" x14ac:dyDescent="0.25">
      <c r="A444" s="136">
        <f>'[2]All Counts'!C444</f>
        <v>9</v>
      </c>
      <c r="B444" s="136">
        <f>'[2]All Counts'!D444</f>
        <v>2</v>
      </c>
      <c r="C444" s="136">
        <f>'[2]All Counts'!E444</f>
        <v>13664</v>
      </c>
      <c r="D444" s="136">
        <f>'[2]All Counts'!F444</f>
        <v>1</v>
      </c>
      <c r="E444" s="136">
        <f>'[2]All Counts'!G444</f>
        <v>1</v>
      </c>
      <c r="F444" s="136" t="str">
        <f>'[2]All Counts'!H444</f>
        <v>I-15 SB</v>
      </c>
      <c r="G444" s="136">
        <f>'[2]All Counts'!I444</f>
        <v>47</v>
      </c>
      <c r="H444" s="136">
        <f>'[2]All Counts'!J444</f>
        <v>0</v>
      </c>
      <c r="I444" s="136" t="str">
        <f>'[2]All Counts'!K444</f>
        <v>CAM DEL NORTE</v>
      </c>
      <c r="J444" s="136" t="str">
        <f>'[2]All Counts'!L444</f>
        <v>CARMEL MTN</v>
      </c>
      <c r="K444" s="136">
        <f>'[2]All Counts'!O444</f>
        <v>27852</v>
      </c>
      <c r="L444" s="57">
        <f>VLOOKUP(ws[[#This Row],[hwycov_id]],readme!D:G,4,FALSE)</f>
        <v>23023.044922000001</v>
      </c>
      <c r="M444" s="88">
        <f>ws[[#This Row],[flow]]/ws[[#This Row],[count]]-1</f>
        <v>-0.17337911381588389</v>
      </c>
      <c r="N444" s="89">
        <f>POWER((ws[[#This Row],[flow]]-ws[[#This Row],[count]]),2)</f>
        <v>23318807.145341977</v>
      </c>
      <c r="O444" s="43">
        <f>VLOOKUP(ws[[#This Row],[hwycov_id]],count[],6,FALSE)</f>
        <v>0</v>
      </c>
      <c r="P444" s="43">
        <v>258</v>
      </c>
      <c r="Q444" s="43" t="str">
        <f>'[2]All Counts'!P444</f>
        <v>PeMS2016</v>
      </c>
      <c r="S444" s="94">
        <v>20529</v>
      </c>
      <c r="T444" s="17">
        <v>18567</v>
      </c>
      <c r="U444" s="17">
        <v>24870.359375</v>
      </c>
      <c r="V444" s="17"/>
      <c r="W444" s="17"/>
      <c r="X444" s="17"/>
      <c r="Y444" s="17"/>
      <c r="Z444" s="17"/>
      <c r="AA444" s="17"/>
      <c r="AB444" s="17">
        <v>18567</v>
      </c>
      <c r="AC444" s="17">
        <v>24870.359375</v>
      </c>
      <c r="AD444"/>
      <c r="AE444"/>
    </row>
    <row r="445" spans="1:31" x14ac:dyDescent="0.25">
      <c r="A445" s="136">
        <f>'[2]All Counts'!C445</f>
        <v>9</v>
      </c>
      <c r="B445" s="136">
        <f>'[2]All Counts'!D445</f>
        <v>2</v>
      </c>
      <c r="C445" s="136">
        <f>'[2]All Counts'!E445</f>
        <v>13673</v>
      </c>
      <c r="D445" s="136">
        <f>'[2]All Counts'!F445</f>
        <v>1</v>
      </c>
      <c r="E445" s="136">
        <f>'[2]All Counts'!G445</f>
        <v>1</v>
      </c>
      <c r="F445" s="136" t="str">
        <f>'[2]All Counts'!H445</f>
        <v>I-15 SB</v>
      </c>
      <c r="G445" s="136">
        <f>'[2]All Counts'!I445</f>
        <v>48</v>
      </c>
      <c r="H445" s="136">
        <f>'[2]All Counts'!J445</f>
        <v>0</v>
      </c>
      <c r="I445" s="136" t="str">
        <f>'[2]All Counts'!K445</f>
        <v>CARMEL MTN</v>
      </c>
      <c r="J445" s="136" t="str">
        <f>'[2]All Counts'!L445</f>
        <v>CARMEL MTN</v>
      </c>
      <c r="K445" s="136">
        <f>'[2]All Counts'!O445</f>
        <v>24049</v>
      </c>
      <c r="L445" s="57">
        <f>VLOOKUP(ws[[#This Row],[hwycov_id]],readme!D:G,4,FALSE)</f>
        <v>20931.857422000001</v>
      </c>
      <c r="M445" s="88">
        <f>ws[[#This Row],[flow]]/ws[[#This Row],[count]]-1</f>
        <v>-0.12961630745561137</v>
      </c>
      <c r="N445" s="89">
        <f>POWER((ws[[#This Row],[flow]]-ws[[#This Row],[count]]),2)</f>
        <v>9716577.8515804801</v>
      </c>
      <c r="O445" s="43">
        <f>VLOOKUP(ws[[#This Row],[hwycov_id]],count[],6,FALSE)</f>
        <v>0</v>
      </c>
      <c r="P445" s="43">
        <v>267</v>
      </c>
      <c r="Q445" s="43" t="str">
        <f>'[2]All Counts'!P445</f>
        <v>PeMS2016</v>
      </c>
      <c r="S445" s="94">
        <v>20549</v>
      </c>
      <c r="T445" s="17">
        <v>18612</v>
      </c>
      <c r="U445" s="17">
        <v>20102.849609000001</v>
      </c>
      <c r="V445" s="17"/>
      <c r="W445" s="17"/>
      <c r="X445" s="17"/>
      <c r="Y445" s="17"/>
      <c r="Z445" s="17"/>
      <c r="AA445" s="17"/>
      <c r="AB445" s="17">
        <v>18612</v>
      </c>
      <c r="AC445" s="17">
        <v>20102.849609000001</v>
      </c>
      <c r="AD445"/>
      <c r="AE445"/>
    </row>
    <row r="446" spans="1:31" x14ac:dyDescent="0.25">
      <c r="A446" s="136">
        <f>'[2]All Counts'!C446</f>
        <v>9</v>
      </c>
      <c r="B446" s="136">
        <f>'[2]All Counts'!D446</f>
        <v>2</v>
      </c>
      <c r="C446" s="136">
        <f>'[2]All Counts'!E446</f>
        <v>14644</v>
      </c>
      <c r="D446" s="136">
        <f>'[2]All Counts'!F446</f>
        <v>1</v>
      </c>
      <c r="E446" s="136">
        <f>'[2]All Counts'!G446</f>
        <v>1</v>
      </c>
      <c r="F446" s="136" t="str">
        <f>'[2]All Counts'!H446</f>
        <v>I-15 SB</v>
      </c>
      <c r="G446" s="136">
        <f>'[2]All Counts'!I446</f>
        <v>49</v>
      </c>
      <c r="H446" s="136">
        <f>'[2]All Counts'!J446</f>
        <v>0</v>
      </c>
      <c r="I446" s="136" t="str">
        <f>'[2]All Counts'!K446</f>
        <v>CARMEL MTN</v>
      </c>
      <c r="J446" s="136" t="str">
        <f>'[2]All Counts'!L446</f>
        <v>SR-56 WB</v>
      </c>
      <c r="K446" s="136">
        <f>'[2]All Counts'!O446</f>
        <v>35147</v>
      </c>
      <c r="L446" s="57">
        <f>VLOOKUP(ws[[#This Row],[hwycov_id]],readme!D:G,4,FALSE)</f>
        <v>23679.675781000002</v>
      </c>
      <c r="M446" s="88">
        <f>ws[[#This Row],[flow]]/ws[[#This Row],[count]]-1</f>
        <v>-0.32626751128119036</v>
      </c>
      <c r="N446" s="89">
        <f>POWER((ws[[#This Row],[flow]]-ws[[#This Row],[count]]),2)</f>
        <v>131499524.74366392</v>
      </c>
      <c r="O446" s="43">
        <f>VLOOKUP(ws[[#This Row],[hwycov_id]],count[],6,FALSE)</f>
        <v>0</v>
      </c>
      <c r="P446" s="43">
        <v>268</v>
      </c>
      <c r="Q446" s="43" t="str">
        <f>'[2]All Counts'!P446</f>
        <v>SANDAG</v>
      </c>
      <c r="S446" s="94">
        <v>20588</v>
      </c>
      <c r="T446" s="17">
        <v>17424</v>
      </c>
      <c r="U446" s="17">
        <v>18593.142577999999</v>
      </c>
      <c r="V446" s="17"/>
      <c r="W446" s="17"/>
      <c r="X446" s="17"/>
      <c r="Y446" s="17"/>
      <c r="Z446" s="17"/>
      <c r="AA446" s="17"/>
      <c r="AB446" s="17">
        <v>17424</v>
      </c>
      <c r="AC446" s="17">
        <v>18593.142577999999</v>
      </c>
      <c r="AD446"/>
      <c r="AE446"/>
    </row>
    <row r="447" spans="1:31" x14ac:dyDescent="0.25">
      <c r="A447" s="136">
        <f>'[2]All Counts'!C447</f>
        <v>9</v>
      </c>
      <c r="B447" s="136">
        <f>'[2]All Counts'!D447</f>
        <v>2</v>
      </c>
      <c r="C447" s="136">
        <f>'[2]All Counts'!E447</f>
        <v>570</v>
      </c>
      <c r="D447" s="136">
        <f>'[2]All Counts'!F447</f>
        <v>1</v>
      </c>
      <c r="E447" s="136">
        <f>'[2]All Counts'!G447</f>
        <v>1</v>
      </c>
      <c r="F447" s="136" t="str">
        <f>'[2]All Counts'!H447</f>
        <v>I-15 SB</v>
      </c>
      <c r="G447" s="136">
        <f>'[2]All Counts'!I447</f>
        <v>53</v>
      </c>
      <c r="H447" s="136">
        <f>'[2]All Counts'!J447</f>
        <v>0</v>
      </c>
      <c r="I447" s="136" t="str">
        <f>'[2]All Counts'!K447</f>
        <v>I-15 HOV SB</v>
      </c>
      <c r="J447" s="136" t="str">
        <f>'[2]All Counts'!L447</f>
        <v>SR-56 EB</v>
      </c>
      <c r="K447" s="136">
        <f>'[2]All Counts'!O447</f>
        <v>23334</v>
      </c>
      <c r="L447" s="57">
        <f>VLOOKUP(ws[[#This Row],[hwycov_id]],readme!D:G,4,FALSE)</f>
        <v>20131.929688</v>
      </c>
      <c r="M447" s="88">
        <f>ws[[#This Row],[flow]]/ws[[#This Row],[count]]-1</f>
        <v>-0.13722766400959974</v>
      </c>
      <c r="N447" s="89">
        <f>POWER((ws[[#This Row],[flow]]-ws[[#This Row],[count]]),2)</f>
        <v>10253254.282991776</v>
      </c>
      <c r="O447" s="43">
        <f>VLOOKUP(ws[[#This Row],[hwycov_id]],count[],6,FALSE)</f>
        <v>0</v>
      </c>
      <c r="P447" s="43">
        <v>269</v>
      </c>
      <c r="Q447" s="43" t="str">
        <f>'[2]All Counts'!P447</f>
        <v>PeMS2016</v>
      </c>
      <c r="S447" s="94">
        <v>20600</v>
      </c>
      <c r="T447" s="17">
        <v>16826</v>
      </c>
      <c r="U447" s="17">
        <v>16188.6875</v>
      </c>
      <c r="V447" s="17"/>
      <c r="W447" s="17"/>
      <c r="X447" s="17"/>
      <c r="Y447" s="17"/>
      <c r="Z447" s="17"/>
      <c r="AA447" s="17"/>
      <c r="AB447" s="17">
        <v>16826</v>
      </c>
      <c r="AC447" s="17">
        <v>16188.6875</v>
      </c>
      <c r="AD447"/>
      <c r="AE447"/>
    </row>
    <row r="448" spans="1:31" x14ac:dyDescent="0.25">
      <c r="A448" s="136">
        <f>'[2]All Counts'!C448</f>
        <v>9</v>
      </c>
      <c r="B448" s="136">
        <f>'[2]All Counts'!D448</f>
        <v>2</v>
      </c>
      <c r="C448" s="136">
        <f>'[2]All Counts'!E448</f>
        <v>14637</v>
      </c>
      <c r="D448" s="136">
        <f>'[2]All Counts'!F448</f>
        <v>1</v>
      </c>
      <c r="E448" s="136">
        <f>'[2]All Counts'!G448</f>
        <v>1</v>
      </c>
      <c r="F448" s="136" t="str">
        <f>'[2]All Counts'!H448</f>
        <v>I-15 SB</v>
      </c>
      <c r="G448" s="136">
        <f>'[2]All Counts'!I448</f>
        <v>54</v>
      </c>
      <c r="H448" s="136">
        <f>'[2]All Counts'!J448</f>
        <v>0</v>
      </c>
      <c r="I448" s="136" t="str">
        <f>'[2]All Counts'!K448</f>
        <v>SR-56 EB</v>
      </c>
      <c r="J448" s="136" t="str">
        <f>'[2]All Counts'!L448</f>
        <v>RANCHO PENASQUITOS</v>
      </c>
      <c r="K448" s="136">
        <f>'[2]All Counts'!O448</f>
        <v>22950</v>
      </c>
      <c r="L448" s="57">
        <f>VLOOKUP(ws[[#This Row],[hwycov_id]],readme!D:G,4,FALSE)</f>
        <v>21245.775390999999</v>
      </c>
      <c r="M448" s="88">
        <f>ws[[#This Row],[flow]]/ws[[#This Row],[count]]-1</f>
        <v>-7.4258152897603513E-2</v>
      </c>
      <c r="N448" s="89">
        <f>POWER((ws[[#This Row],[flow]]-ws[[#This Row],[count]]),2)</f>
        <v>2904381.5179212056</v>
      </c>
      <c r="O448" s="43">
        <f>VLOOKUP(ws[[#This Row],[hwycov_id]],count[],6,FALSE)</f>
        <v>0</v>
      </c>
      <c r="P448" s="43">
        <v>273</v>
      </c>
      <c r="Q448" s="43" t="str">
        <f>'[2]All Counts'!P448</f>
        <v>PeMS2016</v>
      </c>
      <c r="S448" s="94">
        <v>20640</v>
      </c>
      <c r="T448" s="17">
        <v>17572</v>
      </c>
      <c r="U448" s="17">
        <v>20442.128906000002</v>
      </c>
      <c r="V448" s="17"/>
      <c r="W448" s="17"/>
      <c r="X448" s="17"/>
      <c r="Y448" s="17"/>
      <c r="Z448" s="17"/>
      <c r="AA448" s="17"/>
      <c r="AB448" s="17">
        <v>17572</v>
      </c>
      <c r="AC448" s="17">
        <v>20442.128906000002</v>
      </c>
      <c r="AD448"/>
      <c r="AE448"/>
    </row>
    <row r="449" spans="1:31" x14ac:dyDescent="0.25">
      <c r="A449" s="136">
        <f>'[2]All Counts'!C449</f>
        <v>9</v>
      </c>
      <c r="B449" s="136">
        <f>'[2]All Counts'!D449</f>
        <v>2</v>
      </c>
      <c r="C449" s="136">
        <f>'[2]All Counts'!E449</f>
        <v>14660</v>
      </c>
      <c r="D449" s="136">
        <f>'[2]All Counts'!F449</f>
        <v>1</v>
      </c>
      <c r="E449" s="136">
        <f>'[2]All Counts'!G449</f>
        <v>1</v>
      </c>
      <c r="F449" s="136" t="str">
        <f>'[2]All Counts'!H449</f>
        <v>I-15 SB</v>
      </c>
      <c r="G449" s="136">
        <f>'[2]All Counts'!I449</f>
        <v>55</v>
      </c>
      <c r="H449" s="136">
        <f>'[2]All Counts'!J449</f>
        <v>0</v>
      </c>
      <c r="I449" s="136" t="str">
        <f>'[2]All Counts'!K449</f>
        <v>RANCHO PENASQUITOS</v>
      </c>
      <c r="J449" s="136" t="str">
        <f>'[2]All Counts'!L449</f>
        <v>RANCHO PENASQUITOS</v>
      </c>
      <c r="K449" s="136">
        <f>'[2]All Counts'!O449</f>
        <v>24886</v>
      </c>
      <c r="L449" s="57">
        <f>VLOOKUP(ws[[#This Row],[hwycov_id]],readme!D:G,4,FALSE)</f>
        <v>20698.996093999998</v>
      </c>
      <c r="M449" s="88">
        <f>ws[[#This Row],[flow]]/ws[[#This Row],[count]]-1</f>
        <v>-0.16824736422084718</v>
      </c>
      <c r="N449" s="89">
        <f>POWER((ws[[#This Row],[flow]]-ws[[#This Row],[count]]),2)</f>
        <v>17531001.708859272</v>
      </c>
      <c r="O449" s="43">
        <f>VLOOKUP(ws[[#This Row],[hwycov_id]],count[],6,FALSE)</f>
        <v>0</v>
      </c>
      <c r="P449" s="43">
        <v>277</v>
      </c>
      <c r="Q449" s="43" t="str">
        <f>'[2]All Counts'!P449</f>
        <v>PeMS2016</v>
      </c>
      <c r="S449" s="94">
        <v>20684</v>
      </c>
      <c r="T449" s="17"/>
      <c r="U449" s="17"/>
      <c r="V449" s="17">
        <v>23832</v>
      </c>
      <c r="W449" s="17">
        <v>23282.759765999999</v>
      </c>
      <c r="X449" s="17"/>
      <c r="Y449" s="17"/>
      <c r="Z449" s="17"/>
      <c r="AA449" s="17"/>
      <c r="AB449" s="17">
        <v>23832</v>
      </c>
      <c r="AC449" s="17">
        <v>23282.759765999999</v>
      </c>
      <c r="AD449"/>
      <c r="AE449"/>
    </row>
    <row r="450" spans="1:31" x14ac:dyDescent="0.25">
      <c r="A450" s="136">
        <f>'[2]All Counts'!C450</f>
        <v>9</v>
      </c>
      <c r="B450" s="136">
        <f>'[2]All Counts'!D450</f>
        <v>2</v>
      </c>
      <c r="C450" s="136">
        <f>'[2]All Counts'!E450</f>
        <v>789</v>
      </c>
      <c r="D450" s="136">
        <f>'[2]All Counts'!F450</f>
        <v>1</v>
      </c>
      <c r="E450" s="136">
        <f>'[2]All Counts'!G450</f>
        <v>1</v>
      </c>
      <c r="F450" s="136" t="str">
        <f>'[2]All Counts'!H450</f>
        <v>I-15 SB</v>
      </c>
      <c r="G450" s="136">
        <f>'[2]All Counts'!I450</f>
        <v>59</v>
      </c>
      <c r="H450" s="136">
        <f>'[2]All Counts'!J450</f>
        <v>0</v>
      </c>
      <c r="I450" s="136" t="str">
        <f>'[2]All Counts'!K450</f>
        <v>MERCY</v>
      </c>
      <c r="J450" s="136" t="str">
        <f>'[2]All Counts'!L450</f>
        <v>MERCY</v>
      </c>
      <c r="K450" s="136">
        <f>'[2]All Counts'!O450</f>
        <v>27068</v>
      </c>
      <c r="L450" s="57">
        <f>VLOOKUP(ws[[#This Row],[hwycov_id]],readme!D:G,4,FALSE)</f>
        <v>24104.873047000001</v>
      </c>
      <c r="M450" s="88">
        <f>ws[[#This Row],[flow]]/ws[[#This Row],[count]]-1</f>
        <v>-0.10946974113344166</v>
      </c>
      <c r="N450" s="89">
        <f>POWER((ws[[#This Row],[flow]]-ws[[#This Row],[count]]),2)</f>
        <v>8780121.3395950589</v>
      </c>
      <c r="O450" s="43">
        <f>VLOOKUP(ws[[#This Row],[hwycov_id]],count[],6,FALSE)</f>
        <v>0</v>
      </c>
      <c r="P450" s="43">
        <v>533</v>
      </c>
      <c r="Q450" s="43" t="str">
        <f>'[2]All Counts'!P450</f>
        <v>PeMS2016</v>
      </c>
      <c r="S450" s="94">
        <v>20689</v>
      </c>
      <c r="T450" s="17"/>
      <c r="U450" s="17"/>
      <c r="V450" s="17">
        <v>24040</v>
      </c>
      <c r="W450" s="17">
        <v>23875.779297000001</v>
      </c>
      <c r="X450" s="17"/>
      <c r="Y450" s="17"/>
      <c r="Z450" s="17"/>
      <c r="AA450" s="17"/>
      <c r="AB450" s="17">
        <v>24040</v>
      </c>
      <c r="AC450" s="17">
        <v>23875.779297000001</v>
      </c>
      <c r="AD450"/>
      <c r="AE450"/>
    </row>
    <row r="451" spans="1:31" x14ac:dyDescent="0.25">
      <c r="A451" s="136">
        <f>'[2]All Counts'!C451</f>
        <v>9</v>
      </c>
      <c r="B451" s="136">
        <f>'[2]All Counts'!D451</f>
        <v>2</v>
      </c>
      <c r="C451" s="136">
        <f>'[2]All Counts'!E451</f>
        <v>14383</v>
      </c>
      <c r="D451" s="136">
        <f>'[2]All Counts'!F451</f>
        <v>1</v>
      </c>
      <c r="E451" s="136">
        <f>'[2]All Counts'!G451</f>
        <v>1</v>
      </c>
      <c r="F451" s="136" t="str">
        <f>'[2]All Counts'!H451</f>
        <v>I-15 SB</v>
      </c>
      <c r="G451" s="136">
        <f>'[2]All Counts'!I451</f>
        <v>60</v>
      </c>
      <c r="H451" s="136">
        <f>'[2]All Counts'!J451</f>
        <v>0</v>
      </c>
      <c r="I451" s="136" t="str">
        <f>'[2]All Counts'!K451</f>
        <v>MERCY</v>
      </c>
      <c r="J451" s="136" t="str">
        <f>'[2]All Counts'!L451</f>
        <v>MIRA MESA</v>
      </c>
      <c r="K451" s="136">
        <f>'[2]All Counts'!O451</f>
        <v>31601</v>
      </c>
      <c r="L451" s="57">
        <f>VLOOKUP(ws[[#This Row],[hwycov_id]],readme!D:G,4,FALSE)</f>
        <v>26727.076172000001</v>
      </c>
      <c r="M451" s="88">
        <f>ws[[#This Row],[flow]]/ws[[#This Row],[count]]-1</f>
        <v>-0.154233215024841</v>
      </c>
      <c r="N451" s="89">
        <f>POWER((ws[[#This Row],[flow]]-ws[[#This Row],[count]]),2)</f>
        <v>23755133.481146164</v>
      </c>
      <c r="O451" s="43">
        <f>VLOOKUP(ws[[#This Row],[hwycov_id]],count[],6,FALSE)</f>
        <v>0</v>
      </c>
      <c r="P451" s="43">
        <v>537</v>
      </c>
      <c r="Q451" s="43" t="str">
        <f>'[2]All Counts'!P451</f>
        <v>PeMS2016</v>
      </c>
      <c r="S451" s="94">
        <v>20693</v>
      </c>
      <c r="T451" s="17"/>
      <c r="U451" s="17"/>
      <c r="V451" s="17">
        <v>13655</v>
      </c>
      <c r="W451" s="17">
        <v>19312.359375</v>
      </c>
      <c r="X451" s="17"/>
      <c r="Y451" s="17"/>
      <c r="Z451" s="17"/>
      <c r="AA451" s="17"/>
      <c r="AB451" s="17">
        <v>13655</v>
      </c>
      <c r="AC451" s="17">
        <v>19312.359375</v>
      </c>
      <c r="AD451"/>
      <c r="AE451"/>
    </row>
    <row r="452" spans="1:31" x14ac:dyDescent="0.25">
      <c r="A452" s="136">
        <f>'[2]All Counts'!C452</f>
        <v>9</v>
      </c>
      <c r="B452" s="136">
        <f>'[2]All Counts'!D452</f>
        <v>2</v>
      </c>
      <c r="C452" s="136">
        <f>'[2]All Counts'!E452</f>
        <v>28809</v>
      </c>
      <c r="D452" s="136">
        <f>'[2]All Counts'!F452</f>
        <v>1</v>
      </c>
      <c r="E452" s="136">
        <f>'[2]All Counts'!G452</f>
        <v>1</v>
      </c>
      <c r="F452" s="136" t="str">
        <f>'[2]All Counts'!H452</f>
        <v>I-15 SB</v>
      </c>
      <c r="G452" s="136">
        <f>'[2]All Counts'!I452</f>
        <v>62</v>
      </c>
      <c r="H452" s="136">
        <f>'[2]All Counts'!J452</f>
        <v>0</v>
      </c>
      <c r="I452" s="136" t="str">
        <f>'[2]All Counts'!K452</f>
        <v>MIRA MESA</v>
      </c>
      <c r="J452" s="136" t="str">
        <f>'[2]All Counts'!L452</f>
        <v>MIRA MESA</v>
      </c>
      <c r="K452" s="136">
        <f>'[2]All Counts'!O452</f>
        <v>24549</v>
      </c>
      <c r="L452" s="57">
        <f>VLOOKUP(ws[[#This Row],[hwycov_id]],readme!D:G,4,FALSE)</f>
        <v>23598.720702999999</v>
      </c>
      <c r="M452" s="88">
        <f>ws[[#This Row],[flow]]/ws[[#This Row],[count]]-1</f>
        <v>-3.8709491099433779E-2</v>
      </c>
      <c r="N452" s="89">
        <f>POWER((ws[[#This Row],[flow]]-ws[[#This Row],[count]]),2)</f>
        <v>903030.74230681604</v>
      </c>
      <c r="O452" s="43">
        <f>VLOOKUP(ws[[#This Row],[hwycov_id]],count[],6,FALSE)</f>
        <v>0</v>
      </c>
      <c r="P452" s="43">
        <v>540</v>
      </c>
      <c r="Q452" s="43" t="str">
        <f>'[2]All Counts'!P452</f>
        <v>PeMS2016</v>
      </c>
      <c r="S452" s="94">
        <v>20694</v>
      </c>
      <c r="T452" s="17"/>
      <c r="U452" s="17"/>
      <c r="V452" s="17">
        <v>14247</v>
      </c>
      <c r="W452" s="17">
        <v>20951.939452999999</v>
      </c>
      <c r="X452" s="17"/>
      <c r="Y452" s="17"/>
      <c r="Z452" s="17"/>
      <c r="AA452" s="17"/>
      <c r="AB452" s="17">
        <v>14247</v>
      </c>
      <c r="AC452" s="17">
        <v>20951.939452999999</v>
      </c>
      <c r="AD452"/>
      <c r="AE452"/>
    </row>
    <row r="453" spans="1:31" x14ac:dyDescent="0.25">
      <c r="A453" s="136">
        <f>'[2]All Counts'!C453</f>
        <v>9</v>
      </c>
      <c r="B453" s="136">
        <f>'[2]All Counts'!D453</f>
        <v>2</v>
      </c>
      <c r="C453" s="136">
        <f>'[2]All Counts'!E453</f>
        <v>8814</v>
      </c>
      <c r="D453" s="136">
        <f>'[2]All Counts'!F453</f>
        <v>1</v>
      </c>
      <c r="E453" s="136">
        <f>'[2]All Counts'!G453</f>
        <v>1</v>
      </c>
      <c r="F453" s="136" t="str">
        <f>'[2]All Counts'!H453</f>
        <v>I-15 SB</v>
      </c>
      <c r="G453" s="136">
        <f>'[2]All Counts'!I453</f>
        <v>64</v>
      </c>
      <c r="H453" s="136">
        <f>'[2]All Counts'!J453</f>
        <v>0</v>
      </c>
      <c r="I453" s="136" t="str">
        <f>'[2]All Counts'!K453</f>
        <v>MIRA MESA</v>
      </c>
      <c r="J453" s="136" t="str">
        <f>'[2]All Counts'!L453</f>
        <v>CARROLL CANYON</v>
      </c>
      <c r="K453" s="136">
        <f>'[2]All Counts'!O453</f>
        <v>30102</v>
      </c>
      <c r="L453" s="57">
        <f>VLOOKUP(ws[[#This Row],[hwycov_id]],readme!D:G,4,FALSE)</f>
        <v>29478.955077999999</v>
      </c>
      <c r="M453" s="88">
        <f>ws[[#This Row],[flow]]/ws[[#This Row],[count]]-1</f>
        <v>-2.0697791575310598E-2</v>
      </c>
      <c r="N453" s="89">
        <f>POWER((ws[[#This Row],[flow]]-ws[[#This Row],[count]]),2)</f>
        <v>388184.97482998727</v>
      </c>
      <c r="O453" s="43">
        <f>VLOOKUP(ws[[#This Row],[hwycov_id]],count[],6,FALSE)</f>
        <v>0</v>
      </c>
      <c r="P453" s="43">
        <v>541</v>
      </c>
      <c r="Q453" s="43" t="str">
        <f>'[2]All Counts'!P453</f>
        <v>PeMS2016</v>
      </c>
      <c r="S453" s="94">
        <v>20700</v>
      </c>
      <c r="T453" s="17"/>
      <c r="U453" s="17"/>
      <c r="V453" s="17">
        <v>19374</v>
      </c>
      <c r="W453" s="17">
        <v>25383.552734000001</v>
      </c>
      <c r="X453" s="17"/>
      <c r="Y453" s="17"/>
      <c r="Z453" s="17"/>
      <c r="AA453" s="17"/>
      <c r="AB453" s="17">
        <v>19374</v>
      </c>
      <c r="AC453" s="17">
        <v>25383.552734000001</v>
      </c>
      <c r="AD453"/>
      <c r="AE453"/>
    </row>
    <row r="454" spans="1:31" x14ac:dyDescent="0.25">
      <c r="A454" s="136">
        <f>'[2]All Counts'!C454</f>
        <v>9</v>
      </c>
      <c r="B454" s="136">
        <f>'[2]All Counts'!D454</f>
        <v>2</v>
      </c>
      <c r="C454" s="136">
        <f>'[2]All Counts'!E454</f>
        <v>14400</v>
      </c>
      <c r="D454" s="136">
        <f>'[2]All Counts'!F454</f>
        <v>1</v>
      </c>
      <c r="E454" s="136">
        <f>'[2]All Counts'!G454</f>
        <v>1</v>
      </c>
      <c r="F454" s="136" t="str">
        <f>'[2]All Counts'!H454</f>
        <v>I-15 SB</v>
      </c>
      <c r="G454" s="136">
        <f>'[2]All Counts'!I454</f>
        <v>65</v>
      </c>
      <c r="H454" s="136">
        <f>'[2]All Counts'!J454</f>
        <v>0</v>
      </c>
      <c r="I454" s="136" t="str">
        <f>'[2]All Counts'!K454</f>
        <v>CARROLL CANYON</v>
      </c>
      <c r="J454" s="136" t="str">
        <f>'[2]All Counts'!L454</f>
        <v>CARROLL CANYON</v>
      </c>
      <c r="K454" s="136">
        <f>'[2]All Counts'!O454</f>
        <v>28355</v>
      </c>
      <c r="L454" s="57">
        <f>VLOOKUP(ws[[#This Row],[hwycov_id]],readme!D:G,4,FALSE)</f>
        <v>27969.427734000001</v>
      </c>
      <c r="M454" s="88">
        <f>ws[[#This Row],[flow]]/ws[[#This Row],[count]]-1</f>
        <v>-1.3598034420737037E-2</v>
      </c>
      <c r="N454" s="89">
        <f>POWER((ws[[#This Row],[flow]]-ws[[#This Row],[count]]),2)</f>
        <v>148665.97230837416</v>
      </c>
      <c r="O454" s="43">
        <f>VLOOKUP(ws[[#This Row],[hwycov_id]],count[],6,FALSE)</f>
        <v>0</v>
      </c>
      <c r="P454" s="43">
        <v>543</v>
      </c>
      <c r="Q454" s="43" t="str">
        <f>'[2]All Counts'!P454</f>
        <v>PeMS2016</v>
      </c>
      <c r="S454" s="94">
        <v>20709</v>
      </c>
      <c r="T454" s="17"/>
      <c r="U454" s="17"/>
      <c r="V454" s="17">
        <v>20981</v>
      </c>
      <c r="W454" s="17">
        <v>28713.763672000001</v>
      </c>
      <c r="X454" s="17"/>
      <c r="Y454" s="17"/>
      <c r="Z454" s="17"/>
      <c r="AA454" s="17"/>
      <c r="AB454" s="17">
        <v>20981</v>
      </c>
      <c r="AC454" s="17">
        <v>28713.763672000001</v>
      </c>
      <c r="AD454"/>
      <c r="AE454"/>
    </row>
    <row r="455" spans="1:31" x14ac:dyDescent="0.25">
      <c r="A455" s="136">
        <f>'[2]All Counts'!C455</f>
        <v>9</v>
      </c>
      <c r="B455" s="136">
        <f>'[2]All Counts'!D455</f>
        <v>2</v>
      </c>
      <c r="C455" s="136">
        <f>'[2]All Counts'!E455</f>
        <v>14407</v>
      </c>
      <c r="D455" s="136">
        <f>'[2]All Counts'!F455</f>
        <v>1</v>
      </c>
      <c r="E455" s="136">
        <f>'[2]All Counts'!G455</f>
        <v>1</v>
      </c>
      <c r="F455" s="136" t="str">
        <f>'[2]All Counts'!H455</f>
        <v>I-15 SB</v>
      </c>
      <c r="G455" s="136">
        <f>'[2]All Counts'!I455</f>
        <v>67</v>
      </c>
      <c r="H455" s="136">
        <f>'[2]All Counts'!J455</f>
        <v>0</v>
      </c>
      <c r="I455" s="136" t="str">
        <f>'[2]All Counts'!K455</f>
        <v>MIRAMAR</v>
      </c>
      <c r="J455" s="136" t="str">
        <f>'[2]All Counts'!L455</f>
        <v>MIRAMAR</v>
      </c>
      <c r="K455" s="136">
        <f>'[2]All Counts'!O455</f>
        <v>29905</v>
      </c>
      <c r="L455" s="57">
        <f>VLOOKUP(ws[[#This Row],[hwycov_id]],readme!D:G,4,FALSE)</f>
        <v>28587.242188</v>
      </c>
      <c r="M455" s="88">
        <f>ws[[#This Row],[flow]]/ws[[#This Row],[count]]-1</f>
        <v>-4.4064798929944859E-2</v>
      </c>
      <c r="N455" s="89">
        <f>POWER((ws[[#This Row],[flow]]-ws[[#This Row],[count]]),2)</f>
        <v>1736485.6510870268</v>
      </c>
      <c r="O455" s="43">
        <f>VLOOKUP(ws[[#This Row],[hwycov_id]],count[],6,FALSE)</f>
        <v>0</v>
      </c>
      <c r="P455" s="43">
        <v>546</v>
      </c>
      <c r="Q455" s="43" t="str">
        <f>'[2]All Counts'!P455</f>
        <v>PeMS2016</v>
      </c>
      <c r="S455" s="94">
        <v>20711</v>
      </c>
      <c r="T455" s="17"/>
      <c r="U455" s="17"/>
      <c r="V455" s="17">
        <v>19188</v>
      </c>
      <c r="W455" s="17">
        <v>27141.736327999999</v>
      </c>
      <c r="X455" s="17"/>
      <c r="Y455" s="17"/>
      <c r="Z455" s="17"/>
      <c r="AA455" s="17"/>
      <c r="AB455" s="17">
        <v>19188</v>
      </c>
      <c r="AC455" s="17">
        <v>27141.736327999999</v>
      </c>
      <c r="AD455"/>
      <c r="AE455"/>
    </row>
    <row r="456" spans="1:31" x14ac:dyDescent="0.25">
      <c r="A456" s="136">
        <f>'[2]All Counts'!C456</f>
        <v>9</v>
      </c>
      <c r="B456" s="136">
        <f>'[2]All Counts'!D456</f>
        <v>2</v>
      </c>
      <c r="C456" s="136">
        <f>'[2]All Counts'!E456</f>
        <v>14411</v>
      </c>
      <c r="D456" s="136">
        <f>'[2]All Counts'!F456</f>
        <v>1</v>
      </c>
      <c r="E456" s="136">
        <f>'[2]All Counts'!G456</f>
        <v>1</v>
      </c>
      <c r="F456" s="136" t="str">
        <f>'[2]All Counts'!H456</f>
        <v>I-15 SB</v>
      </c>
      <c r="G456" s="136">
        <f>'[2]All Counts'!I456</f>
        <v>68</v>
      </c>
      <c r="H456" s="136">
        <f>'[2]All Counts'!J456</f>
        <v>0</v>
      </c>
      <c r="I456" s="136" t="str">
        <f>'[2]All Counts'!K456</f>
        <v>MIRAMAR</v>
      </c>
      <c r="J456" s="136" t="str">
        <f>'[2]All Counts'!L456</f>
        <v>MIRAMAR</v>
      </c>
      <c r="K456" s="136">
        <f>'[2]All Counts'!O456</f>
        <v>29788</v>
      </c>
      <c r="L456" s="57">
        <f>VLOOKUP(ws[[#This Row],[hwycov_id]],readme!D:G,4,FALSE)</f>
        <v>30836.078125</v>
      </c>
      <c r="M456" s="88">
        <f>ws[[#This Row],[flow]]/ws[[#This Row],[count]]-1</f>
        <v>3.5184575164495691E-2</v>
      </c>
      <c r="N456" s="89">
        <f>POWER((ws[[#This Row],[flow]]-ws[[#This Row],[count]]),2)</f>
        <v>1098467.7561035156</v>
      </c>
      <c r="O456" s="43">
        <f>VLOOKUP(ws[[#This Row],[hwycov_id]],count[],6,FALSE)</f>
        <v>0</v>
      </c>
      <c r="P456" s="43">
        <v>548</v>
      </c>
      <c r="Q456" s="43" t="str">
        <f>'[2]All Counts'!P456</f>
        <v>PeMS2016</v>
      </c>
      <c r="S456" s="94">
        <v>20719</v>
      </c>
      <c r="T456" s="17"/>
      <c r="U456" s="17"/>
      <c r="V456" s="17"/>
      <c r="W456" s="17"/>
      <c r="X456" s="17"/>
      <c r="Y456" s="17"/>
      <c r="Z456" s="17">
        <v>23483</v>
      </c>
      <c r="AA456" s="17">
        <v>23689.3125</v>
      </c>
      <c r="AB456" s="17">
        <v>23483</v>
      </c>
      <c r="AC456" s="17">
        <v>23689.3125</v>
      </c>
      <c r="AD456"/>
      <c r="AE456"/>
    </row>
    <row r="457" spans="1:31" x14ac:dyDescent="0.25">
      <c r="A457" s="136">
        <f>'[2]All Counts'!C457</f>
        <v>9</v>
      </c>
      <c r="B457" s="136">
        <f>'[2]All Counts'!D457</f>
        <v>2</v>
      </c>
      <c r="C457" s="136">
        <f>'[2]All Counts'!E457</f>
        <v>14412</v>
      </c>
      <c r="D457" s="136">
        <f>'[2]All Counts'!F457</f>
        <v>1</v>
      </c>
      <c r="E457" s="136">
        <f>'[2]All Counts'!G457</f>
        <v>1</v>
      </c>
      <c r="F457" s="136" t="str">
        <f>'[2]All Counts'!H457</f>
        <v>I-15 SB</v>
      </c>
      <c r="G457" s="136">
        <f>'[2]All Counts'!I457</f>
        <v>69</v>
      </c>
      <c r="H457" s="136">
        <f>'[2]All Counts'!J457</f>
        <v>0</v>
      </c>
      <c r="I457" s="136" t="str">
        <f>'[2]All Counts'!K457</f>
        <v>MIRAMAR</v>
      </c>
      <c r="J457" s="136" t="str">
        <f>'[2]All Counts'!L457</f>
        <v>MIRAMAR WAY</v>
      </c>
      <c r="K457" s="136">
        <f>'[2]All Counts'!O457</f>
        <v>28889</v>
      </c>
      <c r="L457" s="57">
        <f>VLOOKUP(ws[[#This Row],[hwycov_id]],readme!D:G,4,FALSE)</f>
        <v>32198.744140999999</v>
      </c>
      <c r="M457" s="88">
        <f>ws[[#This Row],[flow]]/ws[[#This Row],[count]]-1</f>
        <v>0.11456762577451629</v>
      </c>
      <c r="N457" s="89">
        <f>POWER((ws[[#This Row],[flow]]-ws[[#This Row],[count]]),2)</f>
        <v>10954406.278883822</v>
      </c>
      <c r="O457" s="43">
        <f>VLOOKUP(ws[[#This Row],[hwycov_id]],count[],6,FALSE)</f>
        <v>0</v>
      </c>
      <c r="P457" s="43">
        <v>579</v>
      </c>
      <c r="Q457" s="43" t="str">
        <f>'[2]All Counts'!P457</f>
        <v>PeMS2016</v>
      </c>
      <c r="S457" s="94">
        <v>20727</v>
      </c>
      <c r="T457" s="17"/>
      <c r="U457" s="17"/>
      <c r="V457" s="17"/>
      <c r="W457" s="17"/>
      <c r="X457" s="17">
        <v>10019</v>
      </c>
      <c r="Y457" s="17">
        <v>8359.4755860000005</v>
      </c>
      <c r="Z457" s="17"/>
      <c r="AA457" s="17"/>
      <c r="AB457" s="17">
        <v>10019</v>
      </c>
      <c r="AC457" s="17">
        <v>8359.4755860000005</v>
      </c>
      <c r="AD457"/>
      <c r="AE457"/>
    </row>
    <row r="458" spans="1:31" x14ac:dyDescent="0.25">
      <c r="A458" s="136">
        <f>'[2]All Counts'!C458</f>
        <v>9</v>
      </c>
      <c r="B458" s="136">
        <f>'[2]All Counts'!D458</f>
        <v>2</v>
      </c>
      <c r="C458" s="136">
        <f>'[2]All Counts'!E458</f>
        <v>14418</v>
      </c>
      <c r="D458" s="136">
        <f>'[2]All Counts'!F458</f>
        <v>1</v>
      </c>
      <c r="E458" s="136">
        <f>'[2]All Counts'!G458</f>
        <v>1</v>
      </c>
      <c r="F458" s="136" t="str">
        <f>'[2]All Counts'!H458</f>
        <v>I-15 SB</v>
      </c>
      <c r="G458" s="136">
        <f>'[2]All Counts'!I458</f>
        <v>71</v>
      </c>
      <c r="H458" s="136">
        <f>'[2]All Counts'!J458</f>
        <v>0</v>
      </c>
      <c r="I458" s="136" t="str">
        <f>'[2]All Counts'!K458</f>
        <v>MIRAMAR WAY</v>
      </c>
      <c r="J458" s="136" t="str">
        <f>'[2]All Counts'!L458</f>
        <v>MIRAMAR WAY</v>
      </c>
      <c r="K458" s="136">
        <f>'[2]All Counts'!O458</f>
        <v>30700</v>
      </c>
      <c r="L458" s="57">
        <f>VLOOKUP(ws[[#This Row],[hwycov_id]],readme!D:G,4,FALSE)</f>
        <v>33734.023437999997</v>
      </c>
      <c r="M458" s="88">
        <f>ws[[#This Row],[flow]]/ws[[#This Row],[count]]-1</f>
        <v>9.8828125016286572E-2</v>
      </c>
      <c r="N458" s="89">
        <f>POWER((ws[[#This Row],[flow]]-ws[[#This Row],[count]]),2)</f>
        <v>9205298.2223333195</v>
      </c>
      <c r="O458" s="43">
        <f>VLOOKUP(ws[[#This Row],[hwycov_id]],count[],6,FALSE)</f>
        <v>0</v>
      </c>
      <c r="P458" s="43">
        <v>198</v>
      </c>
      <c r="Q458" s="43" t="str">
        <f>'[2]All Counts'!P458</f>
        <v>PeMS2016</v>
      </c>
      <c r="S458" s="94">
        <v>20730</v>
      </c>
      <c r="T458" s="17"/>
      <c r="U458" s="17"/>
      <c r="V458" s="17"/>
      <c r="W458" s="17"/>
      <c r="X458" s="17">
        <v>18455</v>
      </c>
      <c r="Y458" s="17">
        <v>17801.740234000001</v>
      </c>
      <c r="Z458" s="17"/>
      <c r="AA458" s="17"/>
      <c r="AB458" s="17">
        <v>18455</v>
      </c>
      <c r="AC458" s="17">
        <v>17801.740234000001</v>
      </c>
      <c r="AD458"/>
      <c r="AE458"/>
    </row>
    <row r="459" spans="1:31" x14ac:dyDescent="0.25">
      <c r="A459" s="136">
        <f>'[2]All Counts'!C459</f>
        <v>9</v>
      </c>
      <c r="B459" s="136">
        <f>'[2]All Counts'!D459</f>
        <v>2</v>
      </c>
      <c r="C459" s="136">
        <f>'[2]All Counts'!E459</f>
        <v>14419</v>
      </c>
      <c r="D459" s="136">
        <f>'[2]All Counts'!F459</f>
        <v>1</v>
      </c>
      <c r="E459" s="136">
        <f>'[2]All Counts'!G459</f>
        <v>1</v>
      </c>
      <c r="F459" s="136" t="str">
        <f>'[2]All Counts'!H459</f>
        <v>I-15 SB</v>
      </c>
      <c r="G459" s="136">
        <f>'[2]All Counts'!I459</f>
        <v>72</v>
      </c>
      <c r="H459" s="136">
        <f>'[2]All Counts'!J459</f>
        <v>0</v>
      </c>
      <c r="I459" s="136" t="str">
        <f>'[2]All Counts'!K459</f>
        <v>MIRAMAR WAY</v>
      </c>
      <c r="J459" s="136" t="str">
        <f>'[2]All Counts'!L459</f>
        <v>SR-163 SB</v>
      </c>
      <c r="K459" s="136">
        <f>'[2]All Counts'!O459</f>
        <v>28943</v>
      </c>
      <c r="L459" s="57">
        <f>VLOOKUP(ws[[#This Row],[hwycov_id]],readme!D:G,4,FALSE)</f>
        <v>34108.730469000002</v>
      </c>
      <c r="M459" s="88">
        <f>ws[[#This Row],[flow]]/ws[[#This Row],[count]]-1</f>
        <v>0.1784794412811388</v>
      </c>
      <c r="N459" s="89">
        <f>POWER((ws[[#This Row],[flow]]-ws[[#This Row],[count]]),2)</f>
        <v>26684771.27835498</v>
      </c>
      <c r="O459" s="43">
        <f>VLOOKUP(ws[[#This Row],[hwycov_id]],count[],6,FALSE)</f>
        <v>0</v>
      </c>
      <c r="P459" s="43">
        <v>199</v>
      </c>
      <c r="Q459" s="43" t="str">
        <f>'[2]All Counts'!P459</f>
        <v>PeMS2016</v>
      </c>
      <c r="S459" s="94">
        <v>20731</v>
      </c>
      <c r="T459" s="17"/>
      <c r="U459" s="17"/>
      <c r="V459" s="17"/>
      <c r="W459" s="17"/>
      <c r="X459" s="17">
        <v>16431</v>
      </c>
      <c r="Y459" s="17">
        <v>14669.231444999999</v>
      </c>
      <c r="Z459" s="17"/>
      <c r="AA459" s="17"/>
      <c r="AB459" s="17">
        <v>16431</v>
      </c>
      <c r="AC459" s="17">
        <v>14669.231444999999</v>
      </c>
      <c r="AD459"/>
      <c r="AE459"/>
    </row>
    <row r="460" spans="1:31" x14ac:dyDescent="0.25">
      <c r="A460" s="136">
        <f>'[2]All Counts'!C460</f>
        <v>9</v>
      </c>
      <c r="B460" s="136">
        <f>'[2]All Counts'!D460</f>
        <v>2</v>
      </c>
      <c r="C460" s="136">
        <f>'[2]All Counts'!E460</f>
        <v>8816</v>
      </c>
      <c r="D460" s="136">
        <f>'[2]All Counts'!F460</f>
        <v>1</v>
      </c>
      <c r="E460" s="136">
        <f>'[2]All Counts'!G460</f>
        <v>1</v>
      </c>
      <c r="F460" s="136" t="str">
        <f>'[2]All Counts'!H460</f>
        <v>I-15 SB</v>
      </c>
      <c r="G460" s="136">
        <f>'[2]All Counts'!I460</f>
        <v>74</v>
      </c>
      <c r="H460" s="136">
        <f>'[2]All Counts'!J460</f>
        <v>0</v>
      </c>
      <c r="I460" s="136" t="str">
        <f>'[2]All Counts'!K460</f>
        <v>I-15 HOV SB</v>
      </c>
      <c r="J460" s="136" t="str">
        <f>'[2]All Counts'!L460</f>
        <v>SR-52 WB</v>
      </c>
      <c r="K460" s="136">
        <f>'[2]All Counts'!O460</f>
        <v>11716</v>
      </c>
      <c r="L460" s="57">
        <f>VLOOKUP(ws[[#This Row],[hwycov_id]],readme!D:G,4,FALSE)</f>
        <v>24601.699218999998</v>
      </c>
      <c r="M460" s="88">
        <f>ws[[#This Row],[flow]]/ws[[#This Row],[count]]-1</f>
        <v>1.0998377619494706</v>
      </c>
      <c r="N460" s="89">
        <f>POWER((ws[[#This Row],[flow]]-ws[[#This Row],[count]]),2)</f>
        <v>166041244.36253718</v>
      </c>
      <c r="O460" s="43">
        <f>VLOOKUP(ws[[#This Row],[hwycov_id]],count[],6,FALSE)</f>
        <v>0</v>
      </c>
      <c r="P460" s="43">
        <v>207</v>
      </c>
      <c r="Q460" s="43" t="str">
        <f>'[2]All Counts'!P460</f>
        <v>PeMS2016</v>
      </c>
      <c r="S460" s="94">
        <v>20741</v>
      </c>
      <c r="T460" s="17">
        <v>19548</v>
      </c>
      <c r="U460" s="17">
        <v>23349.59375</v>
      </c>
      <c r="V460" s="17"/>
      <c r="W460" s="17"/>
      <c r="X460" s="17"/>
      <c r="Y460" s="17"/>
      <c r="Z460" s="17"/>
      <c r="AA460" s="17"/>
      <c r="AB460" s="17">
        <v>19548</v>
      </c>
      <c r="AC460" s="17">
        <v>23349.59375</v>
      </c>
      <c r="AD460"/>
      <c r="AE460"/>
    </row>
    <row r="461" spans="1:31" x14ac:dyDescent="0.25">
      <c r="A461" s="136">
        <f>'[2]All Counts'!C461</f>
        <v>9</v>
      </c>
      <c r="B461" s="136">
        <f>'[2]All Counts'!D461</f>
        <v>2</v>
      </c>
      <c r="C461" s="136">
        <f>'[2]All Counts'!E461</f>
        <v>28899</v>
      </c>
      <c r="D461" s="136">
        <f>'[2]All Counts'!F461</f>
        <v>1</v>
      </c>
      <c r="E461" s="136">
        <f>'[2]All Counts'!G461</f>
        <v>1</v>
      </c>
      <c r="F461" s="136" t="str">
        <f>'[2]All Counts'!H461</f>
        <v>I-15 SB</v>
      </c>
      <c r="G461" s="136">
        <f>'[2]All Counts'!I461</f>
        <v>75</v>
      </c>
      <c r="H461" s="136">
        <f>'[2]All Counts'!J461</f>
        <v>0</v>
      </c>
      <c r="I461" s="136" t="str">
        <f>'[2]All Counts'!K461</f>
        <v>SR-52 WB</v>
      </c>
      <c r="J461" s="136" t="str">
        <f>'[2]All Counts'!L461</f>
        <v>SR-52 EB</v>
      </c>
      <c r="K461" s="136">
        <f>'[2]All Counts'!O461</f>
        <v>10958</v>
      </c>
      <c r="L461" s="57">
        <f>VLOOKUP(ws[[#This Row],[hwycov_id]],readme!D:G,4,FALSE)</f>
        <v>19602.171875</v>
      </c>
      <c r="M461" s="88">
        <f>ws[[#This Row],[flow]]/ws[[#This Row],[count]]-1</f>
        <v>0.78884576336922807</v>
      </c>
      <c r="N461" s="89">
        <f>POWER((ws[[#This Row],[flow]]-ws[[#This Row],[count]]),2)</f>
        <v>74721707.404541016</v>
      </c>
      <c r="O461" s="43">
        <f>VLOOKUP(ws[[#This Row],[hwycov_id]],count[],6,FALSE)</f>
        <v>0</v>
      </c>
      <c r="P461" s="43">
        <v>147</v>
      </c>
      <c r="Q461" s="43" t="str">
        <f>'[2]All Counts'!P461</f>
        <v>PeMS2016</v>
      </c>
      <c r="S461" s="94">
        <v>20743</v>
      </c>
      <c r="T461" s="17">
        <v>17603</v>
      </c>
      <c r="U461" s="17">
        <v>20558.769531000002</v>
      </c>
      <c r="V461" s="17"/>
      <c r="W461" s="17"/>
      <c r="X461" s="17"/>
      <c r="Y461" s="17"/>
      <c r="Z461" s="17"/>
      <c r="AA461" s="17"/>
      <c r="AB461" s="17">
        <v>17603</v>
      </c>
      <c r="AC461" s="17">
        <v>20558.769531000002</v>
      </c>
      <c r="AD461"/>
      <c r="AE461"/>
    </row>
    <row r="462" spans="1:31" x14ac:dyDescent="0.25">
      <c r="A462" s="136">
        <f>'[2]All Counts'!C462</f>
        <v>9</v>
      </c>
      <c r="B462" s="136">
        <f>'[2]All Counts'!D462</f>
        <v>2</v>
      </c>
      <c r="C462" s="136">
        <f>'[2]All Counts'!E462</f>
        <v>15196</v>
      </c>
      <c r="D462" s="136">
        <f>'[2]All Counts'!F462</f>
        <v>1</v>
      </c>
      <c r="E462" s="136">
        <f>'[2]All Counts'!G462</f>
        <v>1</v>
      </c>
      <c r="F462" s="136" t="str">
        <f>'[2]All Counts'!H462</f>
        <v>I-15 SB</v>
      </c>
      <c r="G462" s="136">
        <f>'[2]All Counts'!I462</f>
        <v>76</v>
      </c>
      <c r="H462" s="136">
        <f>'[2]All Counts'!J462</f>
        <v>0</v>
      </c>
      <c r="I462" s="136" t="str">
        <f>'[2]All Counts'!K462</f>
        <v>CLAIREMONT MESA</v>
      </c>
      <c r="J462" s="136" t="str">
        <f>'[2]All Counts'!L462</f>
        <v>CLAIREMONT MESA</v>
      </c>
      <c r="K462" s="136">
        <f>'[2]All Counts'!O462</f>
        <v>19875</v>
      </c>
      <c r="L462" s="57">
        <f>VLOOKUP(ws[[#This Row],[hwycov_id]],readme!D:G,4,FALSE)</f>
        <v>24547.953125</v>
      </c>
      <c r="M462" s="88">
        <f>ws[[#This Row],[flow]]/ws[[#This Row],[count]]-1</f>
        <v>0.23511713836477988</v>
      </c>
      <c r="N462" s="89">
        <f>POWER((ws[[#This Row],[flow]]-ws[[#This Row],[count]]),2)</f>
        <v>21836490.908447266</v>
      </c>
      <c r="O462" s="43">
        <f>VLOOKUP(ws[[#This Row],[hwycov_id]],count[],6,FALSE)</f>
        <v>0</v>
      </c>
      <c r="P462" s="43">
        <v>148</v>
      </c>
      <c r="Q462" s="43" t="str">
        <f>'[2]All Counts'!P462</f>
        <v>PeMS2016</v>
      </c>
      <c r="S462" s="94">
        <v>20747</v>
      </c>
      <c r="T462" s="17">
        <v>14457</v>
      </c>
      <c r="U462" s="17">
        <v>20713.548827999999</v>
      </c>
      <c r="V462" s="17"/>
      <c r="W462" s="17"/>
      <c r="X462" s="17"/>
      <c r="Y462" s="17"/>
      <c r="Z462" s="17"/>
      <c r="AA462" s="17"/>
      <c r="AB462" s="17">
        <v>14457</v>
      </c>
      <c r="AC462" s="17">
        <v>20713.548827999999</v>
      </c>
      <c r="AD462"/>
      <c r="AE462"/>
    </row>
    <row r="463" spans="1:31" x14ac:dyDescent="0.25">
      <c r="A463" s="136">
        <f>'[2]All Counts'!C463</f>
        <v>9</v>
      </c>
      <c r="B463" s="136">
        <f>'[2]All Counts'!D463</f>
        <v>2</v>
      </c>
      <c r="C463" s="136">
        <f>'[2]All Counts'!E463</f>
        <v>15191</v>
      </c>
      <c r="D463" s="136">
        <f>'[2]All Counts'!F463</f>
        <v>1</v>
      </c>
      <c r="E463" s="136">
        <f>'[2]All Counts'!G463</f>
        <v>1</v>
      </c>
      <c r="F463" s="136" t="str">
        <f>'[2]All Counts'!H463</f>
        <v>I-15 SB</v>
      </c>
      <c r="G463" s="136">
        <f>'[2]All Counts'!I463</f>
        <v>77</v>
      </c>
      <c r="H463" s="136">
        <f>'[2]All Counts'!J463</f>
        <v>0</v>
      </c>
      <c r="I463" s="136" t="str">
        <f>'[2]All Counts'!K463</f>
        <v>CLAIREMONT MESA</v>
      </c>
      <c r="J463" s="136" t="str">
        <f>'[2]All Counts'!L463</f>
        <v>BALBOA</v>
      </c>
      <c r="K463" s="136">
        <f>'[2]All Counts'!O463</f>
        <v>21049</v>
      </c>
      <c r="L463" s="57">
        <f>VLOOKUP(ws[[#This Row],[hwycov_id]],readme!D:G,4,FALSE)</f>
        <v>28499.787109000001</v>
      </c>
      <c r="M463" s="88">
        <f>ws[[#This Row],[flow]]/ws[[#This Row],[count]]-1</f>
        <v>0.35397344809729692</v>
      </c>
      <c r="N463" s="89">
        <f>POWER((ws[[#This Row],[flow]]-ws[[#This Row],[count]]),2)</f>
        <v>55514228.543640591</v>
      </c>
      <c r="O463" s="43">
        <f>VLOOKUP(ws[[#This Row],[hwycov_id]],count[],6,FALSE)</f>
        <v>0</v>
      </c>
      <c r="P463" s="43">
        <v>151</v>
      </c>
      <c r="Q463" s="43" t="str">
        <f>'[2]All Counts'!P463</f>
        <v>PeMS2016</v>
      </c>
      <c r="S463" s="94">
        <v>20749</v>
      </c>
      <c r="T463" s="17">
        <v>22990</v>
      </c>
      <c r="U463" s="17">
        <v>25049.494140999999</v>
      </c>
      <c r="V463" s="17"/>
      <c r="W463" s="17"/>
      <c r="X463" s="17"/>
      <c r="Y463" s="17"/>
      <c r="Z463" s="17"/>
      <c r="AA463" s="17"/>
      <c r="AB463" s="17">
        <v>22990</v>
      </c>
      <c r="AC463" s="17">
        <v>25049.494140999999</v>
      </c>
      <c r="AD463"/>
      <c r="AE463"/>
    </row>
    <row r="464" spans="1:31" x14ac:dyDescent="0.25">
      <c r="A464" s="136">
        <f>'[2]All Counts'!C464</f>
        <v>9</v>
      </c>
      <c r="B464" s="136">
        <f>'[2]All Counts'!D464</f>
        <v>2</v>
      </c>
      <c r="C464" s="136">
        <f>'[2]All Counts'!E464</f>
        <v>9338</v>
      </c>
      <c r="D464" s="136">
        <f>'[2]All Counts'!F464</f>
        <v>1</v>
      </c>
      <c r="E464" s="136">
        <f>'[2]All Counts'!G464</f>
        <v>1</v>
      </c>
      <c r="F464" s="136" t="str">
        <f>'[2]All Counts'!H464</f>
        <v>I-15 SB</v>
      </c>
      <c r="G464" s="136">
        <f>'[2]All Counts'!I464</f>
        <v>81</v>
      </c>
      <c r="H464" s="136">
        <f>'[2]All Counts'!J464</f>
        <v>0</v>
      </c>
      <c r="I464" s="136" t="str">
        <f>'[2]All Counts'!K464</f>
        <v>BALBOA</v>
      </c>
      <c r="J464" s="136" t="str">
        <f>'[2]All Counts'!L464</f>
        <v>AERO</v>
      </c>
      <c r="K464" s="136">
        <f>'[2]All Counts'!O464</f>
        <v>26635</v>
      </c>
      <c r="L464" s="57">
        <f>VLOOKUP(ws[[#This Row],[hwycov_id]],readme!D:G,4,FALSE)</f>
        <v>32959.472655999998</v>
      </c>
      <c r="M464" s="88">
        <f>ws[[#This Row],[flow]]/ws[[#This Row],[count]]-1</f>
        <v>0.23744969611413547</v>
      </c>
      <c r="N464" s="89">
        <f>POWER((ws[[#This Row],[flow]]-ws[[#This Row],[count]]),2)</f>
        <v>39998954.376491673</v>
      </c>
      <c r="O464" s="43">
        <f>VLOOKUP(ws[[#This Row],[hwycov_id]],count[],6,FALSE)</f>
        <v>0</v>
      </c>
      <c r="P464" s="43">
        <v>156</v>
      </c>
      <c r="Q464" s="43" t="str">
        <f>'[2]All Counts'!P464</f>
        <v>PeMS2016</v>
      </c>
      <c r="S464" s="94">
        <v>20755</v>
      </c>
      <c r="T464" s="17">
        <v>12241</v>
      </c>
      <c r="U464" s="17">
        <v>14790.169921999999</v>
      </c>
      <c r="V464" s="17"/>
      <c r="W464" s="17"/>
      <c r="X464" s="17"/>
      <c r="Y464" s="17"/>
      <c r="Z464" s="17"/>
      <c r="AA464" s="17"/>
      <c r="AB464" s="17">
        <v>12241</v>
      </c>
      <c r="AC464" s="17">
        <v>14790.169921999999</v>
      </c>
      <c r="AD464"/>
      <c r="AE464"/>
    </row>
    <row r="465" spans="1:31" x14ac:dyDescent="0.25">
      <c r="A465" s="136">
        <f>'[2]All Counts'!C465</f>
        <v>9</v>
      </c>
      <c r="B465" s="136">
        <f>'[2]All Counts'!D465</f>
        <v>2</v>
      </c>
      <c r="C465" s="136">
        <f>'[2]All Counts'!E465</f>
        <v>9335</v>
      </c>
      <c r="D465" s="136">
        <f>'[2]All Counts'!F465</f>
        <v>1</v>
      </c>
      <c r="E465" s="136">
        <f>'[2]All Counts'!G465</f>
        <v>1</v>
      </c>
      <c r="F465" s="136" t="str">
        <f>'[2]All Counts'!H465</f>
        <v>I-15 SB</v>
      </c>
      <c r="G465" s="136">
        <f>'[2]All Counts'!I465</f>
        <v>82</v>
      </c>
      <c r="H465" s="136">
        <f>'[2]All Counts'!J465</f>
        <v>0</v>
      </c>
      <c r="I465" s="136" t="str">
        <f>'[2]All Counts'!K465</f>
        <v>AERO</v>
      </c>
      <c r="J465" s="136" t="str">
        <f>'[2]All Counts'!L465</f>
        <v>AERO</v>
      </c>
      <c r="K465" s="136">
        <f>'[2]All Counts'!O465</f>
        <v>26697</v>
      </c>
      <c r="L465" s="57">
        <f>VLOOKUP(ws[[#This Row],[hwycov_id]],readme!D:G,4,FALSE)</f>
        <v>30784.339843999998</v>
      </c>
      <c r="M465" s="88">
        <f>ws[[#This Row],[flow]]/ws[[#This Row],[count]]-1</f>
        <v>0.15310109165823871</v>
      </c>
      <c r="N465" s="89">
        <f>POWER((ws[[#This Row],[flow]]-ws[[#This Row],[count]]),2)</f>
        <v>16706347.00034993</v>
      </c>
      <c r="O465" s="43">
        <f>VLOOKUP(ws[[#This Row],[hwycov_id]],count[],6,FALSE)</f>
        <v>0</v>
      </c>
      <c r="P465" s="43">
        <v>161</v>
      </c>
      <c r="Q465" s="43" t="str">
        <f>'[2]All Counts'!P465</f>
        <v>PeMS2016</v>
      </c>
      <c r="S465" s="94">
        <v>20781</v>
      </c>
      <c r="T465" s="17"/>
      <c r="U465" s="17"/>
      <c r="V465" s="17">
        <v>15531</v>
      </c>
      <c r="W465" s="17">
        <v>16690.216797000001</v>
      </c>
      <c r="X465" s="17"/>
      <c r="Y465" s="17"/>
      <c r="Z465" s="17"/>
      <c r="AA465" s="17"/>
      <c r="AB465" s="17">
        <v>15531</v>
      </c>
      <c r="AC465" s="17">
        <v>16690.216797000001</v>
      </c>
      <c r="AD465"/>
      <c r="AE465"/>
    </row>
    <row r="466" spans="1:31" x14ac:dyDescent="0.25">
      <c r="A466" s="136">
        <f>'[2]All Counts'!C466</f>
        <v>9</v>
      </c>
      <c r="B466" s="136">
        <f>'[2]All Counts'!D466</f>
        <v>2</v>
      </c>
      <c r="C466" s="136">
        <f>'[2]All Counts'!E466</f>
        <v>9330</v>
      </c>
      <c r="D466" s="136">
        <f>'[2]All Counts'!F466</f>
        <v>1</v>
      </c>
      <c r="E466" s="136">
        <f>'[2]All Counts'!G466</f>
        <v>1</v>
      </c>
      <c r="F466" s="136" t="str">
        <f>'[2]All Counts'!H466</f>
        <v>I-15 SB</v>
      </c>
      <c r="G466" s="136">
        <f>'[2]All Counts'!I466</f>
        <v>83</v>
      </c>
      <c r="H466" s="136">
        <f>'[2]All Counts'!J466</f>
        <v>0</v>
      </c>
      <c r="I466" s="136" t="str">
        <f>'[2]All Counts'!K466</f>
        <v>STONECREST</v>
      </c>
      <c r="J466" s="136" t="str">
        <f>'[2]All Counts'!L466</f>
        <v>STONECREST</v>
      </c>
      <c r="K466" s="136">
        <f>'[2]All Counts'!O466</f>
        <v>29803</v>
      </c>
      <c r="L466" s="57">
        <f>VLOOKUP(ws[[#This Row],[hwycov_id]],readme!D:G,4,FALSE)</f>
        <v>35017.234375</v>
      </c>
      <c r="M466" s="88">
        <f>ws[[#This Row],[flow]]/ws[[#This Row],[count]]-1</f>
        <v>0.17495669479582587</v>
      </c>
      <c r="N466" s="89">
        <f>POWER((ws[[#This Row],[flow]]-ws[[#This Row],[count]]),2)</f>
        <v>27188240.117431641</v>
      </c>
      <c r="O466" s="43">
        <f>VLOOKUP(ws[[#This Row],[hwycov_id]],count[],6,FALSE)</f>
        <v>0</v>
      </c>
      <c r="P466" s="43">
        <v>602</v>
      </c>
      <c r="Q466" s="43" t="str">
        <f>'[2]All Counts'!P466</f>
        <v>PeMS2016</v>
      </c>
      <c r="S466" s="94">
        <v>20782</v>
      </c>
      <c r="T466" s="17"/>
      <c r="U466" s="17"/>
      <c r="V466" s="17">
        <v>21829</v>
      </c>
      <c r="W466" s="17">
        <v>26535.144531000002</v>
      </c>
      <c r="X466" s="17"/>
      <c r="Y466" s="17"/>
      <c r="Z466" s="17"/>
      <c r="AA466" s="17"/>
      <c r="AB466" s="17">
        <v>21829</v>
      </c>
      <c r="AC466" s="17">
        <v>26535.144531000002</v>
      </c>
      <c r="AD466"/>
      <c r="AE466"/>
    </row>
    <row r="467" spans="1:31" x14ac:dyDescent="0.25">
      <c r="A467" s="136">
        <f>'[2]All Counts'!C467</f>
        <v>9</v>
      </c>
      <c r="B467" s="136">
        <f>'[2]All Counts'!D467</f>
        <v>2</v>
      </c>
      <c r="C467" s="136">
        <f>'[2]All Counts'!E467</f>
        <v>15768</v>
      </c>
      <c r="D467" s="136">
        <f>'[2]All Counts'!F467</f>
        <v>1</v>
      </c>
      <c r="E467" s="136">
        <f>'[2]All Counts'!G467</f>
        <v>1</v>
      </c>
      <c r="F467" s="136" t="str">
        <f>'[2]All Counts'!H467</f>
        <v>I-15 SB</v>
      </c>
      <c r="G467" s="136">
        <f>'[2]All Counts'!I467</f>
        <v>85</v>
      </c>
      <c r="H467" s="136">
        <f>'[2]All Counts'!J467</f>
        <v>0</v>
      </c>
      <c r="I467" s="136" t="str">
        <f>'[2]All Counts'!K467</f>
        <v>FRIARS</v>
      </c>
      <c r="J467" s="136" t="str">
        <f>'[2]All Counts'!L467</f>
        <v>FRIARS</v>
      </c>
      <c r="K467" s="136">
        <f>'[2]All Counts'!O467</f>
        <v>28304</v>
      </c>
      <c r="L467" s="57">
        <f>VLOOKUP(ws[[#This Row],[hwycov_id]],readme!D:G,4,FALSE)</f>
        <v>31958.804688</v>
      </c>
      <c r="M467" s="88">
        <f>ws[[#This Row],[flow]]/ws[[#This Row],[count]]-1</f>
        <v>0.12912679084228373</v>
      </c>
      <c r="N467" s="89">
        <f>POWER((ws[[#This Row],[flow]]-ws[[#This Row],[count]]),2)</f>
        <v>13357597.307426779</v>
      </c>
      <c r="O467" s="43">
        <f>VLOOKUP(ws[[#This Row],[hwycov_id]],count[],6,FALSE)</f>
        <v>0</v>
      </c>
      <c r="P467" s="43">
        <v>619</v>
      </c>
      <c r="Q467" s="43" t="str">
        <f>'[2]All Counts'!P467</f>
        <v>PeMS2016</v>
      </c>
      <c r="S467" s="94">
        <v>20789</v>
      </c>
      <c r="T467" s="17"/>
      <c r="U467" s="17"/>
      <c r="V467" s="17">
        <v>27045</v>
      </c>
      <c r="W467" s="17">
        <v>28318.865234000001</v>
      </c>
      <c r="X467" s="17"/>
      <c r="Y467" s="17"/>
      <c r="Z467" s="17"/>
      <c r="AA467" s="17"/>
      <c r="AB467" s="17">
        <v>27045</v>
      </c>
      <c r="AC467" s="17">
        <v>28318.865234000001</v>
      </c>
      <c r="AD467"/>
      <c r="AE467"/>
    </row>
    <row r="468" spans="1:31" x14ac:dyDescent="0.25">
      <c r="A468" s="136">
        <f>'[2]All Counts'!C468</f>
        <v>9</v>
      </c>
      <c r="B468" s="136">
        <f>'[2]All Counts'!D468</f>
        <v>2</v>
      </c>
      <c r="C468" s="136">
        <f>'[2]All Counts'!E468</f>
        <v>16570</v>
      </c>
      <c r="D468" s="136">
        <f>'[2]All Counts'!F468</f>
        <v>1</v>
      </c>
      <c r="E468" s="136">
        <f>'[2]All Counts'!G468</f>
        <v>1</v>
      </c>
      <c r="F468" s="136" t="str">
        <f>'[2]All Counts'!H468</f>
        <v>I-15 SB</v>
      </c>
      <c r="G468" s="136">
        <f>'[2]All Counts'!I468</f>
        <v>86</v>
      </c>
      <c r="H468" s="136">
        <f>'[2]All Counts'!J468</f>
        <v>0</v>
      </c>
      <c r="I468" s="136" t="str">
        <f>'[2]All Counts'!K468</f>
        <v>FRIARS</v>
      </c>
      <c r="J468" s="136" t="str">
        <f>'[2]All Counts'!L468</f>
        <v>I-8 WB</v>
      </c>
      <c r="K468" s="136">
        <f>'[2]All Counts'!O468</f>
        <v>30787</v>
      </c>
      <c r="L468" s="57">
        <f>VLOOKUP(ws[[#This Row],[hwycov_id]],readme!D:G,4,FALSE)</f>
        <v>34693.183594000002</v>
      </c>
      <c r="M468" s="88">
        <f>ws[[#This Row],[flow]]/ws[[#This Row],[count]]-1</f>
        <v>0.12687769493617451</v>
      </c>
      <c r="N468" s="89">
        <f>POWER((ws[[#This Row],[flow]]-ws[[#This Row],[count]]),2)</f>
        <v>15258270.270034771</v>
      </c>
      <c r="O468" s="43">
        <f>VLOOKUP(ws[[#This Row],[hwycov_id]],count[],6,FALSE)</f>
        <v>0</v>
      </c>
      <c r="P468" s="43">
        <v>630</v>
      </c>
      <c r="Q468" s="43" t="str">
        <f>'[2]All Counts'!P468</f>
        <v>Caltran</v>
      </c>
      <c r="S468" s="94">
        <v>20790</v>
      </c>
      <c r="T468" s="17"/>
      <c r="U468" s="17"/>
      <c r="V468" s="17">
        <v>27413</v>
      </c>
      <c r="W468" s="17">
        <v>30701.773438</v>
      </c>
      <c r="X468" s="17"/>
      <c r="Y468" s="17"/>
      <c r="Z468" s="17"/>
      <c r="AA468" s="17"/>
      <c r="AB468" s="17">
        <v>27413</v>
      </c>
      <c r="AC468" s="17">
        <v>30701.773438</v>
      </c>
      <c r="AD468"/>
      <c r="AE468"/>
    </row>
    <row r="469" spans="1:31" x14ac:dyDescent="0.25">
      <c r="A469" s="136">
        <f>'[2]All Counts'!C469</f>
        <v>9</v>
      </c>
      <c r="B469" s="136">
        <f>'[2]All Counts'!D469</f>
        <v>2</v>
      </c>
      <c r="C469" s="136">
        <f>'[2]All Counts'!E469</f>
        <v>16761</v>
      </c>
      <c r="D469" s="136">
        <f>'[2]All Counts'!F469</f>
        <v>1</v>
      </c>
      <c r="E469" s="136">
        <f>'[2]All Counts'!G469</f>
        <v>1</v>
      </c>
      <c r="F469" s="136" t="str">
        <f>'[2]All Counts'!H469</f>
        <v>I-15 SB</v>
      </c>
      <c r="G469" s="136">
        <f>'[2]All Counts'!I469</f>
        <v>90</v>
      </c>
      <c r="H469" s="136">
        <f>'[2]All Counts'!J469</f>
        <v>0</v>
      </c>
      <c r="I469" s="136" t="str">
        <f>'[2]All Counts'!K469</f>
        <v>I-8 WB</v>
      </c>
      <c r="J469" s="136" t="str">
        <f>'[2]All Counts'!L469</f>
        <v>I-8 WB</v>
      </c>
      <c r="K469" s="136">
        <f>'[2]All Counts'!O469</f>
        <v>17524</v>
      </c>
      <c r="L469" s="57">
        <f>VLOOKUP(ws[[#This Row],[hwycov_id]],readme!D:G,4,FALSE)</f>
        <v>19930.167968999998</v>
      </c>
      <c r="M469" s="88">
        <f>ws[[#This Row],[flow]]/ws[[#This Row],[count]]-1</f>
        <v>0.13730700576352417</v>
      </c>
      <c r="N469" s="89">
        <f>POWER((ws[[#This Row],[flow]]-ws[[#This Row],[count]]),2)</f>
        <v>5789644.295041577</v>
      </c>
      <c r="O469" s="43">
        <f>VLOOKUP(ws[[#This Row],[hwycov_id]],count[],6,FALSE)</f>
        <v>0</v>
      </c>
      <c r="P469" s="43">
        <v>631</v>
      </c>
      <c r="Q469" s="43" t="str">
        <f>'[2]All Counts'!P469</f>
        <v>PeMS2016</v>
      </c>
      <c r="S469" s="94">
        <v>21848</v>
      </c>
      <c r="T469" s="17"/>
      <c r="U469" s="17"/>
      <c r="V469" s="17">
        <v>11803</v>
      </c>
      <c r="W469" s="17">
        <v>12370.199219</v>
      </c>
      <c r="X469" s="17"/>
      <c r="Y469" s="17"/>
      <c r="Z469" s="17"/>
      <c r="AA469" s="17"/>
      <c r="AB469" s="17">
        <v>11803</v>
      </c>
      <c r="AC469" s="17">
        <v>12370.199219</v>
      </c>
      <c r="AD469"/>
      <c r="AE469"/>
    </row>
    <row r="470" spans="1:31" x14ac:dyDescent="0.25">
      <c r="A470" s="136">
        <f>'[2]All Counts'!C470</f>
        <v>9</v>
      </c>
      <c r="B470" s="136">
        <f>'[2]All Counts'!D470</f>
        <v>2</v>
      </c>
      <c r="C470" s="136">
        <f>'[2]All Counts'!E470</f>
        <v>8933</v>
      </c>
      <c r="D470" s="136">
        <f>'[2]All Counts'!F470</f>
        <v>1</v>
      </c>
      <c r="E470" s="136">
        <f>'[2]All Counts'!G470</f>
        <v>1</v>
      </c>
      <c r="F470" s="136" t="str">
        <f>'[2]All Counts'!H470</f>
        <v>I-15 SB</v>
      </c>
      <c r="G470" s="136">
        <f>'[2]All Counts'!I470</f>
        <v>93</v>
      </c>
      <c r="H470" s="136">
        <f>'[2]All Counts'!J470</f>
        <v>0</v>
      </c>
      <c r="I470" s="136" t="str">
        <f>'[2]All Counts'!K470</f>
        <v>I-8 EB</v>
      </c>
      <c r="J470" s="136" t="str">
        <f>'[2]All Counts'!L470</f>
        <v>ADAMS</v>
      </c>
      <c r="K470" s="136">
        <f>'[2]All Counts'!O470</f>
        <v>25927</v>
      </c>
      <c r="L470" s="57">
        <f>VLOOKUP(ws[[#This Row],[hwycov_id]],readme!D:G,4,FALSE)</f>
        <v>30509.046875</v>
      </c>
      <c r="M470" s="88">
        <f>ws[[#This Row],[flow]]/ws[[#This Row],[count]]-1</f>
        <v>0.17672877212944038</v>
      </c>
      <c r="N470" s="89">
        <f>POWER((ws[[#This Row],[flow]]-ws[[#This Row],[count]]),2)</f>
        <v>20995153.564697266</v>
      </c>
      <c r="O470" s="43">
        <f>VLOOKUP(ws[[#This Row],[hwycov_id]],count[],6,FALSE)</f>
        <v>0</v>
      </c>
      <c r="P470" s="43">
        <v>674</v>
      </c>
      <c r="Q470" s="43" t="str">
        <f>'[2]All Counts'!P470</f>
        <v>Caltran</v>
      </c>
      <c r="S470" s="94">
        <v>21942</v>
      </c>
      <c r="T470" s="17"/>
      <c r="U470" s="17"/>
      <c r="V470" s="17"/>
      <c r="W470" s="17"/>
      <c r="X470" s="17">
        <v>5453</v>
      </c>
      <c r="Y470" s="17">
        <v>8255.8037110000005</v>
      </c>
      <c r="Z470" s="17"/>
      <c r="AA470" s="17"/>
      <c r="AB470" s="17">
        <v>5453</v>
      </c>
      <c r="AC470" s="17">
        <v>8255.8037110000005</v>
      </c>
      <c r="AD470"/>
      <c r="AE470"/>
    </row>
    <row r="471" spans="1:31" x14ac:dyDescent="0.25">
      <c r="A471" s="136">
        <f>'[2]All Counts'!C471</f>
        <v>9</v>
      </c>
      <c r="B471" s="136">
        <f>'[2]All Counts'!D471</f>
        <v>2</v>
      </c>
      <c r="C471" s="136">
        <f>'[2]All Counts'!E471</f>
        <v>8968</v>
      </c>
      <c r="D471" s="136">
        <f>'[2]All Counts'!F471</f>
        <v>1</v>
      </c>
      <c r="E471" s="136">
        <f>'[2]All Counts'!G471</f>
        <v>1</v>
      </c>
      <c r="F471" s="136" t="str">
        <f>'[2]All Counts'!H471</f>
        <v>I-15 SB</v>
      </c>
      <c r="G471" s="136">
        <f>'[2]All Counts'!I471</f>
        <v>95</v>
      </c>
      <c r="H471" s="136">
        <f>'[2]All Counts'!J471</f>
        <v>0</v>
      </c>
      <c r="I471" s="136" t="str">
        <f>'[2]All Counts'!K471</f>
        <v>ADAMS</v>
      </c>
      <c r="J471" s="136" t="str">
        <f>'[2]All Counts'!L471</f>
        <v>ADAMS</v>
      </c>
      <c r="K471" s="136">
        <f>'[2]All Counts'!O471</f>
        <v>21780</v>
      </c>
      <c r="L471" s="57">
        <f>VLOOKUP(ws[[#This Row],[hwycov_id]],readme!D:G,4,FALSE)</f>
        <v>25798.265625</v>
      </c>
      <c r="M471" s="88">
        <f>ws[[#This Row],[flow]]/ws[[#This Row],[count]]-1</f>
        <v>0.18449337121212128</v>
      </c>
      <c r="N471" s="89">
        <f>POWER((ws[[#This Row],[flow]]-ws[[#This Row],[count]]),2)</f>
        <v>16146458.633056641</v>
      </c>
      <c r="O471" s="43">
        <f>VLOOKUP(ws[[#This Row],[hwycov_id]],count[],6,FALSE)</f>
        <v>0</v>
      </c>
      <c r="P471" s="43">
        <v>35</v>
      </c>
      <c r="Q471" s="43" t="str">
        <f>'[2]All Counts'!P471</f>
        <v>PeMS2016</v>
      </c>
      <c r="S471" s="94">
        <v>22077</v>
      </c>
      <c r="T471" s="17">
        <v>3507</v>
      </c>
      <c r="U471" s="17">
        <v>6483.7470700000003</v>
      </c>
      <c r="V471" s="17"/>
      <c r="W471" s="17"/>
      <c r="X471" s="17"/>
      <c r="Y471" s="17"/>
      <c r="Z471" s="17"/>
      <c r="AA471" s="17"/>
      <c r="AB471" s="17">
        <v>3507</v>
      </c>
      <c r="AC471" s="17">
        <v>6483.7470700000003</v>
      </c>
      <c r="AD471"/>
      <c r="AE471"/>
    </row>
    <row r="472" spans="1:31" x14ac:dyDescent="0.25">
      <c r="A472" s="136">
        <f>'[2]All Counts'!C472</f>
        <v>9</v>
      </c>
      <c r="B472" s="136">
        <f>'[2]All Counts'!D472</f>
        <v>2</v>
      </c>
      <c r="C472" s="136">
        <f>'[2]All Counts'!E472</f>
        <v>20463</v>
      </c>
      <c r="D472" s="136">
        <f>'[2]All Counts'!F472</f>
        <v>1</v>
      </c>
      <c r="E472" s="136">
        <f>'[2]All Counts'!G472</f>
        <v>1</v>
      </c>
      <c r="F472" s="136" t="str">
        <f>'[2]All Counts'!H472</f>
        <v>I-15 SB</v>
      </c>
      <c r="G472" s="136">
        <f>'[2]All Counts'!I472</f>
        <v>3</v>
      </c>
      <c r="H472" s="136">
        <f>'[2]All Counts'!J472</f>
        <v>0</v>
      </c>
      <c r="I472" s="136" t="str">
        <f>'[2]All Counts'!K472</f>
        <v>EL CAJON</v>
      </c>
      <c r="J472" s="136" t="str">
        <f>'[2]All Counts'!L472</f>
        <v>UNIVERSITY</v>
      </c>
      <c r="K472" s="136">
        <f>'[2]All Counts'!O472</f>
        <v>20069</v>
      </c>
      <c r="L472" s="57">
        <f>VLOOKUP(ws[[#This Row],[hwycov_id]],readme!D:G,4,FALSE)</f>
        <v>20716.410156000002</v>
      </c>
      <c r="M472" s="88">
        <f>ws[[#This Row],[flow]]/ws[[#This Row],[count]]-1</f>
        <v>3.2259213513379015E-2</v>
      </c>
      <c r="N472" s="89">
        <f>POWER((ws[[#This Row],[flow]]-ws[[#This Row],[count]]),2)</f>
        <v>419139.9100919466</v>
      </c>
      <c r="O472" s="43">
        <f>VLOOKUP(ws[[#This Row],[hwycov_id]],count[],6,FALSE)</f>
        <v>0</v>
      </c>
      <c r="P472" s="43">
        <v>328</v>
      </c>
      <c r="Q472" s="43" t="str">
        <f>'[2]All Counts'!P472</f>
        <v>PeMS2016</v>
      </c>
      <c r="S472" s="94">
        <v>22146</v>
      </c>
      <c r="T472" s="17">
        <v>13565</v>
      </c>
      <c r="U472" s="17">
        <v>17710.476562</v>
      </c>
      <c r="V472" s="17"/>
      <c r="W472" s="17"/>
      <c r="X472" s="17"/>
      <c r="Y472" s="17"/>
      <c r="Z472" s="17"/>
      <c r="AA472" s="17"/>
      <c r="AB472" s="17">
        <v>13565</v>
      </c>
      <c r="AC472" s="17">
        <v>17710.476562</v>
      </c>
      <c r="AD472"/>
      <c r="AE472"/>
    </row>
    <row r="473" spans="1:31" x14ac:dyDescent="0.25">
      <c r="A473" s="136">
        <f>'[2]All Counts'!C473</f>
        <v>9</v>
      </c>
      <c r="B473" s="136">
        <f>'[2]All Counts'!D473</f>
        <v>2</v>
      </c>
      <c r="C473" s="136">
        <f>'[2]All Counts'!E473</f>
        <v>8955</v>
      </c>
      <c r="D473" s="136">
        <f>'[2]All Counts'!F473</f>
        <v>1</v>
      </c>
      <c r="E473" s="136">
        <f>'[2]All Counts'!G473</f>
        <v>1</v>
      </c>
      <c r="F473" s="136" t="str">
        <f>'[2]All Counts'!H473</f>
        <v>I-15 SB</v>
      </c>
      <c r="G473" s="136">
        <f>'[2]All Counts'!I473</f>
        <v>4</v>
      </c>
      <c r="H473" s="136">
        <f>'[2]All Counts'!J473</f>
        <v>0</v>
      </c>
      <c r="I473" s="136">
        <f>'[2]All Counts'!K473</f>
        <v>0</v>
      </c>
      <c r="J473" s="136" t="str">
        <f>'[2]All Counts'!L473</f>
        <v>UNIVERSITY</v>
      </c>
      <c r="K473" s="136">
        <f>'[2]All Counts'!O473</f>
        <v>16611</v>
      </c>
      <c r="L473" s="57">
        <f>VLOOKUP(ws[[#This Row],[hwycov_id]],readme!D:G,4,FALSE)</f>
        <v>22213.375</v>
      </c>
      <c r="M473" s="88">
        <f>ws[[#This Row],[flow]]/ws[[#This Row],[count]]-1</f>
        <v>0.33726897838781533</v>
      </c>
      <c r="N473" s="89">
        <f>POWER((ws[[#This Row],[flow]]-ws[[#This Row],[count]]),2)</f>
        <v>31386605.640625</v>
      </c>
      <c r="O473" s="43">
        <f>VLOOKUP(ws[[#This Row],[hwycov_id]],count[],6,FALSE)</f>
        <v>0</v>
      </c>
      <c r="P473" s="43">
        <v>143</v>
      </c>
      <c r="Q473" s="43" t="str">
        <f>'[2]All Counts'!P473</f>
        <v>PeMS2016</v>
      </c>
      <c r="S473" s="94">
        <v>22157</v>
      </c>
      <c r="T473" s="17"/>
      <c r="U473" s="17"/>
      <c r="V473" s="17">
        <v>26889</v>
      </c>
      <c r="W473" s="17">
        <v>23564.941406000002</v>
      </c>
      <c r="X473" s="17"/>
      <c r="Y473" s="17"/>
      <c r="Z473" s="17"/>
      <c r="AA473" s="17"/>
      <c r="AB473" s="17">
        <v>26889</v>
      </c>
      <c r="AC473" s="17">
        <v>23564.941406000002</v>
      </c>
      <c r="AD473"/>
      <c r="AE473"/>
    </row>
    <row r="474" spans="1:31" x14ac:dyDescent="0.25">
      <c r="A474" s="136">
        <f>'[2]All Counts'!C474</f>
        <v>9</v>
      </c>
      <c r="B474" s="136">
        <f>'[2]All Counts'!D474</f>
        <v>2</v>
      </c>
      <c r="C474" s="136">
        <f>'[2]All Counts'!E474</f>
        <v>8938</v>
      </c>
      <c r="D474" s="136">
        <f>'[2]All Counts'!F474</f>
        <v>1</v>
      </c>
      <c r="E474" s="136">
        <f>'[2]All Counts'!G474</f>
        <v>1</v>
      </c>
      <c r="F474" s="136" t="str">
        <f>'[2]All Counts'!H474</f>
        <v>I-15 SB</v>
      </c>
      <c r="G474" s="136">
        <f>'[2]All Counts'!I474</f>
        <v>6</v>
      </c>
      <c r="H474" s="136">
        <f>'[2]All Counts'!J474</f>
        <v>0</v>
      </c>
      <c r="I474" s="136" t="str">
        <f>'[2]All Counts'!K474</f>
        <v>40TH</v>
      </c>
      <c r="J474" s="136" t="str">
        <f>'[2]All Counts'!L474</f>
        <v>I-805 SB</v>
      </c>
      <c r="K474" s="136">
        <f>'[2]All Counts'!O474</f>
        <v>21035</v>
      </c>
      <c r="L474" s="57">
        <f>VLOOKUP(ws[[#This Row],[hwycov_id]],readme!D:G,4,FALSE)</f>
        <v>23700.261718999998</v>
      </c>
      <c r="M474" s="88">
        <f>ws[[#This Row],[flow]]/ws[[#This Row],[count]]-1</f>
        <v>0.12670604796767293</v>
      </c>
      <c r="N474" s="89">
        <f>POWER((ws[[#This Row],[flow]]-ws[[#This Row],[count]]),2)</f>
        <v>7103620.0307668261</v>
      </c>
      <c r="O474" s="43">
        <f>VLOOKUP(ws[[#This Row],[hwycov_id]],count[],6,FALSE)</f>
        <v>0</v>
      </c>
      <c r="P474" s="43">
        <v>634</v>
      </c>
      <c r="Q474" s="43" t="str">
        <f>'[2]All Counts'!P474</f>
        <v>PeMS2016</v>
      </c>
      <c r="S474" s="94">
        <v>22603</v>
      </c>
      <c r="T474" s="17">
        <v>14712</v>
      </c>
      <c r="U474" s="17">
        <v>29994.886718999998</v>
      </c>
      <c r="V474" s="17"/>
      <c r="W474" s="17"/>
      <c r="X474" s="17"/>
      <c r="Y474" s="17"/>
      <c r="Z474" s="17"/>
      <c r="AA474" s="17"/>
      <c r="AB474" s="17">
        <v>14712</v>
      </c>
      <c r="AC474" s="17">
        <v>29994.886718999998</v>
      </c>
      <c r="AD474"/>
      <c r="AE474"/>
    </row>
    <row r="475" spans="1:31" x14ac:dyDescent="0.25">
      <c r="A475" s="136">
        <f>'[2]All Counts'!C475</f>
        <v>9</v>
      </c>
      <c r="B475" s="136">
        <f>'[2]All Counts'!D475</f>
        <v>2</v>
      </c>
      <c r="C475" s="136">
        <f>'[2]All Counts'!E475</f>
        <v>22757</v>
      </c>
      <c r="D475" s="136">
        <f>'[2]All Counts'!F475</f>
        <v>1</v>
      </c>
      <c r="E475" s="136">
        <f>'[2]All Counts'!G475</f>
        <v>1</v>
      </c>
      <c r="F475" s="136" t="str">
        <f>'[2]All Counts'!H475</f>
        <v>I-15 SB</v>
      </c>
      <c r="G475" s="136">
        <f>'[2]All Counts'!I475</f>
        <v>7</v>
      </c>
      <c r="H475" s="136">
        <f>'[2]All Counts'!J475</f>
        <v>0</v>
      </c>
      <c r="I475" s="136" t="str">
        <f>'[2]All Counts'!K475</f>
        <v>I-805 SB</v>
      </c>
      <c r="J475" s="136" t="str">
        <f>'[2]All Counts'!L475</f>
        <v>I-805 SB</v>
      </c>
      <c r="K475" s="136">
        <f>'[2]All Counts'!O475</f>
        <v>13241</v>
      </c>
      <c r="L475" s="57">
        <f>VLOOKUP(ws[[#This Row],[hwycov_id]],readme!D:G,4,FALSE)</f>
        <v>10274.478515999999</v>
      </c>
      <c r="M475" s="88">
        <f>ws[[#This Row],[flow]]/ws[[#This Row],[count]]-1</f>
        <v>-0.22404059240238661</v>
      </c>
      <c r="N475" s="89">
        <f>POWER((ws[[#This Row],[flow]]-ws[[#This Row],[count]]),2)</f>
        <v>8800249.7150335666</v>
      </c>
      <c r="O475" s="43">
        <f>VLOOKUP(ws[[#This Row],[hwycov_id]],count[],6,FALSE)</f>
        <v>0</v>
      </c>
      <c r="P475" s="43">
        <v>291</v>
      </c>
      <c r="Q475" s="43" t="str">
        <f>'[2]All Counts'!P475</f>
        <v>PeMS2016</v>
      </c>
      <c r="S475" s="94">
        <v>22715</v>
      </c>
      <c r="T475" s="17">
        <v>12590</v>
      </c>
      <c r="U475" s="17">
        <v>16646.431640999999</v>
      </c>
      <c r="V475" s="17"/>
      <c r="W475" s="17"/>
      <c r="X475" s="17"/>
      <c r="Y475" s="17"/>
      <c r="Z475" s="17"/>
      <c r="AA475" s="17"/>
      <c r="AB475" s="17">
        <v>12590</v>
      </c>
      <c r="AC475" s="17">
        <v>16646.431640999999</v>
      </c>
      <c r="AD475"/>
      <c r="AE475"/>
    </row>
    <row r="476" spans="1:31" x14ac:dyDescent="0.25">
      <c r="A476" s="136">
        <f>'[2]All Counts'!C476</f>
        <v>9</v>
      </c>
      <c r="B476" s="136">
        <f>'[2]All Counts'!D476</f>
        <v>2</v>
      </c>
      <c r="C476" s="136">
        <f>'[2]All Counts'!E476</f>
        <v>15917</v>
      </c>
      <c r="D476" s="136">
        <f>'[2]All Counts'!F476</f>
        <v>1</v>
      </c>
      <c r="E476" s="136">
        <f>'[2]All Counts'!G476</f>
        <v>1</v>
      </c>
      <c r="F476" s="136" t="str">
        <f>'[2]All Counts'!H476</f>
        <v>I-15 SB</v>
      </c>
      <c r="G476" s="136">
        <f>'[2]All Counts'!I476</f>
        <v>8</v>
      </c>
      <c r="H476" s="136">
        <f>'[2]All Counts'!J476</f>
        <v>0</v>
      </c>
      <c r="I476" s="136" t="str">
        <f>'[2]All Counts'!K476</f>
        <v>I-805 SB</v>
      </c>
      <c r="J476" s="136" t="str">
        <f>'[2]All Counts'!L476</f>
        <v>I-805 SB</v>
      </c>
      <c r="K476" s="136">
        <f>'[2]All Counts'!O476</f>
        <v>13241</v>
      </c>
      <c r="L476" s="57">
        <f>VLOOKUP(ws[[#This Row],[hwycov_id]],readme!D:G,4,FALSE)</f>
        <v>10274.478515999999</v>
      </c>
      <c r="M476" s="88">
        <f>ws[[#This Row],[flow]]/ws[[#This Row],[count]]-1</f>
        <v>-0.22404059240238661</v>
      </c>
      <c r="N476" s="89">
        <f>POWER((ws[[#This Row],[flow]]-ws[[#This Row],[count]]),2)</f>
        <v>8800249.7150335666</v>
      </c>
      <c r="O476" s="43">
        <f>VLOOKUP(ws[[#This Row],[hwycov_id]],count[],6,FALSE)</f>
        <v>0</v>
      </c>
      <c r="P476" s="43">
        <v>165</v>
      </c>
      <c r="Q476" s="43" t="str">
        <f>'[2]All Counts'!P476</f>
        <v>PeMS2016</v>
      </c>
      <c r="S476" s="94">
        <v>22716</v>
      </c>
      <c r="T476" s="17"/>
      <c r="U476" s="17"/>
      <c r="V476" s="17">
        <v>17403</v>
      </c>
      <c r="W476" s="17">
        <v>24890.080077999999</v>
      </c>
      <c r="X476" s="17"/>
      <c r="Y476" s="17"/>
      <c r="Z476" s="17"/>
      <c r="AA476" s="17"/>
      <c r="AB476" s="17">
        <v>17403</v>
      </c>
      <c r="AC476" s="17">
        <v>24890.080077999999</v>
      </c>
      <c r="AD476"/>
      <c r="AE476"/>
    </row>
    <row r="477" spans="1:31" x14ac:dyDescent="0.25">
      <c r="A477" s="136">
        <f>'[2]All Counts'!C477</f>
        <v>9</v>
      </c>
      <c r="B477" s="136">
        <f>'[2]All Counts'!D477</f>
        <v>2</v>
      </c>
      <c r="C477" s="136">
        <f>'[2]All Counts'!E477</f>
        <v>15914</v>
      </c>
      <c r="D477" s="136">
        <f>'[2]All Counts'!F477</f>
        <v>1</v>
      </c>
      <c r="E477" s="136">
        <f>'[2]All Counts'!G477</f>
        <v>1</v>
      </c>
      <c r="F477" s="136" t="str">
        <f>'[2]All Counts'!H477</f>
        <v>I-15 SB</v>
      </c>
      <c r="G477" s="136">
        <f>'[2]All Counts'!I477</f>
        <v>9</v>
      </c>
      <c r="H477" s="136">
        <f>'[2]All Counts'!J477</f>
        <v>0</v>
      </c>
      <c r="I477" s="136" t="str">
        <f>'[2]All Counts'!K477</f>
        <v>I-805 SB</v>
      </c>
      <c r="J477" s="136" t="str">
        <f>'[2]All Counts'!L477</f>
        <v>SR-94 WB</v>
      </c>
      <c r="K477" s="136">
        <f>'[2]All Counts'!O477</f>
        <v>17883</v>
      </c>
      <c r="L477" s="57">
        <f>VLOOKUP(ws[[#This Row],[hwycov_id]],readme!D:G,4,FALSE)</f>
        <v>16453.330077999999</v>
      </c>
      <c r="M477" s="88">
        <f>ws[[#This Row],[flow]]/ws[[#This Row],[count]]-1</f>
        <v>-7.9945754179947537E-2</v>
      </c>
      <c r="N477" s="89">
        <f>POWER((ws[[#This Row],[flow]]-ws[[#This Row],[count]]),2)</f>
        <v>2043956.0858714888</v>
      </c>
      <c r="O477" s="43">
        <f>VLOOKUP(ws[[#This Row],[hwycov_id]],count[],6,FALSE)</f>
        <v>0</v>
      </c>
      <c r="P477" s="43">
        <v>613</v>
      </c>
      <c r="Q477" s="43" t="str">
        <f>'[2]All Counts'!P477</f>
        <v>PeMS2016</v>
      </c>
      <c r="S477" s="94">
        <v>22743</v>
      </c>
      <c r="T477" s="17">
        <v>17202</v>
      </c>
      <c r="U477" s="17">
        <v>19608.105468999998</v>
      </c>
      <c r="V477" s="17"/>
      <c r="W477" s="17"/>
      <c r="X477" s="17"/>
      <c r="Y477" s="17"/>
      <c r="Z477" s="17"/>
      <c r="AA477" s="17"/>
      <c r="AB477" s="17">
        <v>17202</v>
      </c>
      <c r="AC477" s="17">
        <v>19608.105468999998</v>
      </c>
      <c r="AD477"/>
      <c r="AE477"/>
    </row>
    <row r="478" spans="1:31" x14ac:dyDescent="0.25">
      <c r="A478" s="136">
        <f>'[2]All Counts'!C478</f>
        <v>9</v>
      </c>
      <c r="B478" s="136">
        <f>'[2]All Counts'!D478</f>
        <v>2</v>
      </c>
      <c r="C478" s="136">
        <f>'[2]All Counts'!E478</f>
        <v>1173</v>
      </c>
      <c r="D478" s="136">
        <f>'[2]All Counts'!F478</f>
        <v>1</v>
      </c>
      <c r="E478" s="136">
        <f>'[2]All Counts'!G478</f>
        <v>1</v>
      </c>
      <c r="F478" s="136" t="str">
        <f>'[2]All Counts'!H478</f>
        <v>I-15 SB</v>
      </c>
      <c r="G478" s="136">
        <f>'[2]All Counts'!I478</f>
        <v>12</v>
      </c>
      <c r="H478" s="136">
        <f>'[2]All Counts'!J478</f>
        <v>0</v>
      </c>
      <c r="I478" s="136" t="str">
        <f>'[2]All Counts'!K478</f>
        <v>SR-94 EB</v>
      </c>
      <c r="J478" s="136" t="str">
        <f>'[2]All Counts'!L478</f>
        <v>MARKET</v>
      </c>
      <c r="K478" s="136">
        <f>'[2]All Counts'!O478</f>
        <v>17864</v>
      </c>
      <c r="L478" s="57">
        <f>VLOOKUP(ws[[#This Row],[hwycov_id]],readme!D:G,4,FALSE)</f>
        <v>17153.404297000001</v>
      </c>
      <c r="M478" s="88">
        <f>ws[[#This Row],[flow]]/ws[[#This Row],[count]]-1</f>
        <v>-3.9778084583519835E-2</v>
      </c>
      <c r="N478" s="89">
        <f>POWER((ws[[#This Row],[flow]]-ws[[#This Row],[count]]),2)</f>
        <v>504946.25312206283</v>
      </c>
      <c r="O478" s="43">
        <f>VLOOKUP(ws[[#This Row],[hwycov_id]],count[],6,FALSE)</f>
        <v>0</v>
      </c>
      <c r="P478" s="43">
        <v>350</v>
      </c>
      <c r="Q478" s="43" t="str">
        <f>'[2]All Counts'!P478</f>
        <v>Caltran</v>
      </c>
      <c r="S478" s="94">
        <v>22757</v>
      </c>
      <c r="T478" s="17"/>
      <c r="U478" s="17"/>
      <c r="V478" s="17">
        <v>13241</v>
      </c>
      <c r="W478" s="17">
        <v>10274.478515999999</v>
      </c>
      <c r="X478" s="17"/>
      <c r="Y478" s="17"/>
      <c r="Z478" s="17"/>
      <c r="AA478" s="17"/>
      <c r="AB478" s="17">
        <v>13241</v>
      </c>
      <c r="AC478" s="17">
        <v>10274.478515999999</v>
      </c>
      <c r="AD478"/>
      <c r="AE478"/>
    </row>
    <row r="479" spans="1:31" x14ac:dyDescent="0.25">
      <c r="A479" s="136">
        <f>'[2]All Counts'!C479</f>
        <v>9</v>
      </c>
      <c r="B479" s="136">
        <f>'[2]All Counts'!D479</f>
        <v>2</v>
      </c>
      <c r="C479" s="136">
        <f>'[2]All Counts'!E479</f>
        <v>28417</v>
      </c>
      <c r="D479" s="136">
        <f>'[2]All Counts'!F479</f>
        <v>1</v>
      </c>
      <c r="E479" s="136">
        <f>'[2]All Counts'!G479</f>
        <v>1</v>
      </c>
      <c r="F479" s="136" t="str">
        <f>'[2]All Counts'!H479</f>
        <v>I-15 SB</v>
      </c>
      <c r="G479" s="136">
        <f>'[2]All Counts'!I479</f>
        <v>16</v>
      </c>
      <c r="H479" s="136">
        <f>'[2]All Counts'!J479</f>
        <v>0</v>
      </c>
      <c r="I479" s="136" t="str">
        <f>'[2]All Counts'!K479</f>
        <v>IMPERIAL</v>
      </c>
      <c r="J479" s="136" t="str">
        <f>'[2]All Counts'!L479</f>
        <v>IMPERIAL</v>
      </c>
      <c r="K479" s="136">
        <f>'[2]All Counts'!O479</f>
        <v>16528</v>
      </c>
      <c r="L479" s="57">
        <f>VLOOKUP(ws[[#This Row],[hwycov_id]],readme!D:G,4,FALSE)</f>
        <v>16870.421875</v>
      </c>
      <c r="M479" s="88">
        <f>ws[[#This Row],[flow]]/ws[[#This Row],[count]]-1</f>
        <v>2.0717683627783146E-2</v>
      </c>
      <c r="N479" s="89">
        <f>POWER((ws[[#This Row],[flow]]-ws[[#This Row],[count]]),2)</f>
        <v>117252.74047851563</v>
      </c>
      <c r="O479" s="43">
        <f>VLOOKUP(ws[[#This Row],[hwycov_id]],count[],6,FALSE)</f>
        <v>0</v>
      </c>
      <c r="P479" s="43">
        <v>476</v>
      </c>
      <c r="Q479" s="43" t="str">
        <f>'[2]All Counts'!P479</f>
        <v>PeMS2016</v>
      </c>
      <c r="S479" s="94">
        <v>23044</v>
      </c>
      <c r="T479" s="17">
        <v>8924</v>
      </c>
      <c r="U479" s="17">
        <v>9327.5654300000006</v>
      </c>
      <c r="V479" s="17"/>
      <c r="W479" s="17"/>
      <c r="X479" s="17"/>
      <c r="Y479" s="17"/>
      <c r="Z479" s="17"/>
      <c r="AA479" s="17"/>
      <c r="AB479" s="17">
        <v>8924</v>
      </c>
      <c r="AC479" s="17">
        <v>9327.5654300000006</v>
      </c>
      <c r="AD479"/>
      <c r="AE479"/>
    </row>
    <row r="480" spans="1:31" x14ac:dyDescent="0.25">
      <c r="A480" s="136">
        <f>'[2]All Counts'!C480</f>
        <v>9</v>
      </c>
      <c r="B480" s="136">
        <f>'[2]All Counts'!D480</f>
        <v>2</v>
      </c>
      <c r="C480" s="136">
        <f>'[2]All Counts'!E480</f>
        <v>579</v>
      </c>
      <c r="D480" s="136">
        <f>'[2]All Counts'!F480</f>
        <v>1</v>
      </c>
      <c r="E480" s="136">
        <f>'[2]All Counts'!G480</f>
        <v>1</v>
      </c>
      <c r="F480" s="136" t="str">
        <f>'[2]All Counts'!H480</f>
        <v>I-15 SB</v>
      </c>
      <c r="G480" s="136">
        <f>'[2]All Counts'!I480</f>
        <v>18</v>
      </c>
      <c r="H480" s="136">
        <f>'[2]All Counts'!J480</f>
        <v>0</v>
      </c>
      <c r="I480" s="136" t="str">
        <f>'[2]All Counts'!K480</f>
        <v>OCEAN VIEW</v>
      </c>
      <c r="J480" s="136" t="str">
        <f>'[2]All Counts'!L480</f>
        <v>I-5 SB</v>
      </c>
      <c r="K480" s="136">
        <f>'[2]All Counts'!O480</f>
        <v>14033</v>
      </c>
      <c r="L480" s="57">
        <f>VLOOKUP(ws[[#This Row],[hwycov_id]],readme!D:G,4,FALSE)</f>
        <v>15734.662109000001</v>
      </c>
      <c r="M480" s="88">
        <f>ws[[#This Row],[flow]]/ws[[#This Row],[count]]-1</f>
        <v>0.12126146290885775</v>
      </c>
      <c r="N480" s="89">
        <f>POWER((ws[[#This Row],[flow]]-ws[[#This Row],[count]]),2)</f>
        <v>2895653.9332063305</v>
      </c>
      <c r="O480" s="43">
        <f>VLOOKUP(ws[[#This Row],[hwycov_id]],count[],6,FALSE)</f>
        <v>0</v>
      </c>
      <c r="P480" s="43">
        <v>397</v>
      </c>
      <c r="Q480" s="43" t="str">
        <f>'[2]All Counts'!P480</f>
        <v>Caltran</v>
      </c>
      <c r="S480" s="94">
        <v>23053</v>
      </c>
      <c r="T480" s="17">
        <v>10052</v>
      </c>
      <c r="U480" s="17">
        <v>10056.764648</v>
      </c>
      <c r="V480" s="17"/>
      <c r="W480" s="17"/>
      <c r="X480" s="17"/>
      <c r="Y480" s="17"/>
      <c r="Z480" s="17"/>
      <c r="AA480" s="17"/>
      <c r="AB480" s="17">
        <v>10052</v>
      </c>
      <c r="AC480" s="17">
        <v>10056.764648</v>
      </c>
      <c r="AD480"/>
      <c r="AE480"/>
    </row>
    <row r="481" spans="1:31" x14ac:dyDescent="0.25">
      <c r="A481" s="136">
        <f>'[2]All Counts'!C481</f>
        <v>32</v>
      </c>
      <c r="B481" s="136">
        <f>'[2]All Counts'!D481</f>
        <v>2</v>
      </c>
      <c r="C481" s="136">
        <f>'[2]All Counts'!E481</f>
        <v>29587</v>
      </c>
      <c r="D481" s="136">
        <f>'[2]All Counts'!F481</f>
        <v>1</v>
      </c>
      <c r="E481" s="136">
        <f>'[2]All Counts'!G481</f>
        <v>2</v>
      </c>
      <c r="F481" s="136" t="str">
        <f>'[2]All Counts'!H481</f>
        <v>I-5 HOV SB</v>
      </c>
      <c r="G481" s="136">
        <f>'[2]All Counts'!I481</f>
        <v>21</v>
      </c>
      <c r="H481" s="136">
        <f>'[2]All Counts'!J481</f>
        <v>1</v>
      </c>
      <c r="I481" s="136" t="str">
        <f>'[2]All Counts'!K481</f>
        <v>LOMAS SANTA FE</v>
      </c>
      <c r="J481" s="136" t="str">
        <f>'[2]All Counts'!L481</f>
        <v>LOMAS SANTA FE</v>
      </c>
      <c r="K481" s="136">
        <f>'[2]All Counts'!O481</f>
        <v>2055</v>
      </c>
      <c r="L481" s="57">
        <f>VLOOKUP(ws[[#This Row],[hwycov_id]],readme!D:G,4,FALSE)</f>
        <v>2686.0783689999998</v>
      </c>
      <c r="M481" s="88">
        <f>ws[[#This Row],[flow]]/ws[[#This Row],[count]]-1</f>
        <v>0.30709409683698285</v>
      </c>
      <c r="N481" s="89">
        <f>POWER((ws[[#This Row],[flow]]-ws[[#This Row],[count]]),2)</f>
        <v>398259.90781969996</v>
      </c>
      <c r="O481" s="43">
        <f>VLOOKUP(ws[[#This Row],[hwycov_id]],count[],6,FALSE)</f>
        <v>0</v>
      </c>
      <c r="P481" s="43">
        <v>405</v>
      </c>
      <c r="Q481" s="43" t="str">
        <f>'[2]All Counts'!P481</f>
        <v>PeMS2016</v>
      </c>
      <c r="S481" s="94">
        <v>23128</v>
      </c>
      <c r="T481" s="17"/>
      <c r="U481" s="17"/>
      <c r="V481" s="17">
        <v>4115</v>
      </c>
      <c r="W481" s="17">
        <v>3654.3554690000001</v>
      </c>
      <c r="X481" s="17"/>
      <c r="Y481" s="17"/>
      <c r="Z481" s="17"/>
      <c r="AA481" s="17"/>
      <c r="AB481" s="17">
        <v>4115</v>
      </c>
      <c r="AC481" s="17">
        <v>3654.3554690000001</v>
      </c>
      <c r="AD481"/>
      <c r="AE481"/>
    </row>
    <row r="482" spans="1:31" x14ac:dyDescent="0.25">
      <c r="A482" s="136">
        <f>'[2]All Counts'!C482</f>
        <v>32</v>
      </c>
      <c r="B482" s="136">
        <f>'[2]All Counts'!D482</f>
        <v>2</v>
      </c>
      <c r="C482" s="136">
        <f>'[2]All Counts'!E482</f>
        <v>29575</v>
      </c>
      <c r="D482" s="136">
        <f>'[2]All Counts'!F482</f>
        <v>1</v>
      </c>
      <c r="E482" s="136">
        <f>'[2]All Counts'!G482</f>
        <v>2</v>
      </c>
      <c r="F482" s="136" t="str">
        <f>'[2]All Counts'!H482</f>
        <v>I-5 HOV SB</v>
      </c>
      <c r="G482" s="136">
        <f>'[2]All Counts'!I482</f>
        <v>22</v>
      </c>
      <c r="H482" s="136">
        <f>'[2]All Counts'!J482</f>
        <v>1</v>
      </c>
      <c r="I482" s="136" t="str">
        <f>'[2]All Counts'!K482</f>
        <v>VIA DE LA VALLE</v>
      </c>
      <c r="J482" s="136" t="str">
        <f>'[2]All Counts'!L482</f>
        <v>VIA DE LA VALLE</v>
      </c>
      <c r="K482" s="136">
        <f>'[2]All Counts'!O482</f>
        <v>2260</v>
      </c>
      <c r="L482" s="57">
        <f>VLOOKUP(ws[[#This Row],[hwycov_id]],readme!D:G,4,FALSE)</f>
        <v>2686.0783689999998</v>
      </c>
      <c r="M482" s="88">
        <f>ws[[#This Row],[flow]]/ws[[#This Row],[count]]-1</f>
        <v>0.18853025176991145</v>
      </c>
      <c r="N482" s="89">
        <f>POWER((ws[[#This Row],[flow]]-ws[[#This Row],[count]]),2)</f>
        <v>181542.77652970003</v>
      </c>
      <c r="O482" s="43">
        <f>VLOOKUP(ws[[#This Row],[hwycov_id]],count[],6,FALSE)</f>
        <v>0</v>
      </c>
      <c r="P482" s="43">
        <v>413</v>
      </c>
      <c r="Q482" s="43" t="str">
        <f>'[2]All Counts'!P482</f>
        <v>PeMS2016</v>
      </c>
      <c r="S482" s="94">
        <v>23142</v>
      </c>
      <c r="T482" s="17"/>
      <c r="U482" s="17"/>
      <c r="V482" s="17">
        <v>5183</v>
      </c>
      <c r="W482" s="17">
        <v>5428.9711909999996</v>
      </c>
      <c r="X482" s="17"/>
      <c r="Y482" s="17"/>
      <c r="Z482" s="17"/>
      <c r="AA482" s="17"/>
      <c r="AB482" s="17">
        <v>5183</v>
      </c>
      <c r="AC482" s="17">
        <v>5428.9711909999996</v>
      </c>
      <c r="AD482"/>
      <c r="AE482"/>
    </row>
    <row r="483" spans="1:31" x14ac:dyDescent="0.25">
      <c r="A483" s="136">
        <f>'[2]All Counts'!C483</f>
        <v>32</v>
      </c>
      <c r="B483" s="136">
        <f>'[2]All Counts'!D483</f>
        <v>2</v>
      </c>
      <c r="C483" s="136">
        <f>'[2]All Counts'!E483</f>
        <v>29577</v>
      </c>
      <c r="D483" s="136">
        <f>'[2]All Counts'!F483</f>
        <v>1</v>
      </c>
      <c r="E483" s="136">
        <f>'[2]All Counts'!G483</f>
        <v>2</v>
      </c>
      <c r="F483" s="136" t="str">
        <f>'[2]All Counts'!H483</f>
        <v>I-5 HOV SB</v>
      </c>
      <c r="G483" s="136">
        <f>'[2]All Counts'!I483</f>
        <v>23</v>
      </c>
      <c r="H483" s="136">
        <f>'[2]All Counts'!J483</f>
        <v>0</v>
      </c>
      <c r="I483" s="136" t="str">
        <f>'[2]All Counts'!K483</f>
        <v>VIA DE LA VALLE</v>
      </c>
      <c r="J483" s="136" t="str">
        <f>'[2]All Counts'!L483</f>
        <v>VIA DE LA VALLE</v>
      </c>
      <c r="K483" s="136">
        <f>'[2]All Counts'!O483</f>
        <v>2152</v>
      </c>
      <c r="L483" s="57">
        <f>VLOOKUP(ws[[#This Row],[hwycov_id]],readme!D:G,4,FALSE)</f>
        <v>2686.0783689999998</v>
      </c>
      <c r="M483" s="88">
        <f>ws[[#This Row],[flow]]/ws[[#This Row],[count]]-1</f>
        <v>0.24817768076208169</v>
      </c>
      <c r="N483" s="89">
        <f>POWER((ws[[#This Row],[flow]]-ws[[#This Row],[count]]),2)</f>
        <v>285239.7042337</v>
      </c>
      <c r="O483" s="43">
        <f>VLOOKUP(ws[[#This Row],[hwycov_id]],count[],6,FALSE)</f>
        <v>0</v>
      </c>
      <c r="P483" s="43">
        <v>417</v>
      </c>
      <c r="Q483" s="43" t="str">
        <f>'[2]All Counts'!P483</f>
        <v>PeMS2016</v>
      </c>
      <c r="S483" s="94">
        <v>23435</v>
      </c>
      <c r="T483" s="17"/>
      <c r="U483" s="17"/>
      <c r="V483" s="17"/>
      <c r="W483" s="17"/>
      <c r="X483" s="17">
        <v>4828</v>
      </c>
      <c r="Y483" s="17">
        <v>4749.0805659999996</v>
      </c>
      <c r="Z483" s="17"/>
      <c r="AA483" s="17"/>
      <c r="AB483" s="17">
        <v>4828</v>
      </c>
      <c r="AC483" s="17">
        <v>4749.0805659999996</v>
      </c>
      <c r="AD483"/>
      <c r="AE483"/>
    </row>
    <row r="484" spans="1:31" x14ac:dyDescent="0.25">
      <c r="A484" s="136">
        <f>'[2]All Counts'!C484</f>
        <v>32</v>
      </c>
      <c r="B484" s="136">
        <f>'[2]All Counts'!D484</f>
        <v>2</v>
      </c>
      <c r="C484" s="136">
        <f>'[2]All Counts'!E484</f>
        <v>29573</v>
      </c>
      <c r="D484" s="136">
        <f>'[2]All Counts'!F484</f>
        <v>1</v>
      </c>
      <c r="E484" s="136">
        <f>'[2]All Counts'!G484</f>
        <v>2</v>
      </c>
      <c r="F484" s="136" t="str">
        <f>'[2]All Counts'!H484</f>
        <v>I-5 HOV SB</v>
      </c>
      <c r="G484" s="136">
        <f>'[2]All Counts'!I484</f>
        <v>24</v>
      </c>
      <c r="H484" s="136">
        <f>'[2]All Counts'!J484</f>
        <v>0</v>
      </c>
      <c r="I484" s="136" t="str">
        <f>'[2]All Counts'!K484</f>
        <v>CARMEL VALLEY</v>
      </c>
      <c r="J484" s="136" t="str">
        <f>'[2]All Counts'!L484</f>
        <v>CARMEL VALLEY</v>
      </c>
      <c r="K484" s="136">
        <f>'[2]All Counts'!O484</f>
        <v>2478</v>
      </c>
      <c r="L484" s="57">
        <f>VLOOKUP(ws[[#This Row],[hwycov_id]],readme!D:G,4,FALSE)</f>
        <v>2686.0783689999998</v>
      </c>
      <c r="M484" s="88">
        <f>ws[[#This Row],[flow]]/ws[[#This Row],[count]]-1</f>
        <v>8.3970286117836856E-2</v>
      </c>
      <c r="N484" s="89">
        <f>POWER((ws[[#This Row],[flow]]-ws[[#This Row],[count]]),2)</f>
        <v>43296.607645700096</v>
      </c>
      <c r="O484" s="43">
        <f>VLOOKUP(ws[[#This Row],[hwycov_id]],count[],6,FALSE)</f>
        <v>0</v>
      </c>
      <c r="P484" s="43">
        <v>32</v>
      </c>
      <c r="Q484" s="43" t="str">
        <f>'[2]All Counts'!P484</f>
        <v>PeMS2016</v>
      </c>
      <c r="S484" s="94">
        <v>23557</v>
      </c>
      <c r="T484" s="17"/>
      <c r="U484" s="17"/>
      <c r="V484" s="17"/>
      <c r="W484" s="17"/>
      <c r="X484" s="17">
        <v>14890</v>
      </c>
      <c r="Y484" s="17">
        <v>22982.552734000001</v>
      </c>
      <c r="Z484" s="17"/>
      <c r="AA484" s="17"/>
      <c r="AB484" s="17">
        <v>14890</v>
      </c>
      <c r="AC484" s="17">
        <v>22982.552734000001</v>
      </c>
      <c r="AD484"/>
      <c r="AE484"/>
    </row>
    <row r="485" spans="1:31" x14ac:dyDescent="0.25">
      <c r="A485" s="136">
        <f>'[2]All Counts'!C485</f>
        <v>8</v>
      </c>
      <c r="B485" s="136">
        <f>'[2]All Counts'!D485</f>
        <v>2</v>
      </c>
      <c r="C485" s="136">
        <f>'[2]All Counts'!E485</f>
        <v>27520</v>
      </c>
      <c r="D485" s="136">
        <f>'[2]All Counts'!F485</f>
        <v>1</v>
      </c>
      <c r="E485" s="136">
        <f>'[2]All Counts'!G485</f>
        <v>1</v>
      </c>
      <c r="F485" s="136" t="str">
        <f>'[2]All Counts'!H485</f>
        <v>I-5 SB</v>
      </c>
      <c r="G485" s="136">
        <f>'[2]All Counts'!I485</f>
        <v>6</v>
      </c>
      <c r="H485" s="136">
        <f>'[2]All Counts'!J485</f>
        <v>8</v>
      </c>
      <c r="I485" s="136" t="str">
        <f>'[2]All Counts'!K485</f>
        <v>BASILONE</v>
      </c>
      <c r="J485" s="136" t="str">
        <f>'[2]All Counts'!L485</f>
        <v>LAS PULGAS</v>
      </c>
      <c r="K485" s="136">
        <f>'[2]All Counts'!O485</f>
        <v>12732</v>
      </c>
      <c r="L485" s="57">
        <f>VLOOKUP(ws[[#This Row],[hwycov_id]],readme!D:G,4,FALSE)</f>
        <v>12921.991211</v>
      </c>
      <c r="M485" s="88">
        <f>ws[[#This Row],[flow]]/ws[[#This Row],[count]]-1</f>
        <v>1.4922338281495584E-2</v>
      </c>
      <c r="N485" s="89">
        <f>POWER((ws[[#This Row],[flow]]-ws[[#This Row],[count]]),2)</f>
        <v>36096.660257246702</v>
      </c>
      <c r="O485" s="43">
        <f>VLOOKUP(ws[[#This Row],[hwycov_id]],count[],6,FALSE)</f>
        <v>0</v>
      </c>
      <c r="P485" s="43">
        <v>38</v>
      </c>
      <c r="Q485" s="43" t="str">
        <f>'[2]All Counts'!P485</f>
        <v>PeMS2016</v>
      </c>
      <c r="S485" s="94">
        <v>23851</v>
      </c>
      <c r="T485" s="17">
        <v>12061</v>
      </c>
      <c r="U485" s="17">
        <v>19374.949218999998</v>
      </c>
      <c r="V485" s="17"/>
      <c r="W485" s="17"/>
      <c r="X485" s="17"/>
      <c r="Y485" s="17"/>
      <c r="Z485" s="17"/>
      <c r="AA485" s="17"/>
      <c r="AB485" s="17">
        <v>12061</v>
      </c>
      <c r="AC485" s="17">
        <v>19374.949218999998</v>
      </c>
      <c r="AD485"/>
      <c r="AE485"/>
    </row>
    <row r="486" spans="1:31" x14ac:dyDescent="0.25">
      <c r="A486" s="136">
        <f>'[2]All Counts'!C486</f>
        <v>8</v>
      </c>
      <c r="B486" s="136">
        <f>'[2]All Counts'!D486</f>
        <v>2</v>
      </c>
      <c r="C486" s="136">
        <f>'[2]All Counts'!E486</f>
        <v>27598</v>
      </c>
      <c r="D486" s="136">
        <f>'[2]All Counts'!F486</f>
        <v>1</v>
      </c>
      <c r="E486" s="136">
        <f>'[2]All Counts'!G486</f>
        <v>1</v>
      </c>
      <c r="F486" s="136" t="str">
        <f>'[2]All Counts'!H486</f>
        <v>I-5 SB</v>
      </c>
      <c r="G486" s="136">
        <f>'[2]All Counts'!I486</f>
        <v>8</v>
      </c>
      <c r="H486" s="136">
        <f>'[2]All Counts'!J486</f>
        <v>7</v>
      </c>
      <c r="I486" s="136" t="str">
        <f>'[2]All Counts'!K486</f>
        <v>LAS PULGAS</v>
      </c>
      <c r="J486" s="136" t="str">
        <f>'[2]All Counts'!L486</f>
        <v>VANDEGRIFT</v>
      </c>
      <c r="K486" s="136">
        <f>'[2]All Counts'!O486</f>
        <v>12591</v>
      </c>
      <c r="L486" s="57">
        <f>VLOOKUP(ws[[#This Row],[hwycov_id]],readme!D:G,4,FALSE)</f>
        <v>12921.695312</v>
      </c>
      <c r="M486" s="88">
        <f>ws[[#This Row],[flow]]/ws[[#This Row],[count]]-1</f>
        <v>2.6264419982527265E-2</v>
      </c>
      <c r="N486" s="89">
        <f>POWER((ws[[#This Row],[flow]]-ws[[#This Row],[count]]),2)</f>
        <v>109359.38937877722</v>
      </c>
      <c r="O486" s="43">
        <f>VLOOKUP(ws[[#This Row],[hwycov_id]],count[],6,FALSE)</f>
        <v>0</v>
      </c>
      <c r="P486" s="43">
        <v>172</v>
      </c>
      <c r="Q486" s="43" t="str">
        <f>'[2]All Counts'!P486</f>
        <v>PeMS2016</v>
      </c>
      <c r="S486" s="94">
        <v>23867</v>
      </c>
      <c r="T486" s="17"/>
      <c r="U486" s="17"/>
      <c r="V486" s="17"/>
      <c r="W486" s="17"/>
      <c r="X486" s="17">
        <v>6082</v>
      </c>
      <c r="Y486" s="17">
        <v>7529.5283200000003</v>
      </c>
      <c r="Z486" s="17"/>
      <c r="AA486" s="17"/>
      <c r="AB486" s="17">
        <v>6082</v>
      </c>
      <c r="AC486" s="17">
        <v>7529.5283200000003</v>
      </c>
      <c r="AD486"/>
      <c r="AE486"/>
    </row>
    <row r="487" spans="1:31" x14ac:dyDescent="0.25">
      <c r="A487" s="136">
        <f>'[2]All Counts'!C487</f>
        <v>8</v>
      </c>
      <c r="B487" s="136">
        <f>'[2]All Counts'!D487</f>
        <v>2</v>
      </c>
      <c r="C487" s="136">
        <f>'[2]All Counts'!E487</f>
        <v>26623</v>
      </c>
      <c r="D487" s="136">
        <f>'[2]All Counts'!F487</f>
        <v>1</v>
      </c>
      <c r="E487" s="136">
        <f>'[2]All Counts'!G487</f>
        <v>1</v>
      </c>
      <c r="F487" s="136" t="str">
        <f>'[2]All Counts'!H487</f>
        <v>I-5 SB</v>
      </c>
      <c r="G487" s="136">
        <f>'[2]All Counts'!I487</f>
        <v>9</v>
      </c>
      <c r="H487" s="136">
        <f>'[2]All Counts'!J487</f>
        <v>0</v>
      </c>
      <c r="I487" s="136" t="str">
        <f>'[2]All Counts'!K487</f>
        <v>VANDEGRIFT</v>
      </c>
      <c r="J487" s="136" t="str">
        <f>'[2]All Counts'!L487</f>
        <v>VANDEGRIFT</v>
      </c>
      <c r="K487" s="136">
        <f>'[2]All Counts'!O487</f>
        <v>14449</v>
      </c>
      <c r="L487" s="57">
        <f>VLOOKUP(ws[[#This Row],[hwycov_id]],readme!D:G,4,FALSE)</f>
        <v>12647.763671999999</v>
      </c>
      <c r="M487" s="88">
        <f>ws[[#This Row],[flow]]/ws[[#This Row],[count]]-1</f>
        <v>-0.12466166018409586</v>
      </c>
      <c r="N487" s="89">
        <f>POWER((ws[[#This Row],[flow]]-ws[[#This Row],[count]]),2)</f>
        <v>3244452.3093069266</v>
      </c>
      <c r="O487" s="43">
        <f>VLOOKUP(ws[[#This Row],[hwycov_id]],count[],6,FALSE)</f>
        <v>0</v>
      </c>
      <c r="P487" s="43">
        <v>96</v>
      </c>
      <c r="Q487" s="43" t="str">
        <f>'[2]All Counts'!P487</f>
        <v>PeMS2016</v>
      </c>
      <c r="S487" s="94">
        <v>24091</v>
      </c>
      <c r="T487" s="17"/>
      <c r="U487" s="17"/>
      <c r="V487" s="17"/>
      <c r="W487" s="17"/>
      <c r="X487" s="17">
        <v>11348</v>
      </c>
      <c r="Y487" s="17">
        <v>13876.410156</v>
      </c>
      <c r="Z487" s="17"/>
      <c r="AA487" s="17"/>
      <c r="AB487" s="17">
        <v>11348</v>
      </c>
      <c r="AC487" s="17">
        <v>13876.410156</v>
      </c>
      <c r="AD487"/>
      <c r="AE487"/>
    </row>
    <row r="488" spans="1:31" x14ac:dyDescent="0.25">
      <c r="A488" s="136">
        <f>'[2]All Counts'!C488</f>
        <v>8</v>
      </c>
      <c r="B488" s="136">
        <f>'[2]All Counts'!D488</f>
        <v>2</v>
      </c>
      <c r="C488" s="136">
        <f>'[2]All Counts'!E488</f>
        <v>28515</v>
      </c>
      <c r="D488" s="136">
        <f>'[2]All Counts'!F488</f>
        <v>1</v>
      </c>
      <c r="E488" s="136">
        <f>'[2]All Counts'!G488</f>
        <v>1</v>
      </c>
      <c r="F488" s="136" t="str">
        <f>'[2]All Counts'!H488</f>
        <v>I-5 SB</v>
      </c>
      <c r="G488" s="136">
        <f>'[2]All Counts'!I488</f>
        <v>12</v>
      </c>
      <c r="H488" s="136">
        <f>'[2]All Counts'!J488</f>
        <v>0</v>
      </c>
      <c r="I488" s="136" t="str">
        <f>'[2]All Counts'!K488</f>
        <v>SR-76</v>
      </c>
      <c r="J488" s="136" t="str">
        <f>'[2]All Counts'!L488</f>
        <v>SR-76</v>
      </c>
      <c r="K488" s="136">
        <f>'[2]All Counts'!O488</f>
        <v>15983</v>
      </c>
      <c r="L488" s="57">
        <f>VLOOKUP(ws[[#This Row],[hwycov_id]],readme!D:G,4,FALSE)</f>
        <v>15723.182617</v>
      </c>
      <c r="M488" s="88">
        <f>ws[[#This Row],[flow]]/ws[[#This Row],[count]]-1</f>
        <v>-1.6255858286929881E-2</v>
      </c>
      <c r="N488" s="89">
        <f>POWER((ws[[#This Row],[flow]]-ws[[#This Row],[count]]),2)</f>
        <v>67505.072508968486</v>
      </c>
      <c r="O488" s="43">
        <f>VLOOKUP(ws[[#This Row],[hwycov_id]],count[],6,FALSE)</f>
        <v>0</v>
      </c>
      <c r="P488" s="43">
        <v>97</v>
      </c>
      <c r="Q488" s="43" t="str">
        <f>'[2]All Counts'!P488</f>
        <v>PeMS2016</v>
      </c>
      <c r="S488" s="94">
        <v>24703</v>
      </c>
      <c r="T488" s="17"/>
      <c r="U488" s="17"/>
      <c r="V488" s="17">
        <v>14690</v>
      </c>
      <c r="W488" s="17">
        <v>21097.476562</v>
      </c>
      <c r="X488" s="17"/>
      <c r="Y488" s="17"/>
      <c r="Z488" s="17"/>
      <c r="AA488" s="17"/>
      <c r="AB488" s="17">
        <v>14690</v>
      </c>
      <c r="AC488" s="17">
        <v>21097.476562</v>
      </c>
      <c r="AD488"/>
      <c r="AE488"/>
    </row>
    <row r="489" spans="1:31" x14ac:dyDescent="0.25">
      <c r="A489" s="136">
        <f>'[2]All Counts'!C489</f>
        <v>8</v>
      </c>
      <c r="B489" s="136">
        <f>'[2]All Counts'!D489</f>
        <v>2</v>
      </c>
      <c r="C489" s="136">
        <f>'[2]All Counts'!E489</f>
        <v>28490</v>
      </c>
      <c r="D489" s="136">
        <f>'[2]All Counts'!F489</f>
        <v>1</v>
      </c>
      <c r="E489" s="136">
        <f>'[2]All Counts'!G489</f>
        <v>1</v>
      </c>
      <c r="F489" s="136" t="str">
        <f>'[2]All Counts'!H489</f>
        <v>I-5 SB</v>
      </c>
      <c r="G489" s="136">
        <f>'[2]All Counts'!I489</f>
        <v>13</v>
      </c>
      <c r="H489" s="136">
        <f>'[2]All Counts'!J489</f>
        <v>0</v>
      </c>
      <c r="I489" s="136" t="str">
        <f>'[2]All Counts'!K489</f>
        <v>SR-76</v>
      </c>
      <c r="J489" s="136" t="str">
        <f>'[2]All Counts'!L489</f>
        <v>MISSION</v>
      </c>
      <c r="K489" s="136">
        <f>'[2]All Counts'!O489</f>
        <v>19293</v>
      </c>
      <c r="L489" s="57">
        <f>VLOOKUP(ws[[#This Row],[hwycov_id]],readme!D:G,4,FALSE)</f>
        <v>18208.244140999999</v>
      </c>
      <c r="M489" s="88">
        <f>ws[[#This Row],[flow]]/ws[[#This Row],[count]]-1</f>
        <v>-5.6225359404965536E-2</v>
      </c>
      <c r="N489" s="89">
        <f>POWER((ws[[#This Row],[flow]]-ws[[#This Row],[count]]),2)</f>
        <v>1176695.2736348296</v>
      </c>
      <c r="O489" s="43">
        <f>VLOOKUP(ws[[#This Row],[hwycov_id]],count[],6,FALSE)</f>
        <v>0</v>
      </c>
      <c r="P489" s="43">
        <v>606</v>
      </c>
      <c r="Q489" s="43" t="str">
        <f>'[2]All Counts'!P489</f>
        <v>Caltran</v>
      </c>
      <c r="S489" s="94">
        <v>24704</v>
      </c>
      <c r="T489" s="17"/>
      <c r="U489" s="17"/>
      <c r="V489" s="17">
        <v>20288</v>
      </c>
      <c r="W489" s="17">
        <v>31391.683593999998</v>
      </c>
      <c r="X489" s="17"/>
      <c r="Y489" s="17"/>
      <c r="Z489" s="17"/>
      <c r="AA489" s="17"/>
      <c r="AB489" s="17">
        <v>20288</v>
      </c>
      <c r="AC489" s="17">
        <v>31391.683593999998</v>
      </c>
      <c r="AD489"/>
      <c r="AE489"/>
    </row>
    <row r="490" spans="1:31" x14ac:dyDescent="0.25">
      <c r="A490" s="136">
        <f>'[2]All Counts'!C490</f>
        <v>8</v>
      </c>
      <c r="B490" s="136">
        <f>'[2]All Counts'!D490</f>
        <v>2</v>
      </c>
      <c r="C490" s="136">
        <f>'[2]All Counts'!E490</f>
        <v>28493</v>
      </c>
      <c r="D490" s="136">
        <f>'[2]All Counts'!F490</f>
        <v>1</v>
      </c>
      <c r="E490" s="136">
        <f>'[2]All Counts'!G490</f>
        <v>1</v>
      </c>
      <c r="F490" s="136" t="str">
        <f>'[2]All Counts'!H490</f>
        <v>I-5 SB</v>
      </c>
      <c r="G490" s="136">
        <f>'[2]All Counts'!I490</f>
        <v>14</v>
      </c>
      <c r="H490" s="136">
        <f>'[2]All Counts'!J490</f>
        <v>0</v>
      </c>
      <c r="I490" s="136" t="str">
        <f>'[2]All Counts'!K490</f>
        <v>MISSION</v>
      </c>
      <c r="J490" s="136" t="str">
        <f>'[2]All Counts'!L490</f>
        <v>MISSION</v>
      </c>
      <c r="K490" s="136">
        <f>'[2]All Counts'!O490</f>
        <v>18019</v>
      </c>
      <c r="L490" s="57">
        <f>VLOOKUP(ws[[#This Row],[hwycov_id]],readme!D:G,4,FALSE)</f>
        <v>17498.544922000001</v>
      </c>
      <c r="M490" s="88">
        <f>ws[[#This Row],[flow]]/ws[[#This Row],[count]]-1</f>
        <v>-2.8883682668294552E-2</v>
      </c>
      <c r="N490" s="89">
        <f>POWER((ws[[#This Row],[flow]]-ws[[#This Row],[count]]),2)</f>
        <v>270873.48821598507</v>
      </c>
      <c r="O490" s="43">
        <f>VLOOKUP(ws[[#This Row],[hwycov_id]],count[],6,FALSE)</f>
        <v>0</v>
      </c>
      <c r="P490" s="43">
        <v>608</v>
      </c>
      <c r="Q490" s="43" t="str">
        <f>'[2]All Counts'!P490</f>
        <v>PeMS2016</v>
      </c>
      <c r="S490" s="94">
        <v>24750</v>
      </c>
      <c r="T490" s="17">
        <v>3346</v>
      </c>
      <c r="U490" s="17">
        <v>4319.5708009999998</v>
      </c>
      <c r="V490" s="17"/>
      <c r="W490" s="17"/>
      <c r="X490" s="17"/>
      <c r="Y490" s="17"/>
      <c r="Z490" s="17"/>
      <c r="AA490" s="17"/>
      <c r="AB490" s="17">
        <v>3346</v>
      </c>
      <c r="AC490" s="17">
        <v>4319.5708009999998</v>
      </c>
      <c r="AD490"/>
      <c r="AE490"/>
    </row>
    <row r="491" spans="1:31" x14ac:dyDescent="0.25">
      <c r="A491" s="136">
        <f>'[2]All Counts'!C491</f>
        <v>8</v>
      </c>
      <c r="B491" s="136">
        <f>'[2]All Counts'!D491</f>
        <v>2</v>
      </c>
      <c r="C491" s="136">
        <f>'[2]All Counts'!E491</f>
        <v>26562</v>
      </c>
      <c r="D491" s="136">
        <f>'[2]All Counts'!F491</f>
        <v>1</v>
      </c>
      <c r="E491" s="136">
        <f>'[2]All Counts'!G491</f>
        <v>1</v>
      </c>
      <c r="F491" s="136" t="str">
        <f>'[2]All Counts'!H491</f>
        <v>I-5 SB</v>
      </c>
      <c r="G491" s="136">
        <f>'[2]All Counts'!I491</f>
        <v>17</v>
      </c>
      <c r="H491" s="136">
        <f>'[2]All Counts'!J491</f>
        <v>0</v>
      </c>
      <c r="I491" s="136" t="str">
        <f>'[2]All Counts'!K491</f>
        <v>OCEANSIDE</v>
      </c>
      <c r="J491" s="136" t="str">
        <f>'[2]All Counts'!L491</f>
        <v>OCEANSIDE</v>
      </c>
      <c r="K491" s="136">
        <f>'[2]All Counts'!O491</f>
        <v>19014</v>
      </c>
      <c r="L491" s="57">
        <f>VLOOKUP(ws[[#This Row],[hwycov_id]],readme!D:G,4,FALSE)</f>
        <v>18670.767577999999</v>
      </c>
      <c r="M491" s="88">
        <f>ws[[#This Row],[flow]]/ws[[#This Row],[count]]-1</f>
        <v>-1.8051563163984485E-2</v>
      </c>
      <c r="N491" s="89">
        <f>POWER((ws[[#This Row],[flow]]-ws[[#This Row],[count]]),2)</f>
        <v>117808.49551198674</v>
      </c>
      <c r="O491" s="43">
        <f>VLOOKUP(ws[[#This Row],[hwycov_id]],count[],6,FALSE)</f>
        <v>0</v>
      </c>
      <c r="P491" s="43">
        <v>178</v>
      </c>
      <c r="Q491" s="43" t="str">
        <f>'[2]All Counts'!P491</f>
        <v>PeMS2016</v>
      </c>
      <c r="S491" s="94">
        <v>25099</v>
      </c>
      <c r="T491" s="17">
        <v>29575</v>
      </c>
      <c r="U491" s="17">
        <v>38712.15625</v>
      </c>
      <c r="V491" s="17"/>
      <c r="W491" s="17"/>
      <c r="X491" s="17"/>
      <c r="Y491" s="17"/>
      <c r="Z491" s="17"/>
      <c r="AA491" s="17"/>
      <c r="AB491" s="17">
        <v>29575</v>
      </c>
      <c r="AC491" s="17">
        <v>38712.15625</v>
      </c>
      <c r="AD491"/>
      <c r="AE491"/>
    </row>
    <row r="492" spans="1:31" x14ac:dyDescent="0.25">
      <c r="A492" s="136">
        <f>'[2]All Counts'!C492</f>
        <v>8</v>
      </c>
      <c r="B492" s="136">
        <f>'[2]All Counts'!D492</f>
        <v>2</v>
      </c>
      <c r="C492" s="136">
        <f>'[2]All Counts'!E492</f>
        <v>12247</v>
      </c>
      <c r="D492" s="136">
        <f>'[2]All Counts'!F492</f>
        <v>1</v>
      </c>
      <c r="E492" s="136">
        <f>'[2]All Counts'!G492</f>
        <v>1</v>
      </c>
      <c r="F492" s="136" t="str">
        <f>'[2]All Counts'!H492</f>
        <v>I-5 SB</v>
      </c>
      <c r="G492" s="136">
        <f>'[2]All Counts'!I492</f>
        <v>20</v>
      </c>
      <c r="H492" s="136">
        <f>'[2]All Counts'!J492</f>
        <v>0</v>
      </c>
      <c r="I492" s="136" t="str">
        <f>'[2]All Counts'!K492</f>
        <v>RAMP</v>
      </c>
      <c r="J492" s="136" t="str">
        <f>'[2]All Counts'!L492</f>
        <v>CASSIDY</v>
      </c>
      <c r="K492" s="136">
        <f>'[2]All Counts'!O492</f>
        <v>20955</v>
      </c>
      <c r="L492" s="57">
        <f>VLOOKUP(ws[[#This Row],[hwycov_id]],readme!D:G,4,FALSE)</f>
        <v>19640.533202999999</v>
      </c>
      <c r="M492" s="88">
        <f>ws[[#This Row],[flow]]/ws[[#This Row],[count]]-1</f>
        <v>-6.2728074302075942E-2</v>
      </c>
      <c r="N492" s="89">
        <f>POWER((ws[[#This Row],[flow]]-ws[[#This Row],[count]]),2)</f>
        <v>1727822.9604154418</v>
      </c>
      <c r="O492" s="43">
        <f>VLOOKUP(ws[[#This Row],[hwycov_id]],count[],6,FALSE)</f>
        <v>0</v>
      </c>
      <c r="P492" s="43">
        <v>359</v>
      </c>
      <c r="Q492" s="43" t="str">
        <f>'[2]All Counts'!P492</f>
        <v>PeMS2016</v>
      </c>
      <c r="S492" s="94">
        <v>25142</v>
      </c>
      <c r="T492" s="17"/>
      <c r="U492" s="17"/>
      <c r="V492" s="17">
        <v>21723</v>
      </c>
      <c r="W492" s="17">
        <v>24406.072265999999</v>
      </c>
      <c r="X492" s="17"/>
      <c r="Y492" s="17"/>
      <c r="Z492" s="17"/>
      <c r="AA492" s="17"/>
      <c r="AB492" s="17">
        <v>21723</v>
      </c>
      <c r="AC492" s="17">
        <v>24406.072265999999</v>
      </c>
      <c r="AD492"/>
      <c r="AE492"/>
    </row>
    <row r="493" spans="1:31" x14ac:dyDescent="0.25">
      <c r="A493" s="136">
        <f>'[2]All Counts'!C493</f>
        <v>8</v>
      </c>
      <c r="B493" s="136">
        <f>'[2]All Counts'!D493</f>
        <v>2</v>
      </c>
      <c r="C493" s="136">
        <f>'[2]All Counts'!E493</f>
        <v>9025</v>
      </c>
      <c r="D493" s="136">
        <f>'[2]All Counts'!F493</f>
        <v>1</v>
      </c>
      <c r="E493" s="136">
        <f>'[2]All Counts'!G493</f>
        <v>1</v>
      </c>
      <c r="F493" s="136" t="str">
        <f>'[2]All Counts'!H493</f>
        <v>I-5 SB</v>
      </c>
      <c r="G493" s="136">
        <f>'[2]All Counts'!I493</f>
        <v>21</v>
      </c>
      <c r="H493" s="136">
        <f>'[2]All Counts'!J493</f>
        <v>0</v>
      </c>
      <c r="I493" s="136" t="str">
        <f>'[2]All Counts'!K493</f>
        <v>CASSIDY</v>
      </c>
      <c r="J493" s="136" t="str">
        <f>'[2]All Counts'!L493</f>
        <v>VISTA WY</v>
      </c>
      <c r="K493" s="136">
        <f>'[2]All Counts'!O493</f>
        <v>21835</v>
      </c>
      <c r="L493" s="57">
        <f>VLOOKUP(ws[[#This Row],[hwycov_id]],readme!D:G,4,FALSE)</f>
        <v>20324.855468999998</v>
      </c>
      <c r="M493" s="88">
        <f>ws[[#This Row],[flow]]/ws[[#This Row],[count]]-1</f>
        <v>-6.9161645569040586E-2</v>
      </c>
      <c r="N493" s="89">
        <f>POWER((ws[[#This Row],[flow]]-ws[[#This Row],[count]]),2)</f>
        <v>2280536.5045092152</v>
      </c>
      <c r="O493" s="43">
        <f>VLOOKUP(ws[[#This Row],[hwycov_id]],count[],6,FALSE)</f>
        <v>0</v>
      </c>
      <c r="P493" s="43">
        <v>670</v>
      </c>
      <c r="Q493" s="43" t="str">
        <f>'[2]All Counts'!P493</f>
        <v>Caltran</v>
      </c>
      <c r="S493" s="94">
        <v>25381</v>
      </c>
      <c r="T493" s="17">
        <v>3058</v>
      </c>
      <c r="U493" s="17">
        <v>6483.7470700000003</v>
      </c>
      <c r="V493" s="17"/>
      <c r="W493" s="17"/>
      <c r="X493" s="17"/>
      <c r="Y493" s="17"/>
      <c r="Z493" s="17"/>
      <c r="AA493" s="17"/>
      <c r="AB493" s="17">
        <v>3058</v>
      </c>
      <c r="AC493" s="17">
        <v>6483.7470700000003</v>
      </c>
      <c r="AD493"/>
      <c r="AE493"/>
    </row>
    <row r="494" spans="1:31" x14ac:dyDescent="0.25">
      <c r="A494" s="136">
        <f>'[2]All Counts'!C494</f>
        <v>8</v>
      </c>
      <c r="B494" s="136">
        <f>'[2]All Counts'!D494</f>
        <v>2</v>
      </c>
      <c r="C494" s="136">
        <f>'[2]All Counts'!E494</f>
        <v>12589</v>
      </c>
      <c r="D494" s="136">
        <f>'[2]All Counts'!F494</f>
        <v>1</v>
      </c>
      <c r="E494" s="136">
        <f>'[2]All Counts'!G494</f>
        <v>1</v>
      </c>
      <c r="F494" s="136" t="str">
        <f>'[2]All Counts'!H494</f>
        <v>I-5 SB</v>
      </c>
      <c r="G494" s="136">
        <f>'[2]All Counts'!I494</f>
        <v>25</v>
      </c>
      <c r="H494" s="136">
        <f>'[2]All Counts'!J494</f>
        <v>0</v>
      </c>
      <c r="I494" s="136" t="str">
        <f>'[2]All Counts'!K494</f>
        <v>LAS FLORES</v>
      </c>
      <c r="J494" s="136" t="str">
        <f>'[2]All Counts'!L494</f>
        <v>LAS FLORES</v>
      </c>
      <c r="K494" s="136">
        <f>'[2]All Counts'!O494</f>
        <v>18413</v>
      </c>
      <c r="L494" s="57">
        <f>VLOOKUP(ws[[#This Row],[hwycov_id]],readme!D:G,4,FALSE)</f>
        <v>18015.130859000001</v>
      </c>
      <c r="M494" s="88">
        <f>ws[[#This Row],[flow]]/ws[[#This Row],[count]]-1</f>
        <v>-2.1608056318905056E-2</v>
      </c>
      <c r="N494" s="89">
        <f>POWER((ws[[#This Row],[flow]]-ws[[#This Row],[count]]),2)</f>
        <v>158299.85336007725</v>
      </c>
      <c r="O494" s="43">
        <f>VLOOKUP(ws[[#This Row],[hwycov_id]],count[],6,FALSE)</f>
        <v>0</v>
      </c>
      <c r="P494" s="43">
        <v>330</v>
      </c>
      <c r="Q494" s="43" t="str">
        <f>'[2]All Counts'!P494</f>
        <v>PeMS2016</v>
      </c>
      <c r="S494" s="94">
        <v>25386</v>
      </c>
      <c r="T494" s="17">
        <v>2637</v>
      </c>
      <c r="U494" s="17">
        <v>4525.5776370000003</v>
      </c>
      <c r="V494" s="17"/>
      <c r="W494" s="17"/>
      <c r="X494" s="17"/>
      <c r="Y494" s="17"/>
      <c r="Z494" s="17"/>
      <c r="AA494" s="17"/>
      <c r="AB494" s="17">
        <v>2637</v>
      </c>
      <c r="AC494" s="17">
        <v>4525.5776370000003</v>
      </c>
      <c r="AD494"/>
      <c r="AE494"/>
    </row>
    <row r="495" spans="1:31" x14ac:dyDescent="0.25">
      <c r="A495" s="136">
        <f>'[2]All Counts'!C495</f>
        <v>8</v>
      </c>
      <c r="B495" s="136">
        <f>'[2]All Counts'!D495</f>
        <v>2</v>
      </c>
      <c r="C495" s="136">
        <f>'[2]All Counts'!E495</f>
        <v>12583</v>
      </c>
      <c r="D495" s="136">
        <f>'[2]All Counts'!F495</f>
        <v>1</v>
      </c>
      <c r="E495" s="136">
        <f>'[2]All Counts'!G495</f>
        <v>1</v>
      </c>
      <c r="F495" s="136" t="str">
        <f>'[2]All Counts'!H495</f>
        <v>I-5 SB</v>
      </c>
      <c r="G495" s="136">
        <f>'[2]All Counts'!I495</f>
        <v>27</v>
      </c>
      <c r="H495" s="136">
        <f>'[2]All Counts'!J495</f>
        <v>0</v>
      </c>
      <c r="I495" s="136" t="str">
        <f>'[2]All Counts'!K495</f>
        <v>CARLSBAD VILLAGE</v>
      </c>
      <c r="J495" s="136" t="str">
        <f>'[2]All Counts'!L495</f>
        <v>CARLSBAD VILLAGE</v>
      </c>
      <c r="K495" s="136">
        <f>'[2]All Counts'!O495</f>
        <v>16727</v>
      </c>
      <c r="L495" s="57">
        <f>VLOOKUP(ws[[#This Row],[hwycov_id]],readme!D:G,4,FALSE)</f>
        <v>17223.634765999999</v>
      </c>
      <c r="M495" s="88">
        <f>ws[[#This Row],[flow]]/ws[[#This Row],[count]]-1</f>
        <v>2.9690605966401495E-2</v>
      </c>
      <c r="N495" s="89">
        <f>POWER((ws[[#This Row],[flow]]-ws[[#This Row],[count]]),2)</f>
        <v>246646.09079987399</v>
      </c>
      <c r="O495" s="43">
        <f>VLOOKUP(ws[[#This Row],[hwycov_id]],count[],6,FALSE)</f>
        <v>0</v>
      </c>
      <c r="P495" s="43">
        <v>327</v>
      </c>
      <c r="Q495" s="43" t="str">
        <f>'[2]All Counts'!P495</f>
        <v>PeMS2016</v>
      </c>
      <c r="S495" s="94">
        <v>25387</v>
      </c>
      <c r="T495" s="17">
        <v>19331</v>
      </c>
      <c r="U495" s="17">
        <v>33859.6875</v>
      </c>
      <c r="V495" s="17"/>
      <c r="W495" s="17"/>
      <c r="X495" s="17"/>
      <c r="Y495" s="17"/>
      <c r="Z495" s="17"/>
      <c r="AA495" s="17"/>
      <c r="AB495" s="17">
        <v>19331</v>
      </c>
      <c r="AC495" s="17">
        <v>33859.6875</v>
      </c>
      <c r="AD495"/>
      <c r="AE495"/>
    </row>
    <row r="496" spans="1:31" x14ac:dyDescent="0.25">
      <c r="A496" s="136">
        <f>'[2]All Counts'!C496</f>
        <v>8</v>
      </c>
      <c r="B496" s="136">
        <f>'[2]All Counts'!D496</f>
        <v>2</v>
      </c>
      <c r="C496" s="136">
        <f>'[2]All Counts'!E496</f>
        <v>26563</v>
      </c>
      <c r="D496" s="136">
        <f>'[2]All Counts'!F496</f>
        <v>1</v>
      </c>
      <c r="E496" s="136">
        <f>'[2]All Counts'!G496</f>
        <v>1</v>
      </c>
      <c r="F496" s="136" t="str">
        <f>'[2]All Counts'!H496</f>
        <v>I-5 SB</v>
      </c>
      <c r="G496" s="136">
        <f>'[2]All Counts'!I496</f>
        <v>29</v>
      </c>
      <c r="H496" s="136">
        <f>'[2]All Counts'!J496</f>
        <v>0</v>
      </c>
      <c r="I496" s="136" t="str">
        <f>'[2]All Counts'!K496</f>
        <v>TAMARACK</v>
      </c>
      <c r="J496" s="136" t="str">
        <f>'[2]All Counts'!L496</f>
        <v>TAMARACK</v>
      </c>
      <c r="K496" s="136">
        <f>'[2]All Counts'!O496</f>
        <v>17492</v>
      </c>
      <c r="L496" s="57">
        <f>VLOOKUP(ws[[#This Row],[hwycov_id]],readme!D:G,4,FALSE)</f>
        <v>17459.945312</v>
      </c>
      <c r="M496" s="88">
        <f>ws[[#This Row],[flow]]/ws[[#This Row],[count]]-1</f>
        <v>-1.8325341870569778E-3</v>
      </c>
      <c r="N496" s="89">
        <f>POWER((ws[[#This Row],[flow]]-ws[[#This Row],[count]]),2)</f>
        <v>1027.5030227773548</v>
      </c>
      <c r="O496" s="43">
        <f>VLOOKUP(ws[[#This Row],[hwycov_id]],count[],6,FALSE)</f>
        <v>0</v>
      </c>
      <c r="P496" s="43">
        <v>294</v>
      </c>
      <c r="Q496" s="43" t="str">
        <f>'[2]All Counts'!P496</f>
        <v>PeMS2016</v>
      </c>
      <c r="S496" s="94">
        <v>25533</v>
      </c>
      <c r="T496" s="17"/>
      <c r="U496" s="17"/>
      <c r="V496" s="17">
        <v>8561</v>
      </c>
      <c r="W496" s="17">
        <v>7642.4145509999998</v>
      </c>
      <c r="X496" s="17"/>
      <c r="Y496" s="17"/>
      <c r="Z496" s="17"/>
      <c r="AA496" s="17"/>
      <c r="AB496" s="17">
        <v>8561</v>
      </c>
      <c r="AC496" s="17">
        <v>7642.4145509999998</v>
      </c>
      <c r="AD496"/>
      <c r="AE496"/>
    </row>
    <row r="497" spans="1:31" x14ac:dyDescent="0.25">
      <c r="A497" s="136">
        <f>'[2]All Counts'!C497</f>
        <v>8</v>
      </c>
      <c r="B497" s="136">
        <f>'[2]All Counts'!D497</f>
        <v>2</v>
      </c>
      <c r="C497" s="136">
        <f>'[2]All Counts'!E497</f>
        <v>675</v>
      </c>
      <c r="D497" s="136">
        <f>'[2]All Counts'!F497</f>
        <v>1</v>
      </c>
      <c r="E497" s="136">
        <f>'[2]All Counts'!G497</f>
        <v>1</v>
      </c>
      <c r="F497" s="136" t="str">
        <f>'[2]All Counts'!H497</f>
        <v>I-5 SB</v>
      </c>
      <c r="G497" s="136">
        <f>'[2]All Counts'!I497</f>
        <v>30</v>
      </c>
      <c r="H497" s="136">
        <f>'[2]All Counts'!J497</f>
        <v>0</v>
      </c>
      <c r="I497" s="136" t="str">
        <f>'[2]All Counts'!K497</f>
        <v>TAMARACK</v>
      </c>
      <c r="J497" s="136" t="str">
        <f>'[2]All Counts'!L497</f>
        <v>TAMARACK</v>
      </c>
      <c r="K497" s="136">
        <f>'[2]All Counts'!O497</f>
        <v>18707</v>
      </c>
      <c r="L497" s="57">
        <f>VLOOKUP(ws[[#This Row],[hwycov_id]],readme!D:G,4,FALSE)</f>
        <v>17459.945312</v>
      </c>
      <c r="M497" s="88">
        <f>ws[[#This Row],[flow]]/ws[[#This Row],[count]]-1</f>
        <v>-6.666246260758002E-2</v>
      </c>
      <c r="N497" s="89">
        <f>POWER((ws[[#This Row],[flow]]-ws[[#This Row],[count]]),2)</f>
        <v>1555145.3948627778</v>
      </c>
      <c r="O497" s="43">
        <f>VLOOKUP(ws[[#This Row],[hwycov_id]],count[],6,FALSE)</f>
        <v>0</v>
      </c>
      <c r="P497" s="43">
        <v>641</v>
      </c>
      <c r="Q497" s="43" t="str">
        <f>'[2]All Counts'!P497</f>
        <v>Caltran</v>
      </c>
      <c r="S497" s="94">
        <v>25749</v>
      </c>
      <c r="T497" s="17"/>
      <c r="U497" s="17"/>
      <c r="V497" s="17">
        <v>2864</v>
      </c>
      <c r="W497" s="17">
        <v>2576.515625</v>
      </c>
      <c r="X497" s="17"/>
      <c r="Y497" s="17"/>
      <c r="Z497" s="17"/>
      <c r="AA497" s="17"/>
      <c r="AB497" s="17">
        <v>2864</v>
      </c>
      <c r="AC497" s="17">
        <v>2576.515625</v>
      </c>
      <c r="AD497"/>
      <c r="AE497"/>
    </row>
    <row r="498" spans="1:31" x14ac:dyDescent="0.25">
      <c r="A498" s="136">
        <f>'[2]All Counts'!C498</f>
        <v>8</v>
      </c>
      <c r="B498" s="136">
        <f>'[2]All Counts'!D498</f>
        <v>2</v>
      </c>
      <c r="C498" s="136">
        <f>'[2]All Counts'!E498</f>
        <v>674</v>
      </c>
      <c r="D498" s="136">
        <f>'[2]All Counts'!F498</f>
        <v>1</v>
      </c>
      <c r="E498" s="136">
        <f>'[2]All Counts'!G498</f>
        <v>1</v>
      </c>
      <c r="F498" s="136" t="str">
        <f>'[2]All Counts'!H498</f>
        <v>I-5 SB</v>
      </c>
      <c r="G498" s="136">
        <f>'[2]All Counts'!I498</f>
        <v>32</v>
      </c>
      <c r="H498" s="136">
        <f>'[2]All Counts'!J498</f>
        <v>0</v>
      </c>
      <c r="I498" s="136" t="str">
        <f>'[2]All Counts'!K498</f>
        <v>CANNON</v>
      </c>
      <c r="J498" s="136" t="str">
        <f>'[2]All Counts'!L498</f>
        <v>CANNON</v>
      </c>
      <c r="K498" s="136">
        <f>'[2]All Counts'!O498</f>
        <v>17352</v>
      </c>
      <c r="L498" s="57">
        <f>VLOOKUP(ws[[#This Row],[hwycov_id]],readme!D:G,4,FALSE)</f>
        <v>16250.509765999999</v>
      </c>
      <c r="M498" s="88">
        <f>ws[[#This Row],[flow]]/ws[[#This Row],[count]]-1</f>
        <v>-6.3479151337021755E-2</v>
      </c>
      <c r="N498" s="89">
        <f>POWER((ws[[#This Row],[flow]]-ws[[#This Row],[count]]),2)</f>
        <v>1213280.7355973765</v>
      </c>
      <c r="O498" s="43">
        <f>VLOOKUP(ws[[#This Row],[hwycov_id]],count[],6,FALSE)</f>
        <v>0</v>
      </c>
      <c r="P498" s="43">
        <v>410</v>
      </c>
      <c r="Q498" s="43" t="str">
        <f>'[2]All Counts'!P498</f>
        <v>PeMS2016</v>
      </c>
      <c r="S498" s="94">
        <v>25842</v>
      </c>
      <c r="T498" s="17">
        <v>22833</v>
      </c>
      <c r="U498" s="17">
        <v>30507.140625</v>
      </c>
      <c r="V498" s="17"/>
      <c r="W498" s="17"/>
      <c r="X498" s="17"/>
      <c r="Y498" s="17"/>
      <c r="Z498" s="17"/>
      <c r="AA498" s="17"/>
      <c r="AB498" s="17">
        <v>22833</v>
      </c>
      <c r="AC498" s="17">
        <v>30507.140625</v>
      </c>
      <c r="AD498"/>
      <c r="AE498"/>
    </row>
    <row r="499" spans="1:31" x14ac:dyDescent="0.25">
      <c r="A499" s="136">
        <f>'[2]All Counts'!C499</f>
        <v>8</v>
      </c>
      <c r="B499" s="136">
        <f>'[2]All Counts'!D499</f>
        <v>2</v>
      </c>
      <c r="C499" s="136">
        <f>'[2]All Counts'!E499</f>
        <v>13273</v>
      </c>
      <c r="D499" s="136">
        <f>'[2]All Counts'!F499</f>
        <v>1</v>
      </c>
      <c r="E499" s="136">
        <f>'[2]All Counts'!G499</f>
        <v>1</v>
      </c>
      <c r="F499" s="136" t="str">
        <f>'[2]All Counts'!H499</f>
        <v>I-5 SB</v>
      </c>
      <c r="G499" s="136">
        <f>'[2]All Counts'!I499</f>
        <v>34</v>
      </c>
      <c r="H499" s="136">
        <f>'[2]All Counts'!J499</f>
        <v>0</v>
      </c>
      <c r="I499" s="136" t="str">
        <f>'[2]All Counts'!K499</f>
        <v>PALOMAR AIRPORT</v>
      </c>
      <c r="J499" s="136" t="str">
        <f>'[2]All Counts'!L499</f>
        <v>PALOMAR AIRPORT</v>
      </c>
      <c r="K499" s="136">
        <f>'[2]All Counts'!O499</f>
        <v>16127</v>
      </c>
      <c r="L499" s="57">
        <f>VLOOKUP(ws[[#This Row],[hwycov_id]],readme!D:G,4,FALSE)</f>
        <v>16280.399414</v>
      </c>
      <c r="M499" s="88">
        <f>ws[[#This Row],[flow]]/ws[[#This Row],[count]]-1</f>
        <v>9.5119621752339789E-3</v>
      </c>
      <c r="N499" s="89">
        <f>POWER((ws[[#This Row],[flow]]-ws[[#This Row],[count]]),2)</f>
        <v>23531.38021554325</v>
      </c>
      <c r="O499" s="43">
        <f>VLOOKUP(ws[[#This Row],[hwycov_id]],count[],6,FALSE)</f>
        <v>0</v>
      </c>
      <c r="P499" s="43">
        <v>301</v>
      </c>
      <c r="Q499" s="43" t="str">
        <f>'[2]All Counts'!P499</f>
        <v>PeMS2016</v>
      </c>
      <c r="S499" s="94">
        <v>25938</v>
      </c>
      <c r="T499" s="17"/>
      <c r="U499" s="17"/>
      <c r="V499" s="17"/>
      <c r="W499" s="17"/>
      <c r="X499" s="17">
        <v>7928</v>
      </c>
      <c r="Y499" s="17">
        <v>14314.711914</v>
      </c>
      <c r="Z499" s="17"/>
      <c r="AA499" s="17"/>
      <c r="AB499" s="17">
        <v>7928</v>
      </c>
      <c r="AC499" s="17">
        <v>14314.711914</v>
      </c>
      <c r="AD499"/>
      <c r="AE499"/>
    </row>
    <row r="500" spans="1:31" x14ac:dyDescent="0.25">
      <c r="A500" s="136">
        <f>'[2]All Counts'!C500</f>
        <v>8</v>
      </c>
      <c r="B500" s="136">
        <f>'[2]All Counts'!D500</f>
        <v>2</v>
      </c>
      <c r="C500" s="136">
        <f>'[2]All Counts'!E500</f>
        <v>13282</v>
      </c>
      <c r="D500" s="136">
        <f>'[2]All Counts'!F500</f>
        <v>1</v>
      </c>
      <c r="E500" s="136">
        <f>'[2]All Counts'!G500</f>
        <v>1</v>
      </c>
      <c r="F500" s="136" t="str">
        <f>'[2]All Counts'!H500</f>
        <v>I-5 SB</v>
      </c>
      <c r="G500" s="136">
        <f>'[2]All Counts'!I500</f>
        <v>36</v>
      </c>
      <c r="H500" s="136">
        <f>'[2]All Counts'!J500</f>
        <v>0</v>
      </c>
      <c r="I500" s="136" t="str">
        <f>'[2]All Counts'!K500</f>
        <v>PALOMAR AIRPORT</v>
      </c>
      <c r="J500" s="136" t="str">
        <f>'[2]All Counts'!L500</f>
        <v>POINSETTIA</v>
      </c>
      <c r="K500" s="136">
        <f>'[2]All Counts'!O500</f>
        <v>19768</v>
      </c>
      <c r="L500" s="57">
        <f>VLOOKUP(ws[[#This Row],[hwycov_id]],readme!D:G,4,FALSE)</f>
        <v>19295.306640999999</v>
      </c>
      <c r="M500" s="88">
        <f>ws[[#This Row],[flow]]/ws[[#This Row],[count]]-1</f>
        <v>-2.3912047703358974E-2</v>
      </c>
      <c r="N500" s="89">
        <f>POWER((ws[[#This Row],[flow]]-ws[[#This Row],[count]]),2)</f>
        <v>223439.01164270361</v>
      </c>
      <c r="O500" s="43">
        <f>VLOOKUP(ws[[#This Row],[hwycov_id]],count[],6,FALSE)</f>
        <v>0</v>
      </c>
      <c r="P500" s="43">
        <v>94</v>
      </c>
      <c r="Q500" s="43" t="str">
        <f>'[2]All Counts'!P500</f>
        <v>PeMS2016</v>
      </c>
      <c r="S500" s="94">
        <v>26014</v>
      </c>
      <c r="T500" s="17">
        <v>19336</v>
      </c>
      <c r="U500" s="17">
        <v>20734.320312</v>
      </c>
      <c r="V500" s="17"/>
      <c r="W500" s="17"/>
      <c r="X500" s="17"/>
      <c r="Y500" s="17"/>
      <c r="Z500" s="17"/>
      <c r="AA500" s="17"/>
      <c r="AB500" s="17">
        <v>19336</v>
      </c>
      <c r="AC500" s="17">
        <v>20734.320312</v>
      </c>
      <c r="AD500"/>
      <c r="AE500"/>
    </row>
    <row r="501" spans="1:31" x14ac:dyDescent="0.25">
      <c r="A501" s="136">
        <f>'[2]All Counts'!C501</f>
        <v>8</v>
      </c>
      <c r="B501" s="136">
        <f>'[2]All Counts'!D501</f>
        <v>2</v>
      </c>
      <c r="C501" s="136">
        <f>'[2]All Counts'!E501</f>
        <v>8771</v>
      </c>
      <c r="D501" s="136">
        <f>'[2]All Counts'!F501</f>
        <v>1</v>
      </c>
      <c r="E501" s="136">
        <f>'[2]All Counts'!G501</f>
        <v>1</v>
      </c>
      <c r="F501" s="136" t="str">
        <f>'[2]All Counts'!H501</f>
        <v>I-5 SB</v>
      </c>
      <c r="G501" s="136">
        <f>'[2]All Counts'!I501</f>
        <v>39</v>
      </c>
      <c r="H501" s="136">
        <f>'[2]All Counts'!J501</f>
        <v>0</v>
      </c>
      <c r="I501" s="136" t="str">
        <f>'[2]All Counts'!K501</f>
        <v>POINSETTIA</v>
      </c>
      <c r="J501" s="136" t="str">
        <f>'[2]All Counts'!L501</f>
        <v>LA COSTA</v>
      </c>
      <c r="K501" s="136">
        <f>'[2]All Counts'!O501</f>
        <v>19695</v>
      </c>
      <c r="L501" s="57">
        <f>VLOOKUP(ws[[#This Row],[hwycov_id]],readme!D:G,4,FALSE)</f>
        <v>20268.236327999999</v>
      </c>
      <c r="M501" s="88">
        <f>ws[[#This Row],[flow]]/ws[[#This Row],[count]]-1</f>
        <v>2.9105677989337275E-2</v>
      </c>
      <c r="N501" s="89">
        <f>POWER((ws[[#This Row],[flow]]-ws[[#This Row],[count]]),2)</f>
        <v>328599.88773892249</v>
      </c>
      <c r="O501" s="43">
        <f>VLOOKUP(ws[[#This Row],[hwycov_id]],count[],6,FALSE)</f>
        <v>0</v>
      </c>
      <c r="P501" s="43">
        <v>279</v>
      </c>
      <c r="Q501" s="43" t="str">
        <f>'[2]All Counts'!P501</f>
        <v>PeMS2016</v>
      </c>
      <c r="S501" s="94">
        <v>26017</v>
      </c>
      <c r="T501" s="17"/>
      <c r="U501" s="17"/>
      <c r="V501" s="17">
        <v>26378</v>
      </c>
      <c r="W501" s="17">
        <v>26429.449218999998</v>
      </c>
      <c r="X501" s="17"/>
      <c r="Y501" s="17"/>
      <c r="Z501" s="17"/>
      <c r="AA501" s="17"/>
      <c r="AB501" s="17">
        <v>26378</v>
      </c>
      <c r="AC501" s="17">
        <v>26429.449218999998</v>
      </c>
      <c r="AD501"/>
      <c r="AE501"/>
    </row>
    <row r="502" spans="1:31" x14ac:dyDescent="0.25">
      <c r="A502" s="136">
        <f>'[2]All Counts'!C502</f>
        <v>8</v>
      </c>
      <c r="B502" s="136">
        <f>'[2]All Counts'!D502</f>
        <v>2</v>
      </c>
      <c r="C502" s="136">
        <f>'[2]All Counts'!E502</f>
        <v>1250</v>
      </c>
      <c r="D502" s="136">
        <f>'[2]All Counts'!F502</f>
        <v>1</v>
      </c>
      <c r="E502" s="136">
        <f>'[2]All Counts'!G502</f>
        <v>1</v>
      </c>
      <c r="F502" s="136" t="str">
        <f>'[2]All Counts'!H502</f>
        <v>I-5 SB</v>
      </c>
      <c r="G502" s="136">
        <f>'[2]All Counts'!I502</f>
        <v>41</v>
      </c>
      <c r="H502" s="136">
        <f>'[2]All Counts'!J502</f>
        <v>0</v>
      </c>
      <c r="I502" s="136" t="str">
        <f>'[2]All Counts'!K502</f>
        <v>LA COSTA</v>
      </c>
      <c r="J502" s="136" t="str">
        <f>'[2]All Counts'!L502</f>
        <v>LEUCADIA</v>
      </c>
      <c r="K502" s="136">
        <f>'[2]All Counts'!O502</f>
        <v>18732</v>
      </c>
      <c r="L502" s="57">
        <f>VLOOKUP(ws[[#This Row],[hwycov_id]],readme!D:G,4,FALSE)</f>
        <v>19867.166015999999</v>
      </c>
      <c r="M502" s="88">
        <f>ws[[#This Row],[flow]]/ws[[#This Row],[count]]-1</f>
        <v>6.0600363869314444E-2</v>
      </c>
      <c r="N502" s="89">
        <f>POWER((ws[[#This Row],[flow]]-ws[[#This Row],[count]]),2)</f>
        <v>1288601.8838813105</v>
      </c>
      <c r="O502" s="43">
        <f>VLOOKUP(ws[[#This Row],[hwycov_id]],count[],6,FALSE)</f>
        <v>0</v>
      </c>
      <c r="P502" s="43">
        <v>531</v>
      </c>
      <c r="Q502" s="43" t="str">
        <f>'[2]All Counts'!P502</f>
        <v>PeMS2016</v>
      </c>
      <c r="S502" s="94">
        <v>26065</v>
      </c>
      <c r="T502" s="17"/>
      <c r="U502" s="17"/>
      <c r="V502" s="17">
        <v>27538</v>
      </c>
      <c r="W502" s="17">
        <v>26429.449218999998</v>
      </c>
      <c r="X502" s="17"/>
      <c r="Y502" s="17"/>
      <c r="Z502" s="17"/>
      <c r="AA502" s="17"/>
      <c r="AB502" s="17">
        <v>27538</v>
      </c>
      <c r="AC502" s="17">
        <v>26429.449218999998</v>
      </c>
      <c r="AD502"/>
      <c r="AE502"/>
    </row>
    <row r="503" spans="1:31" x14ac:dyDescent="0.25">
      <c r="A503" s="136">
        <f>'[2]All Counts'!C503</f>
        <v>8</v>
      </c>
      <c r="B503" s="136">
        <f>'[2]All Counts'!D503</f>
        <v>2</v>
      </c>
      <c r="C503" s="136">
        <f>'[2]All Counts'!E503</f>
        <v>8772</v>
      </c>
      <c r="D503" s="136">
        <f>'[2]All Counts'!F503</f>
        <v>1</v>
      </c>
      <c r="E503" s="136">
        <f>'[2]All Counts'!G503</f>
        <v>1</v>
      </c>
      <c r="F503" s="136" t="str">
        <f>'[2]All Counts'!H503</f>
        <v>I-5 SB</v>
      </c>
      <c r="G503" s="136">
        <f>'[2]All Counts'!I503</f>
        <v>42</v>
      </c>
      <c r="H503" s="136">
        <f>'[2]All Counts'!J503</f>
        <v>0</v>
      </c>
      <c r="I503" s="136" t="str">
        <f>'[2]All Counts'!K503</f>
        <v>LA COSTA</v>
      </c>
      <c r="J503" s="136" t="str">
        <f>'[2]All Counts'!L503</f>
        <v>LEUCADIA</v>
      </c>
      <c r="K503" s="136">
        <f>'[2]All Counts'!O503</f>
        <v>16669</v>
      </c>
      <c r="L503" s="57">
        <f>VLOOKUP(ws[[#This Row],[hwycov_id]],readme!D:G,4,FALSE)</f>
        <v>19867.166015999999</v>
      </c>
      <c r="M503" s="88">
        <f>ws[[#This Row],[flow]]/ws[[#This Row],[count]]-1</f>
        <v>0.19186310012598229</v>
      </c>
      <c r="N503" s="89">
        <f>POWER((ws[[#This Row],[flow]]-ws[[#This Row],[count]]),2)</f>
        <v>10228265.865897307</v>
      </c>
      <c r="O503" s="43">
        <f>VLOOKUP(ws[[#This Row],[hwycov_id]],count[],6,FALSE)</f>
        <v>0</v>
      </c>
      <c r="P503" s="43">
        <v>530</v>
      </c>
      <c r="Q503" s="43" t="str">
        <f>'[2]All Counts'!P503</f>
        <v>PeMS2016</v>
      </c>
      <c r="S503" s="94">
        <v>26279</v>
      </c>
      <c r="T503" s="17">
        <v>19035</v>
      </c>
      <c r="U503" s="17">
        <v>33521.027344000002</v>
      </c>
      <c r="V503" s="17"/>
      <c r="W503" s="17"/>
      <c r="X503" s="17"/>
      <c r="Y503" s="17"/>
      <c r="Z503" s="17"/>
      <c r="AA503" s="17"/>
      <c r="AB503" s="17">
        <v>19035</v>
      </c>
      <c r="AC503" s="17">
        <v>33521.027344000002</v>
      </c>
      <c r="AD503"/>
      <c r="AE503"/>
    </row>
    <row r="504" spans="1:31" x14ac:dyDescent="0.25">
      <c r="A504" s="136">
        <f>'[2]All Counts'!C504</f>
        <v>8</v>
      </c>
      <c r="B504" s="136">
        <f>'[2]All Counts'!D504</f>
        <v>2</v>
      </c>
      <c r="C504" s="136">
        <f>'[2]All Counts'!E504</f>
        <v>8773</v>
      </c>
      <c r="D504" s="136">
        <f>'[2]All Counts'!F504</f>
        <v>1</v>
      </c>
      <c r="E504" s="136">
        <f>'[2]All Counts'!G504</f>
        <v>1</v>
      </c>
      <c r="F504" s="136" t="str">
        <f>'[2]All Counts'!H504</f>
        <v>I-5 SB</v>
      </c>
      <c r="G504" s="136">
        <f>'[2]All Counts'!I504</f>
        <v>43</v>
      </c>
      <c r="H504" s="136">
        <f>'[2]All Counts'!J504</f>
        <v>0</v>
      </c>
      <c r="I504" s="136" t="str">
        <f>'[2]All Counts'!K504</f>
        <v>LEUCADIA</v>
      </c>
      <c r="J504" s="136" t="str">
        <f>'[2]All Counts'!L504</f>
        <v>LEUCADIA</v>
      </c>
      <c r="K504" s="136">
        <f>'[2]All Counts'!O504</f>
        <v>19924</v>
      </c>
      <c r="L504" s="57">
        <f>VLOOKUP(ws[[#This Row],[hwycov_id]],readme!D:G,4,FALSE)</f>
        <v>18653.888672000001</v>
      </c>
      <c r="M504" s="88">
        <f>ws[[#This Row],[flow]]/ws[[#This Row],[count]]-1</f>
        <v>-6.3747808070668488E-2</v>
      </c>
      <c r="N504" s="89">
        <f>POWER((ws[[#This Row],[flow]]-ws[[#This Row],[count]]),2)</f>
        <v>1613182.7855139212</v>
      </c>
      <c r="O504" s="43">
        <f>VLOOKUP(ws[[#This Row],[hwycov_id]],count[],6,FALSE)</f>
        <v>0</v>
      </c>
      <c r="P504" s="43">
        <v>289</v>
      </c>
      <c r="Q504" s="43" t="str">
        <f>'[2]All Counts'!P504</f>
        <v>PeMS2016</v>
      </c>
      <c r="S504" s="94">
        <v>26293</v>
      </c>
      <c r="T504" s="17">
        <v>20329</v>
      </c>
      <c r="U504" s="17">
        <v>29805.939452999999</v>
      </c>
      <c r="V504" s="17"/>
      <c r="W504" s="17"/>
      <c r="X504" s="17"/>
      <c r="Y504" s="17"/>
      <c r="Z504" s="17"/>
      <c r="AA504" s="17"/>
      <c r="AB504" s="17">
        <v>20329</v>
      </c>
      <c r="AC504" s="17">
        <v>29805.939452999999</v>
      </c>
      <c r="AD504"/>
      <c r="AE504"/>
    </row>
    <row r="505" spans="1:31" x14ac:dyDescent="0.25">
      <c r="A505" s="136">
        <f>'[2]All Counts'!C505</f>
        <v>8</v>
      </c>
      <c r="B505" s="136">
        <f>'[2]All Counts'!D505</f>
        <v>2</v>
      </c>
      <c r="C505" s="136">
        <f>'[2]All Counts'!E505</f>
        <v>16272</v>
      </c>
      <c r="D505" s="136">
        <f>'[2]All Counts'!F505</f>
        <v>1</v>
      </c>
      <c r="E505" s="136">
        <f>'[2]All Counts'!G505</f>
        <v>1</v>
      </c>
      <c r="F505" s="136" t="str">
        <f>'[2]All Counts'!H505</f>
        <v>I-5 SB</v>
      </c>
      <c r="G505" s="136">
        <f>'[2]All Counts'!I505</f>
        <v>44</v>
      </c>
      <c r="H505" s="136">
        <f>'[2]All Counts'!J505</f>
        <v>0</v>
      </c>
      <c r="I505" s="136" t="str">
        <f>'[2]All Counts'!K505</f>
        <v>LEUCADIA</v>
      </c>
      <c r="J505" s="136" t="str">
        <f>'[2]All Counts'!L505</f>
        <v>ENCINITAS</v>
      </c>
      <c r="K505" s="136">
        <f>'[2]All Counts'!O505</f>
        <v>20948</v>
      </c>
      <c r="L505" s="57">
        <f>VLOOKUP(ws[[#This Row],[hwycov_id]],readme!D:G,4,FALSE)</f>
        <v>20066.865234000001</v>
      </c>
      <c r="M505" s="88">
        <f>ws[[#This Row],[flow]]/ws[[#This Row],[count]]-1</f>
        <v>-4.2062954267710451E-2</v>
      </c>
      <c r="N505" s="89">
        <f>POWER((ws[[#This Row],[flow]]-ws[[#This Row],[count]]),2)</f>
        <v>776398.47585387342</v>
      </c>
      <c r="O505" s="43">
        <f>VLOOKUP(ws[[#This Row],[hwycov_id]],count[],6,FALSE)</f>
        <v>0</v>
      </c>
      <c r="P505" s="43">
        <v>297</v>
      </c>
      <c r="Q505" s="43" t="str">
        <f>'[2]All Counts'!P505</f>
        <v>PeMS2016</v>
      </c>
      <c r="S505" s="94">
        <v>26523</v>
      </c>
      <c r="T505" s="17">
        <v>21979</v>
      </c>
      <c r="U505" s="17">
        <v>29582.496093999998</v>
      </c>
      <c r="V505" s="17"/>
      <c r="W505" s="17"/>
      <c r="X505" s="17"/>
      <c r="Y505" s="17"/>
      <c r="Z505" s="17"/>
      <c r="AA505" s="17"/>
      <c r="AB505" s="17">
        <v>21979</v>
      </c>
      <c r="AC505" s="17">
        <v>29582.496093999998</v>
      </c>
      <c r="AD505"/>
      <c r="AE505"/>
    </row>
    <row r="506" spans="1:31" x14ac:dyDescent="0.25">
      <c r="A506" s="136">
        <f>'[2]All Counts'!C506</f>
        <v>8</v>
      </c>
      <c r="B506" s="136">
        <f>'[2]All Counts'!D506</f>
        <v>2</v>
      </c>
      <c r="C506" s="136">
        <f>'[2]All Counts'!E506</f>
        <v>621</v>
      </c>
      <c r="D506" s="136">
        <f>'[2]All Counts'!F506</f>
        <v>1</v>
      </c>
      <c r="E506" s="136">
        <f>'[2]All Counts'!G506</f>
        <v>1</v>
      </c>
      <c r="F506" s="136" t="str">
        <f>'[2]All Counts'!H506</f>
        <v>I-5 SB</v>
      </c>
      <c r="G506" s="136">
        <f>'[2]All Counts'!I506</f>
        <v>45</v>
      </c>
      <c r="H506" s="136">
        <f>'[2]All Counts'!J506</f>
        <v>0</v>
      </c>
      <c r="I506" s="136" t="str">
        <f>'[2]All Counts'!K506</f>
        <v>ENCINITAS</v>
      </c>
      <c r="J506" s="136" t="str">
        <f>'[2]All Counts'!L506</f>
        <v>ENCINITAS</v>
      </c>
      <c r="K506" s="136">
        <f>'[2]All Counts'!O506</f>
        <v>19711</v>
      </c>
      <c r="L506" s="57">
        <f>VLOOKUP(ws[[#This Row],[hwycov_id]],readme!D:G,4,FALSE)</f>
        <v>18388.466797000001</v>
      </c>
      <c r="M506" s="88">
        <f>ws[[#This Row],[flow]]/ws[[#This Row],[count]]-1</f>
        <v>-6.7096200243518811E-2</v>
      </c>
      <c r="N506" s="89">
        <f>POWER((ws[[#This Row],[flow]]-ws[[#This Row],[count]]),2)</f>
        <v>1749094.0730374367</v>
      </c>
      <c r="O506" s="43">
        <f>VLOOKUP(ws[[#This Row],[hwycov_id]],count[],6,FALSE)</f>
        <v>0</v>
      </c>
      <c r="P506" s="43">
        <v>302</v>
      </c>
      <c r="Q506" s="43" t="str">
        <f>'[2]All Counts'!P506</f>
        <v>PeMS2016</v>
      </c>
      <c r="S506" s="94">
        <v>26546</v>
      </c>
      <c r="T506" s="17">
        <v>19631</v>
      </c>
      <c r="U506" s="17">
        <v>26676.529297000001</v>
      </c>
      <c r="V506" s="17"/>
      <c r="W506" s="17"/>
      <c r="X506" s="17"/>
      <c r="Y506" s="17"/>
      <c r="Z506" s="17"/>
      <c r="AA506" s="17"/>
      <c r="AB506" s="17">
        <v>19631</v>
      </c>
      <c r="AC506" s="17">
        <v>26676.529297000001</v>
      </c>
      <c r="AD506"/>
      <c r="AE506"/>
    </row>
    <row r="507" spans="1:31" x14ac:dyDescent="0.25">
      <c r="A507" s="136">
        <f>'[2]All Counts'!C507</f>
        <v>8</v>
      </c>
      <c r="B507" s="136">
        <f>'[2]All Counts'!D507</f>
        <v>2</v>
      </c>
      <c r="C507" s="136">
        <f>'[2]All Counts'!E507</f>
        <v>13580</v>
      </c>
      <c r="D507" s="136">
        <f>'[2]All Counts'!F507</f>
        <v>1</v>
      </c>
      <c r="E507" s="136">
        <f>'[2]All Counts'!G507</f>
        <v>1</v>
      </c>
      <c r="F507" s="136" t="str">
        <f>'[2]All Counts'!H507</f>
        <v>I-5 SB</v>
      </c>
      <c r="G507" s="136">
        <f>'[2]All Counts'!I507</f>
        <v>47</v>
      </c>
      <c r="H507" s="136">
        <f>'[2]All Counts'!J507</f>
        <v>0</v>
      </c>
      <c r="I507" s="136" t="str">
        <f>'[2]All Counts'!K507</f>
        <v>ENCINITAS</v>
      </c>
      <c r="J507" s="136" t="str">
        <f>'[2]All Counts'!L507</f>
        <v>SANTA FE</v>
      </c>
      <c r="K507" s="136">
        <f>'[2]All Counts'!O507</f>
        <v>21292</v>
      </c>
      <c r="L507" s="57">
        <f>VLOOKUP(ws[[#This Row],[hwycov_id]],readme!D:G,4,FALSE)</f>
        <v>19964.664062</v>
      </c>
      <c r="M507" s="88">
        <f>ws[[#This Row],[flow]]/ws[[#This Row],[count]]-1</f>
        <v>-6.2339655175652875E-2</v>
      </c>
      <c r="N507" s="89">
        <f>POWER((ws[[#This Row],[flow]]-ws[[#This Row],[count]]),2)</f>
        <v>1761820.6923063402</v>
      </c>
      <c r="O507" s="43">
        <f>VLOOKUP(ws[[#This Row],[hwycov_id]],count[],6,FALSE)</f>
        <v>0</v>
      </c>
      <c r="P507" s="43">
        <v>311</v>
      </c>
      <c r="Q507" s="43" t="str">
        <f>'[2]All Counts'!P507</f>
        <v>Caltran</v>
      </c>
      <c r="S507" s="94">
        <v>26547</v>
      </c>
      <c r="T507" s="17">
        <v>24326</v>
      </c>
      <c r="U507" s="17">
        <v>27735.917968999998</v>
      </c>
      <c r="V507" s="17"/>
      <c r="W507" s="17"/>
      <c r="X507" s="17"/>
      <c r="Y507" s="17"/>
      <c r="Z507" s="17"/>
      <c r="AA507" s="17"/>
      <c r="AB507" s="17">
        <v>24326</v>
      </c>
      <c r="AC507" s="17">
        <v>27735.917968999998</v>
      </c>
      <c r="AD507"/>
      <c r="AE507"/>
    </row>
    <row r="508" spans="1:31" x14ac:dyDescent="0.25">
      <c r="A508" s="136">
        <f>'[2]All Counts'!C508</f>
        <v>8</v>
      </c>
      <c r="B508" s="136">
        <f>'[2]All Counts'!D508</f>
        <v>2</v>
      </c>
      <c r="C508" s="136">
        <f>'[2]All Counts'!E508</f>
        <v>13582</v>
      </c>
      <c r="D508" s="136">
        <f>'[2]All Counts'!F508</f>
        <v>1</v>
      </c>
      <c r="E508" s="136">
        <f>'[2]All Counts'!G508</f>
        <v>1</v>
      </c>
      <c r="F508" s="136" t="str">
        <f>'[2]All Counts'!H508</f>
        <v>I-5 SB</v>
      </c>
      <c r="G508" s="136">
        <f>'[2]All Counts'!I508</f>
        <v>49</v>
      </c>
      <c r="H508" s="136">
        <f>'[2]All Counts'!J508</f>
        <v>0</v>
      </c>
      <c r="I508" s="136" t="str">
        <f>'[2]All Counts'!K508</f>
        <v>SANTA FE</v>
      </c>
      <c r="J508" s="136" t="str">
        <f>'[2]All Counts'!L508</f>
        <v>SANTA FE</v>
      </c>
      <c r="K508" s="136">
        <f>'[2]All Counts'!O508</f>
        <v>20582</v>
      </c>
      <c r="L508" s="57">
        <f>VLOOKUP(ws[[#This Row],[hwycov_id]],readme!D:G,4,FALSE)</f>
        <v>19064.914062</v>
      </c>
      <c r="M508" s="88">
        <f>ws[[#This Row],[flow]]/ws[[#This Row],[count]]-1</f>
        <v>-7.3709354678845651E-2</v>
      </c>
      <c r="N508" s="89">
        <f>POWER((ws[[#This Row],[flow]]-ws[[#This Row],[count]]),2)</f>
        <v>2301549.7432773402</v>
      </c>
      <c r="O508" s="43">
        <f>VLOOKUP(ws[[#This Row],[hwycov_id]],count[],6,FALSE)</f>
        <v>0</v>
      </c>
      <c r="P508" s="43">
        <v>316</v>
      </c>
      <c r="Q508" s="43" t="str">
        <f>'[2]All Counts'!P508</f>
        <v>PeMS2016</v>
      </c>
      <c r="S508" s="94">
        <v>26562</v>
      </c>
      <c r="T508" s="17"/>
      <c r="U508" s="17"/>
      <c r="V508" s="17">
        <v>19014</v>
      </c>
      <c r="W508" s="17">
        <v>18670.767577999999</v>
      </c>
      <c r="X508" s="17"/>
      <c r="Y508" s="17"/>
      <c r="Z508" s="17"/>
      <c r="AA508" s="17"/>
      <c r="AB508" s="17">
        <v>19014</v>
      </c>
      <c r="AC508" s="17">
        <v>18670.767577999999</v>
      </c>
      <c r="AD508"/>
      <c r="AE508"/>
    </row>
    <row r="509" spans="1:31" x14ac:dyDescent="0.25">
      <c r="A509" s="136">
        <f>'[2]All Counts'!C509</f>
        <v>8</v>
      </c>
      <c r="B509" s="136">
        <f>'[2]All Counts'!D509</f>
        <v>2</v>
      </c>
      <c r="C509" s="136">
        <f>'[2]All Counts'!E509</f>
        <v>13589</v>
      </c>
      <c r="D509" s="136">
        <f>'[2]All Counts'!F509</f>
        <v>1</v>
      </c>
      <c r="E509" s="136">
        <f>'[2]All Counts'!G509</f>
        <v>1</v>
      </c>
      <c r="F509" s="136" t="str">
        <f>'[2]All Counts'!H509</f>
        <v>I-5 SB</v>
      </c>
      <c r="G509" s="136">
        <f>'[2]All Counts'!I509</f>
        <v>52</v>
      </c>
      <c r="H509" s="136">
        <f>'[2]All Counts'!J509</f>
        <v>0</v>
      </c>
      <c r="I509" s="136" t="str">
        <f>'[2]All Counts'!K509</f>
        <v>BIRMINGHAM</v>
      </c>
      <c r="J509" s="136" t="str">
        <f>'[2]All Counts'!L509</f>
        <v>BIRMINGHAM</v>
      </c>
      <c r="K509" s="136">
        <f>'[2]All Counts'!O509</f>
        <v>20568</v>
      </c>
      <c r="L509" s="57">
        <f>VLOOKUP(ws[[#This Row],[hwycov_id]],readme!D:G,4,FALSE)</f>
        <v>19428.822265999999</v>
      </c>
      <c r="M509" s="88">
        <f>ws[[#This Row],[flow]]/ws[[#This Row],[count]]-1</f>
        <v>-5.5385926390509543E-2</v>
      </c>
      <c r="N509" s="89">
        <f>POWER((ws[[#This Row],[flow]]-ws[[#This Row],[count]]),2)</f>
        <v>1297725.9096413765</v>
      </c>
      <c r="O509" s="43">
        <f>VLOOKUP(ws[[#This Row],[hwycov_id]],count[],6,FALSE)</f>
        <v>0</v>
      </c>
      <c r="P509" s="43">
        <v>492</v>
      </c>
      <c r="Q509" s="43" t="str">
        <f>'[2]All Counts'!P509</f>
        <v>PeMS2016</v>
      </c>
      <c r="S509" s="94">
        <v>26563</v>
      </c>
      <c r="T509" s="17"/>
      <c r="U509" s="17"/>
      <c r="V509" s="17">
        <v>17492</v>
      </c>
      <c r="W509" s="17">
        <v>17459.945312</v>
      </c>
      <c r="X509" s="17"/>
      <c r="Y509" s="17"/>
      <c r="Z509" s="17"/>
      <c r="AA509" s="17"/>
      <c r="AB509" s="17">
        <v>17492</v>
      </c>
      <c r="AC509" s="17">
        <v>17459.945312</v>
      </c>
      <c r="AD509"/>
      <c r="AE509"/>
    </row>
    <row r="510" spans="1:31" x14ac:dyDescent="0.25">
      <c r="A510" s="136">
        <f>'[2]All Counts'!C510</f>
        <v>8</v>
      </c>
      <c r="B510" s="136">
        <f>'[2]All Counts'!D510</f>
        <v>2</v>
      </c>
      <c r="C510" s="136">
        <f>'[2]All Counts'!E510</f>
        <v>13590</v>
      </c>
      <c r="D510" s="136">
        <f>'[2]All Counts'!F510</f>
        <v>1</v>
      </c>
      <c r="E510" s="136">
        <f>'[2]All Counts'!G510</f>
        <v>1</v>
      </c>
      <c r="F510" s="136" t="str">
        <f>'[2]All Counts'!H510</f>
        <v>I-5 SB</v>
      </c>
      <c r="G510" s="136">
        <f>'[2]All Counts'!I510</f>
        <v>53</v>
      </c>
      <c r="H510" s="136">
        <f>'[2]All Counts'!J510</f>
        <v>0</v>
      </c>
      <c r="I510" s="136" t="str">
        <f>'[2]All Counts'!K510</f>
        <v>BIRMINGHAM</v>
      </c>
      <c r="J510" s="136" t="str">
        <f>'[2]All Counts'!L510</f>
        <v>MANCHESTER</v>
      </c>
      <c r="K510" s="136">
        <f>'[2]All Counts'!O510</f>
        <v>19999</v>
      </c>
      <c r="L510" s="57">
        <f>VLOOKUP(ws[[#This Row],[hwycov_id]],readme!D:G,4,FALSE)</f>
        <v>20684.109375</v>
      </c>
      <c r="M510" s="88">
        <f>ws[[#This Row],[flow]]/ws[[#This Row],[count]]-1</f>
        <v>3.4257181609080423E-2</v>
      </c>
      <c r="N510" s="89">
        <f>POWER((ws[[#This Row],[flow]]-ws[[#This Row],[count]]),2)</f>
        <v>469374.85571289063</v>
      </c>
      <c r="O510" s="43">
        <f>VLOOKUP(ws[[#This Row],[hwycov_id]],count[],6,FALSE)</f>
        <v>0</v>
      </c>
      <c r="P510" s="43">
        <v>497</v>
      </c>
      <c r="Q510" s="43" t="str">
        <f>'[2]All Counts'!P510</f>
        <v>PeMS2016</v>
      </c>
      <c r="S510" s="94">
        <v>26623</v>
      </c>
      <c r="T510" s="17"/>
      <c r="U510" s="17"/>
      <c r="V510" s="17">
        <v>14449</v>
      </c>
      <c r="W510" s="17">
        <v>12647.763671999999</v>
      </c>
      <c r="X510" s="17"/>
      <c r="Y510" s="17"/>
      <c r="Z510" s="17"/>
      <c r="AA510" s="17"/>
      <c r="AB510" s="17">
        <v>14449</v>
      </c>
      <c r="AC510" s="17">
        <v>12647.763671999999</v>
      </c>
      <c r="AD510"/>
      <c r="AE510"/>
    </row>
    <row r="511" spans="1:31" x14ac:dyDescent="0.25">
      <c r="A511" s="136">
        <f>'[2]All Counts'!C511</f>
        <v>8</v>
      </c>
      <c r="B511" s="136">
        <f>'[2]All Counts'!D511</f>
        <v>2</v>
      </c>
      <c r="C511" s="136">
        <f>'[2]All Counts'!E511</f>
        <v>643</v>
      </c>
      <c r="D511" s="136">
        <f>'[2]All Counts'!F511</f>
        <v>1</v>
      </c>
      <c r="E511" s="136">
        <f>'[2]All Counts'!G511</f>
        <v>1</v>
      </c>
      <c r="F511" s="136" t="str">
        <f>'[2]All Counts'!H511</f>
        <v>I-5 SB</v>
      </c>
      <c r="G511" s="136">
        <f>'[2]All Counts'!I511</f>
        <v>54</v>
      </c>
      <c r="H511" s="136">
        <f>'[2]All Counts'!J511</f>
        <v>0</v>
      </c>
      <c r="I511" s="136" t="str">
        <f>'[2]All Counts'!K511</f>
        <v>MANCHESTER</v>
      </c>
      <c r="J511" s="136" t="str">
        <f>'[2]All Counts'!L511</f>
        <v>MANCHESTER</v>
      </c>
      <c r="K511" s="136">
        <f>'[2]All Counts'!O511</f>
        <v>21001</v>
      </c>
      <c r="L511" s="57">
        <f>VLOOKUP(ws[[#This Row],[hwycov_id]],readme!D:G,4,FALSE)</f>
        <v>20615.837890999999</v>
      </c>
      <c r="M511" s="88">
        <f>ws[[#This Row],[flow]]/ws[[#This Row],[count]]-1</f>
        <v>-1.8340179467644435E-2</v>
      </c>
      <c r="N511" s="89">
        <f>POWER((ws[[#This Row],[flow]]-ws[[#This Row],[count]]),2)</f>
        <v>148349.85020932849</v>
      </c>
      <c r="O511" s="43">
        <f>VLOOKUP(ws[[#This Row],[hwycov_id]],count[],6,FALSE)</f>
        <v>0</v>
      </c>
      <c r="P511" s="43">
        <v>488</v>
      </c>
      <c r="Q511" s="43" t="str">
        <f>'[2]All Counts'!P511</f>
        <v>PeMS2016</v>
      </c>
      <c r="S511" s="94">
        <v>26667</v>
      </c>
      <c r="T511" s="17">
        <v>19555</v>
      </c>
      <c r="U511" s="17">
        <v>16794.769531000002</v>
      </c>
      <c r="V511" s="17"/>
      <c r="W511" s="17"/>
      <c r="X511" s="17"/>
      <c r="Y511" s="17"/>
      <c r="Z511" s="17"/>
      <c r="AA511" s="17"/>
      <c r="AB511" s="17">
        <v>19555</v>
      </c>
      <c r="AC511" s="17">
        <v>16794.769531000002</v>
      </c>
      <c r="AD511"/>
      <c r="AE511"/>
    </row>
    <row r="512" spans="1:31" x14ac:dyDescent="0.25">
      <c r="A512" s="136">
        <f>'[2]All Counts'!C512</f>
        <v>8</v>
      </c>
      <c r="B512" s="136">
        <f>'[2]All Counts'!D512</f>
        <v>2</v>
      </c>
      <c r="C512" s="136">
        <f>'[2]All Counts'!E512</f>
        <v>13594</v>
      </c>
      <c r="D512" s="136">
        <f>'[2]All Counts'!F512</f>
        <v>1</v>
      </c>
      <c r="E512" s="136">
        <f>'[2]All Counts'!G512</f>
        <v>1</v>
      </c>
      <c r="F512" s="136" t="str">
        <f>'[2]All Counts'!H512</f>
        <v>I-5 SB</v>
      </c>
      <c r="G512" s="136">
        <f>'[2]All Counts'!I512</f>
        <v>56</v>
      </c>
      <c r="H512" s="136">
        <f>'[2]All Counts'!J512</f>
        <v>0</v>
      </c>
      <c r="I512" s="136" t="str">
        <f>'[2]All Counts'!K512</f>
        <v>MANCHESTER</v>
      </c>
      <c r="J512" s="136" t="str">
        <f>'[2]All Counts'!L512</f>
        <v>LOMAS SANTA FE</v>
      </c>
      <c r="K512" s="136">
        <f>'[2]All Counts'!O512</f>
        <v>22251</v>
      </c>
      <c r="L512" s="57">
        <f>VLOOKUP(ws[[#This Row],[hwycov_id]],readme!D:G,4,FALSE)</f>
        <v>23280.683593999998</v>
      </c>
      <c r="M512" s="88">
        <f>ws[[#This Row],[flow]]/ws[[#This Row],[count]]-1</f>
        <v>4.6275834524291071E-2</v>
      </c>
      <c r="N512" s="89">
        <f>POWER((ws[[#This Row],[flow]]-ws[[#This Row],[count]]),2)</f>
        <v>1060248.3037527532</v>
      </c>
      <c r="O512" s="43">
        <f>VLOOKUP(ws[[#This Row],[hwycov_id]],count[],6,FALSE)</f>
        <v>0</v>
      </c>
      <c r="P512" s="43">
        <v>391</v>
      </c>
      <c r="Q512" s="43" t="str">
        <f>'[2]All Counts'!P512</f>
        <v>PeMS2016</v>
      </c>
      <c r="S512" s="94">
        <v>26675</v>
      </c>
      <c r="T512" s="17"/>
      <c r="U512" s="17"/>
      <c r="V512" s="17">
        <v>10880</v>
      </c>
      <c r="W512" s="17">
        <v>12195.829102</v>
      </c>
      <c r="X512" s="17"/>
      <c r="Y512" s="17"/>
      <c r="Z512" s="17"/>
      <c r="AA512" s="17"/>
      <c r="AB512" s="17">
        <v>10880</v>
      </c>
      <c r="AC512" s="17">
        <v>12195.829102</v>
      </c>
      <c r="AD512"/>
      <c r="AE512"/>
    </row>
    <row r="513" spans="1:31" x14ac:dyDescent="0.25">
      <c r="A513" s="136">
        <f>'[2]All Counts'!C513</f>
        <v>8</v>
      </c>
      <c r="B513" s="136">
        <f>'[2]All Counts'!D513</f>
        <v>2</v>
      </c>
      <c r="C513" s="136">
        <f>'[2]All Counts'!E513</f>
        <v>13598</v>
      </c>
      <c r="D513" s="136">
        <f>'[2]All Counts'!F513</f>
        <v>1</v>
      </c>
      <c r="E513" s="136">
        <f>'[2]All Counts'!G513</f>
        <v>1</v>
      </c>
      <c r="F513" s="136" t="str">
        <f>'[2]All Counts'!H513</f>
        <v>I-5 SB</v>
      </c>
      <c r="G513" s="136">
        <f>'[2]All Counts'!I513</f>
        <v>58</v>
      </c>
      <c r="H513" s="136">
        <f>'[2]All Counts'!J513</f>
        <v>0</v>
      </c>
      <c r="I513" s="136" t="str">
        <f>'[2]All Counts'!K513</f>
        <v>LOMAS SANTA FE</v>
      </c>
      <c r="J513" s="136" t="str">
        <f>'[2]All Counts'!L513</f>
        <v>LOMAS SANTA FE</v>
      </c>
      <c r="K513" s="136">
        <f>'[2]All Counts'!O513</f>
        <v>21264</v>
      </c>
      <c r="L513" s="57">
        <f>VLOOKUP(ws[[#This Row],[hwycov_id]],readme!D:G,4,FALSE)</f>
        <v>18697.166015999999</v>
      </c>
      <c r="M513" s="88">
        <f>ws[[#This Row],[flow]]/ws[[#This Row],[count]]-1</f>
        <v>-0.12071265914221219</v>
      </c>
      <c r="N513" s="89">
        <f>POWER((ws[[#This Row],[flow]]-ws[[#This Row],[count]]),2)</f>
        <v>6588636.7014173167</v>
      </c>
      <c r="O513" s="43">
        <f>VLOOKUP(ws[[#This Row],[hwycov_id]],count[],6,FALSE)</f>
        <v>0</v>
      </c>
      <c r="P513" s="43">
        <v>421</v>
      </c>
      <c r="Q513" s="43" t="str">
        <f>'[2]All Counts'!P513</f>
        <v>PeMS2016</v>
      </c>
      <c r="S513" s="94">
        <v>26708</v>
      </c>
      <c r="T513" s="17">
        <v>21260</v>
      </c>
      <c r="U513" s="17">
        <v>24569.109375</v>
      </c>
      <c r="V513" s="17"/>
      <c r="W513" s="17"/>
      <c r="X513" s="17"/>
      <c r="Y513" s="17"/>
      <c r="Z513" s="17"/>
      <c r="AA513" s="17"/>
      <c r="AB513" s="17">
        <v>21260</v>
      </c>
      <c r="AC513" s="17">
        <v>24569.109375</v>
      </c>
      <c r="AD513"/>
      <c r="AE513"/>
    </row>
    <row r="514" spans="1:31" x14ac:dyDescent="0.25">
      <c r="A514" s="136">
        <f>'[2]All Counts'!C514</f>
        <v>8</v>
      </c>
      <c r="B514" s="136">
        <f>'[2]All Counts'!D514</f>
        <v>2</v>
      </c>
      <c r="C514" s="136">
        <f>'[2]All Counts'!E514</f>
        <v>13597</v>
      </c>
      <c r="D514" s="136">
        <f>'[2]All Counts'!F514</f>
        <v>1</v>
      </c>
      <c r="E514" s="136">
        <f>'[2]All Counts'!G514</f>
        <v>1</v>
      </c>
      <c r="F514" s="136" t="str">
        <f>'[2]All Counts'!H514</f>
        <v>I-5 SB</v>
      </c>
      <c r="G514" s="136">
        <f>'[2]All Counts'!I514</f>
        <v>59</v>
      </c>
      <c r="H514" s="136">
        <f>'[2]All Counts'!J514</f>
        <v>0</v>
      </c>
      <c r="I514" s="136" t="str">
        <f>'[2]All Counts'!K514</f>
        <v>LOMAS SANTA FE</v>
      </c>
      <c r="J514" s="136" t="str">
        <f>'[2]All Counts'!L514</f>
        <v>VIA DE LA VALLE</v>
      </c>
      <c r="K514" s="136">
        <f>'[2]All Counts'!O514</f>
        <v>24283</v>
      </c>
      <c r="L514" s="57">
        <f>VLOOKUP(ws[[#This Row],[hwycov_id]],readme!D:G,4,FALSE)</f>
        <v>20878.109375</v>
      </c>
      <c r="M514" s="88">
        <f>ws[[#This Row],[flow]]/ws[[#This Row],[count]]-1</f>
        <v>-0.14021704999382278</v>
      </c>
      <c r="N514" s="89">
        <f>POWER((ws[[#This Row],[flow]]-ws[[#This Row],[count]]),2)</f>
        <v>11593280.168212891</v>
      </c>
      <c r="O514" s="43">
        <f>VLOOKUP(ws[[#This Row],[hwycov_id]],count[],6,FALSE)</f>
        <v>0</v>
      </c>
      <c r="P514" s="43">
        <v>274</v>
      </c>
      <c r="Q514" s="43" t="str">
        <f>'[2]All Counts'!P514</f>
        <v>Caltran</v>
      </c>
      <c r="S514" s="94">
        <v>26788</v>
      </c>
      <c r="T514" s="17">
        <v>16973</v>
      </c>
      <c r="U514" s="17">
        <v>24211.787109000001</v>
      </c>
      <c r="V514" s="17"/>
      <c r="W514" s="17"/>
      <c r="X514" s="17"/>
      <c r="Y514" s="17"/>
      <c r="Z514" s="17"/>
      <c r="AA514" s="17"/>
      <c r="AB514" s="17">
        <v>16973</v>
      </c>
      <c r="AC514" s="17">
        <v>24211.787109000001</v>
      </c>
      <c r="AD514"/>
      <c r="AE514"/>
    </row>
    <row r="515" spans="1:31" x14ac:dyDescent="0.25">
      <c r="A515" s="136">
        <f>'[2]All Counts'!C515</f>
        <v>8</v>
      </c>
      <c r="B515" s="136">
        <f>'[2]All Counts'!D515</f>
        <v>2</v>
      </c>
      <c r="C515" s="136">
        <f>'[2]All Counts'!E515</f>
        <v>14247</v>
      </c>
      <c r="D515" s="136">
        <f>'[2]All Counts'!F515</f>
        <v>1</v>
      </c>
      <c r="E515" s="136">
        <f>'[2]All Counts'!G515</f>
        <v>1</v>
      </c>
      <c r="F515" s="136" t="str">
        <f>'[2]All Counts'!H515</f>
        <v>I-5 SB</v>
      </c>
      <c r="G515" s="136">
        <f>'[2]All Counts'!I515</f>
        <v>61</v>
      </c>
      <c r="H515" s="136">
        <f>'[2]All Counts'!J515</f>
        <v>0</v>
      </c>
      <c r="I515" s="136" t="str">
        <f>'[2]All Counts'!K515</f>
        <v>VIA DE LA VALLE</v>
      </c>
      <c r="J515" s="136" t="str">
        <f>'[2]All Counts'!L515</f>
        <v>VIA DE LA VALLE</v>
      </c>
      <c r="K515" s="136">
        <f>'[2]All Counts'!O515</f>
        <v>19130</v>
      </c>
      <c r="L515" s="57">
        <f>VLOOKUP(ws[[#This Row],[hwycov_id]],readme!D:G,4,FALSE)</f>
        <v>20670.119140999999</v>
      </c>
      <c r="M515" s="88">
        <f>ws[[#This Row],[flow]]/ws[[#This Row],[count]]-1</f>
        <v>8.0508057553580814E-2</v>
      </c>
      <c r="N515" s="89">
        <f>POWER((ws[[#This Row],[flow]]-ws[[#This Row],[count]]),2)</f>
        <v>2371966.9684745753</v>
      </c>
      <c r="O515" s="43">
        <f>VLOOKUP(ws[[#This Row],[hwycov_id]],count[],6,FALSE)</f>
        <v>0</v>
      </c>
      <c r="P515" s="43">
        <v>173</v>
      </c>
      <c r="Q515" s="43" t="str">
        <f>'[2]All Counts'!P515</f>
        <v>PeMS2016</v>
      </c>
      <c r="S515" s="94">
        <v>26791</v>
      </c>
      <c r="T515" s="17"/>
      <c r="U515" s="17"/>
      <c r="V515" s="17">
        <v>16818</v>
      </c>
      <c r="W515" s="17">
        <v>23914.396484000001</v>
      </c>
      <c r="X515" s="17"/>
      <c r="Y515" s="17"/>
      <c r="Z515" s="17"/>
      <c r="AA515" s="17"/>
      <c r="AB515" s="17">
        <v>16818</v>
      </c>
      <c r="AC515" s="17">
        <v>23914.396484000001</v>
      </c>
      <c r="AD515"/>
      <c r="AE515"/>
    </row>
    <row r="516" spans="1:31" x14ac:dyDescent="0.25">
      <c r="A516" s="136">
        <f>'[2]All Counts'!C516</f>
        <v>8</v>
      </c>
      <c r="B516" s="136">
        <f>'[2]All Counts'!D516</f>
        <v>2</v>
      </c>
      <c r="C516" s="136">
        <f>'[2]All Counts'!E516</f>
        <v>14246</v>
      </c>
      <c r="D516" s="136">
        <f>'[2]All Counts'!F516</f>
        <v>1</v>
      </c>
      <c r="E516" s="136">
        <f>'[2]All Counts'!G516</f>
        <v>1</v>
      </c>
      <c r="F516" s="136" t="str">
        <f>'[2]All Counts'!H516</f>
        <v>I-5 SB</v>
      </c>
      <c r="G516" s="136">
        <f>'[2]All Counts'!I516</f>
        <v>63</v>
      </c>
      <c r="H516" s="136">
        <f>'[2]All Counts'!J516</f>
        <v>1</v>
      </c>
      <c r="I516" s="136" t="str">
        <f>'[2]All Counts'!K516</f>
        <v>VIA DE LA VALLE</v>
      </c>
      <c r="J516" s="136" t="str">
        <f>'[2]All Counts'!L516</f>
        <v>DEL MAR HEIGHTS</v>
      </c>
      <c r="K516" s="136">
        <f>'[2]All Counts'!O516</f>
        <v>22898</v>
      </c>
      <c r="L516" s="57">
        <f>VLOOKUP(ws[[#This Row],[hwycov_id]],readme!D:G,4,FALSE)</f>
        <v>23011.384765999999</v>
      </c>
      <c r="M516" s="88">
        <f>ws[[#This Row],[flow]]/ws[[#This Row],[count]]-1</f>
        <v>4.9517322910297423E-3</v>
      </c>
      <c r="N516" s="89">
        <f>POWER((ws[[#This Row],[flow]]-ws[[#This Row],[count]]),2)</f>
        <v>12856.105160874578</v>
      </c>
      <c r="O516" s="43">
        <f>VLOOKUP(ws[[#This Row],[hwycov_id]],count[],6,FALSE)</f>
        <v>0</v>
      </c>
      <c r="P516" s="43">
        <v>605</v>
      </c>
      <c r="Q516" s="43" t="str">
        <f>'[2]All Counts'!P516</f>
        <v>PeMS2016</v>
      </c>
      <c r="S516" s="94">
        <v>26879</v>
      </c>
      <c r="T516" s="17"/>
      <c r="U516" s="17"/>
      <c r="V516" s="17">
        <v>19445</v>
      </c>
      <c r="W516" s="17">
        <v>24528.134765999999</v>
      </c>
      <c r="X516" s="17"/>
      <c r="Y516" s="17"/>
      <c r="Z516" s="17"/>
      <c r="AA516" s="17"/>
      <c r="AB516" s="17">
        <v>19445</v>
      </c>
      <c r="AC516" s="17">
        <v>24528.134765999999</v>
      </c>
      <c r="AD516"/>
      <c r="AE516"/>
    </row>
    <row r="517" spans="1:31" x14ac:dyDescent="0.25">
      <c r="A517" s="136">
        <f>'[2]All Counts'!C517</f>
        <v>8</v>
      </c>
      <c r="B517" s="136">
        <f>'[2]All Counts'!D517</f>
        <v>2</v>
      </c>
      <c r="C517" s="136">
        <f>'[2]All Counts'!E517</f>
        <v>9022</v>
      </c>
      <c r="D517" s="136">
        <f>'[2]All Counts'!F517</f>
        <v>1</v>
      </c>
      <c r="E517" s="136">
        <f>'[2]All Counts'!G517</f>
        <v>1</v>
      </c>
      <c r="F517" s="136" t="str">
        <f>'[2]All Counts'!H517</f>
        <v>I-5 SB</v>
      </c>
      <c r="G517" s="136">
        <f>'[2]All Counts'!I517</f>
        <v>64</v>
      </c>
      <c r="H517" s="136">
        <f>'[2]All Counts'!J517</f>
        <v>0</v>
      </c>
      <c r="I517" s="136" t="str">
        <f>'[2]All Counts'!K517</f>
        <v>DEL MAR HEIGHTS</v>
      </c>
      <c r="J517" s="136" t="str">
        <f>'[2]All Counts'!L517</f>
        <v>DEL MAR HEIGHTS</v>
      </c>
      <c r="K517" s="136">
        <f>'[2]All Counts'!O517</f>
        <v>20249</v>
      </c>
      <c r="L517" s="57">
        <f>VLOOKUP(ws[[#This Row],[hwycov_id]],readme!D:G,4,FALSE)</f>
        <v>20102.951172000001</v>
      </c>
      <c r="M517" s="88">
        <f>ws[[#This Row],[flow]]/ws[[#This Row],[count]]-1</f>
        <v>-7.2126439824188315E-3</v>
      </c>
      <c r="N517" s="89">
        <f>POWER((ws[[#This Row],[flow]]-ws[[#This Row],[count]]),2)</f>
        <v>21330.260160173308</v>
      </c>
      <c r="O517" s="43">
        <f>VLOOKUP(ws[[#This Row],[hwycov_id]],count[],6,FALSE)</f>
        <v>0</v>
      </c>
      <c r="P517" s="43">
        <v>435</v>
      </c>
      <c r="Q517" s="43" t="str">
        <f>'[2]All Counts'!P517</f>
        <v>PeMS2016</v>
      </c>
      <c r="S517" s="94">
        <v>27154</v>
      </c>
      <c r="T517" s="17">
        <v>3094</v>
      </c>
      <c r="U517" s="17">
        <v>1684.1098629999999</v>
      </c>
      <c r="V517" s="17"/>
      <c r="W517" s="17"/>
      <c r="X517" s="17"/>
      <c r="Y517" s="17"/>
      <c r="Z517" s="17"/>
      <c r="AA517" s="17"/>
      <c r="AB517" s="17">
        <v>3094</v>
      </c>
      <c r="AC517" s="17">
        <v>1684.1098629999999</v>
      </c>
      <c r="AD517"/>
      <c r="AE517"/>
    </row>
    <row r="518" spans="1:31" x14ac:dyDescent="0.25">
      <c r="A518" s="136">
        <f>'[2]All Counts'!C518</f>
        <v>8</v>
      </c>
      <c r="B518" s="136">
        <f>'[2]All Counts'!D518</f>
        <v>2</v>
      </c>
      <c r="C518" s="136">
        <f>'[2]All Counts'!E518</f>
        <v>8774</v>
      </c>
      <c r="D518" s="136">
        <f>'[2]All Counts'!F518</f>
        <v>1</v>
      </c>
      <c r="E518" s="136">
        <f>'[2]All Counts'!G518</f>
        <v>1</v>
      </c>
      <c r="F518" s="136" t="str">
        <f>'[2]All Counts'!H518</f>
        <v>I-5 SB</v>
      </c>
      <c r="G518" s="136">
        <f>'[2]All Counts'!I518</f>
        <v>65</v>
      </c>
      <c r="H518" s="136">
        <f>'[2]All Counts'!J518</f>
        <v>0</v>
      </c>
      <c r="I518" s="136" t="str">
        <f>'[2]All Counts'!K518</f>
        <v>DEL MAR HEIGHTS</v>
      </c>
      <c r="J518" s="136" t="str">
        <f>'[2]All Counts'!L518</f>
        <v>DEL MAR HEIGHTS</v>
      </c>
      <c r="K518" s="136">
        <f>'[2]All Counts'!O518</f>
        <v>20249</v>
      </c>
      <c r="L518" s="57">
        <f>VLOOKUP(ws[[#This Row],[hwycov_id]],readme!D:G,4,FALSE)</f>
        <v>20102.951172000001</v>
      </c>
      <c r="M518" s="88">
        <f>ws[[#This Row],[flow]]/ws[[#This Row],[count]]-1</f>
        <v>-7.2126439824188315E-3</v>
      </c>
      <c r="N518" s="89">
        <f>POWER((ws[[#This Row],[flow]]-ws[[#This Row],[count]]),2)</f>
        <v>21330.260160173308</v>
      </c>
      <c r="O518" s="43">
        <f>VLOOKUP(ws[[#This Row],[hwycov_id]],count[],6,FALSE)</f>
        <v>0</v>
      </c>
      <c r="P518" s="43">
        <v>235</v>
      </c>
      <c r="Q518" s="43" t="str">
        <f>'[2]All Counts'!P518</f>
        <v>PeMS2016</v>
      </c>
      <c r="S518" s="94">
        <v>27165</v>
      </c>
      <c r="T518" s="17">
        <v>17365</v>
      </c>
      <c r="U518" s="17">
        <v>17158.490234000001</v>
      </c>
      <c r="V518" s="17"/>
      <c r="W518" s="17"/>
      <c r="X518" s="17"/>
      <c r="Y518" s="17"/>
      <c r="Z518" s="17"/>
      <c r="AA518" s="17"/>
      <c r="AB518" s="17">
        <v>17365</v>
      </c>
      <c r="AC518" s="17">
        <v>17158.490234000001</v>
      </c>
      <c r="AD518"/>
      <c r="AE518"/>
    </row>
    <row r="519" spans="1:31" x14ac:dyDescent="0.25">
      <c r="A519" s="136">
        <f>'[2]All Counts'!C519</f>
        <v>8</v>
      </c>
      <c r="B519" s="136">
        <f>'[2]All Counts'!D519</f>
        <v>2</v>
      </c>
      <c r="C519" s="136">
        <f>'[2]All Counts'!E519</f>
        <v>8899</v>
      </c>
      <c r="D519" s="136">
        <f>'[2]All Counts'!F519</f>
        <v>1</v>
      </c>
      <c r="E519" s="136">
        <f>'[2]All Counts'!G519</f>
        <v>1</v>
      </c>
      <c r="F519" s="136" t="str">
        <f>'[2]All Counts'!H519</f>
        <v>I-5 SB</v>
      </c>
      <c r="G519" s="136">
        <f>'[2]All Counts'!I519</f>
        <v>67</v>
      </c>
      <c r="H519" s="136">
        <f>'[2]All Counts'!J519</f>
        <v>0</v>
      </c>
      <c r="I519" s="136" t="str">
        <f>'[2]All Counts'!K519</f>
        <v>DEL MAR HEIGHTS</v>
      </c>
      <c r="J519" s="136" t="str">
        <f>'[2]All Counts'!L519</f>
        <v>CARMEL VALLEY</v>
      </c>
      <c r="K519" s="136">
        <f>'[2]All Counts'!O519</f>
        <v>14572</v>
      </c>
      <c r="L519" s="57">
        <f>VLOOKUP(ws[[#This Row],[hwycov_id]],readme!D:G,4,FALSE)</f>
        <v>23445.865234000001</v>
      </c>
      <c r="M519" s="88">
        <f>ws[[#This Row],[flow]]/ws[[#This Row],[count]]-1</f>
        <v>0.60896687029920393</v>
      </c>
      <c r="N519" s="89">
        <f>POWER((ws[[#This Row],[flow]]-ws[[#This Row],[count]]),2)</f>
        <v>78745484.191193894</v>
      </c>
      <c r="O519" s="43">
        <f>VLOOKUP(ws[[#This Row],[hwycov_id]],count[],6,FALSE)</f>
        <v>0</v>
      </c>
      <c r="P519" s="43">
        <v>386</v>
      </c>
      <c r="Q519" s="43" t="str">
        <f>'[2]All Counts'!P519</f>
        <v>PeMS2016</v>
      </c>
      <c r="S519" s="94">
        <v>27166</v>
      </c>
      <c r="T519" s="17">
        <v>14601</v>
      </c>
      <c r="U519" s="17">
        <v>18797.330077999999</v>
      </c>
      <c r="V519" s="17"/>
      <c r="W519" s="17"/>
      <c r="X519" s="17"/>
      <c r="Y519" s="17"/>
      <c r="Z519" s="17"/>
      <c r="AA519" s="17"/>
      <c r="AB519" s="17">
        <v>14601</v>
      </c>
      <c r="AC519" s="17">
        <v>18797.330077999999</v>
      </c>
      <c r="AD519"/>
      <c r="AE519"/>
    </row>
    <row r="520" spans="1:31" x14ac:dyDescent="0.25">
      <c r="A520" s="136">
        <f>'[2]All Counts'!C520</f>
        <v>8</v>
      </c>
      <c r="B520" s="136">
        <f>'[2]All Counts'!D520</f>
        <v>2</v>
      </c>
      <c r="C520" s="136">
        <f>'[2]All Counts'!E520</f>
        <v>14255</v>
      </c>
      <c r="D520" s="136">
        <f>'[2]All Counts'!F520</f>
        <v>1</v>
      </c>
      <c r="E520" s="136">
        <f>'[2]All Counts'!G520</f>
        <v>1</v>
      </c>
      <c r="F520" s="136" t="str">
        <f>'[2]All Counts'!H520</f>
        <v>I-5 SB</v>
      </c>
      <c r="G520" s="136">
        <f>'[2]All Counts'!I520</f>
        <v>70</v>
      </c>
      <c r="H520" s="136">
        <f>'[2]All Counts'!J520</f>
        <v>0</v>
      </c>
      <c r="I520" s="136" t="str">
        <f>'[2]All Counts'!K520</f>
        <v>CARMEL VALLEY</v>
      </c>
      <c r="J520" s="136" t="str">
        <f>'[2]All Counts'!L520</f>
        <v>CARMEL VALLEY</v>
      </c>
      <c r="K520" s="136">
        <f>'[2]All Counts'!O520</f>
        <v>14023</v>
      </c>
      <c r="L520" s="57">
        <f>VLOOKUP(ws[[#This Row],[hwycov_id]],readme!D:G,4,FALSE)</f>
        <v>19650.345702999999</v>
      </c>
      <c r="M520" s="88">
        <f>ws[[#This Row],[flow]]/ws[[#This Row],[count]]-1</f>
        <v>0.40129399579262626</v>
      </c>
      <c r="N520" s="89">
        <f>POWER((ws[[#This Row],[flow]]-ws[[#This Row],[count]]),2)</f>
        <v>31667019.661072552</v>
      </c>
      <c r="O520" s="43">
        <f>VLOOKUP(ws[[#This Row],[hwycov_id]],count[],6,FALSE)</f>
        <v>0</v>
      </c>
      <c r="P520" s="43">
        <v>389</v>
      </c>
      <c r="Q520" s="43" t="str">
        <f>'[2]All Counts'!P520</f>
        <v>PeMS2016</v>
      </c>
      <c r="S520" s="94">
        <v>27172</v>
      </c>
      <c r="T520" s="17"/>
      <c r="U520" s="17"/>
      <c r="V520" s="17">
        <v>10056</v>
      </c>
      <c r="W520" s="17">
        <v>13632.411133</v>
      </c>
      <c r="X520" s="17"/>
      <c r="Y520" s="17"/>
      <c r="Z520" s="17"/>
      <c r="AA520" s="17"/>
      <c r="AB520" s="17">
        <v>10056</v>
      </c>
      <c r="AC520" s="17">
        <v>13632.411133</v>
      </c>
      <c r="AD520"/>
      <c r="AE520"/>
    </row>
    <row r="521" spans="1:31" x14ac:dyDescent="0.25">
      <c r="A521" s="136">
        <f>'[2]All Counts'!C521</f>
        <v>8</v>
      </c>
      <c r="B521" s="136">
        <f>'[2]All Counts'!D521</f>
        <v>2</v>
      </c>
      <c r="C521" s="136">
        <f>'[2]All Counts'!E521</f>
        <v>30776</v>
      </c>
      <c r="D521" s="136">
        <f>'[2]All Counts'!F521</f>
        <v>1</v>
      </c>
      <c r="E521" s="136">
        <f>'[2]All Counts'!G521</f>
        <v>1</v>
      </c>
      <c r="F521" s="136" t="str">
        <f>'[2]All Counts'!H521</f>
        <v>I-5 SB</v>
      </c>
      <c r="G521" s="136">
        <f>'[2]All Counts'!I521</f>
        <v>73</v>
      </c>
      <c r="H521" s="136">
        <f>'[2]All Counts'!J521</f>
        <v>0</v>
      </c>
      <c r="I521" s="136" t="str">
        <f>'[2]All Counts'!K521</f>
        <v>CARMEL VALLEY</v>
      </c>
      <c r="J521" s="136" t="str">
        <f>'[2]All Counts'!L521</f>
        <v>I-805 SB</v>
      </c>
      <c r="K521" s="136">
        <f>'[2]All Counts'!O521</f>
        <v>18486</v>
      </c>
      <c r="L521" s="57">
        <f>VLOOKUP(ws[[#This Row],[hwycov_id]],readme!D:G,4,FALSE)</f>
        <v>21332.662109000001</v>
      </c>
      <c r="M521" s="88">
        <f>ws[[#This Row],[flow]]/ws[[#This Row],[count]]-1</f>
        <v>0.15399016060802784</v>
      </c>
      <c r="N521" s="89">
        <f>POWER((ws[[#This Row],[flow]]-ws[[#This Row],[count]]),2)</f>
        <v>8103485.1628163327</v>
      </c>
      <c r="O521" s="43">
        <f>VLOOKUP(ws[[#This Row],[hwycov_id]],count[],6,FALSE)</f>
        <v>0</v>
      </c>
      <c r="P521" s="43">
        <v>422</v>
      </c>
      <c r="Q521" s="43" t="str">
        <f>'[2]All Counts'!P521</f>
        <v>Caltran</v>
      </c>
      <c r="S521" s="94">
        <v>27181</v>
      </c>
      <c r="T521" s="17">
        <v>20545</v>
      </c>
      <c r="U521" s="17">
        <v>19877.898438</v>
      </c>
      <c r="V521" s="17"/>
      <c r="W521" s="17"/>
      <c r="X521" s="17"/>
      <c r="Y521" s="17"/>
      <c r="Z521" s="17"/>
      <c r="AA521" s="17"/>
      <c r="AB521" s="17">
        <v>20545</v>
      </c>
      <c r="AC521" s="17">
        <v>19877.898438</v>
      </c>
      <c r="AD521"/>
      <c r="AE521"/>
    </row>
    <row r="522" spans="1:31" x14ac:dyDescent="0.25">
      <c r="A522" s="136">
        <f>'[2]All Counts'!C522</f>
        <v>8</v>
      </c>
      <c r="B522" s="136">
        <f>'[2]All Counts'!D522</f>
        <v>2</v>
      </c>
      <c r="C522" s="136">
        <f>'[2]All Counts'!E522</f>
        <v>14263</v>
      </c>
      <c r="D522" s="136">
        <f>'[2]All Counts'!F522</f>
        <v>1</v>
      </c>
      <c r="E522" s="136">
        <f>'[2]All Counts'!G522</f>
        <v>1</v>
      </c>
      <c r="F522" s="136" t="str">
        <f>'[2]All Counts'!H522</f>
        <v>I-5 SB</v>
      </c>
      <c r="G522" s="136">
        <f>'[2]All Counts'!I522</f>
        <v>75</v>
      </c>
      <c r="H522" s="136">
        <f>'[2]All Counts'!J522</f>
        <v>0</v>
      </c>
      <c r="I522" s="136" t="str">
        <f>'[2]All Counts'!K522</f>
        <v>I-805 SB</v>
      </c>
      <c r="J522" s="136" t="str">
        <f>'[2]All Counts'!L522</f>
        <v>SORRENTO VALLEY</v>
      </c>
      <c r="K522" s="136">
        <f>'[2]All Counts'!O522</f>
        <v>14198</v>
      </c>
      <c r="L522" s="57">
        <f>VLOOKUP(ws[[#This Row],[hwycov_id]],readme!D:G,4,FALSE)</f>
        <v>13394.523438</v>
      </c>
      <c r="M522" s="88">
        <f>ws[[#This Row],[flow]]/ws[[#This Row],[count]]-1</f>
        <v>-5.6590827017889866E-2</v>
      </c>
      <c r="N522" s="89">
        <f>POWER((ws[[#This Row],[flow]]-ws[[#This Row],[count]]),2)</f>
        <v>645574.58568333962</v>
      </c>
      <c r="O522" s="43">
        <f>VLOOKUP(ws[[#This Row],[hwycov_id]],count[],6,FALSE)</f>
        <v>0</v>
      </c>
      <c r="P522" s="43">
        <v>388</v>
      </c>
      <c r="Q522" s="43" t="str">
        <f>'[2]All Counts'!P522</f>
        <v>Caltran</v>
      </c>
      <c r="S522" s="94">
        <v>27182</v>
      </c>
      <c r="T522" s="17"/>
      <c r="U522" s="17"/>
      <c r="V522" s="17">
        <v>8921</v>
      </c>
      <c r="W522" s="17">
        <v>10564.071289</v>
      </c>
      <c r="X522" s="17"/>
      <c r="Y522" s="17"/>
      <c r="Z522" s="17"/>
      <c r="AA522" s="17"/>
      <c r="AB522" s="17">
        <v>8921</v>
      </c>
      <c r="AC522" s="17">
        <v>10564.071289</v>
      </c>
      <c r="AD522"/>
      <c r="AE522"/>
    </row>
    <row r="523" spans="1:31" x14ac:dyDescent="0.25">
      <c r="A523" s="136">
        <f>'[2]All Counts'!C523</f>
        <v>8</v>
      </c>
      <c r="B523" s="136">
        <f>'[2]All Counts'!D523</f>
        <v>2</v>
      </c>
      <c r="C523" s="136">
        <f>'[2]All Counts'!E523</f>
        <v>14286</v>
      </c>
      <c r="D523" s="136">
        <f>'[2]All Counts'!F523</f>
        <v>1</v>
      </c>
      <c r="E523" s="136">
        <f>'[2]All Counts'!G523</f>
        <v>1</v>
      </c>
      <c r="F523" s="136" t="str">
        <f>'[2]All Counts'!H523</f>
        <v>I-5 SB</v>
      </c>
      <c r="G523" s="136">
        <f>'[2]All Counts'!I523</f>
        <v>78</v>
      </c>
      <c r="H523" s="136">
        <f>'[2]All Counts'!J523</f>
        <v>0</v>
      </c>
      <c r="I523" s="136" t="str">
        <f>'[2]All Counts'!K523</f>
        <v>GENESEE</v>
      </c>
      <c r="J523" s="136" t="str">
        <f>'[2]All Counts'!L523</f>
        <v>GENESEE</v>
      </c>
      <c r="K523" s="136">
        <f>'[2]All Counts'!O523</f>
        <v>14999</v>
      </c>
      <c r="L523" s="57">
        <f>VLOOKUP(ws[[#This Row],[hwycov_id]],readme!D:G,4,FALSE)</f>
        <v>14800.663086</v>
      </c>
      <c r="M523" s="88">
        <f>ws[[#This Row],[flow]]/ws[[#This Row],[count]]-1</f>
        <v>-1.3223342489499301E-2</v>
      </c>
      <c r="N523" s="89">
        <f>POWER((ws[[#This Row],[flow]]-ws[[#This Row],[count]]),2)</f>
        <v>39337.531455043209</v>
      </c>
      <c r="O523" s="43">
        <f>VLOOKUP(ws[[#This Row],[hwycov_id]],count[],6,FALSE)</f>
        <v>0</v>
      </c>
      <c r="P523" s="43">
        <v>425</v>
      </c>
      <c r="Q523" s="43" t="str">
        <f>'[2]All Counts'!P523</f>
        <v>PeMS2016</v>
      </c>
      <c r="S523" s="94">
        <v>27183</v>
      </c>
      <c r="T523" s="17">
        <v>19536</v>
      </c>
      <c r="U523" s="17">
        <v>18405.800781000002</v>
      </c>
      <c r="V523" s="17"/>
      <c r="W523" s="17"/>
      <c r="X523" s="17"/>
      <c r="Y523" s="17"/>
      <c r="Z523" s="17"/>
      <c r="AA523" s="17"/>
      <c r="AB523" s="17">
        <v>19536</v>
      </c>
      <c r="AC523" s="17">
        <v>18405.800781000002</v>
      </c>
      <c r="AD523"/>
      <c r="AE523"/>
    </row>
    <row r="524" spans="1:31" x14ac:dyDescent="0.25">
      <c r="A524" s="136">
        <f>'[2]All Counts'!C524</f>
        <v>8</v>
      </c>
      <c r="B524" s="136">
        <f>'[2]All Counts'!D524</f>
        <v>2</v>
      </c>
      <c r="C524" s="136">
        <f>'[2]All Counts'!E524</f>
        <v>9252</v>
      </c>
      <c r="D524" s="136">
        <f>'[2]All Counts'!F524</f>
        <v>1</v>
      </c>
      <c r="E524" s="136">
        <f>'[2]All Counts'!G524</f>
        <v>1</v>
      </c>
      <c r="F524" s="136" t="str">
        <f>'[2]All Counts'!H524</f>
        <v>I-5 SB</v>
      </c>
      <c r="G524" s="136">
        <f>'[2]All Counts'!I524</f>
        <v>81</v>
      </c>
      <c r="H524" s="136">
        <f>'[2]All Counts'!J524</f>
        <v>0</v>
      </c>
      <c r="I524" s="136" t="str">
        <f>'[2]All Counts'!K524</f>
        <v>LA JOLLA VILLAGE</v>
      </c>
      <c r="J524" s="136" t="str">
        <f>'[2]All Counts'!L524</f>
        <v>LA JOLLA VILLAGE</v>
      </c>
      <c r="K524" s="136">
        <f>'[2]All Counts'!O524</f>
        <v>14135</v>
      </c>
      <c r="L524" s="57">
        <f>VLOOKUP(ws[[#This Row],[hwycov_id]],readme!D:G,4,FALSE)</f>
        <v>17301.013672000001</v>
      </c>
      <c r="M524" s="88">
        <f>ws[[#This Row],[flow]]/ws[[#This Row],[count]]-1</f>
        <v>0.22398398811460929</v>
      </c>
      <c r="N524" s="89">
        <f>POWER((ws[[#This Row],[flow]]-ws[[#This Row],[count]]),2)</f>
        <v>10023642.571290929</v>
      </c>
      <c r="O524" s="43">
        <f>VLOOKUP(ws[[#This Row],[hwycov_id]],count[],6,FALSE)</f>
        <v>0</v>
      </c>
      <c r="P524" s="43">
        <v>387</v>
      </c>
      <c r="Q524" s="43" t="str">
        <f>'[2]All Counts'!P524</f>
        <v>PeMS2016</v>
      </c>
      <c r="S524" s="94">
        <v>27184</v>
      </c>
      <c r="T524" s="17"/>
      <c r="U524" s="17"/>
      <c r="V524" s="17">
        <v>9672</v>
      </c>
      <c r="W524" s="17">
        <v>10145.104492</v>
      </c>
      <c r="X524" s="17"/>
      <c r="Y524" s="17"/>
      <c r="Z524" s="17"/>
      <c r="AA524" s="17"/>
      <c r="AB524" s="17">
        <v>9672</v>
      </c>
      <c r="AC524" s="17">
        <v>10145.104492</v>
      </c>
      <c r="AD524"/>
      <c r="AE524"/>
    </row>
    <row r="525" spans="1:31" x14ac:dyDescent="0.25">
      <c r="A525" s="136">
        <f>'[2]All Counts'!C525</f>
        <v>8</v>
      </c>
      <c r="B525" s="136">
        <f>'[2]All Counts'!D525</f>
        <v>2</v>
      </c>
      <c r="C525" s="136">
        <f>'[2]All Counts'!E525</f>
        <v>15039</v>
      </c>
      <c r="D525" s="136">
        <f>'[2]All Counts'!F525</f>
        <v>1</v>
      </c>
      <c r="E525" s="136">
        <f>'[2]All Counts'!G525</f>
        <v>1</v>
      </c>
      <c r="F525" s="136" t="str">
        <f>'[2]All Counts'!H525</f>
        <v>I-5 SB</v>
      </c>
      <c r="G525" s="136">
        <f>'[2]All Counts'!I525</f>
        <v>83</v>
      </c>
      <c r="H525" s="136">
        <f>'[2]All Counts'!J525</f>
        <v>0</v>
      </c>
      <c r="I525" s="136" t="str">
        <f>'[2]All Counts'!K525</f>
        <v>LA JOLLA VILLAGE</v>
      </c>
      <c r="J525" s="136" t="str">
        <f>'[2]All Counts'!L525</f>
        <v>NOBEL</v>
      </c>
      <c r="K525" s="136">
        <f>'[2]All Counts'!O525</f>
        <v>18571</v>
      </c>
      <c r="L525" s="57">
        <f>VLOOKUP(ws[[#This Row],[hwycov_id]],readme!D:G,4,FALSE)</f>
        <v>21410.935547000001</v>
      </c>
      <c r="M525" s="88">
        <f>ws[[#This Row],[flow]]/ws[[#This Row],[count]]-1</f>
        <v>0.1529231353723548</v>
      </c>
      <c r="N525" s="89">
        <f>POWER((ws[[#This Row],[flow]]-ws[[#This Row],[count]]),2)</f>
        <v>8065233.9111141944</v>
      </c>
      <c r="O525" s="43">
        <f>VLOOKUP(ws[[#This Row],[hwycov_id]],count[],6,FALSE)</f>
        <v>0</v>
      </c>
      <c r="P525" s="43">
        <v>426</v>
      </c>
      <c r="Q525" s="43" t="str">
        <f>'[2]All Counts'!P525</f>
        <v>PeMS2016</v>
      </c>
      <c r="S525" s="94">
        <v>27193</v>
      </c>
      <c r="T525" s="17">
        <v>14064</v>
      </c>
      <c r="U525" s="17">
        <v>18164.095702999999</v>
      </c>
      <c r="V525" s="17"/>
      <c r="W525" s="17"/>
      <c r="X525" s="17"/>
      <c r="Y525" s="17"/>
      <c r="Z525" s="17"/>
      <c r="AA525" s="17"/>
      <c r="AB525" s="17">
        <v>14064</v>
      </c>
      <c r="AC525" s="17">
        <v>18164.095702999999</v>
      </c>
      <c r="AD525"/>
      <c r="AE525"/>
    </row>
    <row r="526" spans="1:31" x14ac:dyDescent="0.25">
      <c r="A526" s="136">
        <f>'[2]All Counts'!C526</f>
        <v>8</v>
      </c>
      <c r="B526" s="136">
        <f>'[2]All Counts'!D526</f>
        <v>2</v>
      </c>
      <c r="C526" s="136">
        <f>'[2]All Counts'!E526</f>
        <v>15035</v>
      </c>
      <c r="D526" s="136">
        <f>'[2]All Counts'!F526</f>
        <v>1</v>
      </c>
      <c r="E526" s="136">
        <f>'[2]All Counts'!G526</f>
        <v>1</v>
      </c>
      <c r="F526" s="136" t="str">
        <f>'[2]All Counts'!H526</f>
        <v>I-5 SB</v>
      </c>
      <c r="G526" s="136">
        <f>'[2]All Counts'!I526</f>
        <v>84</v>
      </c>
      <c r="H526" s="136">
        <f>'[2]All Counts'!J526</f>
        <v>0</v>
      </c>
      <c r="I526" s="136" t="str">
        <f>'[2]All Counts'!K526</f>
        <v>NOBEL</v>
      </c>
      <c r="J526" s="136" t="str">
        <f>'[2]All Counts'!L526</f>
        <v>GILMAN</v>
      </c>
      <c r="K526" s="136">
        <f>'[2]All Counts'!O526</f>
        <v>18571</v>
      </c>
      <c r="L526" s="57">
        <f>VLOOKUP(ws[[#This Row],[hwycov_id]],readme!D:G,4,FALSE)</f>
        <v>23333.398438</v>
      </c>
      <c r="M526" s="88">
        <f>ws[[#This Row],[flow]]/ws[[#This Row],[count]]-1</f>
        <v>0.25644275687900486</v>
      </c>
      <c r="N526" s="89">
        <f>POWER((ws[[#This Row],[flow]]-ws[[#This Row],[count]]),2)</f>
        <v>22680438.882264841</v>
      </c>
      <c r="O526" s="43">
        <f>VLOOKUP(ws[[#This Row],[hwycov_id]],count[],6,FALSE)</f>
        <v>0</v>
      </c>
      <c r="P526" s="43">
        <v>392</v>
      </c>
      <c r="Q526" s="43" t="str">
        <f>'[2]All Counts'!P526</f>
        <v>PeMS2016</v>
      </c>
      <c r="S526" s="94">
        <v>27194</v>
      </c>
      <c r="T526" s="17"/>
      <c r="U526" s="17"/>
      <c r="V526" s="17">
        <v>7434</v>
      </c>
      <c r="W526" s="17">
        <v>14480.724609000001</v>
      </c>
      <c r="X526" s="17"/>
      <c r="Y526" s="17"/>
      <c r="Z526" s="17"/>
      <c r="AA526" s="17"/>
      <c r="AB526" s="17">
        <v>7434</v>
      </c>
      <c r="AC526" s="17">
        <v>14480.724609000001</v>
      </c>
      <c r="AD526"/>
      <c r="AE526"/>
    </row>
    <row r="527" spans="1:31" x14ac:dyDescent="0.25">
      <c r="A527" s="136">
        <f>'[2]All Counts'!C527</f>
        <v>8</v>
      </c>
      <c r="B527" s="136">
        <f>'[2]All Counts'!D527</f>
        <v>2</v>
      </c>
      <c r="C527" s="136">
        <f>'[2]All Counts'!E527</f>
        <v>8777</v>
      </c>
      <c r="D527" s="136">
        <f>'[2]All Counts'!F527</f>
        <v>1</v>
      </c>
      <c r="E527" s="136">
        <f>'[2]All Counts'!G527</f>
        <v>1</v>
      </c>
      <c r="F527" s="136" t="str">
        <f>'[2]All Counts'!H527</f>
        <v>I-5 SB</v>
      </c>
      <c r="G527" s="136">
        <f>'[2]All Counts'!I527</f>
        <v>85</v>
      </c>
      <c r="H527" s="136">
        <f>'[2]All Counts'!J527</f>
        <v>0</v>
      </c>
      <c r="I527" s="136" t="str">
        <f>'[2]All Counts'!K527</f>
        <v>GILMAN</v>
      </c>
      <c r="J527" s="136" t="str">
        <f>'[2]All Counts'!L527</f>
        <v>GILMAN</v>
      </c>
      <c r="K527" s="136">
        <f>'[2]All Counts'!O527</f>
        <v>21678</v>
      </c>
      <c r="L527" s="57">
        <f>VLOOKUP(ws[[#This Row],[hwycov_id]],readme!D:G,4,FALSE)</f>
        <v>22955.121093999998</v>
      </c>
      <c r="M527" s="88">
        <f>ws[[#This Row],[flow]]/ws[[#This Row],[count]]-1</f>
        <v>5.8913234338961118E-2</v>
      </c>
      <c r="N527" s="89">
        <f>POWER((ws[[#This Row],[flow]]-ws[[#This Row],[count]]),2)</f>
        <v>1631038.2887397525</v>
      </c>
      <c r="O527" s="43">
        <f>VLOOKUP(ws[[#This Row],[hwycov_id]],count[],6,FALSE)</f>
        <v>0</v>
      </c>
      <c r="P527" s="43">
        <v>420</v>
      </c>
      <c r="Q527" s="43" t="str">
        <f>'[2]All Counts'!P527</f>
        <v>PeMS2016</v>
      </c>
      <c r="S527" s="94">
        <v>27195</v>
      </c>
      <c r="T527" s="17">
        <v>17544</v>
      </c>
      <c r="U527" s="17">
        <v>17436.033202999999</v>
      </c>
      <c r="V527" s="17"/>
      <c r="W527" s="17"/>
      <c r="X527" s="17"/>
      <c r="Y527" s="17"/>
      <c r="Z527" s="17"/>
      <c r="AA527" s="17"/>
      <c r="AB527" s="17">
        <v>17544</v>
      </c>
      <c r="AC527" s="17">
        <v>17436.033202999999</v>
      </c>
      <c r="AD527"/>
      <c r="AE527"/>
    </row>
    <row r="528" spans="1:31" x14ac:dyDescent="0.25">
      <c r="A528" s="136">
        <f>'[2]All Counts'!C528</f>
        <v>8</v>
      </c>
      <c r="B528" s="136">
        <f>'[2]All Counts'!D528</f>
        <v>2</v>
      </c>
      <c r="C528" s="136">
        <f>'[2]All Counts'!E528</f>
        <v>12009</v>
      </c>
      <c r="D528" s="136">
        <f>'[2]All Counts'!F528</f>
        <v>1</v>
      </c>
      <c r="E528" s="136">
        <f>'[2]All Counts'!G528</f>
        <v>1</v>
      </c>
      <c r="F528" s="136" t="str">
        <f>'[2]All Counts'!H528</f>
        <v>I-5 SB</v>
      </c>
      <c r="G528" s="136">
        <f>'[2]All Counts'!I528</f>
        <v>87</v>
      </c>
      <c r="H528" s="136">
        <f>'[2]All Counts'!J528</f>
        <v>0</v>
      </c>
      <c r="I528" s="136" t="str">
        <f>'[2]All Counts'!K528</f>
        <v>SR-52 EB</v>
      </c>
      <c r="J528" s="136" t="str">
        <f>'[2]All Counts'!L528</f>
        <v>SR-52 WB</v>
      </c>
      <c r="K528" s="136">
        <f>'[2]All Counts'!O528</f>
        <v>21728</v>
      </c>
      <c r="L528" s="57">
        <f>VLOOKUP(ws[[#This Row],[hwycov_id]],readme!D:G,4,FALSE)</f>
        <v>21101.384765999999</v>
      </c>
      <c r="M528" s="88">
        <f>ws[[#This Row],[flow]]/ws[[#This Row],[count]]-1</f>
        <v>-2.8839066365979438E-2</v>
      </c>
      <c r="N528" s="89">
        <f>POWER((ws[[#This Row],[flow]]-ws[[#This Row],[count]]),2)</f>
        <v>392646.65148087573</v>
      </c>
      <c r="O528" s="43">
        <f>VLOOKUP(ws[[#This Row],[hwycov_id]],count[],6,FALSE)</f>
        <v>0</v>
      </c>
      <c r="P528" s="43">
        <v>393</v>
      </c>
      <c r="Q528" s="43" t="str">
        <f>'[2]All Counts'!P528</f>
        <v>PeMS2016</v>
      </c>
      <c r="S528" s="94">
        <v>27196</v>
      </c>
      <c r="T528" s="17"/>
      <c r="U528" s="17"/>
      <c r="V528" s="17">
        <v>7958</v>
      </c>
      <c r="W528" s="17">
        <v>14727.751953000001</v>
      </c>
      <c r="X528" s="17"/>
      <c r="Y528" s="17"/>
      <c r="Z528" s="17"/>
      <c r="AA528" s="17"/>
      <c r="AB528" s="17">
        <v>7958</v>
      </c>
      <c r="AC528" s="17">
        <v>14727.751953000001</v>
      </c>
      <c r="AD528"/>
      <c r="AE528"/>
    </row>
    <row r="529" spans="1:31" x14ac:dyDescent="0.25">
      <c r="A529" s="136">
        <f>'[2]All Counts'!C529</f>
        <v>8</v>
      </c>
      <c r="B529" s="136">
        <f>'[2]All Counts'!D529</f>
        <v>2</v>
      </c>
      <c r="C529" s="136">
        <f>'[2]All Counts'!E529</f>
        <v>26065</v>
      </c>
      <c r="D529" s="136">
        <f>'[2]All Counts'!F529</f>
        <v>1</v>
      </c>
      <c r="E529" s="136">
        <f>'[2]All Counts'!G529</f>
        <v>1</v>
      </c>
      <c r="F529" s="136" t="str">
        <f>'[2]All Counts'!H529</f>
        <v>I-5 SB</v>
      </c>
      <c r="G529" s="136">
        <f>'[2]All Counts'!I529</f>
        <v>88</v>
      </c>
      <c r="H529" s="136">
        <f>'[2]All Counts'!J529</f>
        <v>0</v>
      </c>
      <c r="I529" s="136" t="str">
        <f>'[2]All Counts'!K529</f>
        <v>SR-52 WB</v>
      </c>
      <c r="J529" s="136" t="str">
        <f>'[2]All Counts'!L529</f>
        <v>MISSION BAY</v>
      </c>
      <c r="K529" s="136">
        <f>'[2]All Counts'!O529</f>
        <v>27538</v>
      </c>
      <c r="L529" s="57">
        <f>VLOOKUP(ws[[#This Row],[hwycov_id]],readme!D:G,4,FALSE)</f>
        <v>26429.449218999998</v>
      </c>
      <c r="M529" s="88">
        <f>ws[[#This Row],[flow]]/ws[[#This Row],[count]]-1</f>
        <v>-4.0255311968915741E-2</v>
      </c>
      <c r="N529" s="89">
        <f>POWER((ws[[#This Row],[flow]]-ws[[#This Row],[count]]),2)</f>
        <v>1228884.8340557138</v>
      </c>
      <c r="O529" s="43">
        <f>VLOOKUP(ws[[#This Row],[hwycov_id]],count[],6,FALSE)</f>
        <v>0</v>
      </c>
      <c r="P529" s="43">
        <v>419</v>
      </c>
      <c r="Q529" s="43" t="str">
        <f>'[2]All Counts'!P529</f>
        <v>Caltran</v>
      </c>
      <c r="S529" s="94">
        <v>27223</v>
      </c>
      <c r="T529" s="17"/>
      <c r="U529" s="17"/>
      <c r="V529" s="17"/>
      <c r="W529" s="17"/>
      <c r="X529" s="17">
        <v>8170</v>
      </c>
      <c r="Y529" s="17">
        <v>8879.09375</v>
      </c>
      <c r="Z529" s="17"/>
      <c r="AA529" s="17"/>
      <c r="AB529" s="17">
        <v>8170</v>
      </c>
      <c r="AC529" s="17">
        <v>8879.09375</v>
      </c>
      <c r="AD529"/>
      <c r="AE529"/>
    </row>
    <row r="530" spans="1:31" x14ac:dyDescent="0.25">
      <c r="A530" s="136">
        <f>'[2]All Counts'!C530</f>
        <v>8</v>
      </c>
      <c r="B530" s="136">
        <f>'[2]All Counts'!D530</f>
        <v>2</v>
      </c>
      <c r="C530" s="136">
        <f>'[2]All Counts'!E530</f>
        <v>26017</v>
      </c>
      <c r="D530" s="136">
        <f>'[2]All Counts'!F530</f>
        <v>1</v>
      </c>
      <c r="E530" s="136">
        <f>'[2]All Counts'!G530</f>
        <v>1</v>
      </c>
      <c r="F530" s="136" t="str">
        <f>'[2]All Counts'!H530</f>
        <v>I-5 SB</v>
      </c>
      <c r="G530" s="136">
        <f>'[2]All Counts'!I530</f>
        <v>89</v>
      </c>
      <c r="H530" s="136">
        <f>'[2]All Counts'!J530</f>
        <v>0</v>
      </c>
      <c r="I530" s="136" t="str">
        <f>'[2]All Counts'!K530</f>
        <v>SR-52 WB</v>
      </c>
      <c r="J530" s="136" t="str">
        <f>'[2]All Counts'!L530</f>
        <v>MISSION BAY</v>
      </c>
      <c r="K530" s="136">
        <f>'[2]All Counts'!O530</f>
        <v>26378</v>
      </c>
      <c r="L530" s="57">
        <f>VLOOKUP(ws[[#This Row],[hwycov_id]],readme!D:G,4,FALSE)</f>
        <v>26429.449218999998</v>
      </c>
      <c r="M530" s="88">
        <f>ws[[#This Row],[flow]]/ws[[#This Row],[count]]-1</f>
        <v>1.9504594358934479E-3</v>
      </c>
      <c r="N530" s="89">
        <f>POWER((ws[[#This Row],[flow]]-ws[[#This Row],[count]]),2)</f>
        <v>2647.0221357097826</v>
      </c>
      <c r="O530" s="43">
        <f>VLOOKUP(ws[[#This Row],[hwycov_id]],count[],6,FALSE)</f>
        <v>0</v>
      </c>
      <c r="P530" s="43">
        <v>87</v>
      </c>
      <c r="Q530" s="43" t="str">
        <f>'[2]All Counts'!P530</f>
        <v>PeMS2016</v>
      </c>
      <c r="S530" s="94">
        <v>27229</v>
      </c>
      <c r="T530" s="17"/>
      <c r="U530" s="17"/>
      <c r="V530" s="17"/>
      <c r="W530" s="17"/>
      <c r="X530" s="17"/>
      <c r="Y530" s="17"/>
      <c r="Z530" s="17">
        <v>12478</v>
      </c>
      <c r="AA530" s="17">
        <v>14889.771484000001</v>
      </c>
      <c r="AB530" s="17">
        <v>12478</v>
      </c>
      <c r="AC530" s="17">
        <v>14889.771484000001</v>
      </c>
      <c r="AD530"/>
      <c r="AE530"/>
    </row>
    <row r="531" spans="1:31" x14ac:dyDescent="0.25">
      <c r="A531" s="136">
        <f>'[2]All Counts'!C531</f>
        <v>8</v>
      </c>
      <c r="B531" s="136">
        <f>'[2]All Counts'!D531</f>
        <v>2</v>
      </c>
      <c r="C531" s="136">
        <f>'[2]All Counts'!E531</f>
        <v>8780</v>
      </c>
      <c r="D531" s="136">
        <f>'[2]All Counts'!F531</f>
        <v>1</v>
      </c>
      <c r="E531" s="136">
        <f>'[2]All Counts'!G531</f>
        <v>1</v>
      </c>
      <c r="F531" s="136" t="str">
        <f>'[2]All Counts'!H531</f>
        <v>I-5 SB</v>
      </c>
      <c r="G531" s="136">
        <f>'[2]All Counts'!I531</f>
        <v>90</v>
      </c>
      <c r="H531" s="136">
        <f>'[2]All Counts'!J531</f>
        <v>0</v>
      </c>
      <c r="I531" s="136" t="str">
        <f>'[2]All Counts'!K531</f>
        <v>MISSION BAY</v>
      </c>
      <c r="J531" s="136" t="str">
        <f>'[2]All Counts'!L531</f>
        <v>GARNET</v>
      </c>
      <c r="K531" s="136">
        <f>'[2]All Counts'!O531</f>
        <v>21493</v>
      </c>
      <c r="L531" s="57">
        <f>VLOOKUP(ws[[#This Row],[hwycov_id]],readme!D:G,4,FALSE)</f>
        <v>20347.445312</v>
      </c>
      <c r="M531" s="88">
        <f>ws[[#This Row],[flow]]/ws[[#This Row],[count]]-1</f>
        <v>-5.3298966547247972E-2</v>
      </c>
      <c r="N531" s="89">
        <f>POWER((ws[[#This Row],[flow]]-ws[[#This Row],[count]]),2)</f>
        <v>1312295.5431987778</v>
      </c>
      <c r="O531" s="43">
        <f>VLOOKUP(ws[[#This Row],[hwycov_id]],count[],6,FALSE)</f>
        <v>0</v>
      </c>
      <c r="P531" s="43">
        <v>690</v>
      </c>
      <c r="Q531" s="43" t="str">
        <f>'[2]All Counts'!P531</f>
        <v>PeMS2016</v>
      </c>
      <c r="S531" s="94">
        <v>27241</v>
      </c>
      <c r="T531" s="17"/>
      <c r="U531" s="17"/>
      <c r="V531" s="17"/>
      <c r="W531" s="17"/>
      <c r="X531" s="17">
        <v>8710</v>
      </c>
      <c r="Y531" s="17">
        <v>9422.9111329999996</v>
      </c>
      <c r="Z531" s="17"/>
      <c r="AA531" s="17"/>
      <c r="AB531" s="17">
        <v>8710</v>
      </c>
      <c r="AC531" s="17">
        <v>9422.9111329999996</v>
      </c>
      <c r="AD531"/>
      <c r="AE531"/>
    </row>
    <row r="532" spans="1:31" x14ac:dyDescent="0.25">
      <c r="A532" s="136">
        <f>'[2]All Counts'!C532</f>
        <v>8</v>
      </c>
      <c r="B532" s="136">
        <f>'[2]All Counts'!D532</f>
        <v>2</v>
      </c>
      <c r="C532" s="136">
        <f>'[2]All Counts'!E532</f>
        <v>20684</v>
      </c>
      <c r="D532" s="136">
        <f>'[2]All Counts'!F532</f>
        <v>1</v>
      </c>
      <c r="E532" s="136">
        <f>'[2]All Counts'!G532</f>
        <v>1</v>
      </c>
      <c r="F532" s="136" t="str">
        <f>'[2]All Counts'!H532</f>
        <v>I-5 SB</v>
      </c>
      <c r="G532" s="136">
        <f>'[2]All Counts'!I532</f>
        <v>91</v>
      </c>
      <c r="H532" s="136">
        <f>'[2]All Counts'!J532</f>
        <v>0</v>
      </c>
      <c r="I532" s="136" t="str">
        <f>'[2]All Counts'!K532</f>
        <v>GARNET</v>
      </c>
      <c r="J532" s="136" t="str">
        <f>'[2]All Counts'!L532</f>
        <v>MISSION BAY</v>
      </c>
      <c r="K532" s="136">
        <f>'[2]All Counts'!O532</f>
        <v>23832</v>
      </c>
      <c r="L532" s="57">
        <f>VLOOKUP(ws[[#This Row],[hwycov_id]],readme!D:G,4,FALSE)</f>
        <v>23282.759765999999</v>
      </c>
      <c r="M532" s="88">
        <f>ws[[#This Row],[flow]]/ws[[#This Row],[count]]-1</f>
        <v>-2.3046334088620335E-2</v>
      </c>
      <c r="N532" s="89">
        <f>POWER((ws[[#This Row],[flow]]-ws[[#This Row],[count]]),2)</f>
        <v>301664.8346443756</v>
      </c>
      <c r="O532" s="43">
        <f>VLOOKUP(ws[[#This Row],[hwycov_id]],count[],6,FALSE)</f>
        <v>0</v>
      </c>
      <c r="P532" s="43">
        <v>88</v>
      </c>
      <c r="Q532" s="43" t="str">
        <f>'[2]All Counts'!P532</f>
        <v>PeMS2016</v>
      </c>
      <c r="S532" s="94">
        <v>27245</v>
      </c>
      <c r="T532" s="17"/>
      <c r="U532" s="17"/>
      <c r="V532" s="17"/>
      <c r="W532" s="17"/>
      <c r="X532" s="17"/>
      <c r="Y532" s="17"/>
      <c r="Z532" s="17">
        <v>13752</v>
      </c>
      <c r="AA532" s="17">
        <v>14316.778319999999</v>
      </c>
      <c r="AB532" s="17">
        <v>13752</v>
      </c>
      <c r="AC532" s="17">
        <v>14316.778319999999</v>
      </c>
      <c r="AD532"/>
      <c r="AE532"/>
    </row>
    <row r="533" spans="1:31" x14ac:dyDescent="0.25">
      <c r="A533" s="136">
        <f>'[2]All Counts'!C533</f>
        <v>8</v>
      </c>
      <c r="B533" s="136">
        <f>'[2]All Counts'!D533</f>
        <v>2</v>
      </c>
      <c r="C533" s="136">
        <f>'[2]All Counts'!E533</f>
        <v>8787</v>
      </c>
      <c r="D533" s="136">
        <f>'[2]All Counts'!F533</f>
        <v>1</v>
      </c>
      <c r="E533" s="136">
        <f>'[2]All Counts'!G533</f>
        <v>1</v>
      </c>
      <c r="F533" s="136" t="str">
        <f>'[2]All Counts'!H533</f>
        <v>I-5 SB</v>
      </c>
      <c r="G533" s="136">
        <f>'[2]All Counts'!I533</f>
        <v>93</v>
      </c>
      <c r="H533" s="136">
        <f>'[2]All Counts'!J533</f>
        <v>0</v>
      </c>
      <c r="I533" s="136" t="str">
        <f>'[2]All Counts'!K533</f>
        <v>CLAIREMONT</v>
      </c>
      <c r="J533" s="136" t="str">
        <f>'[2]All Counts'!L533</f>
        <v>CLAIREMONT</v>
      </c>
      <c r="K533" s="136">
        <f>'[2]All Counts'!O533</f>
        <v>28959</v>
      </c>
      <c r="L533" s="57">
        <f>VLOOKUP(ws[[#This Row],[hwycov_id]],readme!D:G,4,FALSE)</f>
        <v>24334.28125</v>
      </c>
      <c r="M533" s="88">
        <f>ws[[#This Row],[flow]]/ws[[#This Row],[count]]-1</f>
        <v>-0.15969884146552027</v>
      </c>
      <c r="N533" s="89">
        <f>POWER((ws[[#This Row],[flow]]-ws[[#This Row],[count]]),2)</f>
        <v>21388023.516601563</v>
      </c>
      <c r="O533" s="43">
        <f>VLOOKUP(ws[[#This Row],[hwycov_id]],count[],6,FALSE)</f>
        <v>0</v>
      </c>
      <c r="P533" s="43">
        <v>718</v>
      </c>
      <c r="Q533" s="43" t="str">
        <f>'[2]All Counts'!P533</f>
        <v>PeMS2016</v>
      </c>
      <c r="S533" s="94">
        <v>27247</v>
      </c>
      <c r="T533" s="17"/>
      <c r="U533" s="17"/>
      <c r="V533" s="17"/>
      <c r="W533" s="17"/>
      <c r="X533" s="17"/>
      <c r="Y533" s="17"/>
      <c r="Z533" s="17">
        <v>11810</v>
      </c>
      <c r="AA533" s="17">
        <v>13279.395508</v>
      </c>
      <c r="AB533" s="17">
        <v>11810</v>
      </c>
      <c r="AC533" s="17">
        <v>13279.395508</v>
      </c>
      <c r="AD533"/>
      <c r="AE533"/>
    </row>
    <row r="534" spans="1:31" x14ac:dyDescent="0.25">
      <c r="A534" s="136">
        <f>'[2]All Counts'!C534</f>
        <v>8</v>
      </c>
      <c r="B534" s="136">
        <f>'[2]All Counts'!D534</f>
        <v>2</v>
      </c>
      <c r="C534" s="136">
        <f>'[2]All Counts'!E534</f>
        <v>30816</v>
      </c>
      <c r="D534" s="136">
        <f>'[2]All Counts'!F534</f>
        <v>1</v>
      </c>
      <c r="E534" s="136">
        <f>'[2]All Counts'!G534</f>
        <v>1</v>
      </c>
      <c r="F534" s="136" t="str">
        <f>'[2]All Counts'!H534</f>
        <v>I-5 SB</v>
      </c>
      <c r="G534" s="136">
        <f>'[2]All Counts'!I534</f>
        <v>95</v>
      </c>
      <c r="H534" s="136">
        <f>'[2]All Counts'!J534</f>
        <v>0</v>
      </c>
      <c r="I534" s="136" t="str">
        <f>'[2]All Counts'!K534</f>
        <v>CLAIREMONT</v>
      </c>
      <c r="J534" s="136" t="str">
        <f>'[2]All Counts'!L534</f>
        <v>SEA WORLD</v>
      </c>
      <c r="K534" s="136">
        <f>'[2]All Counts'!O534</f>
        <v>27665</v>
      </c>
      <c r="L534" s="57">
        <f>VLOOKUP(ws[[#This Row],[hwycov_id]],readme!D:G,4,FALSE)</f>
        <v>26810.771484000001</v>
      </c>
      <c r="M534" s="88">
        <f>ws[[#This Row],[flow]]/ws[[#This Row],[count]]-1</f>
        <v>-3.08775895897343E-2</v>
      </c>
      <c r="N534" s="89">
        <f>POWER((ws[[#This Row],[flow]]-ws[[#This Row],[count]]),2)</f>
        <v>729706.35754756094</v>
      </c>
      <c r="O534" s="43">
        <f>VLOOKUP(ws[[#This Row],[hwycov_id]],count[],6,FALSE)</f>
        <v>0</v>
      </c>
      <c r="P534" s="43">
        <v>725</v>
      </c>
      <c r="Q534" s="43" t="str">
        <f>'[2]All Counts'!P534</f>
        <v>PeMS2016</v>
      </c>
      <c r="S534" s="94">
        <v>27248</v>
      </c>
      <c r="T534" s="17"/>
      <c r="U534" s="17"/>
      <c r="V534" s="17"/>
      <c r="W534" s="17"/>
      <c r="X534" s="17">
        <v>12472</v>
      </c>
      <c r="Y534" s="17">
        <v>13471.100586</v>
      </c>
      <c r="Z534" s="17"/>
      <c r="AA534" s="17"/>
      <c r="AB534" s="17">
        <v>12472</v>
      </c>
      <c r="AC534" s="17">
        <v>13471.100586</v>
      </c>
      <c r="AD534"/>
      <c r="AE534"/>
    </row>
    <row r="535" spans="1:31" x14ac:dyDescent="0.25">
      <c r="A535" s="136">
        <f>'[2]All Counts'!C535</f>
        <v>8</v>
      </c>
      <c r="B535" s="136">
        <f>'[2]All Counts'!D535</f>
        <v>2</v>
      </c>
      <c r="C535" s="136">
        <f>'[2]All Counts'!E535</f>
        <v>8791</v>
      </c>
      <c r="D535" s="136">
        <f>'[2]All Counts'!F535</f>
        <v>1</v>
      </c>
      <c r="E535" s="136">
        <f>'[2]All Counts'!G535</f>
        <v>1</v>
      </c>
      <c r="F535" s="136" t="str">
        <f>'[2]All Counts'!H535</f>
        <v>I-5 SB</v>
      </c>
      <c r="G535" s="136">
        <f>'[2]All Counts'!I535</f>
        <v>97</v>
      </c>
      <c r="H535" s="136">
        <f>'[2]All Counts'!J535</f>
        <v>0</v>
      </c>
      <c r="I535" s="136" t="str">
        <f>'[2]All Counts'!K535</f>
        <v>SEA WORLD</v>
      </c>
      <c r="J535" s="136" t="str">
        <f>'[2]All Counts'!L535</f>
        <v>SEA WORLD</v>
      </c>
      <c r="K535" s="136">
        <f>'[2]All Counts'!O535</f>
        <v>25382</v>
      </c>
      <c r="L535" s="57">
        <f>VLOOKUP(ws[[#This Row],[hwycov_id]],readme!D:G,4,FALSE)</f>
        <v>24434.988281000002</v>
      </c>
      <c r="M535" s="88">
        <f>ws[[#This Row],[flow]]/ws[[#This Row],[count]]-1</f>
        <v>-3.73103663619887E-2</v>
      </c>
      <c r="N535" s="89">
        <f>POWER((ws[[#This Row],[flow]]-ws[[#This Row],[count]]),2)</f>
        <v>896831.19592333166</v>
      </c>
      <c r="O535" s="43">
        <f>VLOOKUP(ws[[#This Row],[hwycov_id]],count[],6,FALSE)</f>
        <v>0</v>
      </c>
      <c r="P535" s="43">
        <v>51</v>
      </c>
      <c r="Q535" s="43" t="str">
        <f>'[2]All Counts'!P535</f>
        <v>PeMS2016</v>
      </c>
      <c r="S535" s="94">
        <v>27351</v>
      </c>
      <c r="T535" s="17"/>
      <c r="U535" s="17"/>
      <c r="V535" s="17">
        <v>11506</v>
      </c>
      <c r="W535" s="17">
        <v>13605.152344</v>
      </c>
      <c r="X535" s="17"/>
      <c r="Y535" s="17"/>
      <c r="Z535" s="17"/>
      <c r="AA535" s="17"/>
      <c r="AB535" s="17">
        <v>11506</v>
      </c>
      <c r="AC535" s="17">
        <v>13605.152344</v>
      </c>
      <c r="AD535"/>
      <c r="AE535"/>
    </row>
    <row r="536" spans="1:31" x14ac:dyDescent="0.25">
      <c r="A536" s="136">
        <f>'[2]All Counts'!C536</f>
        <v>8</v>
      </c>
      <c r="B536" s="136">
        <f>'[2]All Counts'!D536</f>
        <v>2</v>
      </c>
      <c r="C536" s="136">
        <f>'[2]All Counts'!E536</f>
        <v>20689</v>
      </c>
      <c r="D536" s="136">
        <f>'[2]All Counts'!F536</f>
        <v>1</v>
      </c>
      <c r="E536" s="136">
        <f>'[2]All Counts'!G536</f>
        <v>1</v>
      </c>
      <c r="F536" s="136" t="str">
        <f>'[2]All Counts'!H536</f>
        <v>I-5 SB</v>
      </c>
      <c r="G536" s="136">
        <f>'[2]All Counts'!I536</f>
        <v>101</v>
      </c>
      <c r="H536" s="136">
        <f>'[2]All Counts'!J536</f>
        <v>0</v>
      </c>
      <c r="I536" s="136" t="str">
        <f>'[2]All Counts'!K536</f>
        <v>I-8 EB</v>
      </c>
      <c r="J536" s="136" t="str">
        <f>'[2]All Counts'!L536</f>
        <v>OLD TOWN</v>
      </c>
      <c r="K536" s="136">
        <f>'[2]All Counts'!O536</f>
        <v>24040</v>
      </c>
      <c r="L536" s="57">
        <f>VLOOKUP(ws[[#This Row],[hwycov_id]],readme!D:G,4,FALSE)</f>
        <v>23875.779297000001</v>
      </c>
      <c r="M536" s="88">
        <f>ws[[#This Row],[flow]]/ws[[#This Row],[count]]-1</f>
        <v>-6.8311440515806954E-3</v>
      </c>
      <c r="N536" s="89">
        <f>POWER((ws[[#This Row],[flow]]-ws[[#This Row],[count]]),2)</f>
        <v>26968.439293813895</v>
      </c>
      <c r="O536" s="43">
        <f>VLOOKUP(ws[[#This Row],[hwycov_id]],count[],6,FALSE)</f>
        <v>0</v>
      </c>
      <c r="P536" s="43">
        <v>423</v>
      </c>
      <c r="Q536" s="43" t="str">
        <f>'[2]All Counts'!P536</f>
        <v>PeMS2016</v>
      </c>
      <c r="S536" s="94">
        <v>27352</v>
      </c>
      <c r="T536" s="17">
        <v>20665</v>
      </c>
      <c r="U536" s="17">
        <v>20315.898438</v>
      </c>
      <c r="V536" s="17"/>
      <c r="W536" s="17"/>
      <c r="X536" s="17"/>
      <c r="Y536" s="17"/>
      <c r="Z536" s="17"/>
      <c r="AA536" s="17"/>
      <c r="AB536" s="17">
        <v>20665</v>
      </c>
      <c r="AC536" s="17">
        <v>20315.898438</v>
      </c>
      <c r="AD536"/>
      <c r="AE536"/>
    </row>
    <row r="537" spans="1:31" x14ac:dyDescent="0.25">
      <c r="A537" s="136">
        <f>'[2]All Counts'!C537</f>
        <v>8</v>
      </c>
      <c r="B537" s="136">
        <f>'[2]All Counts'!D537</f>
        <v>2</v>
      </c>
      <c r="C537" s="136">
        <f>'[2]All Counts'!E537</f>
        <v>10965</v>
      </c>
      <c r="D537" s="136">
        <f>'[2]All Counts'!F537</f>
        <v>1</v>
      </c>
      <c r="E537" s="136">
        <f>'[2]All Counts'!G537</f>
        <v>1</v>
      </c>
      <c r="F537" s="136" t="str">
        <f>'[2]All Counts'!H537</f>
        <v>I-5 SB</v>
      </c>
      <c r="G537" s="136">
        <f>'[2]All Counts'!I537</f>
        <v>103</v>
      </c>
      <c r="H537" s="136">
        <f>'[2]All Counts'!J537</f>
        <v>0</v>
      </c>
      <c r="I537" s="136" t="str">
        <f>'[2]All Counts'!K537</f>
        <v>OLD TOWN</v>
      </c>
      <c r="J537" s="136" t="str">
        <f>'[2]All Counts'!L537</f>
        <v>OLD TOWN</v>
      </c>
      <c r="K537" s="136">
        <f>'[2]All Counts'!O537</f>
        <v>21606</v>
      </c>
      <c r="L537" s="57">
        <f>VLOOKUP(ws[[#This Row],[hwycov_id]],readme!D:G,4,FALSE)</f>
        <v>22186.445312</v>
      </c>
      <c r="M537" s="88">
        <f>ws[[#This Row],[flow]]/ws[[#This Row],[count]]-1</f>
        <v>2.6865005646579565E-2</v>
      </c>
      <c r="N537" s="89">
        <f>POWER((ws[[#This Row],[flow]]-ws[[#This Row],[count]]),2)</f>
        <v>336916.76022277714</v>
      </c>
      <c r="O537" s="43">
        <f>VLOOKUP(ws[[#This Row],[hwycov_id]],count[],6,FALSE)</f>
        <v>0</v>
      </c>
      <c r="P537" s="43">
        <v>390</v>
      </c>
      <c r="Q537" s="43" t="str">
        <f>'[2]All Counts'!P537</f>
        <v>PeMS2016</v>
      </c>
      <c r="S537" s="94">
        <v>27505</v>
      </c>
      <c r="T537" s="17"/>
      <c r="U537" s="17"/>
      <c r="V537" s="17"/>
      <c r="W537" s="17"/>
      <c r="X537" s="17"/>
      <c r="Y537" s="17"/>
      <c r="Z537" s="17">
        <v>11784</v>
      </c>
      <c r="AA537" s="17">
        <v>14180.369140999999</v>
      </c>
      <c r="AB537" s="17">
        <v>11784</v>
      </c>
      <c r="AC537" s="17">
        <v>14180.369140999999</v>
      </c>
      <c r="AD537"/>
      <c r="AE537"/>
    </row>
    <row r="538" spans="1:31" x14ac:dyDescent="0.25">
      <c r="A538" s="136">
        <f>'[2]All Counts'!C538</f>
        <v>8</v>
      </c>
      <c r="B538" s="136">
        <f>'[2]All Counts'!D538</f>
        <v>2</v>
      </c>
      <c r="C538" s="136">
        <f>'[2]All Counts'!E538</f>
        <v>10968</v>
      </c>
      <c r="D538" s="136">
        <f>'[2]All Counts'!F538</f>
        <v>1</v>
      </c>
      <c r="E538" s="136">
        <f>'[2]All Counts'!G538</f>
        <v>1</v>
      </c>
      <c r="F538" s="136" t="str">
        <f>'[2]All Counts'!H538</f>
        <v>I-5 SB</v>
      </c>
      <c r="G538" s="136">
        <f>'[2]All Counts'!I538</f>
        <v>106</v>
      </c>
      <c r="H538" s="136">
        <f>'[2]All Counts'!J538</f>
        <v>0</v>
      </c>
      <c r="I538" s="136" t="str">
        <f>'[2]All Counts'!K538</f>
        <v>HANCOCK</v>
      </c>
      <c r="J538" s="136" t="str">
        <f>'[2]All Counts'!L538</f>
        <v>KETTNER</v>
      </c>
      <c r="K538" s="136">
        <f>'[2]All Counts'!O538</f>
        <v>21092</v>
      </c>
      <c r="L538" s="57">
        <f>VLOOKUP(ws[[#This Row],[hwycov_id]],readme!D:G,4,FALSE)</f>
        <v>22514.90625</v>
      </c>
      <c r="M538" s="88">
        <f>ws[[#This Row],[flow]]/ws[[#This Row],[count]]-1</f>
        <v>6.7461893134837858E-2</v>
      </c>
      <c r="N538" s="89">
        <f>POWER((ws[[#This Row],[flow]]-ws[[#This Row],[count]]),2)</f>
        <v>2024662.1962890625</v>
      </c>
      <c r="O538" s="43">
        <f>VLOOKUP(ws[[#This Row],[hwycov_id]],count[],6,FALSE)</f>
        <v>0</v>
      </c>
      <c r="P538" s="43">
        <v>700</v>
      </c>
      <c r="Q538" s="43" t="str">
        <f>'[2]All Counts'!P538</f>
        <v>PeMS2016</v>
      </c>
      <c r="S538" s="94">
        <v>27507</v>
      </c>
      <c r="T538" s="17"/>
      <c r="U538" s="17"/>
      <c r="V538" s="17"/>
      <c r="W538" s="17"/>
      <c r="X538" s="17"/>
      <c r="Y538" s="17"/>
      <c r="Z538" s="17">
        <v>13771</v>
      </c>
      <c r="AA538" s="17">
        <v>14967.219727</v>
      </c>
      <c r="AB538" s="17">
        <v>13771</v>
      </c>
      <c r="AC538" s="17">
        <v>14967.219727</v>
      </c>
      <c r="AD538"/>
      <c r="AE538"/>
    </row>
    <row r="539" spans="1:31" x14ac:dyDescent="0.25">
      <c r="A539" s="136">
        <f>'[2]All Counts'!C539</f>
        <v>8</v>
      </c>
      <c r="B539" s="136">
        <f>'[2]All Counts'!D539</f>
        <v>2</v>
      </c>
      <c r="C539" s="136">
        <f>'[2]All Counts'!E539</f>
        <v>20693</v>
      </c>
      <c r="D539" s="136">
        <f>'[2]All Counts'!F539</f>
        <v>1</v>
      </c>
      <c r="E539" s="136">
        <f>'[2]All Counts'!G539</f>
        <v>1</v>
      </c>
      <c r="F539" s="136" t="str">
        <f>'[2]All Counts'!H539</f>
        <v>I-5 SB</v>
      </c>
      <c r="G539" s="136">
        <f>'[2]All Counts'!I539</f>
        <v>107</v>
      </c>
      <c r="H539" s="136">
        <f>'[2]All Counts'!J539</f>
        <v>0</v>
      </c>
      <c r="I539" s="136" t="str">
        <f>'[2]All Counts'!K539</f>
        <v>KETTNER</v>
      </c>
      <c r="J539" s="136" t="str">
        <f>'[2]All Counts'!L539</f>
        <v>HANCOCK</v>
      </c>
      <c r="K539" s="136">
        <f>'[2]All Counts'!O539</f>
        <v>13655</v>
      </c>
      <c r="L539" s="57">
        <f>VLOOKUP(ws[[#This Row],[hwycov_id]],readme!D:G,4,FALSE)</f>
        <v>19312.359375</v>
      </c>
      <c r="M539" s="88">
        <f>ws[[#This Row],[flow]]/ws[[#This Row],[count]]-1</f>
        <v>0.41430680153789812</v>
      </c>
      <c r="N539" s="89">
        <f>POWER((ws[[#This Row],[flow]]-ws[[#This Row],[count]]),2)</f>
        <v>32005715.097900391</v>
      </c>
      <c r="O539" s="43">
        <f>VLOOKUP(ws[[#This Row],[hwycov_id]],count[],6,FALSE)</f>
        <v>0</v>
      </c>
      <c r="P539" s="43">
        <v>701</v>
      </c>
      <c r="Q539" s="43" t="str">
        <f>'[2]All Counts'!P539</f>
        <v>PeMS2016</v>
      </c>
      <c r="S539" s="94">
        <v>27519</v>
      </c>
      <c r="T539" s="17">
        <v>12094</v>
      </c>
      <c r="U539" s="17">
        <v>14625.247069999999</v>
      </c>
      <c r="V539" s="17"/>
      <c r="W539" s="17"/>
      <c r="X539" s="17"/>
      <c r="Y539" s="17"/>
      <c r="Z539" s="17"/>
      <c r="AA539" s="17"/>
      <c r="AB539" s="17">
        <v>12094</v>
      </c>
      <c r="AC539" s="17">
        <v>14625.247069999999</v>
      </c>
      <c r="AD539"/>
      <c r="AE539"/>
    </row>
    <row r="540" spans="1:31" x14ac:dyDescent="0.25">
      <c r="A540" s="136">
        <f>'[2]All Counts'!C540</f>
        <v>8</v>
      </c>
      <c r="B540" s="136">
        <f>'[2]All Counts'!D540</f>
        <v>2</v>
      </c>
      <c r="C540" s="136">
        <f>'[2]All Counts'!E540</f>
        <v>20694</v>
      </c>
      <c r="D540" s="136">
        <f>'[2]All Counts'!F540</f>
        <v>1</v>
      </c>
      <c r="E540" s="136">
        <f>'[2]All Counts'!G540</f>
        <v>1</v>
      </c>
      <c r="F540" s="136" t="str">
        <f>'[2]All Counts'!H540</f>
        <v>I-5 SB</v>
      </c>
      <c r="G540" s="136">
        <f>'[2]All Counts'!I540</f>
        <v>108</v>
      </c>
      <c r="H540" s="136">
        <f>'[2]All Counts'!J540</f>
        <v>0</v>
      </c>
      <c r="I540" s="136" t="str">
        <f>'[2]All Counts'!K540</f>
        <v>HANCOCK</v>
      </c>
      <c r="J540" s="136" t="str">
        <f>'[2]All Counts'!L540</f>
        <v>PACIFIC</v>
      </c>
      <c r="K540" s="136">
        <f>'[2]All Counts'!O540</f>
        <v>14247</v>
      </c>
      <c r="L540" s="57">
        <f>VLOOKUP(ws[[#This Row],[hwycov_id]],readme!D:G,4,FALSE)</f>
        <v>20951.939452999999</v>
      </c>
      <c r="M540" s="88">
        <f>ws[[#This Row],[flow]]/ws[[#This Row],[count]]-1</f>
        <v>0.47062114501298513</v>
      </c>
      <c r="N540" s="89">
        <f>POWER((ws[[#This Row],[flow]]-ws[[#This Row],[count]]),2)</f>
        <v>44956213.068395928</v>
      </c>
      <c r="O540" s="43">
        <f>VLOOKUP(ws[[#This Row],[hwycov_id]],count[],6,FALSE)</f>
        <v>0</v>
      </c>
      <c r="P540" s="43">
        <v>326</v>
      </c>
      <c r="Q540" s="43" t="str">
        <f>'[2]All Counts'!P540</f>
        <v>PeMS2016</v>
      </c>
      <c r="S540" s="94">
        <v>27520</v>
      </c>
      <c r="T540" s="17"/>
      <c r="U540" s="17"/>
      <c r="V540" s="17">
        <v>12732</v>
      </c>
      <c r="W540" s="17">
        <v>12921.991211</v>
      </c>
      <c r="X540" s="17"/>
      <c r="Y540" s="17"/>
      <c r="Z540" s="17"/>
      <c r="AA540" s="17"/>
      <c r="AB540" s="17">
        <v>12732</v>
      </c>
      <c r="AC540" s="17">
        <v>12921.991211</v>
      </c>
      <c r="AD540"/>
      <c r="AE540"/>
    </row>
    <row r="541" spans="1:31" x14ac:dyDescent="0.25">
      <c r="A541" s="136">
        <f>'[2]All Counts'!C541</f>
        <v>8</v>
      </c>
      <c r="B541" s="136">
        <f>'[2]All Counts'!D541</f>
        <v>2</v>
      </c>
      <c r="C541" s="136">
        <f>'[2]All Counts'!E541</f>
        <v>16578</v>
      </c>
      <c r="D541" s="136">
        <f>'[2]All Counts'!F541</f>
        <v>1</v>
      </c>
      <c r="E541" s="136">
        <f>'[2]All Counts'!G541</f>
        <v>1</v>
      </c>
      <c r="F541" s="136" t="str">
        <f>'[2]All Counts'!H541</f>
        <v>I-5 SB</v>
      </c>
      <c r="G541" s="136">
        <f>'[2]All Counts'!I541</f>
        <v>109</v>
      </c>
      <c r="H541" s="136">
        <f>'[2]All Counts'!J541</f>
        <v>0</v>
      </c>
      <c r="I541" s="136" t="str">
        <f>'[2]All Counts'!K541</f>
        <v>PACIFIC</v>
      </c>
      <c r="J541" s="136" t="str">
        <f>'[2]All Counts'!L541</f>
        <v>KETTNER</v>
      </c>
      <c r="K541" s="136">
        <f>'[2]All Counts'!O541</f>
        <v>21357</v>
      </c>
      <c r="L541" s="57">
        <f>VLOOKUP(ws[[#This Row],[hwycov_id]],readme!D:G,4,FALSE)</f>
        <v>27787.896484000001</v>
      </c>
      <c r="M541" s="88">
        <f>ws[[#This Row],[flow]]/ws[[#This Row],[count]]-1</f>
        <v>0.30111422409514454</v>
      </c>
      <c r="N541" s="89">
        <f>POWER((ws[[#This Row],[flow]]-ws[[#This Row],[count]]),2)</f>
        <v>41356429.587923571</v>
      </c>
      <c r="O541" s="43">
        <f>VLOOKUP(ws[[#This Row],[hwycov_id]],count[],6,FALSE)</f>
        <v>0</v>
      </c>
      <c r="P541" s="43">
        <v>486</v>
      </c>
      <c r="Q541" s="43" t="str">
        <f>'[2]All Counts'!P541</f>
        <v>PeMS2016</v>
      </c>
      <c r="S541" s="94">
        <v>27539</v>
      </c>
      <c r="T541" s="17"/>
      <c r="U541" s="17"/>
      <c r="V541" s="17"/>
      <c r="W541" s="17"/>
      <c r="X541" s="17"/>
      <c r="Y541" s="17"/>
      <c r="Z541" s="17">
        <v>1608</v>
      </c>
      <c r="AA541" s="17">
        <v>1830.634888</v>
      </c>
      <c r="AB541" s="17">
        <v>1608</v>
      </c>
      <c r="AC541" s="17">
        <v>1830.634888</v>
      </c>
      <c r="AD541"/>
      <c r="AE541"/>
    </row>
    <row r="542" spans="1:31" x14ac:dyDescent="0.25">
      <c r="A542" s="136">
        <f>'[2]All Counts'!C542</f>
        <v>8</v>
      </c>
      <c r="B542" s="136">
        <f>'[2]All Counts'!D542</f>
        <v>2</v>
      </c>
      <c r="C542" s="136">
        <f>'[2]All Counts'!E542</f>
        <v>20700</v>
      </c>
      <c r="D542" s="136">
        <f>'[2]All Counts'!F542</f>
        <v>1</v>
      </c>
      <c r="E542" s="136">
        <f>'[2]All Counts'!G542</f>
        <v>1</v>
      </c>
      <c r="F542" s="136" t="str">
        <f>'[2]All Counts'!H542</f>
        <v>I-5 SB</v>
      </c>
      <c r="G542" s="136">
        <f>'[2]All Counts'!I542</f>
        <v>111</v>
      </c>
      <c r="H542" s="136">
        <f>'[2]All Counts'!J542</f>
        <v>0</v>
      </c>
      <c r="I542" s="136" t="str">
        <f>'[2]All Counts'!K542</f>
        <v>FRONT</v>
      </c>
      <c r="J542" s="136" t="str">
        <f>'[2]All Counts'!L542</f>
        <v>STATE</v>
      </c>
      <c r="K542" s="136">
        <f>'[2]All Counts'!O542</f>
        <v>19374</v>
      </c>
      <c r="L542" s="57">
        <f>VLOOKUP(ws[[#This Row],[hwycov_id]],readme!D:G,4,FALSE)</f>
        <v>25383.552734000001</v>
      </c>
      <c r="M542" s="88">
        <f>ws[[#This Row],[flow]]/ws[[#This Row],[count]]-1</f>
        <v>0.31018647331475169</v>
      </c>
      <c r="N542" s="89">
        <f>POWER((ws[[#This Row],[flow]]-ws[[#This Row],[count]]),2)</f>
        <v>36114724.062726885</v>
      </c>
      <c r="O542" s="43">
        <f>VLOOKUP(ws[[#This Row],[hwycov_id]],count[],6,FALSE)</f>
        <v>0</v>
      </c>
      <c r="P542" s="43">
        <v>599</v>
      </c>
      <c r="Q542" s="43" t="str">
        <f>'[2]All Counts'!P542</f>
        <v>PeMS2016</v>
      </c>
      <c r="S542" s="94">
        <v>27540</v>
      </c>
      <c r="T542" s="17"/>
      <c r="U542" s="17"/>
      <c r="V542" s="17"/>
      <c r="W542" s="17"/>
      <c r="X542" s="17">
        <v>1614</v>
      </c>
      <c r="Y542" s="17">
        <v>634.33215299999995</v>
      </c>
      <c r="Z542" s="17"/>
      <c r="AA542" s="17"/>
      <c r="AB542" s="17">
        <v>1614</v>
      </c>
      <c r="AC542" s="17">
        <v>634.33215299999995</v>
      </c>
      <c r="AD542"/>
      <c r="AE542"/>
    </row>
    <row r="543" spans="1:31" x14ac:dyDescent="0.25">
      <c r="A543" s="136">
        <f>'[2]All Counts'!C543</f>
        <v>8</v>
      </c>
      <c r="B543" s="136">
        <f>'[2]All Counts'!D543</f>
        <v>2</v>
      </c>
      <c r="C543" s="136">
        <f>'[2]All Counts'!E543</f>
        <v>27834</v>
      </c>
      <c r="D543" s="136">
        <f>'[2]All Counts'!F543</f>
        <v>1</v>
      </c>
      <c r="E543" s="136">
        <f>'[2]All Counts'!G543</f>
        <v>1</v>
      </c>
      <c r="F543" s="136" t="str">
        <f>'[2]All Counts'!H543</f>
        <v>I-5 SB</v>
      </c>
      <c r="G543" s="136">
        <f>'[2]All Counts'!I543</f>
        <v>114</v>
      </c>
      <c r="H543" s="136">
        <f>'[2]All Counts'!J543</f>
        <v>0</v>
      </c>
      <c r="I543" s="136">
        <f>'[2]All Counts'!K543</f>
        <v>0</v>
      </c>
      <c r="J543" s="136" t="str">
        <f>'[2]All Counts'!L543</f>
        <v>05TH</v>
      </c>
      <c r="K543" s="136">
        <f>'[2]All Counts'!O543</f>
        <v>25401</v>
      </c>
      <c r="L543" s="57">
        <f>VLOOKUP(ws[[#This Row],[hwycov_id]],readme!D:G,4,FALSE)</f>
        <v>31763.394531000002</v>
      </c>
      <c r="M543" s="88">
        <f>ws[[#This Row],[flow]]/ws[[#This Row],[count]]-1</f>
        <v>0.25047811231841277</v>
      </c>
      <c r="N543" s="89">
        <f>POWER((ws[[#This Row],[flow]]-ws[[#This Row],[count]]),2)</f>
        <v>40480064.168098733</v>
      </c>
      <c r="O543" s="43">
        <f>VLOOKUP(ws[[#This Row],[hwycov_id]],count[],6,FALSE)</f>
        <v>0</v>
      </c>
      <c r="P543" s="43">
        <v>181</v>
      </c>
      <c r="Q543" s="43" t="str">
        <f>'[2]All Counts'!P543</f>
        <v>PeMS2016</v>
      </c>
      <c r="S543" s="94">
        <v>27543</v>
      </c>
      <c r="T543" s="17"/>
      <c r="U543" s="17"/>
      <c r="V543" s="17"/>
      <c r="W543" s="17"/>
      <c r="X543" s="17">
        <v>13713</v>
      </c>
      <c r="Y543" s="17">
        <v>12539.163086</v>
      </c>
      <c r="Z543" s="17"/>
      <c r="AA543" s="17"/>
      <c r="AB543" s="17">
        <v>13713</v>
      </c>
      <c r="AC543" s="17">
        <v>12539.163086</v>
      </c>
      <c r="AD543"/>
      <c r="AE543"/>
    </row>
    <row r="544" spans="1:31" x14ac:dyDescent="0.25">
      <c r="A544" s="136">
        <f>'[2]All Counts'!C544</f>
        <v>8</v>
      </c>
      <c r="B544" s="136">
        <f>'[2]All Counts'!D544</f>
        <v>2</v>
      </c>
      <c r="C544" s="136">
        <f>'[2]All Counts'!E544</f>
        <v>27824</v>
      </c>
      <c r="D544" s="136">
        <f>'[2]All Counts'!F544</f>
        <v>1</v>
      </c>
      <c r="E544" s="136">
        <f>'[2]All Counts'!G544</f>
        <v>1</v>
      </c>
      <c r="F544" s="136" t="str">
        <f>'[2]All Counts'!H544</f>
        <v>I-5 SB</v>
      </c>
      <c r="G544" s="136">
        <f>'[2]All Counts'!I544</f>
        <v>117</v>
      </c>
      <c r="H544" s="136">
        <f>'[2]All Counts'!J544</f>
        <v>0</v>
      </c>
      <c r="I544" s="136" t="str">
        <f>'[2]All Counts'!K544</f>
        <v>PERSHING</v>
      </c>
      <c r="J544" s="136" t="str">
        <f>'[2]All Counts'!L544</f>
        <v>SR-94 EB</v>
      </c>
      <c r="K544" s="136">
        <f>'[2]All Counts'!O544</f>
        <v>26226</v>
      </c>
      <c r="L544" s="57">
        <f>VLOOKUP(ws[[#This Row],[hwycov_id]],readme!D:G,4,FALSE)</f>
        <v>29831.550781000002</v>
      </c>
      <c r="M544" s="88">
        <f>ws[[#This Row],[flow]]/ws[[#This Row],[count]]-1</f>
        <v>0.13748001147716016</v>
      </c>
      <c r="N544" s="89">
        <f>POWER((ws[[#This Row],[flow]]-ws[[#This Row],[count]]),2)</f>
        <v>12999996.434369722</v>
      </c>
      <c r="O544" s="43">
        <f>VLOOKUP(ws[[#This Row],[hwycov_id]],count[],6,FALSE)</f>
        <v>0</v>
      </c>
      <c r="P544" s="43">
        <v>58</v>
      </c>
      <c r="Q544" s="43" t="str">
        <f>'[2]All Counts'!P544</f>
        <v>PeMS2016</v>
      </c>
      <c r="S544" s="94">
        <v>27544</v>
      </c>
      <c r="T544" s="17"/>
      <c r="U544" s="17"/>
      <c r="V544" s="17"/>
      <c r="W544" s="17"/>
      <c r="X544" s="17"/>
      <c r="Y544" s="17"/>
      <c r="Z544" s="17">
        <v>16132</v>
      </c>
      <c r="AA544" s="17">
        <v>16100.902344</v>
      </c>
      <c r="AB544" s="17">
        <v>16132</v>
      </c>
      <c r="AC544" s="17">
        <v>16100.902344</v>
      </c>
      <c r="AD544"/>
      <c r="AE544"/>
    </row>
    <row r="545" spans="1:31" x14ac:dyDescent="0.25">
      <c r="A545" s="136">
        <f>'[2]All Counts'!C545</f>
        <v>8</v>
      </c>
      <c r="B545" s="136">
        <f>'[2]All Counts'!D545</f>
        <v>2</v>
      </c>
      <c r="C545" s="136">
        <f>'[2]All Counts'!E545</f>
        <v>20709</v>
      </c>
      <c r="D545" s="136">
        <f>'[2]All Counts'!F545</f>
        <v>1</v>
      </c>
      <c r="E545" s="136">
        <f>'[2]All Counts'!G545</f>
        <v>1</v>
      </c>
      <c r="F545" s="136" t="str">
        <f>'[2]All Counts'!H545</f>
        <v>I-5 SB</v>
      </c>
      <c r="G545" s="136">
        <f>'[2]All Counts'!I545</f>
        <v>120</v>
      </c>
      <c r="H545" s="136">
        <f>'[2]All Counts'!J545</f>
        <v>0</v>
      </c>
      <c r="I545" s="136" t="str">
        <f>'[2]All Counts'!K545</f>
        <v>PERSHING</v>
      </c>
      <c r="J545" s="136" t="str">
        <f>'[2]All Counts'!L545</f>
        <v>E</v>
      </c>
      <c r="K545" s="136">
        <f>'[2]All Counts'!O545</f>
        <v>20981</v>
      </c>
      <c r="L545" s="57">
        <f>VLOOKUP(ws[[#This Row],[hwycov_id]],readme!D:G,4,FALSE)</f>
        <v>28713.763672000001</v>
      </c>
      <c r="M545" s="88">
        <f>ws[[#This Row],[flow]]/ws[[#This Row],[count]]-1</f>
        <v>0.36856030084362046</v>
      </c>
      <c r="N545" s="89">
        <f>POWER((ws[[#This Row],[flow]]-ws[[#This Row],[count]]),2)</f>
        <v>59795634.007002935</v>
      </c>
      <c r="O545" s="43">
        <f>VLOOKUP(ws[[#This Row],[hwycov_id]],count[],6,FALSE)</f>
        <v>0</v>
      </c>
      <c r="P545" s="43">
        <v>717</v>
      </c>
      <c r="Q545" s="43" t="str">
        <f>'[2]All Counts'!P545</f>
        <v>PeMS2016</v>
      </c>
      <c r="S545" s="94">
        <v>27551</v>
      </c>
      <c r="T545" s="17"/>
      <c r="U545" s="17"/>
      <c r="V545" s="17"/>
      <c r="W545" s="17"/>
      <c r="X545" s="17"/>
      <c r="Y545" s="17"/>
      <c r="Z545" s="17">
        <v>25270</v>
      </c>
      <c r="AA545" s="17">
        <v>24938.472656000002</v>
      </c>
      <c r="AB545" s="17">
        <v>25270</v>
      </c>
      <c r="AC545" s="17">
        <v>24938.472656000002</v>
      </c>
      <c r="AD545"/>
      <c r="AE545"/>
    </row>
    <row r="546" spans="1:31" x14ac:dyDescent="0.25">
      <c r="A546" s="136">
        <f>'[2]All Counts'!C546</f>
        <v>8</v>
      </c>
      <c r="B546" s="136">
        <f>'[2]All Counts'!D546</f>
        <v>2</v>
      </c>
      <c r="C546" s="136">
        <f>'[2]All Counts'!E546</f>
        <v>27806</v>
      </c>
      <c r="D546" s="136">
        <f>'[2]All Counts'!F546</f>
        <v>1</v>
      </c>
      <c r="E546" s="136">
        <f>'[2]All Counts'!G546</f>
        <v>1</v>
      </c>
      <c r="F546" s="136" t="str">
        <f>'[2]All Counts'!H546</f>
        <v>I-5 SB</v>
      </c>
      <c r="G546" s="136">
        <f>'[2]All Counts'!I546</f>
        <v>121</v>
      </c>
      <c r="H546" s="136">
        <f>'[2]All Counts'!J546</f>
        <v>0</v>
      </c>
      <c r="I546" s="136" t="str">
        <f>'[2]All Counts'!K546</f>
        <v>E</v>
      </c>
      <c r="J546" s="136" t="str">
        <f>'[2]All Counts'!L546</f>
        <v>IMPERIAL</v>
      </c>
      <c r="K546" s="136">
        <f>'[2]All Counts'!O546</f>
        <v>18771</v>
      </c>
      <c r="L546" s="57">
        <f>VLOOKUP(ws[[#This Row],[hwycov_id]],readme!D:G,4,FALSE)</f>
        <v>30405.193359000001</v>
      </c>
      <c r="M546" s="88">
        <f>ws[[#This Row],[flow]]/ws[[#This Row],[count]]-1</f>
        <v>0.61979614080230139</v>
      </c>
      <c r="N546" s="89">
        <f>POWER((ws[[#This Row],[flow]]-ws[[#This Row],[count]]),2)</f>
        <v>135354455.11459973</v>
      </c>
      <c r="O546" s="43">
        <f>VLOOKUP(ws[[#This Row],[hwycov_id]],count[],6,FALSE)</f>
        <v>0</v>
      </c>
      <c r="P546" s="43">
        <v>563</v>
      </c>
      <c r="Q546" s="43" t="str">
        <f>'[2]All Counts'!P546</f>
        <v>PeMS2016</v>
      </c>
      <c r="S546" s="94">
        <v>27555</v>
      </c>
      <c r="T546" s="17"/>
      <c r="U546" s="17"/>
      <c r="V546" s="17"/>
      <c r="W546" s="17"/>
      <c r="X546" s="17"/>
      <c r="Y546" s="17"/>
      <c r="Z546" s="17">
        <v>25476</v>
      </c>
      <c r="AA546" s="17">
        <v>28146.46875</v>
      </c>
      <c r="AB546" s="17">
        <v>25476</v>
      </c>
      <c r="AC546" s="17">
        <v>28146.46875</v>
      </c>
      <c r="AD546"/>
      <c r="AE546"/>
    </row>
    <row r="547" spans="1:31" x14ac:dyDescent="0.25">
      <c r="A547" s="136">
        <f>'[2]All Counts'!C547</f>
        <v>8</v>
      </c>
      <c r="B547" s="136">
        <f>'[2]All Counts'!D547</f>
        <v>2</v>
      </c>
      <c r="C547" s="136">
        <f>'[2]All Counts'!E547</f>
        <v>20711</v>
      </c>
      <c r="D547" s="136">
        <f>'[2]All Counts'!F547</f>
        <v>1</v>
      </c>
      <c r="E547" s="136">
        <f>'[2]All Counts'!G547</f>
        <v>1</v>
      </c>
      <c r="F547" s="136" t="str">
        <f>'[2]All Counts'!H547</f>
        <v>I-5 SB</v>
      </c>
      <c r="G547" s="136">
        <f>'[2]All Counts'!I547</f>
        <v>129</v>
      </c>
      <c r="H547" s="136">
        <f>'[2]All Counts'!J547</f>
        <v>0</v>
      </c>
      <c r="I547" s="136" t="str">
        <f>'[2]All Counts'!K547</f>
        <v>NATIONAL</v>
      </c>
      <c r="J547" s="136" t="str">
        <f>'[2]All Counts'!L547</f>
        <v>29TH</v>
      </c>
      <c r="K547" s="136">
        <f>'[2]All Counts'!O547</f>
        <v>19188</v>
      </c>
      <c r="L547" s="57">
        <f>VLOOKUP(ws[[#This Row],[hwycov_id]],readme!D:G,4,FALSE)</f>
        <v>27141.736327999999</v>
      </c>
      <c r="M547" s="88">
        <f>ws[[#This Row],[flow]]/ws[[#This Row],[count]]-1</f>
        <v>0.41451617302480703</v>
      </c>
      <c r="N547" s="89">
        <f>POWER((ws[[#This Row],[flow]]-ws[[#This Row],[count]]),2)</f>
        <v>63261921.575346909</v>
      </c>
      <c r="O547" s="43">
        <f>VLOOKUP(ws[[#This Row],[hwycov_id]],count[],6,FALSE)</f>
        <v>0</v>
      </c>
      <c r="P547" s="43">
        <v>565</v>
      </c>
      <c r="Q547" s="43" t="str">
        <f>'[2]All Counts'!P547</f>
        <v>PeMS2016</v>
      </c>
      <c r="S547" s="94">
        <v>27578</v>
      </c>
      <c r="T547" s="17">
        <v>15852</v>
      </c>
      <c r="U547" s="17">
        <v>21529.166015999999</v>
      </c>
      <c r="V547" s="17"/>
      <c r="W547" s="17"/>
      <c r="X547" s="17"/>
      <c r="Y547" s="17"/>
      <c r="Z547" s="17"/>
      <c r="AA547" s="17"/>
      <c r="AB547" s="17">
        <v>15852</v>
      </c>
      <c r="AC547" s="17">
        <v>21529.166015999999</v>
      </c>
      <c r="AD547"/>
      <c r="AE547"/>
    </row>
    <row r="548" spans="1:31" x14ac:dyDescent="0.25">
      <c r="A548" s="136">
        <f>'[2]All Counts'!C548</f>
        <v>8</v>
      </c>
      <c r="B548" s="136">
        <f>'[2]All Counts'!D548</f>
        <v>2</v>
      </c>
      <c r="C548" s="136">
        <f>'[2]All Counts'!E548</f>
        <v>28736</v>
      </c>
      <c r="D548" s="136">
        <f>'[2]All Counts'!F548</f>
        <v>1</v>
      </c>
      <c r="E548" s="136">
        <f>'[2]All Counts'!G548</f>
        <v>1</v>
      </c>
      <c r="F548" s="136" t="str">
        <f>'[2]All Counts'!H548</f>
        <v>I-5 SB</v>
      </c>
      <c r="G548" s="136">
        <f>'[2]All Counts'!I548</f>
        <v>130</v>
      </c>
      <c r="H548" s="136">
        <f>'[2]All Counts'!J548</f>
        <v>0</v>
      </c>
      <c r="I548" s="136" t="str">
        <f>'[2]All Counts'!K548</f>
        <v>29TH</v>
      </c>
      <c r="J548" s="136" t="str">
        <f>'[2]All Counts'!L548</f>
        <v>MAIN</v>
      </c>
      <c r="K548" s="136">
        <f>'[2]All Counts'!O548</f>
        <v>20217</v>
      </c>
      <c r="L548" s="57">
        <f>VLOOKUP(ws[[#This Row],[hwycov_id]],readme!D:G,4,FALSE)</f>
        <v>28089.830077999999</v>
      </c>
      <c r="M548" s="88">
        <f>ws[[#This Row],[flow]]/ws[[#This Row],[count]]-1</f>
        <v>0.38941633664737596</v>
      </c>
      <c r="N548" s="89">
        <f>POWER((ws[[#This Row],[flow]]-ws[[#This Row],[count]]),2)</f>
        <v>61981453.437061474</v>
      </c>
      <c r="O548" s="43">
        <f>VLOOKUP(ws[[#This Row],[hwycov_id]],count[],6,FALSE)</f>
        <v>0</v>
      </c>
      <c r="P548" s="43">
        <v>338</v>
      </c>
      <c r="Q548" s="43" t="str">
        <f>'[2]All Counts'!P548</f>
        <v>PeMS2016</v>
      </c>
      <c r="S548" s="94">
        <v>27597</v>
      </c>
      <c r="T548" s="17">
        <v>11331</v>
      </c>
      <c r="U548" s="17">
        <v>14624.066406</v>
      </c>
      <c r="V548" s="17"/>
      <c r="W548" s="17"/>
      <c r="X548" s="17"/>
      <c r="Y548" s="17"/>
      <c r="Z548" s="17"/>
      <c r="AA548" s="17"/>
      <c r="AB548" s="17">
        <v>11331</v>
      </c>
      <c r="AC548" s="17">
        <v>14624.066406</v>
      </c>
      <c r="AD548"/>
      <c r="AE548"/>
    </row>
    <row r="549" spans="1:31" x14ac:dyDescent="0.25">
      <c r="A549" s="136">
        <f>'[2]All Counts'!C549</f>
        <v>8</v>
      </c>
      <c r="B549" s="136">
        <f>'[2]All Counts'!D549</f>
        <v>2</v>
      </c>
      <c r="C549" s="136">
        <f>'[2]All Counts'!E549</f>
        <v>27781</v>
      </c>
      <c r="D549" s="136">
        <f>'[2]All Counts'!F549</f>
        <v>1</v>
      </c>
      <c r="E549" s="136">
        <f>'[2]All Counts'!G549</f>
        <v>1</v>
      </c>
      <c r="F549" s="136" t="str">
        <f>'[2]All Counts'!H549</f>
        <v>I-5 SB</v>
      </c>
      <c r="G549" s="136">
        <f>'[2]All Counts'!I549</f>
        <v>132</v>
      </c>
      <c r="H549" s="136">
        <f>'[2]All Counts'!J549</f>
        <v>0</v>
      </c>
      <c r="I549" s="136" t="str">
        <f>'[2]All Counts'!K549</f>
        <v>MAIN</v>
      </c>
      <c r="J549" s="136" t="str">
        <f>'[2]All Counts'!L549</f>
        <v>SR-15 SB</v>
      </c>
      <c r="K549" s="136">
        <f>'[2]All Counts'!O549</f>
        <v>17560</v>
      </c>
      <c r="L549" s="57">
        <f>VLOOKUP(ws[[#This Row],[hwycov_id]],readme!D:G,4,FALSE)</f>
        <v>22787.998047000001</v>
      </c>
      <c r="M549" s="88">
        <f>ws[[#This Row],[flow]]/ws[[#This Row],[count]]-1</f>
        <v>0.297721984453303</v>
      </c>
      <c r="N549" s="89">
        <f>POWER((ws[[#This Row],[flow]]-ws[[#This Row],[count]]),2)</f>
        <v>27331963.579435825</v>
      </c>
      <c r="O549" s="43">
        <f>VLOOKUP(ws[[#This Row],[hwycov_id]],count[],6,FALSE)</f>
        <v>0</v>
      </c>
      <c r="P549" s="43">
        <v>325</v>
      </c>
      <c r="Q549" s="43" t="str">
        <f>'[2]All Counts'!P549</f>
        <v>PeMS2016</v>
      </c>
      <c r="S549" s="94">
        <v>27598</v>
      </c>
      <c r="T549" s="17"/>
      <c r="U549" s="17"/>
      <c r="V549" s="17">
        <v>12591</v>
      </c>
      <c r="W549" s="17">
        <v>12921.695312</v>
      </c>
      <c r="X549" s="17"/>
      <c r="Y549" s="17"/>
      <c r="Z549" s="17"/>
      <c r="AA549" s="17"/>
      <c r="AB549" s="17">
        <v>12591</v>
      </c>
      <c r="AC549" s="17">
        <v>12921.695312</v>
      </c>
      <c r="AD549"/>
      <c r="AE549"/>
    </row>
    <row r="550" spans="1:31" x14ac:dyDescent="0.25">
      <c r="A550" s="136">
        <f>'[2]All Counts'!C550</f>
        <v>8</v>
      </c>
      <c r="B550" s="136">
        <f>'[2]All Counts'!D550</f>
        <v>2</v>
      </c>
      <c r="C550" s="136">
        <f>'[2]All Counts'!E550</f>
        <v>28726</v>
      </c>
      <c r="D550" s="136">
        <f>'[2]All Counts'!F550</f>
        <v>1</v>
      </c>
      <c r="E550" s="136">
        <f>'[2]All Counts'!G550</f>
        <v>1</v>
      </c>
      <c r="F550" s="136" t="str">
        <f>'[2]All Counts'!H550</f>
        <v>I-5 SB</v>
      </c>
      <c r="G550" s="136">
        <f>'[2]All Counts'!I550</f>
        <v>134</v>
      </c>
      <c r="H550" s="136">
        <f>'[2]All Counts'!J550</f>
        <v>0</v>
      </c>
      <c r="I550" s="136" t="str">
        <f>'[2]All Counts'!K550</f>
        <v>MAIN</v>
      </c>
      <c r="J550" s="136" t="str">
        <f>'[2]All Counts'!L550</f>
        <v>08TH</v>
      </c>
      <c r="K550" s="136">
        <f>'[2]All Counts'!O550</f>
        <v>23110</v>
      </c>
      <c r="L550" s="57">
        <f>VLOOKUP(ws[[#This Row],[hwycov_id]],readme!D:G,4,FALSE)</f>
        <v>31971.744140999999</v>
      </c>
      <c r="M550" s="88">
        <f>ws[[#This Row],[flow]]/ws[[#This Row],[count]]-1</f>
        <v>0.38345928779749028</v>
      </c>
      <c r="N550" s="89">
        <f>POWER((ws[[#This Row],[flow]]-ws[[#This Row],[count]]),2)</f>
        <v>78530509.22054781</v>
      </c>
      <c r="O550" s="43">
        <f>VLOOKUP(ws[[#This Row],[hwycov_id]],count[],6,FALSE)</f>
        <v>0</v>
      </c>
      <c r="P550" s="43">
        <v>487</v>
      </c>
      <c r="Q550" s="43" t="str">
        <f>'[2]All Counts'!P550</f>
        <v>PeMS2016</v>
      </c>
      <c r="S550" s="94">
        <v>27600</v>
      </c>
      <c r="T550" s="17"/>
      <c r="U550" s="17"/>
      <c r="V550" s="17"/>
      <c r="W550" s="17"/>
      <c r="X550" s="17">
        <v>20372</v>
      </c>
      <c r="Y550" s="17">
        <v>20587.421875</v>
      </c>
      <c r="Z550" s="17"/>
      <c r="AA550" s="17"/>
      <c r="AB550" s="17">
        <v>20372</v>
      </c>
      <c r="AC550" s="17">
        <v>20587.421875</v>
      </c>
      <c r="AD550"/>
      <c r="AE550"/>
    </row>
    <row r="551" spans="1:31" x14ac:dyDescent="0.25">
      <c r="A551" s="136">
        <f>'[2]All Counts'!C551</f>
        <v>8</v>
      </c>
      <c r="B551" s="136">
        <f>'[2]All Counts'!D551</f>
        <v>2</v>
      </c>
      <c r="C551" s="136">
        <f>'[2]All Counts'!E551</f>
        <v>28717</v>
      </c>
      <c r="D551" s="136">
        <f>'[2]All Counts'!F551</f>
        <v>1</v>
      </c>
      <c r="E551" s="136">
        <f>'[2]All Counts'!G551</f>
        <v>1</v>
      </c>
      <c r="F551" s="136" t="str">
        <f>'[2]All Counts'!H551</f>
        <v>I-5 SB</v>
      </c>
      <c r="G551" s="136">
        <f>'[2]All Counts'!I551</f>
        <v>136</v>
      </c>
      <c r="H551" s="136">
        <f>'[2]All Counts'!J551</f>
        <v>0</v>
      </c>
      <c r="I551" s="136" t="str">
        <f>'[2]All Counts'!K551</f>
        <v>CIVIC CENTER</v>
      </c>
      <c r="J551" s="136" t="str">
        <f>'[2]All Counts'!L551</f>
        <v>CIVIC CENTER</v>
      </c>
      <c r="K551" s="136">
        <f>'[2]All Counts'!O551</f>
        <v>25627</v>
      </c>
      <c r="L551" s="57">
        <f>VLOOKUP(ws[[#This Row],[hwycov_id]],readme!D:G,4,FALSE)</f>
        <v>29174.890625</v>
      </c>
      <c r="M551" s="88">
        <f>ws[[#This Row],[flow]]/ws[[#This Row],[count]]-1</f>
        <v>0.13844346294923326</v>
      </c>
      <c r="N551" s="89">
        <f>POWER((ws[[#This Row],[flow]]-ws[[#This Row],[count]]),2)</f>
        <v>12587527.886962891</v>
      </c>
      <c r="O551" s="43">
        <f>VLOOKUP(ws[[#This Row],[hwycov_id]],count[],6,FALSE)</f>
        <v>0</v>
      </c>
      <c r="P551" s="43">
        <v>230</v>
      </c>
      <c r="Q551" s="43" t="str">
        <f>'[2]All Counts'!P551</f>
        <v>PeMS2016</v>
      </c>
      <c r="S551" s="94">
        <v>27603</v>
      </c>
      <c r="T551" s="17"/>
      <c r="U551" s="17"/>
      <c r="V551" s="17"/>
      <c r="W551" s="17"/>
      <c r="X551" s="17"/>
      <c r="Y551" s="17"/>
      <c r="Z551" s="17">
        <v>22897</v>
      </c>
      <c r="AA551" s="17">
        <v>25837.550781000002</v>
      </c>
      <c r="AB551" s="17">
        <v>22897</v>
      </c>
      <c r="AC551" s="17">
        <v>25837.550781000002</v>
      </c>
      <c r="AD551"/>
      <c r="AE551"/>
    </row>
    <row r="552" spans="1:31" x14ac:dyDescent="0.25">
      <c r="A552" s="136">
        <f>'[2]All Counts'!C552</f>
        <v>8</v>
      </c>
      <c r="B552" s="136">
        <f>'[2]All Counts'!D552</f>
        <v>2</v>
      </c>
      <c r="C552" s="136">
        <f>'[2]All Counts'!E552</f>
        <v>28706</v>
      </c>
      <c r="D552" s="136">
        <f>'[2]All Counts'!F552</f>
        <v>1</v>
      </c>
      <c r="E552" s="136">
        <f>'[2]All Counts'!G552</f>
        <v>1</v>
      </c>
      <c r="F552" s="136" t="str">
        <f>'[2]All Counts'!H552</f>
        <v>I-5 SB</v>
      </c>
      <c r="G552" s="136">
        <f>'[2]All Counts'!I552</f>
        <v>139</v>
      </c>
      <c r="H552" s="136">
        <f>'[2]All Counts'!J552</f>
        <v>0</v>
      </c>
      <c r="I552" s="136" t="str">
        <f>'[2]All Counts'!K552</f>
        <v>24TH</v>
      </c>
      <c r="J552" s="136" t="str">
        <f>'[2]All Counts'!L552</f>
        <v>24TH</v>
      </c>
      <c r="K552" s="136">
        <f>'[2]All Counts'!O552</f>
        <v>22365</v>
      </c>
      <c r="L552" s="57">
        <f>VLOOKUP(ws[[#This Row],[hwycov_id]],readme!D:G,4,FALSE)</f>
        <v>28445.037109000001</v>
      </c>
      <c r="M552" s="88">
        <f>ws[[#This Row],[flow]]/ws[[#This Row],[count]]-1</f>
        <v>0.27185500152023256</v>
      </c>
      <c r="N552" s="89">
        <f>POWER((ws[[#This Row],[flow]]-ws[[#This Row],[count]]),2)</f>
        <v>36966851.24681709</v>
      </c>
      <c r="O552" s="43">
        <f>VLOOKUP(ws[[#This Row],[hwycov_id]],count[],6,FALSE)</f>
        <v>0</v>
      </c>
      <c r="P552" s="43">
        <v>562</v>
      </c>
      <c r="Q552" s="43" t="str">
        <f>'[2]All Counts'!P552</f>
        <v>PeMS2016</v>
      </c>
      <c r="S552" s="94">
        <v>27605</v>
      </c>
      <c r="T552" s="17"/>
      <c r="U552" s="17"/>
      <c r="V552" s="17"/>
      <c r="W552" s="17"/>
      <c r="X552" s="17"/>
      <c r="Y552" s="17"/>
      <c r="Z552" s="17">
        <v>25270</v>
      </c>
      <c r="AA552" s="17">
        <v>28146.46875</v>
      </c>
      <c r="AB552" s="17">
        <v>25270</v>
      </c>
      <c r="AC552" s="17">
        <v>28146.46875</v>
      </c>
      <c r="AD552"/>
      <c r="AE552"/>
    </row>
    <row r="553" spans="1:31" x14ac:dyDescent="0.25">
      <c r="A553" s="136">
        <f>'[2]All Counts'!C553</f>
        <v>8</v>
      </c>
      <c r="B553" s="136">
        <f>'[2]All Counts'!D553</f>
        <v>2</v>
      </c>
      <c r="C553" s="136">
        <f>'[2]All Counts'!E553</f>
        <v>27934</v>
      </c>
      <c r="D553" s="136">
        <f>'[2]All Counts'!F553</f>
        <v>1</v>
      </c>
      <c r="E553" s="136">
        <f>'[2]All Counts'!G553</f>
        <v>1</v>
      </c>
      <c r="F553" s="136" t="str">
        <f>'[2]All Counts'!H553</f>
        <v>I-5 SB</v>
      </c>
      <c r="G553" s="136">
        <f>'[2]All Counts'!I553</f>
        <v>149</v>
      </c>
      <c r="H553" s="136">
        <f>'[2]All Counts'!J553</f>
        <v>0</v>
      </c>
      <c r="I553" s="136" t="str">
        <f>'[2]All Counts'!K553</f>
        <v>J</v>
      </c>
      <c r="J553" s="136" t="str">
        <f>'[2]All Counts'!L553</f>
        <v>J</v>
      </c>
      <c r="K553" s="136">
        <f>'[2]All Counts'!O553</f>
        <v>20376</v>
      </c>
      <c r="L553" s="57">
        <f>VLOOKUP(ws[[#This Row],[hwycov_id]],readme!D:G,4,FALSE)</f>
        <v>23565.056640999999</v>
      </c>
      <c r="M553" s="88">
        <f>ws[[#This Row],[flow]]/ws[[#This Row],[count]]-1</f>
        <v>0.15651043585590885</v>
      </c>
      <c r="N553" s="89">
        <f>POWER((ws[[#This Row],[flow]]-ws[[#This Row],[count]]),2)</f>
        <v>10170082.259506198</v>
      </c>
      <c r="O553" s="43">
        <f>VLOOKUP(ws[[#This Row],[hwycov_id]],count[],6,FALSE)</f>
        <v>0</v>
      </c>
      <c r="P553" s="43">
        <v>564</v>
      </c>
      <c r="Q553" s="43" t="str">
        <f>'[2]All Counts'!P553</f>
        <v>PeMS2016</v>
      </c>
      <c r="S553" s="94">
        <v>27607</v>
      </c>
      <c r="T553" s="17"/>
      <c r="U553" s="17"/>
      <c r="V553" s="17"/>
      <c r="W553" s="17"/>
      <c r="X553" s="17"/>
      <c r="Y553" s="17"/>
      <c r="Z553" s="17">
        <v>19235</v>
      </c>
      <c r="AA553" s="17">
        <v>20099.919922000001</v>
      </c>
      <c r="AB553" s="17">
        <v>19235</v>
      </c>
      <c r="AC553" s="17">
        <v>20099.919922000001</v>
      </c>
      <c r="AD553"/>
      <c r="AE553"/>
    </row>
    <row r="554" spans="1:31" x14ac:dyDescent="0.25">
      <c r="A554" s="136">
        <f>'[2]All Counts'!C554</f>
        <v>8</v>
      </c>
      <c r="B554" s="136">
        <f>'[2]All Counts'!D554</f>
        <v>2</v>
      </c>
      <c r="C554" s="136">
        <f>'[2]All Counts'!E554</f>
        <v>27915</v>
      </c>
      <c r="D554" s="136">
        <f>'[2]All Counts'!F554</f>
        <v>1</v>
      </c>
      <c r="E554" s="136">
        <f>'[2]All Counts'!G554</f>
        <v>1</v>
      </c>
      <c r="F554" s="136" t="str">
        <f>'[2]All Counts'!H554</f>
        <v>I-5 SB</v>
      </c>
      <c r="G554" s="136">
        <f>'[2]All Counts'!I554</f>
        <v>155</v>
      </c>
      <c r="H554" s="136">
        <f>'[2]All Counts'!J554</f>
        <v>0</v>
      </c>
      <c r="I554" s="136" t="str">
        <f>'[2]All Counts'!K554</f>
        <v>MAIN</v>
      </c>
      <c r="J554" s="136" t="str">
        <f>'[2]All Counts'!L554</f>
        <v>MAIN</v>
      </c>
      <c r="K554" s="136">
        <f>'[2]All Counts'!O554</f>
        <v>24174</v>
      </c>
      <c r="L554" s="57">
        <f>VLOOKUP(ws[[#This Row],[hwycov_id]],readme!D:G,4,FALSE)</f>
        <v>19633.830077999999</v>
      </c>
      <c r="M554" s="88">
        <f>ws[[#This Row],[flow]]/ws[[#This Row],[count]]-1</f>
        <v>-0.18781210896003975</v>
      </c>
      <c r="N554" s="89">
        <f>POWER((ws[[#This Row],[flow]]-ws[[#This Row],[count]]),2)</f>
        <v>20613142.920633495</v>
      </c>
      <c r="O554" s="43">
        <f>VLOOKUP(ws[[#This Row],[hwycov_id]],count[],6,FALSE)</f>
        <v>0</v>
      </c>
      <c r="P554" s="43">
        <v>568</v>
      </c>
      <c r="Q554" s="43" t="str">
        <f>'[2]All Counts'!P554</f>
        <v>Caltran</v>
      </c>
      <c r="S554" s="94">
        <v>27614</v>
      </c>
      <c r="T554" s="17"/>
      <c r="U554" s="17"/>
      <c r="V554" s="17"/>
      <c r="W554" s="17"/>
      <c r="X554" s="17">
        <v>14485</v>
      </c>
      <c r="Y554" s="17">
        <v>15504.049805000001</v>
      </c>
      <c r="Z554" s="17"/>
      <c r="AA554" s="17"/>
      <c r="AB554" s="17">
        <v>14485</v>
      </c>
      <c r="AC554" s="17">
        <v>15504.049805000001</v>
      </c>
      <c r="AD554"/>
      <c r="AE554"/>
    </row>
    <row r="555" spans="1:31" x14ac:dyDescent="0.25">
      <c r="A555" s="136">
        <f>'[2]All Counts'!C555</f>
        <v>8</v>
      </c>
      <c r="B555" s="136">
        <f>'[2]All Counts'!D555</f>
        <v>2</v>
      </c>
      <c r="C555" s="136">
        <f>'[2]All Counts'!E555</f>
        <v>27902</v>
      </c>
      <c r="D555" s="136">
        <f>'[2]All Counts'!F555</f>
        <v>1</v>
      </c>
      <c r="E555" s="136">
        <f>'[2]All Counts'!G555</f>
        <v>1</v>
      </c>
      <c r="F555" s="136" t="str">
        <f>'[2]All Counts'!H555</f>
        <v>I-5 SB</v>
      </c>
      <c r="G555" s="136">
        <f>'[2]All Counts'!I555</f>
        <v>160</v>
      </c>
      <c r="H555" s="136">
        <f>'[2]All Counts'!J555</f>
        <v>0</v>
      </c>
      <c r="I555" s="136" t="str">
        <f>'[2]All Counts'!K555</f>
        <v>CORONADO</v>
      </c>
      <c r="J555" s="136" t="str">
        <f>'[2]All Counts'!L555</f>
        <v>CORONADO</v>
      </c>
      <c r="K555" s="136">
        <f>'[2]All Counts'!O555</f>
        <v>16668</v>
      </c>
      <c r="L555" s="57">
        <f>VLOOKUP(ws[[#This Row],[hwycov_id]],readme!D:G,4,FALSE)</f>
        <v>13641.490234000001</v>
      </c>
      <c r="M555" s="88">
        <f>ws[[#This Row],[flow]]/ws[[#This Row],[count]]-1</f>
        <v>-0.18157605987520997</v>
      </c>
      <c r="N555" s="89">
        <f>POWER((ws[[#This Row],[flow]]-ws[[#This Row],[count]]),2)</f>
        <v>9159761.3636933696</v>
      </c>
      <c r="O555" s="43">
        <f>VLOOKUP(ws[[#This Row],[hwycov_id]],count[],6,FALSE)</f>
        <v>0</v>
      </c>
      <c r="P555" s="43">
        <v>14</v>
      </c>
      <c r="Q555" s="43" t="str">
        <f>'[2]All Counts'!P555</f>
        <v>PeMS2016</v>
      </c>
      <c r="S555" s="94">
        <v>27694</v>
      </c>
      <c r="T555" s="17">
        <v>3216</v>
      </c>
      <c r="U555" s="17">
        <v>1747.1206050000001</v>
      </c>
      <c r="V555" s="17"/>
      <c r="W555" s="17"/>
      <c r="X555" s="17"/>
      <c r="Y555" s="17"/>
      <c r="Z555" s="17"/>
      <c r="AA555" s="17"/>
      <c r="AB555" s="17">
        <v>3216</v>
      </c>
      <c r="AC555" s="17">
        <v>1747.1206050000001</v>
      </c>
      <c r="AD555"/>
      <c r="AE555"/>
    </row>
    <row r="556" spans="1:31" x14ac:dyDescent="0.25">
      <c r="A556" s="136">
        <f>'[2]All Counts'!C556</f>
        <v>8</v>
      </c>
      <c r="B556" s="136">
        <f>'[2]All Counts'!D556</f>
        <v>2</v>
      </c>
      <c r="C556" s="136">
        <f>'[2]All Counts'!E556</f>
        <v>27878</v>
      </c>
      <c r="D556" s="136">
        <f>'[2]All Counts'!F556</f>
        <v>1</v>
      </c>
      <c r="E556" s="136">
        <f>'[2]All Counts'!G556</f>
        <v>1</v>
      </c>
      <c r="F556" s="136" t="str">
        <f>'[2]All Counts'!H556</f>
        <v>I-5 SB</v>
      </c>
      <c r="G556" s="136">
        <f>'[2]All Counts'!I556</f>
        <v>162</v>
      </c>
      <c r="H556" s="136">
        <f>'[2]All Counts'!J556</f>
        <v>0</v>
      </c>
      <c r="I556" s="136" t="str">
        <f>'[2]All Counts'!K556</f>
        <v>SR-905</v>
      </c>
      <c r="J556" s="136" t="str">
        <f>'[2]All Counts'!L556</f>
        <v>SR-905 WB</v>
      </c>
      <c r="K556" s="136">
        <f>'[2]All Counts'!O556</f>
        <v>11019</v>
      </c>
      <c r="L556" s="57">
        <f>VLOOKUP(ws[[#This Row],[hwycov_id]],readme!D:G,4,FALSE)</f>
        <v>6683.8979490000002</v>
      </c>
      <c r="M556" s="88">
        <f>ws[[#This Row],[flow]]/ws[[#This Row],[count]]-1</f>
        <v>-0.39342064170977398</v>
      </c>
      <c r="N556" s="89">
        <f>POWER((ws[[#This Row],[flow]]-ws[[#This Row],[count]]),2)</f>
        <v>18793109.792584404</v>
      </c>
      <c r="O556" s="43">
        <f>VLOOKUP(ws[[#This Row],[hwycov_id]],count[],6,FALSE)</f>
        <v>0</v>
      </c>
      <c r="P556" s="43">
        <v>234</v>
      </c>
      <c r="Q556" s="43" t="str">
        <f>'[2]All Counts'!P556</f>
        <v>PeMS2016</v>
      </c>
      <c r="S556" s="94">
        <v>27716</v>
      </c>
      <c r="T556" s="17"/>
      <c r="U556" s="17"/>
      <c r="V556" s="17"/>
      <c r="W556" s="17"/>
      <c r="X556" s="17">
        <v>7444</v>
      </c>
      <c r="Y556" s="17">
        <v>7584.6748049999997</v>
      </c>
      <c r="Z556" s="17"/>
      <c r="AA556" s="17"/>
      <c r="AB556" s="17">
        <v>7444</v>
      </c>
      <c r="AC556" s="17">
        <v>7584.6748049999997</v>
      </c>
      <c r="AD556"/>
      <c r="AE556"/>
    </row>
    <row r="557" spans="1:31" x14ac:dyDescent="0.25">
      <c r="A557" s="136">
        <f>'[2]All Counts'!C557</f>
        <v>8</v>
      </c>
      <c r="B557" s="136">
        <f>'[2]All Counts'!D557</f>
        <v>2</v>
      </c>
      <c r="C557" s="136">
        <f>'[2]All Counts'!E557</f>
        <v>27860</v>
      </c>
      <c r="D557" s="136">
        <f>'[2]All Counts'!F557</f>
        <v>1</v>
      </c>
      <c r="E557" s="136">
        <f>'[2]All Counts'!G557</f>
        <v>1</v>
      </c>
      <c r="F557" s="136" t="str">
        <f>'[2]All Counts'!H557</f>
        <v>I-5 SB</v>
      </c>
      <c r="G557" s="136">
        <f>'[2]All Counts'!I557</f>
        <v>164</v>
      </c>
      <c r="H557" s="136">
        <f>'[2]All Counts'!J557</f>
        <v>0</v>
      </c>
      <c r="I557" s="136" t="str">
        <f>'[2]All Counts'!K557</f>
        <v>SR-905 EB</v>
      </c>
      <c r="J557" s="136" t="str">
        <f>'[2]All Counts'!L557</f>
        <v>DAIRY MART</v>
      </c>
      <c r="K557" s="136">
        <f>'[2]All Counts'!O557</f>
        <v>11501</v>
      </c>
      <c r="L557" s="57">
        <f>VLOOKUP(ws[[#This Row],[hwycov_id]],readme!D:G,4,FALSE)</f>
        <v>6869.3139650000003</v>
      </c>
      <c r="M557" s="88">
        <f>ws[[#This Row],[flow]]/ws[[#This Row],[count]]-1</f>
        <v>-0.40272028823580552</v>
      </c>
      <c r="N557" s="89">
        <f>POWER((ws[[#This Row],[flow]]-ws[[#This Row],[count]]),2)</f>
        <v>21452515.526814017</v>
      </c>
      <c r="O557" s="43">
        <f>VLOOKUP(ws[[#This Row],[hwycov_id]],count[],6,FALSE)</f>
        <v>0</v>
      </c>
      <c r="P557" s="43">
        <v>27</v>
      </c>
      <c r="Q557" s="43" t="str">
        <f>'[2]All Counts'!P557</f>
        <v>PeMS2016</v>
      </c>
      <c r="S557" s="94">
        <v>27719</v>
      </c>
      <c r="T557" s="17"/>
      <c r="U557" s="17"/>
      <c r="V557" s="17"/>
      <c r="W557" s="17"/>
      <c r="X557" s="17">
        <v>12493</v>
      </c>
      <c r="Y557" s="17">
        <v>9526.1855469999991</v>
      </c>
      <c r="Z557" s="17"/>
      <c r="AA557" s="17"/>
      <c r="AB557" s="17">
        <v>12493</v>
      </c>
      <c r="AC557" s="17">
        <v>9526.1855469999991</v>
      </c>
      <c r="AD557"/>
      <c r="AE557"/>
    </row>
    <row r="558" spans="1:31" x14ac:dyDescent="0.25">
      <c r="A558" s="136">
        <f>'[2]All Counts'!C558</f>
        <v>8</v>
      </c>
      <c r="B558" s="136">
        <f>'[2]All Counts'!D558</f>
        <v>2</v>
      </c>
      <c r="C558" s="136">
        <f>'[2]All Counts'!E558</f>
        <v>27887</v>
      </c>
      <c r="D558" s="136">
        <f>'[2]All Counts'!F558</f>
        <v>1</v>
      </c>
      <c r="E558" s="136">
        <f>'[2]All Counts'!G558</f>
        <v>1</v>
      </c>
      <c r="F558" s="136" t="str">
        <f>'[2]All Counts'!H558</f>
        <v>I-5 SB</v>
      </c>
      <c r="G558" s="136">
        <f>'[2]All Counts'!I558</f>
        <v>165</v>
      </c>
      <c r="H558" s="136">
        <f>'[2]All Counts'!J558</f>
        <v>0</v>
      </c>
      <c r="I558" s="136" t="str">
        <f>'[2]All Counts'!K558</f>
        <v>DAIRY MART</v>
      </c>
      <c r="J558" s="136" t="str">
        <f>'[2]All Counts'!L558</f>
        <v>DAIRY MART</v>
      </c>
      <c r="K558" s="136">
        <f>'[2]All Counts'!O558</f>
        <v>9158</v>
      </c>
      <c r="L558" s="57">
        <f>VLOOKUP(ws[[#This Row],[hwycov_id]],readme!D:G,4,FALSE)</f>
        <v>5251.6083980000003</v>
      </c>
      <c r="M558" s="88">
        <f>ws[[#This Row],[flow]]/ws[[#This Row],[count]]-1</f>
        <v>-0.42655509958506221</v>
      </c>
      <c r="N558" s="89">
        <f>POWER((ws[[#This Row],[flow]]-ws[[#This Row],[count]]),2)</f>
        <v>15259895.348176124</v>
      </c>
      <c r="O558" s="43">
        <f>VLOOKUP(ws[[#This Row],[hwycov_id]],count[],6,FALSE)</f>
        <v>0</v>
      </c>
      <c r="P558" s="43">
        <v>28</v>
      </c>
      <c r="Q558" s="43" t="str">
        <f>'[2]All Counts'!P558</f>
        <v>PeMS2016</v>
      </c>
      <c r="S558" s="94">
        <v>27720</v>
      </c>
      <c r="T558" s="17"/>
      <c r="U558" s="17"/>
      <c r="V558" s="17"/>
      <c r="W558" s="17"/>
      <c r="X558" s="17"/>
      <c r="Y558" s="17"/>
      <c r="Z558" s="17">
        <v>7398</v>
      </c>
      <c r="AA558" s="17">
        <v>9694.3769530000009</v>
      </c>
      <c r="AB558" s="17">
        <v>7398</v>
      </c>
      <c r="AC558" s="17">
        <v>9694.3769530000009</v>
      </c>
      <c r="AD558"/>
      <c r="AE558"/>
    </row>
    <row r="559" spans="1:31" x14ac:dyDescent="0.25">
      <c r="A559" s="136">
        <f>'[2]All Counts'!C559</f>
        <v>22</v>
      </c>
      <c r="B559" s="136">
        <f>'[2]All Counts'!D559</f>
        <v>4</v>
      </c>
      <c r="C559" s="136">
        <f>'[2]All Counts'!E559</f>
        <v>28455</v>
      </c>
      <c r="D559" s="136">
        <f>'[2]All Counts'!F559</f>
        <v>1</v>
      </c>
      <c r="E559" s="136">
        <f>'[2]All Counts'!G559</f>
        <v>1</v>
      </c>
      <c r="F559" s="136" t="str">
        <f>'[2]All Counts'!H559</f>
        <v>I-8 EB</v>
      </c>
      <c r="G559" s="136">
        <f>'[2]All Counts'!I559</f>
        <v>1</v>
      </c>
      <c r="H559" s="136">
        <f>'[2]All Counts'!J559</f>
        <v>0</v>
      </c>
      <c r="I559" s="136" t="str">
        <f>'[2]All Counts'!K559</f>
        <v>I-8 EB</v>
      </c>
      <c r="J559" s="136" t="str">
        <f>'[2]All Counts'!L559</f>
        <v>I-8 EB</v>
      </c>
      <c r="K559" s="136">
        <f>'[2]All Counts'!O559</f>
        <v>4715</v>
      </c>
      <c r="L559" s="57">
        <f>VLOOKUP(ws[[#This Row],[hwycov_id]],readme!D:G,4,FALSE)</f>
        <v>7030.4902339999999</v>
      </c>
      <c r="M559" s="88">
        <f>ws[[#This Row],[flow]]/ws[[#This Row],[count]]-1</f>
        <v>0.49109018748674438</v>
      </c>
      <c r="N559" s="89">
        <f>POWER((ws[[#This Row],[flow]]-ws[[#This Row],[count]]),2)</f>
        <v>5361495.0237493739</v>
      </c>
      <c r="O559" s="43">
        <f>VLOOKUP(ws[[#This Row],[hwycov_id]],count[],6,FALSE)</f>
        <v>0</v>
      </c>
      <c r="P559" s="43">
        <v>742</v>
      </c>
      <c r="Q559" s="43" t="str">
        <f>'[2]All Counts'!P559</f>
        <v>PeMS2016</v>
      </c>
      <c r="S559" s="94">
        <v>27721</v>
      </c>
      <c r="T559" s="17"/>
      <c r="U559" s="17"/>
      <c r="V559" s="17"/>
      <c r="W559" s="17"/>
      <c r="X559" s="17">
        <v>8477</v>
      </c>
      <c r="Y559" s="17">
        <v>7753.8090819999998</v>
      </c>
      <c r="Z559" s="17"/>
      <c r="AA559" s="17"/>
      <c r="AB559" s="17">
        <v>8477</v>
      </c>
      <c r="AC559" s="17">
        <v>7753.8090819999998</v>
      </c>
      <c r="AD559"/>
      <c r="AE559"/>
    </row>
    <row r="560" spans="1:31" x14ac:dyDescent="0.25">
      <c r="A560" s="136">
        <f>'[2]All Counts'!C560</f>
        <v>22</v>
      </c>
      <c r="B560" s="136">
        <f>'[2]All Counts'!D560</f>
        <v>4</v>
      </c>
      <c r="C560" s="136">
        <f>'[2]All Counts'!E560</f>
        <v>28086</v>
      </c>
      <c r="D560" s="136">
        <f>'[2]All Counts'!F560</f>
        <v>1</v>
      </c>
      <c r="E560" s="136">
        <f>'[2]All Counts'!G560</f>
        <v>1</v>
      </c>
      <c r="F560" s="136" t="str">
        <f>'[2]All Counts'!H560</f>
        <v>I-8 EB</v>
      </c>
      <c r="G560" s="136">
        <f>'[2]All Counts'!I560</f>
        <v>3</v>
      </c>
      <c r="H560" s="136">
        <f>'[2]All Counts'!J560</f>
        <v>0</v>
      </c>
      <c r="I560" s="136" t="str">
        <f>'[2]All Counts'!K560</f>
        <v>MIDWAY</v>
      </c>
      <c r="J560" s="136" t="str">
        <f>'[2]All Counts'!L560</f>
        <v>I-5 SB</v>
      </c>
      <c r="K560" s="136">
        <f>'[2]All Counts'!O560</f>
        <v>12709</v>
      </c>
      <c r="L560" s="57">
        <f>VLOOKUP(ws[[#This Row],[hwycov_id]],readme!D:G,4,FALSE)</f>
        <v>12505.868164</v>
      </c>
      <c r="M560" s="88">
        <f>ws[[#This Row],[flow]]/ws[[#This Row],[count]]-1</f>
        <v>-1.5983306003619524E-2</v>
      </c>
      <c r="N560" s="89">
        <f>POWER((ws[[#This Row],[flow]]-ws[[#This Row],[count]]),2)</f>
        <v>41262.54279673109</v>
      </c>
      <c r="O560" s="43">
        <f>VLOOKUP(ws[[#This Row],[hwycov_id]],count[],6,FALSE)</f>
        <v>0</v>
      </c>
      <c r="P560" s="43">
        <v>26</v>
      </c>
      <c r="Q560" s="43" t="str">
        <f>'[2]All Counts'!P560</f>
        <v>PeMS2016</v>
      </c>
      <c r="S560" s="94">
        <v>27724</v>
      </c>
      <c r="T560" s="17"/>
      <c r="U560" s="17"/>
      <c r="V560" s="17"/>
      <c r="W560" s="17"/>
      <c r="X560" s="17">
        <v>6293</v>
      </c>
      <c r="Y560" s="17">
        <v>6076.7934569999998</v>
      </c>
      <c r="Z560" s="17"/>
      <c r="AA560" s="17"/>
      <c r="AB560" s="17">
        <v>6293</v>
      </c>
      <c r="AC560" s="17">
        <v>6076.7934569999998</v>
      </c>
      <c r="AD560"/>
      <c r="AE560"/>
    </row>
    <row r="561" spans="1:31" x14ac:dyDescent="0.25">
      <c r="A561" s="136">
        <f>'[2]All Counts'!C561</f>
        <v>22</v>
      </c>
      <c r="B561" s="136">
        <f>'[2]All Counts'!D561</f>
        <v>4</v>
      </c>
      <c r="C561" s="136">
        <f>'[2]All Counts'!E561</f>
        <v>27603</v>
      </c>
      <c r="D561" s="136">
        <f>'[2]All Counts'!F561</f>
        <v>1</v>
      </c>
      <c r="E561" s="136">
        <f>'[2]All Counts'!G561</f>
        <v>1</v>
      </c>
      <c r="F561" s="136" t="str">
        <f>'[2]All Counts'!H561</f>
        <v>I-8 EB</v>
      </c>
      <c r="G561" s="136">
        <f>'[2]All Counts'!I561</f>
        <v>9</v>
      </c>
      <c r="H561" s="136">
        <f>'[2]All Counts'!J561</f>
        <v>0</v>
      </c>
      <c r="I561" s="136" t="str">
        <f>'[2]All Counts'!K561</f>
        <v>MORENA</v>
      </c>
      <c r="J561" s="136" t="str">
        <f>'[2]All Counts'!L561</f>
        <v>TAYLOR</v>
      </c>
      <c r="K561" s="136">
        <f>'[2]All Counts'!O561</f>
        <v>22897</v>
      </c>
      <c r="L561" s="57">
        <f>VLOOKUP(ws[[#This Row],[hwycov_id]],readme!D:G,4,FALSE)</f>
        <v>25837.550781000002</v>
      </c>
      <c r="M561" s="88">
        <f>ws[[#This Row],[flow]]/ws[[#This Row],[count]]-1</f>
        <v>0.12842515530418841</v>
      </c>
      <c r="N561" s="89">
        <f>POWER((ws[[#This Row],[flow]]-ws[[#This Row],[count]]),2)</f>
        <v>8646838.8956397194</v>
      </c>
      <c r="O561" s="43">
        <f>VLOOKUP(ws[[#This Row],[hwycov_id]],count[],6,FALSE)</f>
        <v>0</v>
      </c>
      <c r="P561" s="43">
        <v>25</v>
      </c>
      <c r="Q561" s="43" t="str">
        <f>'[2]All Counts'!P561</f>
        <v>PeMS2016</v>
      </c>
      <c r="S561" s="94">
        <v>27737</v>
      </c>
      <c r="T561" s="17"/>
      <c r="U561" s="17"/>
      <c r="V561" s="17"/>
      <c r="W561" s="17"/>
      <c r="X561" s="17"/>
      <c r="Y561" s="17"/>
      <c r="Z561" s="17">
        <v>7486</v>
      </c>
      <c r="AA561" s="17">
        <v>9806.2080079999996</v>
      </c>
      <c r="AB561" s="17">
        <v>7486</v>
      </c>
      <c r="AC561" s="17">
        <v>9806.2080079999996</v>
      </c>
      <c r="AD561"/>
      <c r="AE561"/>
    </row>
    <row r="562" spans="1:31" x14ac:dyDescent="0.25">
      <c r="A562" s="136">
        <f>'[2]All Counts'!C562</f>
        <v>22</v>
      </c>
      <c r="B562" s="136">
        <f>'[2]All Counts'!D562</f>
        <v>4</v>
      </c>
      <c r="C562" s="136">
        <f>'[2]All Counts'!E562</f>
        <v>27551</v>
      </c>
      <c r="D562" s="136">
        <f>'[2]All Counts'!F562</f>
        <v>1</v>
      </c>
      <c r="E562" s="136">
        <f>'[2]All Counts'!G562</f>
        <v>1</v>
      </c>
      <c r="F562" s="136" t="str">
        <f>'[2]All Counts'!H562</f>
        <v>I-8 EB</v>
      </c>
      <c r="G562" s="136">
        <f>'[2]All Counts'!I562</f>
        <v>10</v>
      </c>
      <c r="H562" s="136">
        <f>'[2]All Counts'!J562</f>
        <v>0</v>
      </c>
      <c r="I562" s="136" t="str">
        <f>'[2]All Counts'!K562</f>
        <v>TAYLOR</v>
      </c>
      <c r="J562" s="136" t="str">
        <f>'[2]All Counts'!L562</f>
        <v>TAYLOR</v>
      </c>
      <c r="K562" s="136">
        <f>'[2]All Counts'!O562</f>
        <v>25270</v>
      </c>
      <c r="L562" s="57">
        <f>VLOOKUP(ws[[#This Row],[hwycov_id]],readme!D:G,4,FALSE)</f>
        <v>24938.472656000002</v>
      </c>
      <c r="M562" s="88">
        <f>ws[[#This Row],[flow]]/ws[[#This Row],[count]]-1</f>
        <v>-1.3119404194697148E-2</v>
      </c>
      <c r="N562" s="89">
        <f>POWER((ws[[#This Row],[flow]]-ws[[#This Row],[count]]),2)</f>
        <v>109910.37981969319</v>
      </c>
      <c r="O562" s="43">
        <f>VLOOKUP(ws[[#This Row],[hwycov_id]],count[],6,FALSE)</f>
        <v>0</v>
      </c>
      <c r="P562" s="43">
        <v>741</v>
      </c>
      <c r="Q562" s="43" t="str">
        <f>'[2]All Counts'!P562</f>
        <v>PeMS2016</v>
      </c>
      <c r="S562" s="94">
        <v>27741</v>
      </c>
      <c r="T562" s="17"/>
      <c r="U562" s="17"/>
      <c r="V562" s="17"/>
      <c r="W562" s="17"/>
      <c r="X562" s="17">
        <v>9861</v>
      </c>
      <c r="Y562" s="17">
        <v>9526.1855469999991</v>
      </c>
      <c r="Z562" s="17"/>
      <c r="AA562" s="17"/>
      <c r="AB562" s="17">
        <v>9861</v>
      </c>
      <c r="AC562" s="17">
        <v>9526.1855469999991</v>
      </c>
      <c r="AD562"/>
      <c r="AE562"/>
    </row>
    <row r="563" spans="1:31" x14ac:dyDescent="0.25">
      <c r="A563" s="136">
        <f>'[2]All Counts'!C563</f>
        <v>22</v>
      </c>
      <c r="B563" s="136">
        <f>'[2]All Counts'!D563</f>
        <v>4</v>
      </c>
      <c r="C563" s="136">
        <f>'[2]All Counts'!E563</f>
        <v>27605</v>
      </c>
      <c r="D563" s="136">
        <f>'[2]All Counts'!F563</f>
        <v>1</v>
      </c>
      <c r="E563" s="136">
        <f>'[2]All Counts'!G563</f>
        <v>1</v>
      </c>
      <c r="F563" s="136" t="str">
        <f>'[2]All Counts'!H563</f>
        <v>I-8 EB</v>
      </c>
      <c r="G563" s="136">
        <f>'[2]All Counts'!I563</f>
        <v>11</v>
      </c>
      <c r="H563" s="136">
        <f>'[2]All Counts'!J563</f>
        <v>0</v>
      </c>
      <c r="I563" s="136" t="str">
        <f>'[2]All Counts'!K563</f>
        <v>HOTEL CIRCLE NORTH</v>
      </c>
      <c r="J563" s="136" t="str">
        <f>'[2]All Counts'!L563</f>
        <v>HOTEL CIRCLE SOUTH</v>
      </c>
      <c r="K563" s="136">
        <f>'[2]All Counts'!O563</f>
        <v>25270</v>
      </c>
      <c r="L563" s="57">
        <f>VLOOKUP(ws[[#This Row],[hwycov_id]],readme!D:G,4,FALSE)</f>
        <v>28146.46875</v>
      </c>
      <c r="M563" s="88">
        <f>ws[[#This Row],[flow]]/ws[[#This Row],[count]]-1</f>
        <v>0.11382939256034819</v>
      </c>
      <c r="N563" s="89">
        <f>POWER((ws[[#This Row],[flow]]-ws[[#This Row],[count]]),2)</f>
        <v>8274072.4697265625</v>
      </c>
      <c r="O563" s="43">
        <f>VLOOKUP(ws[[#This Row],[hwycov_id]],count[],6,FALSE)</f>
        <v>0</v>
      </c>
      <c r="P563" s="43">
        <v>29</v>
      </c>
      <c r="Q563" s="43" t="str">
        <f>'[2]All Counts'!P563</f>
        <v>PeMS2016</v>
      </c>
      <c r="S563" s="94">
        <v>27742</v>
      </c>
      <c r="T563" s="17"/>
      <c r="U563" s="17"/>
      <c r="V563" s="17"/>
      <c r="W563" s="17"/>
      <c r="X563" s="17">
        <v>9980</v>
      </c>
      <c r="Y563" s="17">
        <v>9390.5439449999994</v>
      </c>
      <c r="Z563" s="17"/>
      <c r="AA563" s="17"/>
      <c r="AB563" s="17">
        <v>9980</v>
      </c>
      <c r="AC563" s="17">
        <v>9390.5439449999994</v>
      </c>
      <c r="AD563"/>
      <c r="AE563"/>
    </row>
    <row r="564" spans="1:31" x14ac:dyDescent="0.25">
      <c r="A564" s="136">
        <f>'[2]All Counts'!C564</f>
        <v>22</v>
      </c>
      <c r="B564" s="136">
        <f>'[2]All Counts'!D564</f>
        <v>4</v>
      </c>
      <c r="C564" s="136">
        <f>'[2]All Counts'!E564</f>
        <v>27555</v>
      </c>
      <c r="D564" s="136">
        <f>'[2]All Counts'!F564</f>
        <v>1</v>
      </c>
      <c r="E564" s="136">
        <f>'[2]All Counts'!G564</f>
        <v>1</v>
      </c>
      <c r="F564" s="136" t="str">
        <f>'[2]All Counts'!H564</f>
        <v>I-8 EB</v>
      </c>
      <c r="G564" s="136">
        <f>'[2]All Counts'!I564</f>
        <v>12</v>
      </c>
      <c r="H564" s="136">
        <f>'[2]All Counts'!J564</f>
        <v>0</v>
      </c>
      <c r="I564" s="136" t="str">
        <f>'[2]All Counts'!K564</f>
        <v>HOTEL CIRCLE SOUTH</v>
      </c>
      <c r="J564" s="136" t="str">
        <f>'[2]All Counts'!L564</f>
        <v>HOTEL CIRCLE SOUTH</v>
      </c>
      <c r="K564" s="136">
        <f>'[2]All Counts'!O564</f>
        <v>25476</v>
      </c>
      <c r="L564" s="57">
        <f>VLOOKUP(ws[[#This Row],[hwycov_id]],readme!D:G,4,FALSE)</f>
        <v>28146.46875</v>
      </c>
      <c r="M564" s="88">
        <f>ws[[#This Row],[flow]]/ws[[#This Row],[count]]-1</f>
        <v>0.10482292157324546</v>
      </c>
      <c r="N564" s="89">
        <f>POWER((ws[[#This Row],[flow]]-ws[[#This Row],[count]]),2)</f>
        <v>7131403.3447265625</v>
      </c>
      <c r="O564" s="43">
        <f>VLOOKUP(ws[[#This Row],[hwycov_id]],count[],6,FALSE)</f>
        <v>0</v>
      </c>
      <c r="P564" s="43">
        <v>30</v>
      </c>
      <c r="Q564" s="43" t="str">
        <f>'[2]All Counts'!P564</f>
        <v>PeMS2016</v>
      </c>
      <c r="S564" s="94">
        <v>27781</v>
      </c>
      <c r="T564" s="17"/>
      <c r="U564" s="17"/>
      <c r="V564" s="17">
        <v>17560</v>
      </c>
      <c r="W564" s="17">
        <v>22787.998047000001</v>
      </c>
      <c r="X564" s="17"/>
      <c r="Y564" s="17"/>
      <c r="Z564" s="17"/>
      <c r="AA564" s="17"/>
      <c r="AB564" s="17">
        <v>17560</v>
      </c>
      <c r="AC564" s="17">
        <v>22787.998047000001</v>
      </c>
      <c r="AD564"/>
      <c r="AE564"/>
    </row>
    <row r="565" spans="1:31" x14ac:dyDescent="0.25">
      <c r="A565" s="136">
        <f>'[2]All Counts'!C565</f>
        <v>22</v>
      </c>
      <c r="B565" s="136">
        <f>'[2]All Counts'!D565</f>
        <v>4</v>
      </c>
      <c r="C565" s="136">
        <f>'[2]All Counts'!E565</f>
        <v>29089</v>
      </c>
      <c r="D565" s="136">
        <f>'[2]All Counts'!F565</f>
        <v>1</v>
      </c>
      <c r="E565" s="136">
        <f>'[2]All Counts'!G565</f>
        <v>1</v>
      </c>
      <c r="F565" s="136" t="str">
        <f>'[2]All Counts'!H565</f>
        <v>I-8 EB</v>
      </c>
      <c r="G565" s="136">
        <f>'[2]All Counts'!I565</f>
        <v>14</v>
      </c>
      <c r="H565" s="136">
        <f>'[2]All Counts'!J565</f>
        <v>0</v>
      </c>
      <c r="I565" s="136" t="str">
        <f>'[2]All Counts'!K565</f>
        <v>HOTEL CIRCLE SOUTH</v>
      </c>
      <c r="J565" s="136" t="str">
        <f>'[2]All Counts'!L565</f>
        <v>HOTEL CIRCLE SOUTH</v>
      </c>
      <c r="K565" s="136">
        <f>'[2]All Counts'!O565</f>
        <v>25023</v>
      </c>
      <c r="L565" s="57">
        <f>VLOOKUP(ws[[#This Row],[hwycov_id]],readme!D:G,4,FALSE)</f>
        <v>26247.490234000001</v>
      </c>
      <c r="M565" s="88">
        <f>ws[[#This Row],[flow]]/ws[[#This Row],[count]]-1</f>
        <v>4.8934589537625417E-2</v>
      </c>
      <c r="N565" s="89">
        <f>POWER((ws[[#This Row],[flow]]-ws[[#This Row],[count]]),2)</f>
        <v>1499376.3331613766</v>
      </c>
      <c r="O565" s="43">
        <f>VLOOKUP(ws[[#This Row],[hwycov_id]],count[],6,FALSE)</f>
        <v>0</v>
      </c>
      <c r="P565" s="43">
        <v>550</v>
      </c>
      <c r="Q565" s="43" t="str">
        <f>'[2]All Counts'!P565</f>
        <v>PeMS2016</v>
      </c>
      <c r="S565" s="94">
        <v>27792</v>
      </c>
      <c r="T565" s="17">
        <v>17494</v>
      </c>
      <c r="U565" s="17">
        <v>23526.082031000002</v>
      </c>
      <c r="V565" s="17"/>
      <c r="W565" s="17"/>
      <c r="X565" s="17"/>
      <c r="Y565" s="17"/>
      <c r="Z565" s="17"/>
      <c r="AA565" s="17"/>
      <c r="AB565" s="17">
        <v>17494</v>
      </c>
      <c r="AC565" s="17">
        <v>23526.082031000002</v>
      </c>
      <c r="AD565"/>
      <c r="AE565"/>
    </row>
    <row r="566" spans="1:31" x14ac:dyDescent="0.25">
      <c r="A566" s="136">
        <f>'[2]All Counts'!C566</f>
        <v>22</v>
      </c>
      <c r="B566" s="136">
        <f>'[2]All Counts'!D566</f>
        <v>4</v>
      </c>
      <c r="C566" s="136">
        <f>'[2]All Counts'!E566</f>
        <v>29108</v>
      </c>
      <c r="D566" s="136">
        <f>'[2]All Counts'!F566</f>
        <v>1</v>
      </c>
      <c r="E566" s="136">
        <f>'[2]All Counts'!G566</f>
        <v>1</v>
      </c>
      <c r="F566" s="136" t="str">
        <f>'[2]All Counts'!H566</f>
        <v>I-8 EB</v>
      </c>
      <c r="G566" s="136">
        <f>'[2]All Counts'!I566</f>
        <v>19</v>
      </c>
      <c r="H566" s="136">
        <f>'[2]All Counts'!J566</f>
        <v>0</v>
      </c>
      <c r="I566" s="136" t="str">
        <f>'[2]All Counts'!K566</f>
        <v>MISSION CENTER</v>
      </c>
      <c r="J566" s="136" t="str">
        <f>'[2]All Counts'!L566</f>
        <v>TEXAS</v>
      </c>
      <c r="K566" s="136">
        <f>'[2]All Counts'!O566</f>
        <v>30291</v>
      </c>
      <c r="L566" s="57">
        <f>VLOOKUP(ws[[#This Row],[hwycov_id]],readme!D:G,4,FALSE)</f>
        <v>32088.878906000002</v>
      </c>
      <c r="M566" s="88">
        <f>ws[[#This Row],[flow]]/ws[[#This Row],[count]]-1</f>
        <v>5.9353567264204043E-2</v>
      </c>
      <c r="N566" s="89">
        <f>POWER((ws[[#This Row],[flow]]-ws[[#This Row],[count]]),2)</f>
        <v>3232368.5606397633</v>
      </c>
      <c r="O566" s="43">
        <f>VLOOKUP(ws[[#This Row],[hwycov_id]],count[],6,FALSE)</f>
        <v>0</v>
      </c>
      <c r="P566" s="43">
        <v>259</v>
      </c>
      <c r="Q566" s="43" t="str">
        <f>'[2]All Counts'!P566</f>
        <v>PeMS2016</v>
      </c>
      <c r="S566" s="94">
        <v>27806</v>
      </c>
      <c r="T566" s="17"/>
      <c r="U566" s="17"/>
      <c r="V566" s="17">
        <v>18771</v>
      </c>
      <c r="W566" s="17">
        <v>30405.193359000001</v>
      </c>
      <c r="X566" s="17"/>
      <c r="Y566" s="17"/>
      <c r="Z566" s="17"/>
      <c r="AA566" s="17"/>
      <c r="AB566" s="17">
        <v>18771</v>
      </c>
      <c r="AC566" s="17">
        <v>30405.193359000001</v>
      </c>
      <c r="AD566"/>
      <c r="AE566"/>
    </row>
    <row r="567" spans="1:31" x14ac:dyDescent="0.25">
      <c r="A567" s="136">
        <f>'[2]All Counts'!C567</f>
        <v>22</v>
      </c>
      <c r="B567" s="136">
        <f>'[2]All Counts'!D567</f>
        <v>4</v>
      </c>
      <c r="C567" s="136">
        <f>'[2]All Counts'!E567</f>
        <v>27607</v>
      </c>
      <c r="D567" s="136">
        <f>'[2]All Counts'!F567</f>
        <v>1</v>
      </c>
      <c r="E567" s="136">
        <f>'[2]All Counts'!G567</f>
        <v>1</v>
      </c>
      <c r="F567" s="136" t="str">
        <f>'[2]All Counts'!H567</f>
        <v>I-8 EB</v>
      </c>
      <c r="G567" s="136">
        <f>'[2]All Counts'!I567</f>
        <v>21</v>
      </c>
      <c r="H567" s="136">
        <f>'[2]All Counts'!J567</f>
        <v>0</v>
      </c>
      <c r="I567" s="136" t="str">
        <f>'[2]All Counts'!K567</f>
        <v>I-805 SB</v>
      </c>
      <c r="J567" s="136" t="str">
        <f>'[2]All Counts'!L567</f>
        <v>TEXAS</v>
      </c>
      <c r="K567" s="136">
        <f>'[2]All Counts'!O567</f>
        <v>19235</v>
      </c>
      <c r="L567" s="57">
        <f>VLOOKUP(ws[[#This Row],[hwycov_id]],readme!D:G,4,FALSE)</f>
        <v>20099.919922000001</v>
      </c>
      <c r="M567" s="88">
        <f>ws[[#This Row],[flow]]/ws[[#This Row],[count]]-1</f>
        <v>4.4965943436444E-2</v>
      </c>
      <c r="N567" s="89">
        <f>POWER((ws[[#This Row],[flow]]-ws[[#This Row],[count]]),2)</f>
        <v>748086.47147248778</v>
      </c>
      <c r="O567" s="43">
        <f>VLOOKUP(ws[[#This Row],[hwycov_id]],count[],6,FALSE)</f>
        <v>0</v>
      </c>
      <c r="P567" s="43">
        <v>547</v>
      </c>
      <c r="Q567" s="43" t="str">
        <f>'[2]All Counts'!P567</f>
        <v>PeMS2016</v>
      </c>
      <c r="S567" s="94">
        <v>27807</v>
      </c>
      <c r="T567" s="17">
        <v>17981</v>
      </c>
      <c r="U567" s="17">
        <v>23077.027343999998</v>
      </c>
      <c r="V567" s="17"/>
      <c r="W567" s="17"/>
      <c r="X567" s="17"/>
      <c r="Y567" s="17"/>
      <c r="Z567" s="17"/>
      <c r="AA567" s="17"/>
      <c r="AB567" s="17">
        <v>17981</v>
      </c>
      <c r="AC567" s="17">
        <v>23077.027343999998</v>
      </c>
      <c r="AD567"/>
      <c r="AE567"/>
    </row>
    <row r="568" spans="1:31" x14ac:dyDescent="0.25">
      <c r="A568" s="136">
        <f>'[2]All Counts'!C568</f>
        <v>22</v>
      </c>
      <c r="B568" s="136">
        <f>'[2]All Counts'!D568</f>
        <v>4</v>
      </c>
      <c r="C568" s="136">
        <f>'[2]All Counts'!E568</f>
        <v>28106</v>
      </c>
      <c r="D568" s="136">
        <f>'[2]All Counts'!F568</f>
        <v>1</v>
      </c>
      <c r="E568" s="136">
        <f>'[2]All Counts'!G568</f>
        <v>1</v>
      </c>
      <c r="F568" s="136" t="str">
        <f>'[2]All Counts'!H568</f>
        <v>I-8 EB</v>
      </c>
      <c r="G568" s="136">
        <f>'[2]All Counts'!I568</f>
        <v>23</v>
      </c>
      <c r="H568" s="136">
        <f>'[2]All Counts'!J568</f>
        <v>0</v>
      </c>
      <c r="I568" s="136" t="str">
        <f>'[2]All Counts'!K568</f>
        <v>TEXAS</v>
      </c>
      <c r="J568" s="136" t="str">
        <f>'[2]All Counts'!L568</f>
        <v>I-805 NB</v>
      </c>
      <c r="K568" s="136">
        <f>'[2]All Counts'!O568</f>
        <v>23330</v>
      </c>
      <c r="L568" s="57">
        <f>VLOOKUP(ws[[#This Row],[hwycov_id]],readme!D:G,4,FALSE)</f>
        <v>22810.544922000001</v>
      </c>
      <c r="M568" s="88">
        <f>ws[[#This Row],[flow]]/ws[[#This Row],[count]]-1</f>
        <v>-2.2265541277325274E-2</v>
      </c>
      <c r="N568" s="89">
        <f>POWER((ws[[#This Row],[flow]]-ws[[#This Row],[count]]),2)</f>
        <v>269833.57805998507</v>
      </c>
      <c r="O568" s="43">
        <f>VLOOKUP(ws[[#This Row],[hwycov_id]],count[],6,FALSE)</f>
        <v>0</v>
      </c>
      <c r="P568" s="43">
        <v>260</v>
      </c>
      <c r="Q568" s="43" t="str">
        <f>'[2]All Counts'!P568</f>
        <v>PeMS2016</v>
      </c>
      <c r="S568" s="94">
        <v>27824</v>
      </c>
      <c r="T568" s="17"/>
      <c r="U568" s="17"/>
      <c r="V568" s="17">
        <v>26226</v>
      </c>
      <c r="W568" s="17">
        <v>29831.550781000002</v>
      </c>
      <c r="X568" s="17"/>
      <c r="Y568" s="17"/>
      <c r="Z568" s="17"/>
      <c r="AA568" s="17"/>
      <c r="AB568" s="17">
        <v>26226</v>
      </c>
      <c r="AC568" s="17">
        <v>29831.550781000002</v>
      </c>
      <c r="AD568"/>
      <c r="AE568"/>
    </row>
    <row r="569" spans="1:31" x14ac:dyDescent="0.25">
      <c r="A569" s="136">
        <f>'[2]All Counts'!C569</f>
        <v>22</v>
      </c>
      <c r="B569" s="136">
        <f>'[2]All Counts'!D569</f>
        <v>4</v>
      </c>
      <c r="C569" s="136">
        <f>'[2]All Counts'!E569</f>
        <v>10996</v>
      </c>
      <c r="D569" s="136">
        <f>'[2]All Counts'!F569</f>
        <v>1</v>
      </c>
      <c r="E569" s="136">
        <f>'[2]All Counts'!G569</f>
        <v>1</v>
      </c>
      <c r="F569" s="136" t="str">
        <f>'[2]All Counts'!H569</f>
        <v>I-8 EB</v>
      </c>
      <c r="G569" s="136">
        <f>'[2]All Counts'!I569</f>
        <v>24</v>
      </c>
      <c r="H569" s="136">
        <f>'[2]All Counts'!J569</f>
        <v>0</v>
      </c>
      <c r="I569" s="136" t="str">
        <f>'[2]All Counts'!K569</f>
        <v>I-805 NB</v>
      </c>
      <c r="J569" s="136" t="str">
        <f>'[2]All Counts'!L569</f>
        <v>SR-15 SB</v>
      </c>
      <c r="K569" s="136">
        <f>'[2]All Counts'!O569</f>
        <v>32396</v>
      </c>
      <c r="L569" s="57">
        <f>VLOOKUP(ws[[#This Row],[hwycov_id]],readme!D:G,4,FALSE)</f>
        <v>35032.519530999998</v>
      </c>
      <c r="M569" s="88">
        <f>ws[[#This Row],[flow]]/ws[[#This Row],[count]]-1</f>
        <v>8.1384107019385032E-2</v>
      </c>
      <c r="N569" s="89">
        <f>POWER((ws[[#This Row],[flow]]-ws[[#This Row],[count]]),2)</f>
        <v>6951235.2373444503</v>
      </c>
      <c r="O569" s="43">
        <f>VLOOKUP(ws[[#This Row],[hwycov_id]],count[],6,FALSE)</f>
        <v>0</v>
      </c>
      <c r="P569" s="43">
        <v>545</v>
      </c>
      <c r="Q569" s="43" t="str">
        <f>'[2]All Counts'!P569</f>
        <v>Caltran</v>
      </c>
      <c r="S569" s="94">
        <v>27825</v>
      </c>
      <c r="T569" s="17">
        <v>25692</v>
      </c>
      <c r="U569" s="17">
        <v>29806.384765999999</v>
      </c>
      <c r="V569" s="17"/>
      <c r="W569" s="17"/>
      <c r="X569" s="17"/>
      <c r="Y569" s="17"/>
      <c r="Z569" s="17"/>
      <c r="AA569" s="17"/>
      <c r="AB569" s="17">
        <v>25692</v>
      </c>
      <c r="AC569" s="17">
        <v>29806.384765999999</v>
      </c>
      <c r="AD569"/>
      <c r="AE569"/>
    </row>
    <row r="570" spans="1:31" x14ac:dyDescent="0.25">
      <c r="A570" s="136">
        <f>'[2]All Counts'!C570</f>
        <v>22</v>
      </c>
      <c r="B570" s="136">
        <f>'[2]All Counts'!D570</f>
        <v>4</v>
      </c>
      <c r="C570" s="136">
        <f>'[2]All Counts'!E570</f>
        <v>16096</v>
      </c>
      <c r="D570" s="136">
        <f>'[2]All Counts'!F570</f>
        <v>1</v>
      </c>
      <c r="E570" s="136">
        <f>'[2]All Counts'!G570</f>
        <v>1</v>
      </c>
      <c r="F570" s="136" t="str">
        <f>'[2]All Counts'!H570</f>
        <v>I-8 EB</v>
      </c>
      <c r="G570" s="136">
        <f>'[2]All Counts'!I570</f>
        <v>25</v>
      </c>
      <c r="H570" s="136">
        <f>'[2]All Counts'!J570</f>
        <v>0</v>
      </c>
      <c r="I570" s="136" t="str">
        <f>'[2]All Counts'!K570</f>
        <v>SR-15 SB</v>
      </c>
      <c r="J570" s="136" t="str">
        <f>'[2]All Counts'!L570</f>
        <v>SR-15 SB</v>
      </c>
      <c r="K570" s="136">
        <f>'[2]All Counts'!O570</f>
        <v>22510</v>
      </c>
      <c r="L570" s="57">
        <f>VLOOKUP(ws[[#This Row],[hwycov_id]],readme!D:G,4,FALSE)</f>
        <v>24158.677734000001</v>
      </c>
      <c r="M570" s="88">
        <f>ws[[#This Row],[flow]]/ws[[#This Row],[count]]-1</f>
        <v>7.3242013949355922E-2</v>
      </c>
      <c r="N570" s="89">
        <f>POWER((ws[[#This Row],[flow]]-ws[[#This Row],[count]]),2)</f>
        <v>2718138.2705873773</v>
      </c>
      <c r="O570" s="43">
        <f>VLOOKUP(ws[[#This Row],[hwycov_id]],count[],6,FALSE)</f>
        <v>0</v>
      </c>
      <c r="P570" s="43">
        <v>262</v>
      </c>
      <c r="Q570" s="43" t="str">
        <f>'[2]All Counts'!P570</f>
        <v>PeMS2016</v>
      </c>
      <c r="S570" s="94">
        <v>27832</v>
      </c>
      <c r="T570" s="17">
        <v>24518</v>
      </c>
      <c r="U570" s="17">
        <v>24912.363281000002</v>
      </c>
      <c r="V570" s="17"/>
      <c r="W570" s="17"/>
      <c r="X570" s="17"/>
      <c r="Y570" s="17"/>
      <c r="Z570" s="17"/>
      <c r="AA570" s="17"/>
      <c r="AB570" s="17">
        <v>24518</v>
      </c>
      <c r="AC570" s="17">
        <v>24912.363281000002</v>
      </c>
      <c r="AD570"/>
      <c r="AE570"/>
    </row>
    <row r="571" spans="1:31" x14ac:dyDescent="0.25">
      <c r="A571" s="136">
        <f>'[2]All Counts'!C571</f>
        <v>22</v>
      </c>
      <c r="B571" s="136">
        <f>'[2]All Counts'!D571</f>
        <v>4</v>
      </c>
      <c r="C571" s="136">
        <f>'[2]All Counts'!E571</f>
        <v>15432</v>
      </c>
      <c r="D571" s="136">
        <f>'[2]All Counts'!F571</f>
        <v>1</v>
      </c>
      <c r="E571" s="136">
        <f>'[2]All Counts'!G571</f>
        <v>1</v>
      </c>
      <c r="F571" s="136" t="str">
        <f>'[2]All Counts'!H571</f>
        <v>I-8 EB</v>
      </c>
      <c r="G571" s="136">
        <f>'[2]All Counts'!I571</f>
        <v>28</v>
      </c>
      <c r="H571" s="136">
        <f>'[2]All Counts'!J571</f>
        <v>0</v>
      </c>
      <c r="I571" s="136" t="str">
        <f>'[2]All Counts'!K571</f>
        <v>FAIRMOUNT</v>
      </c>
      <c r="J571" s="136" t="str">
        <f>'[2]All Counts'!L571</f>
        <v>WARING</v>
      </c>
      <c r="K571" s="136">
        <f>'[2]All Counts'!O571</f>
        <v>32759</v>
      </c>
      <c r="L571" s="57">
        <f>VLOOKUP(ws[[#This Row],[hwycov_id]],readme!D:G,4,FALSE)</f>
        <v>39223.183594000002</v>
      </c>
      <c r="M571" s="88">
        <f>ws[[#This Row],[flow]]/ws[[#This Row],[count]]-1</f>
        <v>0.19732542489086979</v>
      </c>
      <c r="N571" s="89">
        <f>POWER((ws[[#This Row],[flow]]-ws[[#This Row],[count]]),2)</f>
        <v>41785669.536938779</v>
      </c>
      <c r="O571" s="43">
        <f>VLOOKUP(ws[[#This Row],[hwycov_id]],count[],6,FALSE)</f>
        <v>0</v>
      </c>
      <c r="P571" s="43">
        <v>263</v>
      </c>
      <c r="Q571" s="43" t="str">
        <f>'[2]All Counts'!P571</f>
        <v>PeMS2016</v>
      </c>
      <c r="S571" s="94">
        <v>27834</v>
      </c>
      <c r="T571" s="17"/>
      <c r="U571" s="17"/>
      <c r="V571" s="17">
        <v>25401</v>
      </c>
      <c r="W571" s="17">
        <v>31763.394531000002</v>
      </c>
      <c r="X571" s="17"/>
      <c r="Y571" s="17"/>
      <c r="Z571" s="17"/>
      <c r="AA571" s="17"/>
      <c r="AB571" s="17">
        <v>25401</v>
      </c>
      <c r="AC571" s="17">
        <v>31763.394531000002</v>
      </c>
      <c r="AD571"/>
      <c r="AE571"/>
    </row>
    <row r="572" spans="1:31" x14ac:dyDescent="0.25">
      <c r="A572" s="136">
        <f>'[2]All Counts'!C572</f>
        <v>22</v>
      </c>
      <c r="B572" s="136">
        <f>'[2]All Counts'!D572</f>
        <v>4</v>
      </c>
      <c r="C572" s="136">
        <f>'[2]All Counts'!E572</f>
        <v>14953</v>
      </c>
      <c r="D572" s="136">
        <f>'[2]All Counts'!F572</f>
        <v>1</v>
      </c>
      <c r="E572" s="136">
        <f>'[2]All Counts'!G572</f>
        <v>1</v>
      </c>
      <c r="F572" s="136" t="str">
        <f>'[2]All Counts'!H572</f>
        <v>I-8 EB</v>
      </c>
      <c r="G572" s="136">
        <f>'[2]All Counts'!I572</f>
        <v>30</v>
      </c>
      <c r="H572" s="136">
        <f>'[2]All Counts'!J572</f>
        <v>0</v>
      </c>
      <c r="I572" s="136" t="str">
        <f>'[2]All Counts'!K572</f>
        <v>WARING</v>
      </c>
      <c r="J572" s="136" t="str">
        <f>'[2]All Counts'!L572</f>
        <v>COLLEGE</v>
      </c>
      <c r="K572" s="136">
        <f>'[2]All Counts'!O572</f>
        <v>32175</v>
      </c>
      <c r="L572" s="57">
        <f>VLOOKUP(ws[[#This Row],[hwycov_id]],readme!D:G,4,FALSE)</f>
        <v>36448.117187999997</v>
      </c>
      <c r="M572" s="88">
        <f>ws[[#This Row],[flow]]/ws[[#This Row],[count]]-1</f>
        <v>0.13280861501165497</v>
      </c>
      <c r="N572" s="89">
        <f>POWER((ws[[#This Row],[flow]]-ws[[#This Row],[count]]),2)</f>
        <v>18259530.502380997</v>
      </c>
      <c r="O572" s="43">
        <f>VLOOKUP(ws[[#This Row],[hwycov_id]],count[],6,FALSE)</f>
        <v>0</v>
      </c>
      <c r="P572" s="43">
        <v>544</v>
      </c>
      <c r="Q572" s="43" t="str">
        <f>'[2]All Counts'!P572</f>
        <v>PeMS2016</v>
      </c>
      <c r="S572" s="94">
        <v>27855</v>
      </c>
      <c r="T572" s="17"/>
      <c r="U572" s="17"/>
      <c r="V572" s="17"/>
      <c r="W572" s="17"/>
      <c r="X572" s="17"/>
      <c r="Y572" s="17"/>
      <c r="Z572" s="17">
        <v>8022</v>
      </c>
      <c r="AA572" s="17">
        <v>6988.6923829999996</v>
      </c>
      <c r="AB572" s="17">
        <v>8022</v>
      </c>
      <c r="AC572" s="17">
        <v>6988.6923829999996</v>
      </c>
      <c r="AD572"/>
      <c r="AE572"/>
    </row>
    <row r="573" spans="1:31" x14ac:dyDescent="0.25">
      <c r="A573" s="136">
        <f>'[2]All Counts'!C573</f>
        <v>22</v>
      </c>
      <c r="B573" s="136">
        <f>'[2]All Counts'!D573</f>
        <v>4</v>
      </c>
      <c r="C573" s="136">
        <f>'[2]All Counts'!E573</f>
        <v>15443</v>
      </c>
      <c r="D573" s="136">
        <f>'[2]All Counts'!F573</f>
        <v>1</v>
      </c>
      <c r="E573" s="136">
        <f>'[2]All Counts'!G573</f>
        <v>1</v>
      </c>
      <c r="F573" s="136" t="str">
        <f>'[2]All Counts'!H573</f>
        <v>I-8 EB</v>
      </c>
      <c r="G573" s="136">
        <f>'[2]All Counts'!I573</f>
        <v>31</v>
      </c>
      <c r="H573" s="136">
        <f>'[2]All Counts'!J573</f>
        <v>0</v>
      </c>
      <c r="I573" s="136" t="str">
        <f>'[2]All Counts'!K573</f>
        <v>WARING</v>
      </c>
      <c r="J573" s="136" t="str">
        <f>'[2]All Counts'!L573</f>
        <v>COLLEGE</v>
      </c>
      <c r="K573" s="136">
        <f>'[2]All Counts'!O573</f>
        <v>31197</v>
      </c>
      <c r="L573" s="57">
        <f>VLOOKUP(ws[[#This Row],[hwycov_id]],readme!D:G,4,FALSE)</f>
        <v>37989.25</v>
      </c>
      <c r="M573" s="88">
        <f>ws[[#This Row],[flow]]/ws[[#This Row],[count]]-1</f>
        <v>0.21772125524890207</v>
      </c>
      <c r="N573" s="89">
        <f>POWER((ws[[#This Row],[flow]]-ws[[#This Row],[count]]),2)</f>
        <v>46134660.0625</v>
      </c>
      <c r="O573" s="43">
        <f>VLOOKUP(ws[[#This Row],[hwycov_id]],count[],6,FALSE)</f>
        <v>0</v>
      </c>
      <c r="P573" s="43">
        <v>738</v>
      </c>
      <c r="Q573" s="43" t="str">
        <f>'[2]All Counts'!P573</f>
        <v>PeMS2016</v>
      </c>
      <c r="S573" s="94">
        <v>27856</v>
      </c>
      <c r="T573" s="17"/>
      <c r="U573" s="17"/>
      <c r="V573" s="17"/>
      <c r="W573" s="17"/>
      <c r="X573" s="17">
        <v>7458</v>
      </c>
      <c r="Y573" s="17">
        <v>6313.6069340000004</v>
      </c>
      <c r="Z573" s="17"/>
      <c r="AA573" s="17"/>
      <c r="AB573" s="17">
        <v>7458</v>
      </c>
      <c r="AC573" s="17">
        <v>6313.6069340000004</v>
      </c>
      <c r="AD573"/>
      <c r="AE573"/>
    </row>
    <row r="574" spans="1:31" x14ac:dyDescent="0.25">
      <c r="A574" s="136">
        <f>'[2]All Counts'!C574</f>
        <v>22</v>
      </c>
      <c r="B574" s="136">
        <f>'[2]All Counts'!D574</f>
        <v>4</v>
      </c>
      <c r="C574" s="136">
        <f>'[2]All Counts'!E574</f>
        <v>15457</v>
      </c>
      <c r="D574" s="136">
        <f>'[2]All Counts'!F574</f>
        <v>1</v>
      </c>
      <c r="E574" s="136">
        <f>'[2]All Counts'!G574</f>
        <v>1</v>
      </c>
      <c r="F574" s="136" t="str">
        <f>'[2]All Counts'!H574</f>
        <v>I-8 EB</v>
      </c>
      <c r="G574" s="136">
        <f>'[2]All Counts'!I574</f>
        <v>32</v>
      </c>
      <c r="H574" s="136">
        <f>'[2]All Counts'!J574</f>
        <v>0</v>
      </c>
      <c r="I574" s="136" t="str">
        <f>'[2]All Counts'!K574</f>
        <v>COLLEGE</v>
      </c>
      <c r="J574" s="136" t="str">
        <f>'[2]All Counts'!L574</f>
        <v>COLLEGE</v>
      </c>
      <c r="K574" s="136">
        <f>'[2]All Counts'!O574</f>
        <v>29007</v>
      </c>
      <c r="L574" s="57">
        <f>VLOOKUP(ws[[#This Row],[hwycov_id]],readme!D:G,4,FALSE)</f>
        <v>29659.685547000001</v>
      </c>
      <c r="M574" s="88">
        <f>ws[[#This Row],[flow]]/ws[[#This Row],[count]]-1</f>
        <v>2.2500966904540398E-2</v>
      </c>
      <c r="N574" s="89">
        <f>POWER((ws[[#This Row],[flow]]-ws[[#This Row],[count]]),2)</f>
        <v>425998.42326269043</v>
      </c>
      <c r="O574" s="43">
        <f>VLOOKUP(ws[[#This Row],[hwycov_id]],count[],6,FALSE)</f>
        <v>0</v>
      </c>
      <c r="P574" s="43">
        <v>33</v>
      </c>
      <c r="Q574" s="43" t="str">
        <f>'[2]All Counts'!P574</f>
        <v>PeMS2016</v>
      </c>
      <c r="S574" s="94">
        <v>27860</v>
      </c>
      <c r="T574" s="17"/>
      <c r="U574" s="17"/>
      <c r="V574" s="17">
        <v>11501</v>
      </c>
      <c r="W574" s="17">
        <v>6869.3139650000003</v>
      </c>
      <c r="X574" s="17"/>
      <c r="Y574" s="17"/>
      <c r="Z574" s="17"/>
      <c r="AA574" s="17"/>
      <c r="AB574" s="17">
        <v>11501</v>
      </c>
      <c r="AC574" s="17">
        <v>6869.3139650000003</v>
      </c>
      <c r="AD574"/>
      <c r="AE574"/>
    </row>
    <row r="575" spans="1:31" x14ac:dyDescent="0.25">
      <c r="A575" s="136">
        <f>'[2]All Counts'!C575</f>
        <v>22</v>
      </c>
      <c r="B575" s="136">
        <f>'[2]All Counts'!D575</f>
        <v>4</v>
      </c>
      <c r="C575" s="136">
        <f>'[2]All Counts'!E575</f>
        <v>15459</v>
      </c>
      <c r="D575" s="136">
        <f>'[2]All Counts'!F575</f>
        <v>1</v>
      </c>
      <c r="E575" s="136">
        <f>'[2]All Counts'!G575</f>
        <v>1</v>
      </c>
      <c r="F575" s="136" t="str">
        <f>'[2]All Counts'!H575</f>
        <v>I-8 EB</v>
      </c>
      <c r="G575" s="136">
        <f>'[2]All Counts'!I575</f>
        <v>33</v>
      </c>
      <c r="H575" s="136">
        <f>'[2]All Counts'!J575</f>
        <v>0</v>
      </c>
      <c r="I575" s="136" t="str">
        <f>'[2]All Counts'!K575</f>
        <v>COLLEGE</v>
      </c>
      <c r="J575" s="136" t="str">
        <f>'[2]All Counts'!L575</f>
        <v>LAKE MURRAY</v>
      </c>
      <c r="K575" s="136">
        <f>'[2]All Counts'!O575</f>
        <v>28021</v>
      </c>
      <c r="L575" s="57">
        <f>VLOOKUP(ws[[#This Row],[hwycov_id]],readme!D:G,4,FALSE)</f>
        <v>32558.337890999999</v>
      </c>
      <c r="M575" s="88">
        <f>ws[[#This Row],[flow]]/ws[[#This Row],[count]]-1</f>
        <v>0.16192633706862702</v>
      </c>
      <c r="N575" s="89">
        <f>POWER((ws[[#This Row],[flow]]-ws[[#This Row],[count]]),2)</f>
        <v>20587435.137104321</v>
      </c>
      <c r="O575" s="43">
        <f>VLOOKUP(ws[[#This Row],[hwycov_id]],count[],6,FALSE)</f>
        <v>0</v>
      </c>
      <c r="P575" s="43">
        <v>558</v>
      </c>
      <c r="Q575" s="43" t="str">
        <f>'[2]All Counts'!P575</f>
        <v>Caltran</v>
      </c>
      <c r="S575" s="94">
        <v>27875</v>
      </c>
      <c r="T575" s="17">
        <v>6313</v>
      </c>
      <c r="U575" s="17">
        <v>4346.4350590000004</v>
      </c>
      <c r="V575" s="17"/>
      <c r="W575" s="17"/>
      <c r="X575" s="17"/>
      <c r="Y575" s="17"/>
      <c r="Z575" s="17"/>
      <c r="AA575" s="17"/>
      <c r="AB575" s="17">
        <v>6313</v>
      </c>
      <c r="AC575" s="17">
        <v>4346.4350590000004</v>
      </c>
      <c r="AD575"/>
      <c r="AE575"/>
    </row>
    <row r="576" spans="1:31" x14ac:dyDescent="0.25">
      <c r="A576" s="136">
        <f>'[2]All Counts'!C576</f>
        <v>22</v>
      </c>
      <c r="B576" s="136">
        <f>'[2]All Counts'!D576</f>
        <v>4</v>
      </c>
      <c r="C576" s="136">
        <f>'[2]All Counts'!E576</f>
        <v>11035</v>
      </c>
      <c r="D576" s="136">
        <f>'[2]All Counts'!F576</f>
        <v>1</v>
      </c>
      <c r="E576" s="136">
        <f>'[2]All Counts'!G576</f>
        <v>1</v>
      </c>
      <c r="F576" s="136" t="str">
        <f>'[2]All Counts'!H576</f>
        <v>I-8 EB</v>
      </c>
      <c r="G576" s="136">
        <f>'[2]All Counts'!I576</f>
        <v>35</v>
      </c>
      <c r="H576" s="136">
        <f>'[2]All Counts'!J576</f>
        <v>0</v>
      </c>
      <c r="I576" s="136" t="str">
        <f>'[2]All Counts'!K576</f>
        <v>LAKE MURRAY</v>
      </c>
      <c r="J576" s="136" t="str">
        <f>'[2]All Counts'!L576</f>
        <v>FLETCHER</v>
      </c>
      <c r="K576" s="136">
        <f>'[2]All Counts'!O576</f>
        <v>28522</v>
      </c>
      <c r="L576" s="57">
        <f>VLOOKUP(ws[[#This Row],[hwycov_id]],readme!D:G,4,FALSE)</f>
        <v>32062.892577999999</v>
      </c>
      <c r="M576" s="88">
        <f>ws[[#This Row],[flow]]/ws[[#This Row],[count]]-1</f>
        <v>0.12414601283219961</v>
      </c>
      <c r="N576" s="89">
        <f>POWER((ws[[#This Row],[flow]]-ws[[#This Row],[count]]),2)</f>
        <v>12537920.24893548</v>
      </c>
      <c r="O576" s="43">
        <f>VLOOKUP(ws[[#This Row],[hwycov_id]],count[],6,FALSE)</f>
        <v>0</v>
      </c>
      <c r="P576" s="43">
        <v>238</v>
      </c>
      <c r="Q576" s="43" t="str">
        <f>'[2]All Counts'!P576</f>
        <v>PeMS2016</v>
      </c>
      <c r="S576" s="94">
        <v>27877</v>
      </c>
      <c r="T576" s="17">
        <v>6417</v>
      </c>
      <c r="U576" s="17">
        <v>4644.5898440000001</v>
      </c>
      <c r="V576" s="17"/>
      <c r="W576" s="17"/>
      <c r="X576" s="17"/>
      <c r="Y576" s="17"/>
      <c r="Z576" s="17"/>
      <c r="AA576" s="17"/>
      <c r="AB576" s="17">
        <v>6417</v>
      </c>
      <c r="AC576" s="17">
        <v>4644.5898440000001</v>
      </c>
      <c r="AD576"/>
      <c r="AE576"/>
    </row>
    <row r="577" spans="1:31" x14ac:dyDescent="0.25">
      <c r="A577" s="136">
        <f>'[2]All Counts'!C577</f>
        <v>22</v>
      </c>
      <c r="B577" s="136">
        <f>'[2]All Counts'!D577</f>
        <v>4</v>
      </c>
      <c r="C577" s="136">
        <f>'[2]All Counts'!E577</f>
        <v>28123</v>
      </c>
      <c r="D577" s="136">
        <f>'[2]All Counts'!F577</f>
        <v>1</v>
      </c>
      <c r="E577" s="136">
        <f>'[2]All Counts'!G577</f>
        <v>1</v>
      </c>
      <c r="F577" s="136" t="str">
        <f>'[2]All Counts'!H577</f>
        <v>I-8 EB</v>
      </c>
      <c r="G577" s="136">
        <f>'[2]All Counts'!I577</f>
        <v>36</v>
      </c>
      <c r="H577" s="136">
        <f>'[2]All Counts'!J577</f>
        <v>0</v>
      </c>
      <c r="I577" s="136" t="str">
        <f>'[2]All Counts'!K577</f>
        <v>FLETCHER</v>
      </c>
      <c r="J577" s="136" t="str">
        <f>'[2]All Counts'!L577</f>
        <v>ALVARADO</v>
      </c>
      <c r="K577" s="136">
        <f>'[2]All Counts'!O577</f>
        <v>24159</v>
      </c>
      <c r="L577" s="57">
        <f>VLOOKUP(ws[[#This Row],[hwycov_id]],readme!D:G,4,FALSE)</f>
        <v>25169.216797000001</v>
      </c>
      <c r="M577" s="88">
        <f>ws[[#This Row],[flow]]/ws[[#This Row],[count]]-1</f>
        <v>4.1815339914731631E-2</v>
      </c>
      <c r="N577" s="89">
        <f>POWER((ws[[#This Row],[flow]]-ws[[#This Row],[count]]),2)</f>
        <v>1020537.9769409412</v>
      </c>
      <c r="O577" s="43">
        <f>VLOOKUP(ws[[#This Row],[hwycov_id]],count[],6,FALSE)</f>
        <v>0</v>
      </c>
      <c r="P577" s="43">
        <v>239</v>
      </c>
      <c r="Q577" s="43" t="str">
        <f>'[2]All Counts'!P577</f>
        <v>PeMS2016</v>
      </c>
      <c r="S577" s="94">
        <v>27878</v>
      </c>
      <c r="T577" s="17"/>
      <c r="U577" s="17"/>
      <c r="V577" s="17">
        <v>11019</v>
      </c>
      <c r="W577" s="17">
        <v>6683.8979490000002</v>
      </c>
      <c r="X577" s="17"/>
      <c r="Y577" s="17"/>
      <c r="Z577" s="17"/>
      <c r="AA577" s="17"/>
      <c r="AB577" s="17">
        <v>11019</v>
      </c>
      <c r="AC577" s="17">
        <v>6683.8979490000002</v>
      </c>
      <c r="AD577"/>
      <c r="AE577"/>
    </row>
    <row r="578" spans="1:31" x14ac:dyDescent="0.25">
      <c r="A578" s="136">
        <f>'[2]All Counts'!C578</f>
        <v>22</v>
      </c>
      <c r="B578" s="136">
        <f>'[2]All Counts'!D578</f>
        <v>4</v>
      </c>
      <c r="C578" s="136">
        <f>'[2]All Counts'!E578</f>
        <v>20719</v>
      </c>
      <c r="D578" s="136">
        <f>'[2]All Counts'!F578</f>
        <v>1</v>
      </c>
      <c r="E578" s="136">
        <f>'[2]All Counts'!G578</f>
        <v>1</v>
      </c>
      <c r="F578" s="136" t="str">
        <f>'[2]All Counts'!H578</f>
        <v>I-8 EB</v>
      </c>
      <c r="G578" s="136">
        <f>'[2]All Counts'!I578</f>
        <v>38</v>
      </c>
      <c r="H578" s="136">
        <f>'[2]All Counts'!J578</f>
        <v>0</v>
      </c>
      <c r="I578" s="136" t="str">
        <f>'[2]All Counts'!K578</f>
        <v>SPRING</v>
      </c>
      <c r="J578" s="136" t="str">
        <f>'[2]All Counts'!L578</f>
        <v>EL CAJON</v>
      </c>
      <c r="K578" s="136">
        <f>'[2]All Counts'!O578</f>
        <v>23483</v>
      </c>
      <c r="L578" s="57">
        <f>VLOOKUP(ws[[#This Row],[hwycov_id]],readme!D:G,4,FALSE)</f>
        <v>23689.3125</v>
      </c>
      <c r="M578" s="88">
        <f>ws[[#This Row],[flow]]/ws[[#This Row],[count]]-1</f>
        <v>8.7856108674360112E-3</v>
      </c>
      <c r="N578" s="89">
        <f>POWER((ws[[#This Row],[flow]]-ws[[#This Row],[count]]),2)</f>
        <v>42564.84765625</v>
      </c>
      <c r="O578" s="43">
        <f>VLOOKUP(ws[[#This Row],[hwycov_id]],count[],6,FALSE)</f>
        <v>0</v>
      </c>
      <c r="P578" s="43">
        <v>557</v>
      </c>
      <c r="Q578" s="43" t="str">
        <f>'[2]All Counts'!P578</f>
        <v>PeMS2016</v>
      </c>
      <c r="S578" s="94">
        <v>27883</v>
      </c>
      <c r="T578" s="17">
        <v>4161</v>
      </c>
      <c r="U578" s="17">
        <v>3249.4638669999999</v>
      </c>
      <c r="V578" s="17"/>
      <c r="W578" s="17"/>
      <c r="X578" s="17"/>
      <c r="Y578" s="17"/>
      <c r="Z578" s="17"/>
      <c r="AA578" s="17"/>
      <c r="AB578" s="17">
        <v>4161</v>
      </c>
      <c r="AC578" s="17">
        <v>3249.4638669999999</v>
      </c>
      <c r="AD578"/>
      <c r="AE578"/>
    </row>
    <row r="579" spans="1:31" x14ac:dyDescent="0.25">
      <c r="A579" s="136">
        <f>'[2]All Counts'!C579</f>
        <v>22</v>
      </c>
      <c r="B579" s="136">
        <f>'[2]All Counts'!D579</f>
        <v>4</v>
      </c>
      <c r="C579" s="136">
        <f>'[2]All Counts'!E579</f>
        <v>28143</v>
      </c>
      <c r="D579" s="136">
        <f>'[2]All Counts'!F579</f>
        <v>1</v>
      </c>
      <c r="E579" s="136">
        <f>'[2]All Counts'!G579</f>
        <v>1</v>
      </c>
      <c r="F579" s="136" t="str">
        <f>'[2]All Counts'!H579</f>
        <v>I-8 EB</v>
      </c>
      <c r="G579" s="136">
        <f>'[2]All Counts'!I579</f>
        <v>39</v>
      </c>
      <c r="H579" s="136">
        <f>'[2]All Counts'!J579</f>
        <v>0</v>
      </c>
      <c r="I579" s="136" t="str">
        <f>'[2]All Counts'!K579</f>
        <v>EL CAJON</v>
      </c>
      <c r="J579" s="136" t="str">
        <f>'[2]All Counts'!L579</f>
        <v>GROSSMONT</v>
      </c>
      <c r="K579" s="136">
        <f>'[2]All Counts'!O579</f>
        <v>26961</v>
      </c>
      <c r="L579" s="57">
        <f>VLOOKUP(ws[[#This Row],[hwycov_id]],readme!D:G,4,FALSE)</f>
        <v>25857.818359000001</v>
      </c>
      <c r="M579" s="88">
        <f>ws[[#This Row],[flow]]/ws[[#This Row],[count]]-1</f>
        <v>-4.0917682615630002E-2</v>
      </c>
      <c r="N579" s="89">
        <f>POWER((ws[[#This Row],[flow]]-ws[[#This Row],[count]]),2)</f>
        <v>1217009.7330394511</v>
      </c>
      <c r="O579" s="43">
        <f>VLOOKUP(ws[[#This Row],[hwycov_id]],count[],6,FALSE)</f>
        <v>0</v>
      </c>
      <c r="P579" s="43">
        <v>237</v>
      </c>
      <c r="Q579" s="43" t="str">
        <f>'[2]All Counts'!P579</f>
        <v>Caltran</v>
      </c>
      <c r="S579" s="94">
        <v>27884</v>
      </c>
      <c r="T579" s="17">
        <v>4940</v>
      </c>
      <c r="U579" s="17">
        <v>3501.806885</v>
      </c>
      <c r="V579" s="17"/>
      <c r="W579" s="17"/>
      <c r="X579" s="17"/>
      <c r="Y579" s="17"/>
      <c r="Z579" s="17"/>
      <c r="AA579" s="17"/>
      <c r="AB579" s="17">
        <v>4940</v>
      </c>
      <c r="AC579" s="17">
        <v>3501.806885</v>
      </c>
      <c r="AD579"/>
      <c r="AE579"/>
    </row>
    <row r="580" spans="1:31" x14ac:dyDescent="0.25">
      <c r="A580" s="136">
        <f>'[2]All Counts'!C580</f>
        <v>22</v>
      </c>
      <c r="B580" s="136">
        <f>'[2]All Counts'!D580</f>
        <v>4</v>
      </c>
      <c r="C580" s="136">
        <f>'[2]All Counts'!E580</f>
        <v>28390</v>
      </c>
      <c r="D580" s="136">
        <f>'[2]All Counts'!F580</f>
        <v>1</v>
      </c>
      <c r="E580" s="136">
        <f>'[2]All Counts'!G580</f>
        <v>1</v>
      </c>
      <c r="F580" s="136" t="str">
        <f>'[2]All Counts'!H580</f>
        <v>I-8 EB</v>
      </c>
      <c r="G580" s="136">
        <f>'[2]All Counts'!I580</f>
        <v>40</v>
      </c>
      <c r="H580" s="136">
        <f>'[2]All Counts'!J580</f>
        <v>0</v>
      </c>
      <c r="I580" s="136" t="str">
        <f>'[2]All Counts'!K580</f>
        <v>GROSSMONT</v>
      </c>
      <c r="J580" s="136" t="str">
        <f>'[2]All Counts'!L580</f>
        <v>GROSSMONT</v>
      </c>
      <c r="K580" s="136">
        <f>'[2]All Counts'!O580</f>
        <v>21198</v>
      </c>
      <c r="L580" s="57">
        <f>VLOOKUP(ws[[#This Row],[hwycov_id]],readme!D:G,4,FALSE)</f>
        <v>24746.496093999998</v>
      </c>
      <c r="M580" s="88">
        <f>ws[[#This Row],[flow]]/ws[[#This Row],[count]]-1</f>
        <v>0.16739768346070383</v>
      </c>
      <c r="N580" s="89">
        <f>POWER((ws[[#This Row],[flow]]-ws[[#This Row],[count]]),2)</f>
        <v>12591824.529133245</v>
      </c>
      <c r="O580" s="43">
        <f>VLOOKUP(ws[[#This Row],[hwycov_id]],count[],6,FALSE)</f>
        <v>0</v>
      </c>
      <c r="P580" s="43">
        <v>236</v>
      </c>
      <c r="Q580" s="43" t="str">
        <f>'[2]All Counts'!P580</f>
        <v>PeMS2016</v>
      </c>
      <c r="S580" s="94">
        <v>27887</v>
      </c>
      <c r="T580" s="17"/>
      <c r="U580" s="17"/>
      <c r="V580" s="17">
        <v>9158</v>
      </c>
      <c r="W580" s="17">
        <v>5251.6083980000003</v>
      </c>
      <c r="X580" s="17"/>
      <c r="Y580" s="17"/>
      <c r="Z580" s="17"/>
      <c r="AA580" s="17"/>
      <c r="AB580" s="17">
        <v>9158</v>
      </c>
      <c r="AC580" s="17">
        <v>5251.6083980000003</v>
      </c>
      <c r="AD580"/>
      <c r="AE580"/>
    </row>
    <row r="581" spans="1:31" x14ac:dyDescent="0.25">
      <c r="A581" s="136">
        <f>'[2]All Counts'!C581</f>
        <v>22</v>
      </c>
      <c r="B581" s="136">
        <f>'[2]All Counts'!D581</f>
        <v>4</v>
      </c>
      <c r="C581" s="136">
        <f>'[2]All Counts'!E581</f>
        <v>11268</v>
      </c>
      <c r="D581" s="136">
        <f>'[2]All Counts'!F581</f>
        <v>1</v>
      </c>
      <c r="E581" s="136">
        <f>'[2]All Counts'!G581</f>
        <v>1</v>
      </c>
      <c r="F581" s="136" t="str">
        <f>'[2]All Counts'!H581</f>
        <v>I-8 EB</v>
      </c>
      <c r="G581" s="136">
        <f>'[2]All Counts'!I581</f>
        <v>47</v>
      </c>
      <c r="H581" s="136">
        <f>'[2]All Counts'!J581</f>
        <v>0</v>
      </c>
      <c r="I581" s="136" t="str">
        <f>'[2]All Counts'!K581</f>
        <v>GROSSMONT</v>
      </c>
      <c r="J581" s="136" t="str">
        <f>'[2]All Counts'!L581</f>
        <v>EL CAJON</v>
      </c>
      <c r="K581" s="136">
        <f>'[2]All Counts'!O581</f>
        <v>31372</v>
      </c>
      <c r="L581" s="57">
        <f>VLOOKUP(ws[[#This Row],[hwycov_id]],readme!D:G,4,FALSE)</f>
        <v>32211.630859000001</v>
      </c>
      <c r="M581" s="88">
        <f>ws[[#This Row],[flow]]/ws[[#This Row],[count]]-1</f>
        <v>2.6763701995409894E-2</v>
      </c>
      <c r="N581" s="89">
        <f>POWER((ws[[#This Row],[flow]]-ws[[#This Row],[count]]),2)</f>
        <v>704979.97938507923</v>
      </c>
      <c r="O581" s="43">
        <f>VLOOKUP(ws[[#This Row],[hwycov_id]],count[],6,FALSE)</f>
        <v>0</v>
      </c>
      <c r="P581" s="43">
        <v>559</v>
      </c>
      <c r="Q581" s="43" t="str">
        <f>'[2]All Counts'!P581</f>
        <v>PeMS2016</v>
      </c>
      <c r="S581" s="94">
        <v>27902</v>
      </c>
      <c r="T581" s="17"/>
      <c r="U581" s="17"/>
      <c r="V581" s="17">
        <v>16668</v>
      </c>
      <c r="W581" s="17">
        <v>13641.490234000001</v>
      </c>
      <c r="X581" s="17"/>
      <c r="Y581" s="17"/>
      <c r="Z581" s="17"/>
      <c r="AA581" s="17"/>
      <c r="AB581" s="17">
        <v>16668</v>
      </c>
      <c r="AC581" s="17">
        <v>13641.490234000001</v>
      </c>
      <c r="AD581"/>
      <c r="AE581"/>
    </row>
    <row r="582" spans="1:31" x14ac:dyDescent="0.25">
      <c r="A582" s="136">
        <f>'[2]All Counts'!C582</f>
        <v>22</v>
      </c>
      <c r="B582" s="136">
        <f>'[2]All Counts'!D582</f>
        <v>4</v>
      </c>
      <c r="C582" s="136">
        <f>'[2]All Counts'!E582</f>
        <v>11054</v>
      </c>
      <c r="D582" s="136">
        <f>'[2]All Counts'!F582</f>
        <v>1</v>
      </c>
      <c r="E582" s="136">
        <f>'[2]All Counts'!G582</f>
        <v>1</v>
      </c>
      <c r="F582" s="136" t="str">
        <f>'[2]All Counts'!H582</f>
        <v>I-8 EB</v>
      </c>
      <c r="G582" s="136">
        <f>'[2]All Counts'!I582</f>
        <v>48</v>
      </c>
      <c r="H582" s="136">
        <f>'[2]All Counts'!J582</f>
        <v>0</v>
      </c>
      <c r="I582" s="136" t="str">
        <f>'[2]All Counts'!K582</f>
        <v>EL CAJON</v>
      </c>
      <c r="J582" s="136" t="str">
        <f>'[2]All Counts'!L582</f>
        <v>MAIN</v>
      </c>
      <c r="K582" s="136">
        <f>'[2]All Counts'!O582</f>
        <v>24705</v>
      </c>
      <c r="L582" s="57">
        <f>VLOOKUP(ws[[#This Row],[hwycov_id]],readme!D:G,4,FALSE)</f>
        <v>23383.609375</v>
      </c>
      <c r="M582" s="88">
        <f>ws[[#This Row],[flow]]/ws[[#This Row],[count]]-1</f>
        <v>-5.3486768872697876E-2</v>
      </c>
      <c r="N582" s="89">
        <f>POWER((ws[[#This Row],[flow]]-ws[[#This Row],[count]]),2)</f>
        <v>1746073.1838378906</v>
      </c>
      <c r="O582" s="43">
        <f>VLOOKUP(ws[[#This Row],[hwycov_id]],count[],6,FALSE)</f>
        <v>0</v>
      </c>
      <c r="P582" s="43">
        <v>556</v>
      </c>
      <c r="Q582" s="43" t="str">
        <f>'[2]All Counts'!P582</f>
        <v>PeMS2016</v>
      </c>
      <c r="S582" s="94">
        <v>27903</v>
      </c>
      <c r="T582" s="17">
        <v>9582</v>
      </c>
      <c r="U582" s="17">
        <v>8579.2246090000008</v>
      </c>
      <c r="V582" s="17"/>
      <c r="W582" s="17"/>
      <c r="X582" s="17"/>
      <c r="Y582" s="17"/>
      <c r="Z582" s="17"/>
      <c r="AA582" s="17"/>
      <c r="AB582" s="17">
        <v>9582</v>
      </c>
      <c r="AC582" s="17">
        <v>8579.2246090000008</v>
      </c>
      <c r="AD582"/>
      <c r="AE582"/>
    </row>
    <row r="583" spans="1:31" x14ac:dyDescent="0.25">
      <c r="A583" s="136">
        <f>'[2]All Counts'!C583</f>
        <v>22</v>
      </c>
      <c r="B583" s="136">
        <f>'[2]All Counts'!D583</f>
        <v>4</v>
      </c>
      <c r="C583" s="136">
        <f>'[2]All Counts'!E583</f>
        <v>11055</v>
      </c>
      <c r="D583" s="136">
        <f>'[2]All Counts'!F583</f>
        <v>1</v>
      </c>
      <c r="E583" s="136">
        <f>'[2]All Counts'!G583</f>
        <v>1</v>
      </c>
      <c r="F583" s="136" t="str">
        <f>'[2]All Counts'!H583</f>
        <v>I-8 EB</v>
      </c>
      <c r="G583" s="136">
        <f>'[2]All Counts'!I583</f>
        <v>49</v>
      </c>
      <c r="H583" s="136">
        <f>'[2]All Counts'!J583</f>
        <v>0</v>
      </c>
      <c r="I583" s="136" t="str">
        <f>'[2]All Counts'!K583</f>
        <v>MAIN</v>
      </c>
      <c r="J583" s="136" t="str">
        <f>'[2]All Counts'!L583</f>
        <v>MAIN</v>
      </c>
      <c r="K583" s="136">
        <f>'[2]All Counts'!O583</f>
        <v>21546</v>
      </c>
      <c r="L583" s="57">
        <f>VLOOKUP(ws[[#This Row],[hwycov_id]],readme!D:G,4,FALSE)</f>
        <v>21720.689452999999</v>
      </c>
      <c r="M583" s="88">
        <f>ws[[#This Row],[flow]]/ws[[#This Row],[count]]-1</f>
        <v>8.1077440360159958E-3</v>
      </c>
      <c r="N583" s="89">
        <f>POWER((ws[[#This Row],[flow]]-ws[[#This Row],[count]]),2)</f>
        <v>30516.404989438877</v>
      </c>
      <c r="O583" s="43">
        <f>VLOOKUP(ws[[#This Row],[hwycov_id]],count[],6,FALSE)</f>
        <v>0</v>
      </c>
      <c r="P583" s="43">
        <v>241</v>
      </c>
      <c r="Q583" s="43" t="str">
        <f>'[2]All Counts'!P583</f>
        <v>PeMS2016</v>
      </c>
      <c r="S583" s="94">
        <v>27914</v>
      </c>
      <c r="T583" s="17">
        <v>15901</v>
      </c>
      <c r="U583" s="17">
        <v>15074.466796999999</v>
      </c>
      <c r="V583" s="17"/>
      <c r="W583" s="17"/>
      <c r="X583" s="17"/>
      <c r="Y583" s="17"/>
      <c r="Z583" s="17"/>
      <c r="AA583" s="17"/>
      <c r="AB583" s="17">
        <v>15901</v>
      </c>
      <c r="AC583" s="17">
        <v>15074.466796999999</v>
      </c>
      <c r="AD583"/>
      <c r="AE583"/>
    </row>
    <row r="584" spans="1:31" x14ac:dyDescent="0.25">
      <c r="A584" s="136">
        <f>'[2]All Counts'!C584</f>
        <v>22</v>
      </c>
      <c r="B584" s="136">
        <f>'[2]All Counts'!D584</f>
        <v>4</v>
      </c>
      <c r="C584" s="136">
        <f>'[2]All Counts'!E584</f>
        <v>14949</v>
      </c>
      <c r="D584" s="136">
        <f>'[2]All Counts'!F584</f>
        <v>1</v>
      </c>
      <c r="E584" s="136">
        <f>'[2]All Counts'!G584</f>
        <v>1</v>
      </c>
      <c r="F584" s="136" t="str">
        <f>'[2]All Counts'!H584</f>
        <v>I-8 EB</v>
      </c>
      <c r="G584" s="136">
        <f>'[2]All Counts'!I584</f>
        <v>51</v>
      </c>
      <c r="H584" s="136">
        <f>'[2]All Counts'!J584</f>
        <v>0</v>
      </c>
      <c r="I584" s="136" t="str">
        <f>'[2]All Counts'!K584</f>
        <v>JOHNSON</v>
      </c>
      <c r="J584" s="136" t="str">
        <f>'[2]All Counts'!L584</f>
        <v>SR-67 NB</v>
      </c>
      <c r="K584" s="136">
        <f>'[2]All Counts'!O584</f>
        <v>20885</v>
      </c>
      <c r="L584" s="57">
        <f>VLOOKUP(ws[[#This Row],[hwycov_id]],readme!D:G,4,FALSE)</f>
        <v>20818.507812</v>
      </c>
      <c r="M584" s="88">
        <f>ws[[#This Row],[flow]]/ws[[#This Row],[count]]-1</f>
        <v>-3.1837293751496576E-3</v>
      </c>
      <c r="N584" s="89">
        <f>POWER((ws[[#This Row],[flow]]-ws[[#This Row],[count]]),2)</f>
        <v>4421.2110650273662</v>
      </c>
      <c r="O584" s="43">
        <f>VLOOKUP(ws[[#This Row],[hwycov_id]],count[],6,FALSE)</f>
        <v>0</v>
      </c>
      <c r="P584" s="43">
        <v>242</v>
      </c>
      <c r="Q584" s="43" t="str">
        <f>'[2]All Counts'!P584</f>
        <v>PeMS2016</v>
      </c>
      <c r="S584" s="94">
        <v>27915</v>
      </c>
      <c r="T584" s="17"/>
      <c r="U584" s="17"/>
      <c r="V584" s="17">
        <v>24174</v>
      </c>
      <c r="W584" s="17">
        <v>19633.830077999999</v>
      </c>
      <c r="X584" s="17"/>
      <c r="Y584" s="17"/>
      <c r="Z584" s="17"/>
      <c r="AA584" s="17"/>
      <c r="AB584" s="17">
        <v>24174</v>
      </c>
      <c r="AC584" s="17">
        <v>19633.830077999999</v>
      </c>
      <c r="AD584"/>
      <c r="AE584"/>
    </row>
    <row r="585" spans="1:31" x14ac:dyDescent="0.25">
      <c r="A585" s="136">
        <f>'[2]All Counts'!C585</f>
        <v>22</v>
      </c>
      <c r="B585" s="136">
        <f>'[2]All Counts'!D585</f>
        <v>4</v>
      </c>
      <c r="C585" s="136">
        <f>'[2]All Counts'!E585</f>
        <v>28179</v>
      </c>
      <c r="D585" s="136">
        <f>'[2]All Counts'!F585</f>
        <v>1</v>
      </c>
      <c r="E585" s="136">
        <f>'[2]All Counts'!G585</f>
        <v>1</v>
      </c>
      <c r="F585" s="136" t="str">
        <f>'[2]All Counts'!H585</f>
        <v>I-8 EB</v>
      </c>
      <c r="G585" s="136">
        <f>'[2]All Counts'!I585</f>
        <v>54</v>
      </c>
      <c r="H585" s="136">
        <f>'[2]All Counts'!J585</f>
        <v>0</v>
      </c>
      <c r="I585" s="136" t="str">
        <f>'[2]All Counts'!K585</f>
        <v>MAGNOLIA</v>
      </c>
      <c r="J585" s="136" t="str">
        <f>'[2]All Counts'!L585</f>
        <v>MOLLISON</v>
      </c>
      <c r="K585" s="136">
        <f>'[2]All Counts'!O585</f>
        <v>16047</v>
      </c>
      <c r="L585" s="57">
        <f>VLOOKUP(ws[[#This Row],[hwycov_id]],readme!D:G,4,FALSE)</f>
        <v>17381.960938</v>
      </c>
      <c r="M585" s="88">
        <f>ws[[#This Row],[flow]]/ws[[#This Row],[count]]-1</f>
        <v>8.319068598491941E-2</v>
      </c>
      <c r="N585" s="89">
        <f>POWER((ws[[#This Row],[flow]]-ws[[#This Row],[count]]),2)</f>
        <v>1782120.7059858404</v>
      </c>
      <c r="O585" s="43">
        <f>VLOOKUP(ws[[#This Row],[hwycov_id]],count[],6,FALSE)</f>
        <v>0</v>
      </c>
      <c r="P585" s="43">
        <v>555</v>
      </c>
      <c r="Q585" s="43" t="str">
        <f>'[2]All Counts'!P585</f>
        <v>PeMS2016</v>
      </c>
      <c r="S585" s="94">
        <v>27916</v>
      </c>
      <c r="T585" s="17">
        <v>15095</v>
      </c>
      <c r="U585" s="17">
        <v>14822.768555000001</v>
      </c>
      <c r="V585" s="17"/>
      <c r="W585" s="17"/>
      <c r="X585" s="17"/>
      <c r="Y585" s="17"/>
      <c r="Z585" s="17"/>
      <c r="AA585" s="17"/>
      <c r="AB585" s="17">
        <v>15095</v>
      </c>
      <c r="AC585" s="17">
        <v>14822.768555000001</v>
      </c>
      <c r="AD585"/>
      <c r="AE585"/>
    </row>
    <row r="586" spans="1:31" x14ac:dyDescent="0.25">
      <c r="A586" s="136">
        <f>'[2]All Counts'!C586</f>
        <v>22</v>
      </c>
      <c r="B586" s="136">
        <f>'[2]All Counts'!D586</f>
        <v>4</v>
      </c>
      <c r="C586" s="136">
        <f>'[2]All Counts'!E586</f>
        <v>28184</v>
      </c>
      <c r="D586" s="136">
        <f>'[2]All Counts'!F586</f>
        <v>1</v>
      </c>
      <c r="E586" s="136">
        <f>'[2]All Counts'!G586</f>
        <v>1</v>
      </c>
      <c r="F586" s="136" t="str">
        <f>'[2]All Counts'!H586</f>
        <v>I-8 EB</v>
      </c>
      <c r="G586" s="136">
        <f>'[2]All Counts'!I586</f>
        <v>55</v>
      </c>
      <c r="H586" s="136">
        <f>'[2]All Counts'!J586</f>
        <v>0</v>
      </c>
      <c r="I586" s="136" t="str">
        <f>'[2]All Counts'!K586</f>
        <v>MOLLISON</v>
      </c>
      <c r="J586" s="136" t="str">
        <f>'[2]All Counts'!L586</f>
        <v>MOLLISON</v>
      </c>
      <c r="K586" s="136">
        <f>'[2]All Counts'!O586</f>
        <v>15932</v>
      </c>
      <c r="L586" s="57">
        <f>VLOOKUP(ws[[#This Row],[hwycov_id]],readme!D:G,4,FALSE)</f>
        <v>14283.464844</v>
      </c>
      <c r="M586" s="88">
        <f>ws[[#This Row],[flow]]/ws[[#This Row],[count]]-1</f>
        <v>-0.103473208385639</v>
      </c>
      <c r="N586" s="89">
        <f>POWER((ws[[#This Row],[flow]]-ws[[#This Row],[count]]),2)</f>
        <v>2717668.1605679439</v>
      </c>
      <c r="O586" s="43">
        <f>VLOOKUP(ws[[#This Row],[hwycov_id]],count[],6,FALSE)</f>
        <v>0</v>
      </c>
      <c r="P586" s="43">
        <v>243</v>
      </c>
      <c r="Q586" s="43" t="str">
        <f>'[2]All Counts'!P586</f>
        <v>PeMS2016</v>
      </c>
      <c r="S586" s="94">
        <v>27921</v>
      </c>
      <c r="T586" s="17">
        <v>13340</v>
      </c>
      <c r="U586" s="17">
        <v>15181.166015999999</v>
      </c>
      <c r="V586" s="17"/>
      <c r="W586" s="17"/>
      <c r="X586" s="17"/>
      <c r="Y586" s="17"/>
      <c r="Z586" s="17"/>
      <c r="AA586" s="17"/>
      <c r="AB586" s="17">
        <v>13340</v>
      </c>
      <c r="AC586" s="17">
        <v>15181.166015999999</v>
      </c>
      <c r="AD586"/>
      <c r="AE586"/>
    </row>
    <row r="587" spans="1:31" x14ac:dyDescent="0.25">
      <c r="A587" s="136">
        <f>'[2]All Counts'!C587</f>
        <v>22</v>
      </c>
      <c r="B587" s="136">
        <f>'[2]All Counts'!D587</f>
        <v>4</v>
      </c>
      <c r="C587" s="136">
        <f>'[2]All Counts'!E587</f>
        <v>28186</v>
      </c>
      <c r="D587" s="136">
        <f>'[2]All Counts'!F587</f>
        <v>1</v>
      </c>
      <c r="E587" s="136">
        <f>'[2]All Counts'!G587</f>
        <v>1</v>
      </c>
      <c r="F587" s="136" t="str">
        <f>'[2]All Counts'!H587</f>
        <v>I-8 EB</v>
      </c>
      <c r="G587" s="136">
        <f>'[2]All Counts'!I587</f>
        <v>56</v>
      </c>
      <c r="H587" s="136">
        <f>'[2]All Counts'!J587</f>
        <v>0</v>
      </c>
      <c r="I587" s="136" t="str">
        <f>'[2]All Counts'!K587</f>
        <v>MOLLISON</v>
      </c>
      <c r="J587" s="136" t="str">
        <f>'[2]All Counts'!L587</f>
        <v>02ND</v>
      </c>
      <c r="K587" s="136">
        <f>'[2]All Counts'!O587</f>
        <v>16600</v>
      </c>
      <c r="L587" s="57">
        <f>VLOOKUP(ws[[#This Row],[hwycov_id]],readme!D:G,4,FALSE)</f>
        <v>15158.868164</v>
      </c>
      <c r="M587" s="88">
        <f>ws[[#This Row],[flow]]/ws[[#This Row],[count]]-1</f>
        <v>-8.6815170843373535E-2</v>
      </c>
      <c r="N587" s="89">
        <f>POWER((ws[[#This Row],[flow]]-ws[[#This Row],[count]]),2)</f>
        <v>2076860.9687327323</v>
      </c>
      <c r="O587" s="43">
        <f>VLOOKUP(ws[[#This Row],[hwycov_id]],count[],6,FALSE)</f>
        <v>0</v>
      </c>
      <c r="P587" s="43">
        <v>244</v>
      </c>
      <c r="Q587" s="43" t="str">
        <f>'[2]All Counts'!P587</f>
        <v>PeMS2016</v>
      </c>
      <c r="S587" s="94">
        <v>27925</v>
      </c>
      <c r="T587" s="17">
        <v>16048</v>
      </c>
      <c r="U587" s="17">
        <v>17924.015625</v>
      </c>
      <c r="V587" s="17"/>
      <c r="W587" s="17"/>
      <c r="X587" s="17"/>
      <c r="Y587" s="17"/>
      <c r="Z587" s="17"/>
      <c r="AA587" s="17"/>
      <c r="AB587" s="17">
        <v>16048</v>
      </c>
      <c r="AC587" s="17">
        <v>17924.015625</v>
      </c>
      <c r="AD587"/>
      <c r="AE587"/>
    </row>
    <row r="588" spans="1:31" x14ac:dyDescent="0.25">
      <c r="A588" s="136">
        <f>'[2]All Counts'!C588</f>
        <v>22</v>
      </c>
      <c r="B588" s="136">
        <f>'[2]All Counts'!D588</f>
        <v>4</v>
      </c>
      <c r="C588" s="136">
        <f>'[2]All Counts'!E588</f>
        <v>28380</v>
      </c>
      <c r="D588" s="136">
        <f>'[2]All Counts'!F588</f>
        <v>1</v>
      </c>
      <c r="E588" s="136">
        <f>'[2]All Counts'!G588</f>
        <v>1</v>
      </c>
      <c r="F588" s="136" t="str">
        <f>'[2]All Counts'!H588</f>
        <v>I-8 EB</v>
      </c>
      <c r="G588" s="136">
        <f>'[2]All Counts'!I588</f>
        <v>58</v>
      </c>
      <c r="H588" s="136">
        <f>'[2]All Counts'!J588</f>
        <v>0</v>
      </c>
      <c r="I588" s="136" t="str">
        <f>'[2]All Counts'!K588</f>
        <v>SR  54</v>
      </c>
      <c r="J588" s="136" t="str">
        <f>'[2]All Counts'!L588</f>
        <v>MAIN</v>
      </c>
      <c r="K588" s="136">
        <f>'[2]All Counts'!O588</f>
        <v>11477</v>
      </c>
      <c r="L588" s="57">
        <f>VLOOKUP(ws[[#This Row],[hwycov_id]],readme!D:G,4,FALSE)</f>
        <v>12497.608398</v>
      </c>
      <c r="M588" s="88">
        <f>ws[[#This Row],[flow]]/ws[[#This Row],[count]]-1</f>
        <v>8.8926409166158349E-2</v>
      </c>
      <c r="N588" s="89">
        <f>POWER((ws[[#This Row],[flow]]-ws[[#This Row],[count]]),2)</f>
        <v>1041641.502068127</v>
      </c>
      <c r="O588" s="43">
        <f>VLOOKUP(ws[[#This Row],[hwycov_id]],count[],6,FALSE)</f>
        <v>0</v>
      </c>
      <c r="P588" s="43">
        <v>245</v>
      </c>
      <c r="Q588" s="43" t="str">
        <f>'[2]All Counts'!P588</f>
        <v>PeMS2016</v>
      </c>
      <c r="S588" s="94">
        <v>27929</v>
      </c>
      <c r="T588" s="17">
        <v>13856</v>
      </c>
      <c r="U588" s="17">
        <v>16651.548827999999</v>
      </c>
      <c r="V588" s="17"/>
      <c r="W588" s="17"/>
      <c r="X588" s="17"/>
      <c r="Y588" s="17"/>
      <c r="Z588" s="17"/>
      <c r="AA588" s="17"/>
      <c r="AB588" s="17">
        <v>13856</v>
      </c>
      <c r="AC588" s="17">
        <v>16651.548827999999</v>
      </c>
      <c r="AD588"/>
      <c r="AE588"/>
    </row>
    <row r="589" spans="1:31" x14ac:dyDescent="0.25">
      <c r="A589" s="136">
        <f>'[2]All Counts'!C589</f>
        <v>22</v>
      </c>
      <c r="B589" s="136">
        <f>'[2]All Counts'!D589</f>
        <v>4</v>
      </c>
      <c r="C589" s="136">
        <f>'[2]All Counts'!E589</f>
        <v>28199</v>
      </c>
      <c r="D589" s="136">
        <f>'[2]All Counts'!F589</f>
        <v>1</v>
      </c>
      <c r="E589" s="136">
        <f>'[2]All Counts'!G589</f>
        <v>1</v>
      </c>
      <c r="F589" s="136" t="str">
        <f>'[2]All Counts'!H589</f>
        <v>I-8 EB</v>
      </c>
      <c r="G589" s="136">
        <f>'[2]All Counts'!I589</f>
        <v>60</v>
      </c>
      <c r="H589" s="136">
        <f>'[2]All Counts'!J589</f>
        <v>0</v>
      </c>
      <c r="I589" s="136" t="str">
        <f>'[2]All Counts'!K589</f>
        <v>SR  54</v>
      </c>
      <c r="J589" s="136" t="str">
        <f>'[2]All Counts'!L589</f>
        <v>GREENFIELD</v>
      </c>
      <c r="K589" s="136">
        <f>'[2]All Counts'!O589</f>
        <v>13517</v>
      </c>
      <c r="L589" s="57">
        <f>VLOOKUP(ws[[#This Row],[hwycov_id]],readme!D:G,4,FALSE)</f>
        <v>13287.690430000001</v>
      </c>
      <c r="M589" s="88">
        <f>ws[[#This Row],[flow]]/ws[[#This Row],[count]]-1</f>
        <v>-1.6964531330916577E-2</v>
      </c>
      <c r="N589" s="89">
        <f>POWER((ws[[#This Row],[flow]]-ws[[#This Row],[count]]),2)</f>
        <v>52582.878893584646</v>
      </c>
      <c r="O589" s="43">
        <f>VLOOKUP(ws[[#This Row],[hwycov_id]],count[],6,FALSE)</f>
        <v>0</v>
      </c>
      <c r="P589" s="43">
        <v>246</v>
      </c>
      <c r="Q589" s="43" t="str">
        <f>'[2]All Counts'!P589</f>
        <v>PeMS2016</v>
      </c>
      <c r="S589" s="94">
        <v>27933</v>
      </c>
      <c r="T589" s="17">
        <v>16098</v>
      </c>
      <c r="U589" s="17">
        <v>18884.558593999998</v>
      </c>
      <c r="V589" s="17"/>
      <c r="W589" s="17"/>
      <c r="X589" s="17"/>
      <c r="Y589" s="17"/>
      <c r="Z589" s="17"/>
      <c r="AA589" s="17"/>
      <c r="AB589" s="17">
        <v>16098</v>
      </c>
      <c r="AC589" s="17">
        <v>18884.558593999998</v>
      </c>
      <c r="AD589"/>
      <c r="AE589"/>
    </row>
    <row r="590" spans="1:31" x14ac:dyDescent="0.25">
      <c r="A590" s="136">
        <f>'[2]All Counts'!C590</f>
        <v>22</v>
      </c>
      <c r="B590" s="136">
        <f>'[2]All Counts'!D590</f>
        <v>4</v>
      </c>
      <c r="C590" s="136">
        <f>'[2]All Counts'!E590</f>
        <v>28635</v>
      </c>
      <c r="D590" s="136">
        <f>'[2]All Counts'!F590</f>
        <v>1</v>
      </c>
      <c r="E590" s="136">
        <f>'[2]All Counts'!G590</f>
        <v>1</v>
      </c>
      <c r="F590" s="136" t="str">
        <f>'[2]All Counts'!H590</f>
        <v>I-8 EB</v>
      </c>
      <c r="G590" s="136">
        <f>'[2]All Counts'!I590</f>
        <v>62</v>
      </c>
      <c r="H590" s="136">
        <f>'[2]All Counts'!J590</f>
        <v>0</v>
      </c>
      <c r="I590" s="136" t="str">
        <f>'[2]All Counts'!K590</f>
        <v>GREENFIELD</v>
      </c>
      <c r="J590" s="136" t="str">
        <f>'[2]All Counts'!L590</f>
        <v>GREENFIELD</v>
      </c>
      <c r="K590" s="136">
        <f>'[2]All Counts'!O590</f>
        <v>10967</v>
      </c>
      <c r="L590" s="57">
        <f>VLOOKUP(ws[[#This Row],[hwycov_id]],readme!D:G,4,FALSE)</f>
        <v>10658.822265999999</v>
      </c>
      <c r="M590" s="88">
        <f>ws[[#This Row],[flow]]/ws[[#This Row],[count]]-1</f>
        <v>-2.8100459013403967E-2</v>
      </c>
      <c r="N590" s="89">
        <f>POWER((ws[[#This Row],[flow]]-ws[[#This Row],[count]]),2)</f>
        <v>94973.515733375243</v>
      </c>
      <c r="O590" s="43">
        <f>VLOOKUP(ws[[#This Row],[hwycov_id]],count[],6,FALSE)</f>
        <v>0</v>
      </c>
      <c r="P590" s="43">
        <v>247</v>
      </c>
      <c r="Q590" s="43" t="str">
        <f>'[2]All Counts'!P590</f>
        <v>PeMS2016</v>
      </c>
      <c r="S590" s="94">
        <v>27934</v>
      </c>
      <c r="T590" s="17"/>
      <c r="U590" s="17"/>
      <c r="V590" s="17">
        <v>20376</v>
      </c>
      <c r="W590" s="17">
        <v>23565.056640999999</v>
      </c>
      <c r="X590" s="17"/>
      <c r="Y590" s="17"/>
      <c r="Z590" s="17"/>
      <c r="AA590" s="17"/>
      <c r="AB590" s="17">
        <v>20376</v>
      </c>
      <c r="AC590" s="17">
        <v>23565.056640999999</v>
      </c>
      <c r="AD590"/>
      <c r="AE590"/>
    </row>
    <row r="591" spans="1:31" x14ac:dyDescent="0.25">
      <c r="A591" s="136">
        <f>'[2]All Counts'!C591</f>
        <v>22</v>
      </c>
      <c r="B591" s="136">
        <f>'[2]All Counts'!D591</f>
        <v>4</v>
      </c>
      <c r="C591" s="136">
        <f>'[2]All Counts'!E591</f>
        <v>28636</v>
      </c>
      <c r="D591" s="136">
        <f>'[2]All Counts'!F591</f>
        <v>1</v>
      </c>
      <c r="E591" s="136">
        <f>'[2]All Counts'!G591</f>
        <v>1</v>
      </c>
      <c r="F591" s="136" t="str">
        <f>'[2]All Counts'!H591</f>
        <v>I-8 EB</v>
      </c>
      <c r="G591" s="136">
        <f>'[2]All Counts'!I591</f>
        <v>63</v>
      </c>
      <c r="H591" s="136">
        <f>'[2]All Counts'!J591</f>
        <v>0</v>
      </c>
      <c r="I591" s="136" t="str">
        <f>'[2]All Counts'!K591</f>
        <v>GREENFIELD</v>
      </c>
      <c r="J591" s="136" t="str">
        <f>'[2]All Counts'!L591</f>
        <v>CAM CANADA</v>
      </c>
      <c r="K591" s="136">
        <f>'[2]All Counts'!O591</f>
        <v>8529</v>
      </c>
      <c r="L591" s="57">
        <f>VLOOKUP(ws[[#This Row],[hwycov_id]],readme!D:G,4,FALSE)</f>
        <v>11264.482421999999</v>
      </c>
      <c r="M591" s="88">
        <f>ws[[#This Row],[flow]]/ws[[#This Row],[count]]-1</f>
        <v>0.32072721561730555</v>
      </c>
      <c r="N591" s="89">
        <f>POWER((ws[[#This Row],[flow]]-ws[[#This Row],[count]]),2)</f>
        <v>7482864.081070981</v>
      </c>
      <c r="O591" s="43">
        <f>VLOOKUP(ws[[#This Row],[hwycov_id]],count[],6,FALSE)</f>
        <v>0</v>
      </c>
      <c r="P591" s="43">
        <v>554</v>
      </c>
      <c r="Q591" s="43" t="str">
        <f>'[2]All Counts'!P591</f>
        <v>PeMS2016</v>
      </c>
      <c r="S591" s="94">
        <v>27941</v>
      </c>
      <c r="T591" s="17">
        <v>16472</v>
      </c>
      <c r="U591" s="17">
        <v>19877.478515999999</v>
      </c>
      <c r="V591" s="17"/>
      <c r="W591" s="17"/>
      <c r="X591" s="17"/>
      <c r="Y591" s="17"/>
      <c r="Z591" s="17"/>
      <c r="AA591" s="17"/>
      <c r="AB591" s="17">
        <v>16472</v>
      </c>
      <c r="AC591" s="17">
        <v>19877.478515999999</v>
      </c>
      <c r="AD591"/>
      <c r="AE591"/>
    </row>
    <row r="592" spans="1:31" x14ac:dyDescent="0.25">
      <c r="A592" s="136">
        <f>'[2]All Counts'!C592</f>
        <v>22</v>
      </c>
      <c r="B592" s="136">
        <f>'[2]All Counts'!D592</f>
        <v>4</v>
      </c>
      <c r="C592" s="136">
        <f>'[2]All Counts'!E592</f>
        <v>28203</v>
      </c>
      <c r="D592" s="136">
        <f>'[2]All Counts'!F592</f>
        <v>1</v>
      </c>
      <c r="E592" s="136">
        <f>'[2]All Counts'!G592</f>
        <v>1</v>
      </c>
      <c r="F592" s="136" t="str">
        <f>'[2]All Counts'!H592</f>
        <v>I-8 EB</v>
      </c>
      <c r="G592" s="136">
        <f>'[2]All Counts'!I592</f>
        <v>64</v>
      </c>
      <c r="H592" s="136">
        <f>'[2]All Counts'!J592</f>
        <v>0</v>
      </c>
      <c r="I592" s="136" t="str">
        <f>'[2]All Counts'!K592</f>
        <v>CAM CANADA</v>
      </c>
      <c r="J592" s="136" t="str">
        <f>'[2]All Counts'!L592</f>
        <v>CAM CANADA</v>
      </c>
      <c r="K592" s="136">
        <f>'[2]All Counts'!O592</f>
        <v>8493</v>
      </c>
      <c r="L592" s="57">
        <f>VLOOKUP(ws[[#This Row],[hwycov_id]],readme!D:G,4,FALSE)</f>
        <v>9066.1757809999999</v>
      </c>
      <c r="M592" s="88">
        <f>ws[[#This Row],[flow]]/ws[[#This Row],[count]]-1</f>
        <v>6.7488023195572788E-2</v>
      </c>
      <c r="N592" s="89">
        <f>POWER((ws[[#This Row],[flow]]-ws[[#This Row],[count]]),2)</f>
        <v>328530.47592495987</v>
      </c>
      <c r="O592" s="43">
        <f>VLOOKUP(ws[[#This Row],[hwycov_id]],count[],6,FALSE)</f>
        <v>0</v>
      </c>
      <c r="P592" s="43">
        <v>248</v>
      </c>
      <c r="Q592" s="43" t="str">
        <f>'[2]All Counts'!P592</f>
        <v>PeMS2016</v>
      </c>
      <c r="S592" s="94">
        <v>27946</v>
      </c>
      <c r="T592" s="17">
        <v>16589</v>
      </c>
      <c r="U592" s="17">
        <v>20735.953125</v>
      </c>
      <c r="V592" s="17"/>
      <c r="W592" s="17"/>
      <c r="X592" s="17"/>
      <c r="Y592" s="17"/>
      <c r="Z592" s="17"/>
      <c r="AA592" s="17"/>
      <c r="AB592" s="17">
        <v>16589</v>
      </c>
      <c r="AC592" s="17">
        <v>20735.953125</v>
      </c>
      <c r="AD592"/>
      <c r="AE592"/>
    </row>
    <row r="593" spans="1:31" x14ac:dyDescent="0.25">
      <c r="A593" s="136">
        <f>'[2]All Counts'!C593</f>
        <v>22</v>
      </c>
      <c r="B593" s="136">
        <f>'[2]All Counts'!D593</f>
        <v>4</v>
      </c>
      <c r="C593" s="136">
        <f>'[2]All Counts'!E593</f>
        <v>28208</v>
      </c>
      <c r="D593" s="136">
        <f>'[2]All Counts'!F593</f>
        <v>1</v>
      </c>
      <c r="E593" s="136">
        <f>'[2]All Counts'!G593</f>
        <v>1</v>
      </c>
      <c r="F593" s="136" t="str">
        <f>'[2]All Counts'!H593</f>
        <v>I-8 EB</v>
      </c>
      <c r="G593" s="136">
        <f>'[2]All Counts'!I593</f>
        <v>65</v>
      </c>
      <c r="H593" s="136">
        <f>'[2]All Counts'!J593</f>
        <v>1</v>
      </c>
      <c r="I593" s="136" t="str">
        <f>'[2]All Counts'!K593</f>
        <v>CAM CANADA</v>
      </c>
      <c r="J593" s="136" t="str">
        <f>'[2]All Counts'!L593</f>
        <v>LAKE JENNINGS PARK</v>
      </c>
      <c r="K593" s="136">
        <f>'[2]All Counts'!O593</f>
        <v>10341</v>
      </c>
      <c r="L593" s="57">
        <f>VLOOKUP(ws[[#This Row],[hwycov_id]],readme!D:G,4,FALSE)</f>
        <v>9256.09375</v>
      </c>
      <c r="M593" s="88">
        <f>ws[[#This Row],[flow]]/ws[[#This Row],[count]]-1</f>
        <v>-0.10491308867614346</v>
      </c>
      <c r="N593" s="89">
        <f>POWER((ws[[#This Row],[flow]]-ws[[#This Row],[count]]),2)</f>
        <v>1177021.5712890625</v>
      </c>
      <c r="O593" s="43">
        <f>VLOOKUP(ws[[#This Row],[hwycov_id]],count[],6,FALSE)</f>
        <v>0</v>
      </c>
      <c r="P593" s="43">
        <v>249</v>
      </c>
      <c r="Q593" s="43" t="str">
        <f>'[2]All Counts'!P593</f>
        <v>PeMS2016</v>
      </c>
      <c r="S593" s="94">
        <v>27948</v>
      </c>
      <c r="T593" s="17">
        <v>16211</v>
      </c>
      <c r="U593" s="17">
        <v>15642.276367</v>
      </c>
      <c r="V593" s="17"/>
      <c r="W593" s="17"/>
      <c r="X593" s="17"/>
      <c r="Y593" s="17"/>
      <c r="Z593" s="17"/>
      <c r="AA593" s="17"/>
      <c r="AB593" s="17">
        <v>16211</v>
      </c>
      <c r="AC593" s="17">
        <v>15642.276367</v>
      </c>
      <c r="AD593"/>
      <c r="AE593"/>
    </row>
    <row r="594" spans="1:31" x14ac:dyDescent="0.25">
      <c r="A594" s="136">
        <f>'[2]All Counts'!C594</f>
        <v>22</v>
      </c>
      <c r="B594" s="136">
        <f>'[2]All Counts'!D594</f>
        <v>4</v>
      </c>
      <c r="C594" s="136">
        <f>'[2]All Counts'!E594</f>
        <v>28214</v>
      </c>
      <c r="D594" s="136">
        <f>'[2]All Counts'!F594</f>
        <v>1</v>
      </c>
      <c r="E594" s="136">
        <f>'[2]All Counts'!G594</f>
        <v>1</v>
      </c>
      <c r="F594" s="136" t="str">
        <f>'[2]All Counts'!H594</f>
        <v>I-8 EB</v>
      </c>
      <c r="G594" s="136">
        <f>'[2]All Counts'!I594</f>
        <v>67</v>
      </c>
      <c r="H594" s="136">
        <f>'[2]All Counts'!J594</f>
        <v>0</v>
      </c>
      <c r="I594" s="136" t="str">
        <f>'[2]All Counts'!K594</f>
        <v>LAKE JENNINGS PARK</v>
      </c>
      <c r="J594" s="136" t="str">
        <f>'[2]All Counts'!L594</f>
        <v>LAKE JENNINGS PARK</v>
      </c>
      <c r="K594" s="136">
        <f>'[2]All Counts'!O594</f>
        <v>7863</v>
      </c>
      <c r="L594" s="57">
        <f>VLOOKUP(ws[[#This Row],[hwycov_id]],readme!D:G,4,FALSE)</f>
        <v>8833.3300780000009</v>
      </c>
      <c r="M594" s="88">
        <f>ws[[#This Row],[flow]]/ws[[#This Row],[count]]-1</f>
        <v>0.12340456288948243</v>
      </c>
      <c r="N594" s="89">
        <f>POWER((ws[[#This Row],[flow]]-ws[[#This Row],[count]]),2)</f>
        <v>941540.46027148771</v>
      </c>
      <c r="O594" s="43">
        <f>VLOOKUP(ws[[#This Row],[hwycov_id]],count[],6,FALSE)</f>
        <v>0</v>
      </c>
      <c r="P594" s="43">
        <v>250</v>
      </c>
      <c r="Q594" s="43" t="str">
        <f>'[2]All Counts'!P594</f>
        <v>PeMS2016</v>
      </c>
      <c r="S594" s="94">
        <v>27956</v>
      </c>
      <c r="T594" s="17"/>
      <c r="U594" s="17"/>
      <c r="V594" s="17"/>
      <c r="W594" s="17"/>
      <c r="X594" s="17">
        <v>10619</v>
      </c>
      <c r="Y594" s="17">
        <v>9153.0332030000009</v>
      </c>
      <c r="Z594" s="17"/>
      <c r="AA594" s="17"/>
      <c r="AB594" s="17">
        <v>10619</v>
      </c>
      <c r="AC594" s="17">
        <v>9153.0332030000009</v>
      </c>
      <c r="AD594"/>
      <c r="AE594"/>
    </row>
    <row r="595" spans="1:31" x14ac:dyDescent="0.25">
      <c r="A595" s="136">
        <f>'[2]All Counts'!C595</f>
        <v>22</v>
      </c>
      <c r="B595" s="136">
        <f>'[2]All Counts'!D595</f>
        <v>4</v>
      </c>
      <c r="C595" s="136">
        <f>'[2]All Counts'!E595</f>
        <v>28216</v>
      </c>
      <c r="D595" s="136">
        <f>'[2]All Counts'!F595</f>
        <v>1</v>
      </c>
      <c r="E595" s="136">
        <f>'[2]All Counts'!G595</f>
        <v>1</v>
      </c>
      <c r="F595" s="136" t="str">
        <f>'[2]All Counts'!H595</f>
        <v>I-8 EB</v>
      </c>
      <c r="G595" s="136">
        <f>'[2]All Counts'!I595</f>
        <v>68</v>
      </c>
      <c r="H595" s="136">
        <f>'[2]All Counts'!J595</f>
        <v>3</v>
      </c>
      <c r="I595" s="136" t="str">
        <f>'[2]All Counts'!K595</f>
        <v>LAKE JENNINGS PARK</v>
      </c>
      <c r="J595" s="136" t="str">
        <f>'[2]All Counts'!L595</f>
        <v>DUNBAR</v>
      </c>
      <c r="K595" s="136">
        <f>'[2]All Counts'!O595</f>
        <v>8246</v>
      </c>
      <c r="L595" s="57">
        <f>VLOOKUP(ws[[#This Row],[hwycov_id]],readme!D:G,4,FALSE)</f>
        <v>8869.7636719999991</v>
      </c>
      <c r="M595" s="88">
        <f>ws[[#This Row],[flow]]/ws[[#This Row],[count]]-1</f>
        <v>7.5644393887945638E-2</v>
      </c>
      <c r="N595" s="89">
        <f>POWER((ws[[#This Row],[flow]]-ws[[#This Row],[count]]),2)</f>
        <v>389081.1185069225</v>
      </c>
      <c r="O595" s="43">
        <f>VLOOKUP(ws[[#This Row],[hwycov_id]],count[],6,FALSE)</f>
        <v>0</v>
      </c>
      <c r="P595" s="43">
        <v>86</v>
      </c>
      <c r="Q595" s="43" t="str">
        <f>'[2]All Counts'!P595</f>
        <v>Caltran</v>
      </c>
      <c r="S595" s="94">
        <v>27959</v>
      </c>
      <c r="T595" s="17"/>
      <c r="U595" s="17"/>
      <c r="V595" s="17"/>
      <c r="W595" s="17"/>
      <c r="X595" s="17"/>
      <c r="Y595" s="17"/>
      <c r="Z595" s="17">
        <v>15496</v>
      </c>
      <c r="AA595" s="17">
        <v>16487.349609000001</v>
      </c>
      <c r="AB595" s="17">
        <v>15496</v>
      </c>
      <c r="AC595" s="17">
        <v>16487.349609000001</v>
      </c>
      <c r="AD595"/>
      <c r="AE595"/>
    </row>
    <row r="596" spans="1:31" x14ac:dyDescent="0.25">
      <c r="A596" s="136">
        <f>'[2]All Counts'!C596</f>
        <v>22</v>
      </c>
      <c r="B596" s="136">
        <f>'[2]All Counts'!D596</f>
        <v>4</v>
      </c>
      <c r="C596" s="136">
        <f>'[2]All Counts'!E596</f>
        <v>29215</v>
      </c>
      <c r="D596" s="136">
        <f>'[2]All Counts'!F596</f>
        <v>1</v>
      </c>
      <c r="E596" s="136">
        <f>'[2]All Counts'!G596</f>
        <v>1</v>
      </c>
      <c r="F596" s="136" t="str">
        <f>'[2]All Counts'!H596</f>
        <v>I-8 EB</v>
      </c>
      <c r="G596" s="136">
        <f>'[2]All Counts'!I596</f>
        <v>80</v>
      </c>
      <c r="H596" s="136">
        <f>'[2]All Counts'!J596</f>
        <v>2</v>
      </c>
      <c r="I596" s="136" t="str">
        <f>'[2]All Counts'!K596</f>
        <v>JAPATUL VALLEY</v>
      </c>
      <c r="J596" s="136" t="str">
        <f>'[2]All Counts'!L596</f>
        <v>PINE VALLEY</v>
      </c>
      <c r="K596" s="136">
        <f>'[2]All Counts'!O596</f>
        <v>2708</v>
      </c>
      <c r="L596" s="57">
        <f>VLOOKUP(ws[[#This Row],[hwycov_id]],readme!D:G,4,FALSE)</f>
        <v>3218.482422</v>
      </c>
      <c r="M596" s="88">
        <f>ws[[#This Row],[flow]]/ws[[#This Row],[count]]-1</f>
        <v>0.18850901846381096</v>
      </c>
      <c r="N596" s="89">
        <f>POWER((ws[[#This Row],[flow]]-ws[[#This Row],[count]]),2)</f>
        <v>260592.30317098612</v>
      </c>
      <c r="O596" s="43">
        <f>VLOOKUP(ws[[#This Row],[hwycov_id]],count[],6,FALSE)</f>
        <v>0</v>
      </c>
      <c r="P596" s="43">
        <v>691</v>
      </c>
      <c r="Q596" s="43" t="str">
        <f>'[2]All Counts'!P596</f>
        <v>Caltran</v>
      </c>
      <c r="S596" s="94">
        <v>27987</v>
      </c>
      <c r="T596" s="17"/>
      <c r="U596" s="17"/>
      <c r="V596" s="17"/>
      <c r="W596" s="17"/>
      <c r="X596" s="17">
        <v>13093</v>
      </c>
      <c r="Y596" s="17">
        <v>15519.583008</v>
      </c>
      <c r="Z596" s="17"/>
      <c r="AA596" s="17"/>
      <c r="AB596" s="17">
        <v>13093</v>
      </c>
      <c r="AC596" s="17">
        <v>15519.583008</v>
      </c>
      <c r="AD596"/>
      <c r="AE596"/>
    </row>
    <row r="597" spans="1:31" x14ac:dyDescent="0.25">
      <c r="A597" s="136">
        <f>'[2]All Counts'!C597</f>
        <v>22</v>
      </c>
      <c r="B597" s="136">
        <f>'[2]All Counts'!D597</f>
        <v>4</v>
      </c>
      <c r="C597" s="136">
        <f>'[2]All Counts'!E597</f>
        <v>28269</v>
      </c>
      <c r="D597" s="136">
        <f>'[2]All Counts'!F597</f>
        <v>1</v>
      </c>
      <c r="E597" s="136">
        <f>'[2]All Counts'!G597</f>
        <v>1</v>
      </c>
      <c r="F597" s="136" t="str">
        <f>'[2]All Counts'!H597</f>
        <v>I-8 EB</v>
      </c>
      <c r="G597" s="136">
        <f>'[2]All Counts'!I597</f>
        <v>86</v>
      </c>
      <c r="H597" s="136">
        <f>'[2]All Counts'!J597</f>
        <v>2</v>
      </c>
      <c r="I597" s="136" t="str">
        <f>'[2]All Counts'!K597</f>
        <v>BUCKMAN SPRINGS</v>
      </c>
      <c r="J597" s="136" t="str">
        <f>'[2]All Counts'!L597</f>
        <v>CAMERON TRUCK</v>
      </c>
      <c r="K597" s="136">
        <f>'[2]All Counts'!O597</f>
        <v>1915</v>
      </c>
      <c r="L597" s="57">
        <f>VLOOKUP(ws[[#This Row],[hwycov_id]],readme!D:G,4,FALSE)</f>
        <v>2320.1208499999998</v>
      </c>
      <c r="M597" s="88">
        <f>ws[[#This Row],[flow]]/ws[[#This Row],[count]]-1</f>
        <v>0.21155135770234978</v>
      </c>
      <c r="N597" s="89">
        <f>POWER((ws[[#This Row],[flow]]-ws[[#This Row],[count]]),2)</f>
        <v>164122.90310472233</v>
      </c>
      <c r="O597" s="43">
        <f>VLOOKUP(ws[[#This Row],[hwycov_id]],count[],6,FALSE)</f>
        <v>0</v>
      </c>
      <c r="P597" s="43">
        <v>7</v>
      </c>
      <c r="Q597" s="43" t="str">
        <f>'[2]All Counts'!P597</f>
        <v>Caltran</v>
      </c>
      <c r="S597" s="94">
        <v>27988</v>
      </c>
      <c r="T597" s="17"/>
      <c r="U597" s="17"/>
      <c r="V597" s="17"/>
      <c r="W597" s="17"/>
      <c r="X597" s="17">
        <v>14242</v>
      </c>
      <c r="Y597" s="17">
        <v>14042.169921999999</v>
      </c>
      <c r="Z597" s="17"/>
      <c r="AA597" s="17"/>
      <c r="AB597" s="17">
        <v>14242</v>
      </c>
      <c r="AC597" s="17">
        <v>14042.169921999999</v>
      </c>
      <c r="AD597"/>
      <c r="AE597"/>
    </row>
    <row r="598" spans="1:31" x14ac:dyDescent="0.25">
      <c r="A598" s="136">
        <f>'[2]All Counts'!C598</f>
        <v>22</v>
      </c>
      <c r="B598" s="136">
        <f>'[2]All Counts'!D598</f>
        <v>4</v>
      </c>
      <c r="C598" s="136">
        <f>'[2]All Counts'!E598</f>
        <v>27539</v>
      </c>
      <c r="D598" s="136">
        <f>'[2]All Counts'!F598</f>
        <v>1</v>
      </c>
      <c r="E598" s="136">
        <f>'[2]All Counts'!G598</f>
        <v>1</v>
      </c>
      <c r="F598" s="136" t="str">
        <f>'[2]All Counts'!H598</f>
        <v>I-8 EB</v>
      </c>
      <c r="G598" s="136">
        <f>'[2]All Counts'!I598</f>
        <v>92</v>
      </c>
      <c r="H598" s="136">
        <f>'[2]All Counts'!J598</f>
        <v>7</v>
      </c>
      <c r="I598" s="136" t="str">
        <f>'[2]All Counts'!K598</f>
        <v>SR-94</v>
      </c>
      <c r="J598" s="136" t="str">
        <f>'[2]All Counts'!L598</f>
        <v>CORRIZO GORGE</v>
      </c>
      <c r="K598" s="136">
        <f>'[2]All Counts'!O598</f>
        <v>1608</v>
      </c>
      <c r="L598" s="57">
        <f>VLOOKUP(ws[[#This Row],[hwycov_id]],readme!D:G,4,FALSE)</f>
        <v>1830.634888</v>
      </c>
      <c r="M598" s="88">
        <f>ws[[#This Row],[flow]]/ws[[#This Row],[count]]-1</f>
        <v>0.1384545323383084</v>
      </c>
      <c r="N598" s="89">
        <f>POWER((ws[[#This Row],[flow]]-ws[[#This Row],[count]]),2)</f>
        <v>49566.293354772562</v>
      </c>
      <c r="O598" s="43">
        <f>VLOOKUP(ws[[#This Row],[hwycov_id]],count[],6,FALSE)</f>
        <v>0</v>
      </c>
      <c r="P598" s="43">
        <v>6</v>
      </c>
      <c r="Q598" s="43" t="str">
        <f>'[2]All Counts'!P598</f>
        <v>Caltran</v>
      </c>
      <c r="S598" s="94">
        <v>27993</v>
      </c>
      <c r="T598" s="17"/>
      <c r="U598" s="17"/>
      <c r="V598" s="17"/>
      <c r="W598" s="17"/>
      <c r="X598" s="17"/>
      <c r="Y598" s="17"/>
      <c r="Z598" s="17">
        <v>18924</v>
      </c>
      <c r="AA598" s="17">
        <v>19294.236327999999</v>
      </c>
      <c r="AB598" s="17">
        <v>18924</v>
      </c>
      <c r="AC598" s="17">
        <v>19294.236327999999</v>
      </c>
      <c r="AD598"/>
      <c r="AE598"/>
    </row>
    <row r="599" spans="1:31" x14ac:dyDescent="0.25">
      <c r="A599" s="136">
        <f>'[2]All Counts'!C599</f>
        <v>35</v>
      </c>
      <c r="B599" s="136">
        <f>'[2]All Counts'!D599</f>
        <v>2</v>
      </c>
      <c r="C599" s="136">
        <f>'[2]All Counts'!E599</f>
        <v>29548</v>
      </c>
      <c r="D599" s="136">
        <f>'[2]All Counts'!F599</f>
        <v>1</v>
      </c>
      <c r="E599" s="136">
        <f>'[2]All Counts'!G599</f>
        <v>2</v>
      </c>
      <c r="F599" s="136" t="str">
        <f>'[2]All Counts'!H599</f>
        <v>I-805 HOV SB</v>
      </c>
      <c r="G599" s="136">
        <f>'[2]All Counts'!I599</f>
        <v>5</v>
      </c>
      <c r="H599" s="136">
        <f>'[2]All Counts'!J599</f>
        <v>0</v>
      </c>
      <c r="I599" s="136" t="str">
        <f>'[2]All Counts'!K599</f>
        <v>ramp I-805 HOV SB</v>
      </c>
      <c r="J599" s="136" t="str">
        <f>'[2]All Counts'!L599</f>
        <v>ramp I-805 HOV SB</v>
      </c>
      <c r="K599" s="136">
        <f>'[2]All Counts'!O599</f>
        <v>2838</v>
      </c>
      <c r="L599" s="57">
        <f>VLOOKUP(ws[[#This Row],[hwycov_id]],readme!D:G,4,FALSE)</f>
        <v>2136.1215820000002</v>
      </c>
      <c r="M599" s="88">
        <f>ws[[#This Row],[flow]]/ws[[#This Row],[count]]-1</f>
        <v>-0.24731445313601119</v>
      </c>
      <c r="N599" s="89">
        <f>POWER((ws[[#This Row],[flow]]-ws[[#This Row],[count]]),2)</f>
        <v>492633.31365418242</v>
      </c>
      <c r="O599" s="43">
        <f>VLOOKUP(ws[[#This Row],[hwycov_id]],count[],6,FALSE)</f>
        <v>0</v>
      </c>
      <c r="P599" s="43">
        <v>755</v>
      </c>
      <c r="Q599" s="43" t="str">
        <f>'[2]All Counts'!P599</f>
        <v>PeMS2016</v>
      </c>
      <c r="S599" s="94">
        <v>28000</v>
      </c>
      <c r="T599" s="17"/>
      <c r="U599" s="17"/>
      <c r="V599" s="17"/>
      <c r="W599" s="17"/>
      <c r="X599" s="17">
        <v>15038</v>
      </c>
      <c r="Y599" s="17">
        <v>14596.053711</v>
      </c>
      <c r="Z599" s="17"/>
      <c r="AA599" s="17"/>
      <c r="AB599" s="17">
        <v>15038</v>
      </c>
      <c r="AC599" s="17">
        <v>14596.053711</v>
      </c>
      <c r="AD599"/>
      <c r="AE599"/>
    </row>
    <row r="600" spans="1:31" x14ac:dyDescent="0.25">
      <c r="A600" s="136">
        <f>'[2]All Counts'!C600</f>
        <v>10</v>
      </c>
      <c r="B600" s="136">
        <f>'[2]All Counts'!D600</f>
        <v>2</v>
      </c>
      <c r="C600" s="136">
        <f>'[2]All Counts'!E600</f>
        <v>28793</v>
      </c>
      <c r="D600" s="136">
        <f>'[2]All Counts'!F600</f>
        <v>1</v>
      </c>
      <c r="E600" s="136">
        <f>'[2]All Counts'!G600</f>
        <v>1</v>
      </c>
      <c r="F600" s="136" t="str">
        <f>'[2]All Counts'!H600</f>
        <v>I-805 SB</v>
      </c>
      <c r="G600" s="136">
        <f>'[2]All Counts'!I600</f>
        <v>1</v>
      </c>
      <c r="H600" s="136">
        <f>'[2]All Counts'!J600</f>
        <v>0</v>
      </c>
      <c r="I600" s="136" t="str">
        <f>'[2]All Counts'!K600</f>
        <v>I-5 SB</v>
      </c>
      <c r="J600" s="136" t="str">
        <f>'[2]All Counts'!L600</f>
        <v>I-5 SB</v>
      </c>
      <c r="K600" s="136">
        <f>'[2]All Counts'!O600</f>
        <v>9432</v>
      </c>
      <c r="L600" s="57">
        <f>VLOOKUP(ws[[#This Row],[hwycov_id]],readme!D:G,4,FALSE)</f>
        <v>12409.535156</v>
      </c>
      <c r="M600" s="88">
        <f>ws[[#This Row],[flow]]/ws[[#This Row],[count]]-1</f>
        <v>0.31568438888888894</v>
      </c>
      <c r="N600" s="89">
        <f>POWER((ws[[#This Row],[flow]]-ws[[#This Row],[count]]),2)</f>
        <v>8865715.6052159443</v>
      </c>
      <c r="O600" s="43">
        <f>VLOOKUP(ws[[#This Row],[hwycov_id]],count[],6,FALSE)</f>
        <v>0</v>
      </c>
      <c r="P600" s="43">
        <v>5</v>
      </c>
      <c r="Q600" s="43" t="str">
        <f>'[2]All Counts'!P600</f>
        <v>PeMS2016</v>
      </c>
      <c r="S600" s="94">
        <v>28002</v>
      </c>
      <c r="T600" s="17"/>
      <c r="U600" s="17"/>
      <c r="V600" s="17"/>
      <c r="W600" s="17"/>
      <c r="X600" s="17"/>
      <c r="Y600" s="17"/>
      <c r="Z600" s="17">
        <v>21485</v>
      </c>
      <c r="AA600" s="17">
        <v>22162.855468999998</v>
      </c>
      <c r="AB600" s="17">
        <v>21485</v>
      </c>
      <c r="AC600" s="17">
        <v>22162.855468999998</v>
      </c>
      <c r="AD600"/>
      <c r="AE600"/>
    </row>
    <row r="601" spans="1:31" x14ac:dyDescent="0.25">
      <c r="A601" s="136">
        <f>'[2]All Counts'!C601</f>
        <v>10</v>
      </c>
      <c r="B601" s="136">
        <f>'[2]All Counts'!D601</f>
        <v>2</v>
      </c>
      <c r="C601" s="136">
        <f>'[2]All Counts'!E601</f>
        <v>20781</v>
      </c>
      <c r="D601" s="136">
        <f>'[2]All Counts'!F601</f>
        <v>1</v>
      </c>
      <c r="E601" s="136">
        <f>'[2]All Counts'!G601</f>
        <v>1</v>
      </c>
      <c r="F601" s="136" t="str">
        <f>'[2]All Counts'!H601</f>
        <v>I-805 SB</v>
      </c>
      <c r="G601" s="136">
        <f>'[2]All Counts'!I601</f>
        <v>2</v>
      </c>
      <c r="H601" s="136">
        <f>'[2]All Counts'!J601</f>
        <v>0</v>
      </c>
      <c r="I601" s="136" t="str">
        <f>'[2]All Counts'!K601</f>
        <v>I-5 SB</v>
      </c>
      <c r="J601" s="136" t="str">
        <f>'[2]All Counts'!L601</f>
        <v>SORRENTO VALLEY</v>
      </c>
      <c r="K601" s="136">
        <f>'[2]All Counts'!O601</f>
        <v>15531</v>
      </c>
      <c r="L601" s="57">
        <f>VLOOKUP(ws[[#This Row],[hwycov_id]],readme!D:G,4,FALSE)</f>
        <v>16690.216797000001</v>
      </c>
      <c r="M601" s="88">
        <f>ws[[#This Row],[flow]]/ws[[#This Row],[count]]-1</f>
        <v>7.4638902646320338E-2</v>
      </c>
      <c r="N601" s="89">
        <f>POWER((ws[[#This Row],[flow]]-ws[[#This Row],[count]]),2)</f>
        <v>1343783.5824469414</v>
      </c>
      <c r="O601" s="43">
        <f>VLOOKUP(ws[[#This Row],[hwycov_id]],count[],6,FALSE)</f>
        <v>0</v>
      </c>
      <c r="P601" s="43">
        <v>756</v>
      </c>
      <c r="Q601" s="43" t="str">
        <f>'[2]All Counts'!P601</f>
        <v>Caltran</v>
      </c>
      <c r="S601" s="94">
        <v>28007</v>
      </c>
      <c r="T601" s="17"/>
      <c r="U601" s="17"/>
      <c r="V601" s="17"/>
      <c r="W601" s="17"/>
      <c r="X601" s="17">
        <v>12928</v>
      </c>
      <c r="Y601" s="17">
        <v>13342.835938</v>
      </c>
      <c r="Z601" s="17"/>
      <c r="AA601" s="17"/>
      <c r="AB601" s="17">
        <v>12928</v>
      </c>
      <c r="AC601" s="17">
        <v>13342.835938</v>
      </c>
      <c r="AD601"/>
      <c r="AE601"/>
    </row>
    <row r="602" spans="1:31" x14ac:dyDescent="0.25">
      <c r="A602" s="136">
        <f>'[2]All Counts'!C602</f>
        <v>10</v>
      </c>
      <c r="B602" s="136">
        <f>'[2]All Counts'!D602</f>
        <v>2</v>
      </c>
      <c r="C602" s="136">
        <f>'[2]All Counts'!E602</f>
        <v>28798</v>
      </c>
      <c r="D602" s="136">
        <f>'[2]All Counts'!F602</f>
        <v>1</v>
      </c>
      <c r="E602" s="136">
        <f>'[2]All Counts'!G602</f>
        <v>1</v>
      </c>
      <c r="F602" s="136" t="str">
        <f>'[2]All Counts'!H602</f>
        <v>I-805 SB</v>
      </c>
      <c r="G602" s="136">
        <f>'[2]All Counts'!I602</f>
        <v>4</v>
      </c>
      <c r="H602" s="136">
        <f>'[2]All Counts'!J602</f>
        <v>0</v>
      </c>
      <c r="I602" s="136" t="str">
        <f>'[2]All Counts'!K602</f>
        <v>SORRENTO VALLEY</v>
      </c>
      <c r="J602" s="136" t="str">
        <f>'[2]All Counts'!L602</f>
        <v>SORRENTO VALLEY</v>
      </c>
      <c r="K602" s="136">
        <f>'[2]All Counts'!O602</f>
        <v>12370</v>
      </c>
      <c r="L602" s="57">
        <f>VLOOKUP(ws[[#This Row],[hwycov_id]],readme!D:G,4,FALSE)</f>
        <v>14624.327148</v>
      </c>
      <c r="M602" s="88">
        <f>ws[[#This Row],[flow]]/ws[[#This Row],[count]]-1</f>
        <v>0.18224148326596601</v>
      </c>
      <c r="N602" s="89">
        <f>POWER((ws[[#This Row],[flow]]-ws[[#This Row],[count]]),2)</f>
        <v>5081990.8902098155</v>
      </c>
      <c r="O602" s="43">
        <f>VLOOKUP(ws[[#This Row],[hwycov_id]],count[],6,FALSE)</f>
        <v>0</v>
      </c>
      <c r="P602" s="43">
        <v>4</v>
      </c>
      <c r="Q602" s="43" t="str">
        <f>'[2]All Counts'!P602</f>
        <v>PeMS2016</v>
      </c>
      <c r="S602" s="94">
        <v>28011</v>
      </c>
      <c r="T602" s="17"/>
      <c r="U602" s="17"/>
      <c r="V602" s="17"/>
      <c r="W602" s="17"/>
      <c r="X602" s="17">
        <v>10717</v>
      </c>
      <c r="Y602" s="17">
        <v>15583.491211</v>
      </c>
      <c r="Z602" s="17"/>
      <c r="AA602" s="17"/>
      <c r="AB602" s="17">
        <v>10717</v>
      </c>
      <c r="AC602" s="17">
        <v>15583.491211</v>
      </c>
      <c r="AD602"/>
      <c r="AE602"/>
    </row>
    <row r="603" spans="1:31" x14ac:dyDescent="0.25">
      <c r="A603" s="136">
        <f>'[2]All Counts'!C603</f>
        <v>10</v>
      </c>
      <c r="B603" s="136">
        <f>'[2]All Counts'!D603</f>
        <v>2</v>
      </c>
      <c r="C603" s="136">
        <f>'[2]All Counts'!E603</f>
        <v>8802</v>
      </c>
      <c r="D603" s="136">
        <f>'[2]All Counts'!F603</f>
        <v>1</v>
      </c>
      <c r="E603" s="136">
        <f>'[2]All Counts'!G603</f>
        <v>1</v>
      </c>
      <c r="F603" s="136" t="str">
        <f>'[2]All Counts'!H603</f>
        <v>I-805 SB</v>
      </c>
      <c r="G603" s="136">
        <f>'[2]All Counts'!I603</f>
        <v>5</v>
      </c>
      <c r="H603" s="136">
        <f>'[2]All Counts'!J603</f>
        <v>0</v>
      </c>
      <c r="I603" s="136" t="str">
        <f>'[2]All Counts'!K603</f>
        <v>SORRENTO VALLEY</v>
      </c>
      <c r="J603" s="136" t="str">
        <f>'[2]All Counts'!L603</f>
        <v>SORRENTO VALLEY</v>
      </c>
      <c r="K603" s="136">
        <f>'[2]All Counts'!O603</f>
        <v>16116</v>
      </c>
      <c r="L603" s="57">
        <f>VLOOKUP(ws[[#This Row],[hwycov_id]],readme!D:G,4,FALSE)</f>
        <v>19336.683593999998</v>
      </c>
      <c r="M603" s="88">
        <f>ws[[#This Row],[flow]]/ws[[#This Row],[count]]-1</f>
        <v>0.19984385666418447</v>
      </c>
      <c r="N603" s="89">
        <f>POWER((ws[[#This Row],[flow]]-ws[[#This Row],[count]]),2)</f>
        <v>10372802.812660746</v>
      </c>
      <c r="O603" s="43">
        <f>VLOOKUP(ws[[#This Row],[hwycov_id]],count[],6,FALSE)</f>
        <v>0</v>
      </c>
      <c r="P603" s="43">
        <v>3</v>
      </c>
      <c r="Q603" s="43" t="str">
        <f>'[2]All Counts'!P603</f>
        <v>PeMS2016</v>
      </c>
      <c r="S603" s="94">
        <v>28012</v>
      </c>
      <c r="T603" s="17"/>
      <c r="U603" s="17"/>
      <c r="V603" s="17"/>
      <c r="W603" s="17"/>
      <c r="X603" s="17"/>
      <c r="Y603" s="17"/>
      <c r="Z603" s="17">
        <v>21715</v>
      </c>
      <c r="AA603" s="17">
        <v>21784.257812</v>
      </c>
      <c r="AB603" s="17">
        <v>21715</v>
      </c>
      <c r="AC603" s="17">
        <v>21784.257812</v>
      </c>
      <c r="AD603"/>
      <c r="AE603"/>
    </row>
    <row r="604" spans="1:31" x14ac:dyDescent="0.25">
      <c r="A604" s="136">
        <f>'[2]All Counts'!C604</f>
        <v>10</v>
      </c>
      <c r="B604" s="136">
        <f>'[2]All Counts'!D604</f>
        <v>2</v>
      </c>
      <c r="C604" s="136">
        <f>'[2]All Counts'!E604</f>
        <v>26791</v>
      </c>
      <c r="D604" s="136">
        <f>'[2]All Counts'!F604</f>
        <v>1</v>
      </c>
      <c r="E604" s="136">
        <f>'[2]All Counts'!G604</f>
        <v>1</v>
      </c>
      <c r="F604" s="136" t="str">
        <f>'[2]All Counts'!H604</f>
        <v>I-805 SB</v>
      </c>
      <c r="G604" s="136">
        <f>'[2]All Counts'!I604</f>
        <v>7</v>
      </c>
      <c r="H604" s="136">
        <f>'[2]All Counts'!J604</f>
        <v>0</v>
      </c>
      <c r="I604" s="136" t="str">
        <f>'[2]All Counts'!K604</f>
        <v>SORRENTO VALLEY</v>
      </c>
      <c r="J604" s="136" t="str">
        <f>'[2]All Counts'!L604</f>
        <v>LA JOLLA VILLAGE</v>
      </c>
      <c r="K604" s="136">
        <f>'[2]All Counts'!O604</f>
        <v>16818</v>
      </c>
      <c r="L604" s="57">
        <f>VLOOKUP(ws[[#This Row],[hwycov_id]],readme!D:G,4,FALSE)</f>
        <v>23914.396484000001</v>
      </c>
      <c r="M604" s="88">
        <f>ws[[#This Row],[flow]]/ws[[#This Row],[count]]-1</f>
        <v>0.42195246069687253</v>
      </c>
      <c r="N604" s="89">
        <f>POWER((ws[[#This Row],[flow]]-ws[[#This Row],[count]]),2)</f>
        <v>50358843.058127575</v>
      </c>
      <c r="O604" s="43">
        <f>VLOOKUP(ws[[#This Row],[hwycov_id]],count[],6,FALSE)</f>
        <v>0</v>
      </c>
      <c r="P604" s="43">
        <v>758</v>
      </c>
      <c r="Q604" s="43" t="str">
        <f>'[2]All Counts'!P604</f>
        <v>PeMS2016</v>
      </c>
      <c r="S604" s="94">
        <v>28016</v>
      </c>
      <c r="T604" s="17"/>
      <c r="U604" s="17"/>
      <c r="V604" s="17"/>
      <c r="W604" s="17"/>
      <c r="X604" s="17">
        <v>10717</v>
      </c>
      <c r="Y604" s="17">
        <v>13709.029296999999</v>
      </c>
      <c r="Z604" s="17"/>
      <c r="AA604" s="17"/>
      <c r="AB604" s="17">
        <v>10717</v>
      </c>
      <c r="AC604" s="17">
        <v>13709.029296999999</v>
      </c>
      <c r="AD604"/>
      <c r="AE604"/>
    </row>
    <row r="605" spans="1:31" x14ac:dyDescent="0.25">
      <c r="A605" s="136">
        <f>'[2]All Counts'!C605</f>
        <v>10</v>
      </c>
      <c r="B605" s="136">
        <f>'[2]All Counts'!D605</f>
        <v>2</v>
      </c>
      <c r="C605" s="136">
        <f>'[2]All Counts'!E605</f>
        <v>24703</v>
      </c>
      <c r="D605" s="136">
        <f>'[2]All Counts'!F605</f>
        <v>1</v>
      </c>
      <c r="E605" s="136">
        <f>'[2]All Counts'!G605</f>
        <v>1</v>
      </c>
      <c r="F605" s="136" t="str">
        <f>'[2]All Counts'!H605</f>
        <v>I-805 SB</v>
      </c>
      <c r="G605" s="136">
        <f>'[2]All Counts'!I605</f>
        <v>9</v>
      </c>
      <c r="H605" s="136">
        <f>'[2]All Counts'!J605</f>
        <v>0</v>
      </c>
      <c r="I605" s="136" t="str">
        <f>'[2]All Counts'!K605</f>
        <v>LA JOLLA VILLAGE</v>
      </c>
      <c r="J605" s="136" t="str">
        <f>'[2]All Counts'!L605</f>
        <v>LA JOLLA VILLAGE</v>
      </c>
      <c r="K605" s="136">
        <f>'[2]All Counts'!O605</f>
        <v>14690</v>
      </c>
      <c r="L605" s="57">
        <f>VLOOKUP(ws[[#This Row],[hwycov_id]],readme!D:G,4,FALSE)</f>
        <v>21097.476562</v>
      </c>
      <c r="M605" s="88">
        <f>ws[[#This Row],[flow]]/ws[[#This Row],[count]]-1</f>
        <v>0.43617948005445872</v>
      </c>
      <c r="N605" s="89">
        <f>POWER((ws[[#This Row],[flow]]-ws[[#This Row],[count]]),2)</f>
        <v>41055755.892579339</v>
      </c>
      <c r="O605" s="43">
        <f>VLOOKUP(ws[[#This Row],[hwycov_id]],count[],6,FALSE)</f>
        <v>0</v>
      </c>
      <c r="P605" s="43">
        <v>2</v>
      </c>
      <c r="Q605" s="43" t="str">
        <f>'[2]All Counts'!P605</f>
        <v>PeMS2016</v>
      </c>
      <c r="S605" s="94">
        <v>28085</v>
      </c>
      <c r="T605" s="17"/>
      <c r="U605" s="17"/>
      <c r="V605" s="17"/>
      <c r="W605" s="17"/>
      <c r="X605" s="17">
        <v>13497</v>
      </c>
      <c r="Y605" s="17">
        <v>12899.105469</v>
      </c>
      <c r="Z605" s="17"/>
      <c r="AA605" s="17"/>
      <c r="AB605" s="17">
        <v>13497</v>
      </c>
      <c r="AC605" s="17">
        <v>12899.105469</v>
      </c>
      <c r="AD605"/>
      <c r="AE605"/>
    </row>
    <row r="606" spans="1:31" x14ac:dyDescent="0.25">
      <c r="A606" s="136">
        <f>'[2]All Counts'!C606</f>
        <v>10</v>
      </c>
      <c r="B606" s="136">
        <f>'[2]All Counts'!D606</f>
        <v>2</v>
      </c>
      <c r="C606" s="136">
        <f>'[2]All Counts'!E606</f>
        <v>15065</v>
      </c>
      <c r="D606" s="136">
        <f>'[2]All Counts'!F606</f>
        <v>1</v>
      </c>
      <c r="E606" s="136">
        <f>'[2]All Counts'!G606</f>
        <v>1</v>
      </c>
      <c r="F606" s="136" t="str">
        <f>'[2]All Counts'!H606</f>
        <v>I-805 SB</v>
      </c>
      <c r="G606" s="136">
        <f>'[2]All Counts'!I606</f>
        <v>11</v>
      </c>
      <c r="H606" s="136">
        <f>'[2]All Counts'!J606</f>
        <v>0</v>
      </c>
      <c r="I606" s="136" t="str">
        <f>'[2]All Counts'!K606</f>
        <v>LA JOLLA VILLAGE</v>
      </c>
      <c r="J606" s="136" t="str">
        <f>'[2]All Counts'!L606</f>
        <v>NOBEL</v>
      </c>
      <c r="K606" s="136">
        <f>'[2]All Counts'!O606</f>
        <v>19570</v>
      </c>
      <c r="L606" s="57">
        <f>VLOOKUP(ws[[#This Row],[hwycov_id]],readme!D:G,4,FALSE)</f>
        <v>26757.148438</v>
      </c>
      <c r="M606" s="88">
        <f>ws[[#This Row],[flow]]/ws[[#This Row],[count]]-1</f>
        <v>0.36725336934082775</v>
      </c>
      <c r="N606" s="89">
        <f>POWER((ws[[#This Row],[flow]]-ws[[#This Row],[count]]),2)</f>
        <v>51655102.669845842</v>
      </c>
      <c r="O606" s="43">
        <f>VLOOKUP(ws[[#This Row],[hwycov_id]],count[],6,FALSE)</f>
        <v>0</v>
      </c>
      <c r="P606" s="43">
        <v>231</v>
      </c>
      <c r="Q606" s="43" t="str">
        <f>'[2]All Counts'!P606</f>
        <v>PeMS2016</v>
      </c>
      <c r="S606" s="94">
        <v>28086</v>
      </c>
      <c r="T606" s="17"/>
      <c r="U606" s="17"/>
      <c r="V606" s="17"/>
      <c r="W606" s="17"/>
      <c r="X606" s="17"/>
      <c r="Y606" s="17"/>
      <c r="Z606" s="17">
        <v>12709</v>
      </c>
      <c r="AA606" s="17">
        <v>12505.868164</v>
      </c>
      <c r="AB606" s="17">
        <v>12709</v>
      </c>
      <c r="AC606" s="17">
        <v>12505.868164</v>
      </c>
      <c r="AD606"/>
      <c r="AE606"/>
    </row>
    <row r="607" spans="1:31" x14ac:dyDescent="0.25">
      <c r="A607" s="136">
        <f>'[2]All Counts'!C607</f>
        <v>10</v>
      </c>
      <c r="B607" s="136">
        <f>'[2]All Counts'!D607</f>
        <v>2</v>
      </c>
      <c r="C607" s="136">
        <f>'[2]All Counts'!E607</f>
        <v>24704</v>
      </c>
      <c r="D607" s="136">
        <f>'[2]All Counts'!F607</f>
        <v>1</v>
      </c>
      <c r="E607" s="136">
        <f>'[2]All Counts'!G607</f>
        <v>1</v>
      </c>
      <c r="F607" s="136" t="str">
        <f>'[2]All Counts'!H607</f>
        <v>I-805 SB</v>
      </c>
      <c r="G607" s="136">
        <f>'[2]All Counts'!I607</f>
        <v>13</v>
      </c>
      <c r="H607" s="136">
        <f>'[2]All Counts'!J607</f>
        <v>0</v>
      </c>
      <c r="I607" s="136" t="str">
        <f>'[2]All Counts'!K607</f>
        <v>GOVERNOR</v>
      </c>
      <c r="J607" s="136" t="str">
        <f>'[2]All Counts'!L607</f>
        <v>GOVERNOR</v>
      </c>
      <c r="K607" s="136">
        <f>'[2]All Counts'!O607</f>
        <v>20288</v>
      </c>
      <c r="L607" s="57">
        <f>VLOOKUP(ws[[#This Row],[hwycov_id]],readme!D:G,4,FALSE)</f>
        <v>31391.683593999998</v>
      </c>
      <c r="M607" s="88">
        <f>ws[[#This Row],[flow]]/ws[[#This Row],[count]]-1</f>
        <v>0.54730301626577282</v>
      </c>
      <c r="N607" s="89">
        <f>POWER((ws[[#This Row],[flow]]-ws[[#This Row],[count]]),2)</f>
        <v>123291789.35566472</v>
      </c>
      <c r="O607" s="43">
        <f>VLOOKUP(ws[[#This Row],[hwycov_id]],count[],6,FALSE)</f>
        <v>0</v>
      </c>
      <c r="P607" s="43">
        <v>561</v>
      </c>
      <c r="Q607" s="43" t="str">
        <f>'[2]All Counts'!P607</f>
        <v>PeMS2016</v>
      </c>
      <c r="S607" s="94">
        <v>28106</v>
      </c>
      <c r="T607" s="17"/>
      <c r="U607" s="17"/>
      <c r="V607" s="17"/>
      <c r="W607" s="17"/>
      <c r="X607" s="17"/>
      <c r="Y607" s="17"/>
      <c r="Z607" s="17">
        <v>23330</v>
      </c>
      <c r="AA607" s="17">
        <v>22810.544922000001</v>
      </c>
      <c r="AB607" s="17">
        <v>23330</v>
      </c>
      <c r="AC607" s="17">
        <v>22810.544922000001</v>
      </c>
      <c r="AD607"/>
      <c r="AE607"/>
    </row>
    <row r="608" spans="1:31" x14ac:dyDescent="0.25">
      <c r="A608" s="136">
        <f>'[2]All Counts'!C608</f>
        <v>10</v>
      </c>
      <c r="B608" s="136">
        <f>'[2]All Counts'!D608</f>
        <v>2</v>
      </c>
      <c r="C608" s="136">
        <f>'[2]All Counts'!E608</f>
        <v>770</v>
      </c>
      <c r="D608" s="136">
        <f>'[2]All Counts'!F608</f>
        <v>1</v>
      </c>
      <c r="E608" s="136">
        <f>'[2]All Counts'!G608</f>
        <v>1</v>
      </c>
      <c r="F608" s="136" t="str">
        <f>'[2]All Counts'!H608</f>
        <v>I-805 SB</v>
      </c>
      <c r="G608" s="136">
        <f>'[2]All Counts'!I608</f>
        <v>18</v>
      </c>
      <c r="H608" s="136">
        <f>'[2]All Counts'!J608</f>
        <v>0</v>
      </c>
      <c r="I608" s="136" t="str">
        <f>'[2]All Counts'!K608</f>
        <v>SR-52 WB</v>
      </c>
      <c r="J608" s="136" t="str">
        <f>'[2]All Counts'!L608</f>
        <v>SR-52 EB</v>
      </c>
      <c r="K608" s="136">
        <f>'[2]All Counts'!O608</f>
        <v>19295</v>
      </c>
      <c r="L608" s="57">
        <f>VLOOKUP(ws[[#This Row],[hwycov_id]],readme!D:G,4,FALSE)</f>
        <v>26809.523438</v>
      </c>
      <c r="M608" s="88">
        <f>ws[[#This Row],[flow]]/ws[[#This Row],[count]]-1</f>
        <v>0.38945444094324966</v>
      </c>
      <c r="N608" s="89">
        <f>POWER((ws[[#This Row],[flow]]-ws[[#This Row],[count]]),2)</f>
        <v>56468062.500251345</v>
      </c>
      <c r="O608" s="43">
        <f>VLOOKUP(ws[[#This Row],[hwycov_id]],count[],6,FALSE)</f>
        <v>0</v>
      </c>
      <c r="P608" s="43">
        <v>569</v>
      </c>
      <c r="Q608" s="43" t="str">
        <f>'[2]All Counts'!P608</f>
        <v>PeMS2016</v>
      </c>
      <c r="S608" s="94">
        <v>28118</v>
      </c>
      <c r="T608" s="17"/>
      <c r="U608" s="17"/>
      <c r="V608" s="17"/>
      <c r="W608" s="17"/>
      <c r="X608" s="17">
        <v>17488</v>
      </c>
      <c r="Y608" s="17">
        <v>17249.841797000001</v>
      </c>
      <c r="Z608" s="17"/>
      <c r="AA608" s="17"/>
      <c r="AB608" s="17">
        <v>17488</v>
      </c>
      <c r="AC608" s="17">
        <v>17249.841797000001</v>
      </c>
      <c r="AD608"/>
      <c r="AE608"/>
    </row>
    <row r="609" spans="1:31" x14ac:dyDescent="0.25">
      <c r="A609" s="136">
        <f>'[2]All Counts'!C609</f>
        <v>10</v>
      </c>
      <c r="B609" s="136">
        <f>'[2]All Counts'!D609</f>
        <v>2</v>
      </c>
      <c r="C609" s="136">
        <f>'[2]All Counts'!E609</f>
        <v>771</v>
      </c>
      <c r="D609" s="136">
        <f>'[2]All Counts'!F609</f>
        <v>1</v>
      </c>
      <c r="E609" s="136">
        <f>'[2]All Counts'!G609</f>
        <v>1</v>
      </c>
      <c r="F609" s="136" t="str">
        <f>'[2]All Counts'!H609</f>
        <v>I-805 SB</v>
      </c>
      <c r="G609" s="136">
        <f>'[2]All Counts'!I609</f>
        <v>19</v>
      </c>
      <c r="H609" s="136">
        <f>'[2]All Counts'!J609</f>
        <v>0</v>
      </c>
      <c r="I609" s="136" t="str">
        <f>'[2]All Counts'!K609</f>
        <v>SR-52 EB</v>
      </c>
      <c r="J609" s="136" t="str">
        <f>'[2]All Counts'!L609</f>
        <v>CLAIREMONT MESA</v>
      </c>
      <c r="K609" s="136">
        <f>'[2]All Counts'!O609</f>
        <v>20237</v>
      </c>
      <c r="L609" s="57">
        <f>VLOOKUP(ws[[#This Row],[hwycov_id]],readme!D:G,4,FALSE)</f>
        <v>30883.025390999999</v>
      </c>
      <c r="M609" s="88">
        <f>ws[[#This Row],[flow]]/ws[[#This Row],[count]]-1</f>
        <v>0.5260673712012649</v>
      </c>
      <c r="N609" s="89">
        <f>POWER((ws[[#This Row],[flow]]-ws[[#This Row],[count]]),2)</f>
        <v>113337856.62581669</v>
      </c>
      <c r="O609" s="43">
        <f>VLOOKUP(ws[[#This Row],[hwycov_id]],count[],6,FALSE)</f>
        <v>0</v>
      </c>
      <c r="P609" s="43">
        <v>210</v>
      </c>
      <c r="Q609" s="43" t="str">
        <f>'[2]All Counts'!P609</f>
        <v>PeMS2016</v>
      </c>
      <c r="S609" s="94">
        <v>28120</v>
      </c>
      <c r="T609" s="17"/>
      <c r="U609" s="17"/>
      <c r="V609" s="17"/>
      <c r="W609" s="17"/>
      <c r="X609" s="17">
        <v>19080</v>
      </c>
      <c r="Y609" s="17">
        <v>18654.271484000001</v>
      </c>
      <c r="Z609" s="17"/>
      <c r="AA609" s="17"/>
      <c r="AB609" s="17">
        <v>19080</v>
      </c>
      <c r="AC609" s="17">
        <v>18654.271484000001</v>
      </c>
      <c r="AD609"/>
      <c r="AE609"/>
    </row>
    <row r="610" spans="1:31" x14ac:dyDescent="0.25">
      <c r="A610" s="136">
        <f>'[2]All Counts'!C610</f>
        <v>10</v>
      </c>
      <c r="B610" s="136">
        <f>'[2]All Counts'!D610</f>
        <v>2</v>
      </c>
      <c r="C610" s="136">
        <f>'[2]All Counts'!E610</f>
        <v>772</v>
      </c>
      <c r="D610" s="136">
        <f>'[2]All Counts'!F610</f>
        <v>1</v>
      </c>
      <c r="E610" s="136">
        <f>'[2]All Counts'!G610</f>
        <v>1</v>
      </c>
      <c r="F610" s="136" t="str">
        <f>'[2]All Counts'!H610</f>
        <v>I-805 SB</v>
      </c>
      <c r="G610" s="136">
        <f>'[2]All Counts'!I610</f>
        <v>20</v>
      </c>
      <c r="H610" s="136">
        <f>'[2]All Counts'!J610</f>
        <v>0</v>
      </c>
      <c r="I610" s="136" t="str">
        <f>'[2]All Counts'!K610</f>
        <v>CLAIREMONT MESA</v>
      </c>
      <c r="J610" s="136" t="str">
        <f>'[2]All Counts'!L610</f>
        <v>CLAIREMONT MESA</v>
      </c>
      <c r="K610" s="136">
        <f>'[2]All Counts'!O610</f>
        <v>20101</v>
      </c>
      <c r="L610" s="57">
        <f>VLOOKUP(ws[[#This Row],[hwycov_id]],readme!D:G,4,FALSE)</f>
        <v>26490.0625</v>
      </c>
      <c r="M610" s="88">
        <f>ws[[#This Row],[flow]]/ws[[#This Row],[count]]-1</f>
        <v>0.31784799263718222</v>
      </c>
      <c r="N610" s="89">
        <f>POWER((ws[[#This Row],[flow]]-ws[[#This Row],[count]]),2)</f>
        <v>40820119.62890625</v>
      </c>
      <c r="O610" s="43">
        <f>VLOOKUP(ws[[#This Row],[hwycov_id]],count[],6,FALSE)</f>
        <v>0</v>
      </c>
      <c r="P610" s="43">
        <v>209</v>
      </c>
      <c r="Q610" s="43" t="str">
        <f>'[2]All Counts'!P610</f>
        <v>PeMS2016</v>
      </c>
      <c r="S610" s="94">
        <v>28123</v>
      </c>
      <c r="T610" s="17"/>
      <c r="U610" s="17"/>
      <c r="V610" s="17"/>
      <c r="W610" s="17"/>
      <c r="X610" s="17"/>
      <c r="Y610" s="17"/>
      <c r="Z610" s="17">
        <v>24159</v>
      </c>
      <c r="AA610" s="17">
        <v>25169.216797000001</v>
      </c>
      <c r="AB610" s="17">
        <v>24159</v>
      </c>
      <c r="AC610" s="17">
        <v>25169.216797000001</v>
      </c>
      <c r="AD610"/>
      <c r="AE610"/>
    </row>
    <row r="611" spans="1:31" x14ac:dyDescent="0.25">
      <c r="A611" s="136">
        <f>'[2]All Counts'!C611</f>
        <v>10</v>
      </c>
      <c r="B611" s="136">
        <f>'[2]All Counts'!D611</f>
        <v>2</v>
      </c>
      <c r="C611" s="136">
        <f>'[2]All Counts'!E611</f>
        <v>777</v>
      </c>
      <c r="D611" s="136">
        <f>'[2]All Counts'!F611</f>
        <v>1</v>
      </c>
      <c r="E611" s="136">
        <f>'[2]All Counts'!G611</f>
        <v>1</v>
      </c>
      <c r="F611" s="136" t="str">
        <f>'[2]All Counts'!H611</f>
        <v>I-805 SB</v>
      </c>
      <c r="G611" s="136">
        <f>'[2]All Counts'!I611</f>
        <v>24</v>
      </c>
      <c r="H611" s="136">
        <f>'[2]All Counts'!J611</f>
        <v>0</v>
      </c>
      <c r="I611" s="136" t="str">
        <f>'[2]All Counts'!K611</f>
        <v>BALBOA</v>
      </c>
      <c r="J611" s="136" t="str">
        <f>'[2]All Counts'!L611</f>
        <v>SR-163 SB</v>
      </c>
      <c r="K611" s="136">
        <f>'[2]All Counts'!O611</f>
        <v>23020</v>
      </c>
      <c r="L611" s="57">
        <f>VLOOKUP(ws[[#This Row],[hwycov_id]],readme!D:G,4,FALSE)</f>
        <v>31576.833984000001</v>
      </c>
      <c r="M611" s="88">
        <f>ws[[#This Row],[flow]]/ws[[#This Row],[count]]-1</f>
        <v>0.37171303145091228</v>
      </c>
      <c r="N611" s="89">
        <f>POWER((ws[[#This Row],[flow]]-ws[[#This Row],[count]]),2)</f>
        <v>73219407.829737321</v>
      </c>
      <c r="O611" s="43">
        <f>VLOOKUP(ws[[#This Row],[hwycov_id]],count[],6,FALSE)</f>
        <v>0</v>
      </c>
      <c r="P611" s="43">
        <v>578</v>
      </c>
      <c r="Q611" s="43" t="str">
        <f>'[2]All Counts'!P611</f>
        <v>PeMS2016</v>
      </c>
      <c r="S611" s="94">
        <v>28124</v>
      </c>
      <c r="T611" s="17"/>
      <c r="U611" s="17"/>
      <c r="V611" s="17"/>
      <c r="W611" s="17"/>
      <c r="X611" s="17">
        <v>16883</v>
      </c>
      <c r="Y611" s="17">
        <v>16713.119140999999</v>
      </c>
      <c r="Z611" s="17"/>
      <c r="AA611" s="17"/>
      <c r="AB611" s="17">
        <v>16883</v>
      </c>
      <c r="AC611" s="17">
        <v>16713.119140999999</v>
      </c>
      <c r="AD611"/>
      <c r="AE611"/>
    </row>
    <row r="612" spans="1:31" x14ac:dyDescent="0.25">
      <c r="A612" s="136">
        <f>'[2]All Counts'!C612</f>
        <v>10</v>
      </c>
      <c r="B612" s="136">
        <f>'[2]All Counts'!D612</f>
        <v>2</v>
      </c>
      <c r="C612" s="136">
        <f>'[2]All Counts'!E612</f>
        <v>22716</v>
      </c>
      <c r="D612" s="136">
        <f>'[2]All Counts'!F612</f>
        <v>1</v>
      </c>
      <c r="E612" s="136">
        <f>'[2]All Counts'!G612</f>
        <v>1</v>
      </c>
      <c r="F612" s="136" t="str">
        <f>'[2]All Counts'!H612</f>
        <v>I-805 SB</v>
      </c>
      <c r="G612" s="136">
        <f>'[2]All Counts'!I612</f>
        <v>25</v>
      </c>
      <c r="H612" s="136">
        <f>'[2]All Counts'!J612</f>
        <v>0</v>
      </c>
      <c r="I612" s="136" t="str">
        <f>'[2]All Counts'!K612</f>
        <v>SR-163 SB</v>
      </c>
      <c r="J612" s="136" t="str">
        <f>'[2]All Counts'!L612</f>
        <v>SR-163 SB</v>
      </c>
      <c r="K612" s="136">
        <f>'[2]All Counts'!O612</f>
        <v>17403</v>
      </c>
      <c r="L612" s="57">
        <f>VLOOKUP(ws[[#This Row],[hwycov_id]],readme!D:G,4,FALSE)</f>
        <v>24890.080077999999</v>
      </c>
      <c r="M612" s="88">
        <f>ws[[#This Row],[flow]]/ws[[#This Row],[count]]-1</f>
        <v>0.43021778302591507</v>
      </c>
      <c r="N612" s="89">
        <f>POWER((ws[[#This Row],[flow]]-ws[[#This Row],[count]]),2)</f>
        <v>56056368.094384469</v>
      </c>
      <c r="O612" s="43">
        <f>VLOOKUP(ws[[#This Row],[hwycov_id]],count[],6,FALSE)</f>
        <v>0</v>
      </c>
      <c r="P612" s="43">
        <v>208</v>
      </c>
      <c r="Q612" s="43" t="str">
        <f>'[2]All Counts'!P612</f>
        <v>PeMS2016</v>
      </c>
      <c r="S612" s="94">
        <v>28143</v>
      </c>
      <c r="T612" s="17"/>
      <c r="U612" s="17"/>
      <c r="V612" s="17"/>
      <c r="W612" s="17"/>
      <c r="X612" s="17"/>
      <c r="Y612" s="17"/>
      <c r="Z612" s="17">
        <v>26961</v>
      </c>
      <c r="AA612" s="17">
        <v>25857.818359000001</v>
      </c>
      <c r="AB612" s="17">
        <v>26961</v>
      </c>
      <c r="AC612" s="17">
        <v>25857.818359000001</v>
      </c>
      <c r="AD612"/>
      <c r="AE612"/>
    </row>
    <row r="613" spans="1:31" x14ac:dyDescent="0.25">
      <c r="A613" s="136">
        <f>'[2]All Counts'!C613</f>
        <v>10</v>
      </c>
      <c r="B613" s="136">
        <f>'[2]All Counts'!D613</f>
        <v>2</v>
      </c>
      <c r="C613" s="136">
        <f>'[2]All Counts'!E613</f>
        <v>778</v>
      </c>
      <c r="D613" s="136">
        <f>'[2]All Counts'!F613</f>
        <v>1</v>
      </c>
      <c r="E613" s="136">
        <f>'[2]All Counts'!G613</f>
        <v>1</v>
      </c>
      <c r="F613" s="136" t="str">
        <f>'[2]All Counts'!H613</f>
        <v>I-805 SB</v>
      </c>
      <c r="G613" s="136">
        <f>'[2]All Counts'!I613</f>
        <v>26</v>
      </c>
      <c r="H613" s="136">
        <f>'[2]All Counts'!J613</f>
        <v>0</v>
      </c>
      <c r="I613" s="136" t="str">
        <f>'[2]All Counts'!K613</f>
        <v>SR-163 SB</v>
      </c>
      <c r="J613" s="136" t="str">
        <f>'[2]All Counts'!L613</f>
        <v>SR-163 SB</v>
      </c>
      <c r="K613" s="136">
        <f>'[2]All Counts'!O613</f>
        <v>18107</v>
      </c>
      <c r="L613" s="57">
        <f>VLOOKUP(ws[[#This Row],[hwycov_id]],readme!D:G,4,FALSE)</f>
        <v>24890.080077999999</v>
      </c>
      <c r="M613" s="88">
        <f>ws[[#This Row],[flow]]/ws[[#This Row],[count]]-1</f>
        <v>0.37461092825978892</v>
      </c>
      <c r="N613" s="89">
        <f>POWER((ws[[#This Row],[flow]]-ws[[#This Row],[count]]),2)</f>
        <v>46010175.344560474</v>
      </c>
      <c r="O613" s="43">
        <f>VLOOKUP(ws[[#This Row],[hwycov_id]],count[],6,FALSE)</f>
        <v>0</v>
      </c>
      <c r="P613" s="43">
        <v>580</v>
      </c>
      <c r="Q613" s="43" t="str">
        <f>'[2]All Counts'!P613</f>
        <v>PeMS2016</v>
      </c>
      <c r="S613" s="94">
        <v>28144</v>
      </c>
      <c r="T613" s="17"/>
      <c r="U613" s="17"/>
      <c r="V613" s="17"/>
      <c r="W613" s="17"/>
      <c r="X613" s="17">
        <v>20572</v>
      </c>
      <c r="Y613" s="17">
        <v>17376.572265999999</v>
      </c>
      <c r="Z613" s="17"/>
      <c r="AA613" s="17"/>
      <c r="AB613" s="17">
        <v>20572</v>
      </c>
      <c r="AC613" s="17">
        <v>17376.572265999999</v>
      </c>
      <c r="AD613"/>
      <c r="AE613"/>
    </row>
    <row r="614" spans="1:31" x14ac:dyDescent="0.25">
      <c r="A614" s="136">
        <f>'[2]All Counts'!C614</f>
        <v>10</v>
      </c>
      <c r="B614" s="136">
        <f>'[2]All Counts'!D614</f>
        <v>2</v>
      </c>
      <c r="C614" s="136">
        <f>'[2]All Counts'!E614</f>
        <v>779</v>
      </c>
      <c r="D614" s="136">
        <f>'[2]All Counts'!F614</f>
        <v>1</v>
      </c>
      <c r="E614" s="136">
        <f>'[2]All Counts'!G614</f>
        <v>1</v>
      </c>
      <c r="F614" s="136" t="str">
        <f>'[2]All Counts'!H614</f>
        <v>I-805 SB</v>
      </c>
      <c r="G614" s="136">
        <f>'[2]All Counts'!I614</f>
        <v>27</v>
      </c>
      <c r="H614" s="136">
        <f>'[2]All Counts'!J614</f>
        <v>0</v>
      </c>
      <c r="I614" s="136" t="str">
        <f>'[2]All Counts'!K614</f>
        <v>SR-163 SB</v>
      </c>
      <c r="J614" s="136" t="str">
        <f>'[2]All Counts'!L614</f>
        <v>MESA COLLEGE</v>
      </c>
      <c r="K614" s="136">
        <f>'[2]All Counts'!O614</f>
        <v>18499</v>
      </c>
      <c r="L614" s="57">
        <f>VLOOKUP(ws[[#This Row],[hwycov_id]],readme!D:G,4,FALSE)</f>
        <v>34519.601562000003</v>
      </c>
      <c r="M614" s="88">
        <f>ws[[#This Row],[flow]]/ws[[#This Row],[count]]-1</f>
        <v>0.86602527498783743</v>
      </c>
      <c r="N614" s="89">
        <f>POWER((ws[[#This Row],[flow]]-ws[[#This Row],[count]]),2)</f>
        <v>256659674.40835696</v>
      </c>
      <c r="O614" s="43">
        <f>VLOOKUP(ws[[#This Row],[hwycov_id]],count[],6,FALSE)</f>
        <v>0</v>
      </c>
      <c r="P614" s="43">
        <v>206</v>
      </c>
      <c r="Q614" s="43" t="str">
        <f>'[2]All Counts'!P614</f>
        <v>PeMS2016</v>
      </c>
      <c r="S614" s="94">
        <v>28178</v>
      </c>
      <c r="T614" s="17"/>
      <c r="U614" s="17"/>
      <c r="V614" s="17"/>
      <c r="W614" s="17"/>
      <c r="X614" s="17">
        <v>9963</v>
      </c>
      <c r="Y614" s="17">
        <v>11731.357421999999</v>
      </c>
      <c r="Z614" s="17"/>
      <c r="AA614" s="17"/>
      <c r="AB614" s="17">
        <v>9963</v>
      </c>
      <c r="AC614" s="17">
        <v>11731.357421999999</v>
      </c>
      <c r="AD614"/>
      <c r="AE614"/>
    </row>
    <row r="615" spans="1:31" x14ac:dyDescent="0.25">
      <c r="A615" s="136">
        <f>'[2]All Counts'!C615</f>
        <v>10</v>
      </c>
      <c r="B615" s="136">
        <f>'[2]All Counts'!D615</f>
        <v>2</v>
      </c>
      <c r="C615" s="136">
        <f>'[2]All Counts'!E615</f>
        <v>786</v>
      </c>
      <c r="D615" s="136">
        <f>'[2]All Counts'!F615</f>
        <v>1</v>
      </c>
      <c r="E615" s="136">
        <f>'[2]All Counts'!G615</f>
        <v>1</v>
      </c>
      <c r="F615" s="136" t="str">
        <f>'[2]All Counts'!H615</f>
        <v>I-805 SB</v>
      </c>
      <c r="G615" s="136">
        <f>'[2]All Counts'!I615</f>
        <v>28</v>
      </c>
      <c r="H615" s="136">
        <f>'[2]All Counts'!J615</f>
        <v>0</v>
      </c>
      <c r="I615" s="136" t="str">
        <f>'[2]All Counts'!K615</f>
        <v>MESA COLLEGE</v>
      </c>
      <c r="J615" s="136" t="str">
        <f>'[2]All Counts'!L615</f>
        <v>MURRAY RIDGE</v>
      </c>
      <c r="K615" s="136">
        <f>'[2]All Counts'!O615</f>
        <v>29959</v>
      </c>
      <c r="L615" s="57">
        <f>VLOOKUP(ws[[#This Row],[hwycov_id]],readme!D:G,4,FALSE)</f>
        <v>37906.003905999998</v>
      </c>
      <c r="M615" s="88">
        <f>ws[[#This Row],[flow]]/ws[[#This Row],[count]]-1</f>
        <v>0.26526265582963382</v>
      </c>
      <c r="N615" s="89">
        <f>POWER((ws[[#This Row],[flow]]-ws[[#This Row],[count]]),2)</f>
        <v>63154871.08197923</v>
      </c>
      <c r="O615" s="43">
        <f>VLOOKUP(ws[[#This Row],[hwycov_id]],count[],6,FALSE)</f>
        <v>0</v>
      </c>
      <c r="P615" s="43">
        <v>197</v>
      </c>
      <c r="Q615" s="43" t="str">
        <f>'[2]All Counts'!P615</f>
        <v>PeMS2016</v>
      </c>
      <c r="S615" s="94">
        <v>28179</v>
      </c>
      <c r="T615" s="17"/>
      <c r="U615" s="17"/>
      <c r="V615" s="17"/>
      <c r="W615" s="17"/>
      <c r="X615" s="17"/>
      <c r="Y615" s="17"/>
      <c r="Z615" s="17">
        <v>16047</v>
      </c>
      <c r="AA615" s="17">
        <v>17381.960938</v>
      </c>
      <c r="AB615" s="17">
        <v>16047</v>
      </c>
      <c r="AC615" s="17">
        <v>17381.960938</v>
      </c>
      <c r="AD615"/>
      <c r="AE615"/>
    </row>
    <row r="616" spans="1:31" x14ac:dyDescent="0.25">
      <c r="A616" s="136">
        <f>'[2]All Counts'!C616</f>
        <v>10</v>
      </c>
      <c r="B616" s="136">
        <f>'[2]All Counts'!D616</f>
        <v>2</v>
      </c>
      <c r="C616" s="136">
        <f>'[2]All Counts'!E616</f>
        <v>787</v>
      </c>
      <c r="D616" s="136">
        <f>'[2]All Counts'!F616</f>
        <v>1</v>
      </c>
      <c r="E616" s="136">
        <f>'[2]All Counts'!G616</f>
        <v>1</v>
      </c>
      <c r="F616" s="136" t="str">
        <f>'[2]All Counts'!H616</f>
        <v>I-805 SB</v>
      </c>
      <c r="G616" s="136">
        <f>'[2]All Counts'!I616</f>
        <v>29</v>
      </c>
      <c r="H616" s="136">
        <f>'[2]All Counts'!J616</f>
        <v>0</v>
      </c>
      <c r="I616" s="136" t="str">
        <f>'[2]All Counts'!K616</f>
        <v>MURRAY RIDGE</v>
      </c>
      <c r="J616" s="136" t="str">
        <f>'[2]All Counts'!L616</f>
        <v>MURRAY RIDGE</v>
      </c>
      <c r="K616" s="136">
        <f>'[2]All Counts'!O616</f>
        <v>29030</v>
      </c>
      <c r="L616" s="57">
        <f>VLOOKUP(ws[[#This Row],[hwycov_id]],readme!D:G,4,FALSE)</f>
        <v>36127.359375</v>
      </c>
      <c r="M616" s="88">
        <f>ws[[#This Row],[flow]]/ws[[#This Row],[count]]-1</f>
        <v>0.24448361608680669</v>
      </c>
      <c r="N616" s="89">
        <f>POWER((ws[[#This Row],[flow]]-ws[[#This Row],[count]]),2)</f>
        <v>50372510.097900391</v>
      </c>
      <c r="O616" s="43">
        <f>VLOOKUP(ws[[#This Row],[hwycov_id]],count[],6,FALSE)</f>
        <v>0</v>
      </c>
      <c r="P616" s="43">
        <v>586</v>
      </c>
      <c r="Q616" s="43" t="str">
        <f>'[2]All Counts'!P616</f>
        <v>PeMS2016</v>
      </c>
      <c r="S616" s="94">
        <v>28182</v>
      </c>
      <c r="T616" s="17"/>
      <c r="U616" s="17"/>
      <c r="V616" s="17"/>
      <c r="W616" s="17"/>
      <c r="X616" s="17">
        <v>12056</v>
      </c>
      <c r="Y616" s="17">
        <v>9588.1044920000004</v>
      </c>
      <c r="Z616" s="17"/>
      <c r="AA616" s="17"/>
      <c r="AB616" s="17">
        <v>12056</v>
      </c>
      <c r="AC616" s="17">
        <v>9588.1044920000004</v>
      </c>
      <c r="AD616"/>
      <c r="AE616"/>
    </row>
    <row r="617" spans="1:31" x14ac:dyDescent="0.25">
      <c r="A617" s="136">
        <f>'[2]All Counts'!C617</f>
        <v>10</v>
      </c>
      <c r="B617" s="136">
        <f>'[2]All Counts'!D617</f>
        <v>2</v>
      </c>
      <c r="C617" s="136">
        <f>'[2]All Counts'!E617</f>
        <v>788</v>
      </c>
      <c r="D617" s="136">
        <f>'[2]All Counts'!F617</f>
        <v>1</v>
      </c>
      <c r="E617" s="136">
        <f>'[2]All Counts'!G617</f>
        <v>1</v>
      </c>
      <c r="F617" s="136" t="str">
        <f>'[2]All Counts'!H617</f>
        <v>I-805 SB</v>
      </c>
      <c r="G617" s="136">
        <f>'[2]All Counts'!I617</f>
        <v>30</v>
      </c>
      <c r="H617" s="136">
        <f>'[2]All Counts'!J617</f>
        <v>0</v>
      </c>
      <c r="I617" s="136" t="str">
        <f>'[2]All Counts'!K617</f>
        <v>MURRAY RIDGE</v>
      </c>
      <c r="J617" s="136" t="str">
        <f>'[2]All Counts'!L617</f>
        <v>I-8 WB</v>
      </c>
      <c r="K617" s="136">
        <f>'[2]All Counts'!O617</f>
        <v>30741</v>
      </c>
      <c r="L617" s="57">
        <f>VLOOKUP(ws[[#This Row],[hwycov_id]],readme!D:G,4,FALSE)</f>
        <v>37786.039062000003</v>
      </c>
      <c r="M617" s="88">
        <f>ws[[#This Row],[flow]]/ws[[#This Row],[count]]-1</f>
        <v>0.22917403669366654</v>
      </c>
      <c r="N617" s="89">
        <f>POWER((ws[[#This Row],[flow]]-ws[[#This Row],[count]]),2)</f>
        <v>49632575.385105886</v>
      </c>
      <c r="O617" s="43">
        <f>VLOOKUP(ws[[#This Row],[hwycov_id]],count[],6,FALSE)</f>
        <v>0</v>
      </c>
      <c r="P617" s="43">
        <v>196</v>
      </c>
      <c r="Q617" s="43" t="str">
        <f>'[2]All Counts'!P617</f>
        <v>PeMS2016</v>
      </c>
      <c r="S617" s="94">
        <v>28184</v>
      </c>
      <c r="T617" s="17"/>
      <c r="U617" s="17"/>
      <c r="V617" s="17"/>
      <c r="W617" s="17"/>
      <c r="X617" s="17"/>
      <c r="Y617" s="17"/>
      <c r="Z617" s="17">
        <v>15932</v>
      </c>
      <c r="AA617" s="17">
        <v>14283.464844</v>
      </c>
      <c r="AB617" s="17">
        <v>15932</v>
      </c>
      <c r="AC617" s="17">
        <v>14283.464844</v>
      </c>
      <c r="AD617"/>
      <c r="AE617"/>
    </row>
    <row r="618" spans="1:31" x14ac:dyDescent="0.25">
      <c r="A618" s="136">
        <f>'[2]All Counts'!C618</f>
        <v>10</v>
      </c>
      <c r="B618" s="136">
        <f>'[2]All Counts'!D618</f>
        <v>2</v>
      </c>
      <c r="C618" s="136">
        <f>'[2]All Counts'!E618</f>
        <v>20782</v>
      </c>
      <c r="D618" s="136">
        <f>'[2]All Counts'!F618</f>
        <v>1</v>
      </c>
      <c r="E618" s="136">
        <f>'[2]All Counts'!G618</f>
        <v>1</v>
      </c>
      <c r="F618" s="136" t="str">
        <f>'[2]All Counts'!H618</f>
        <v>I-805 SB</v>
      </c>
      <c r="G618" s="136">
        <f>'[2]All Counts'!I618</f>
        <v>31</v>
      </c>
      <c r="H618" s="136">
        <f>'[2]All Counts'!J618</f>
        <v>0</v>
      </c>
      <c r="I618" s="136" t="str">
        <f>'[2]All Counts'!K618</f>
        <v>I-8 WB</v>
      </c>
      <c r="J618" s="136" t="str">
        <f>'[2]All Counts'!L618</f>
        <v>I-8 EB</v>
      </c>
      <c r="K618" s="136">
        <f>'[2]All Counts'!O618</f>
        <v>21829</v>
      </c>
      <c r="L618" s="57">
        <f>VLOOKUP(ws[[#This Row],[hwycov_id]],readme!D:G,4,FALSE)</f>
        <v>26535.144531000002</v>
      </c>
      <c r="M618" s="88">
        <f>ws[[#This Row],[flow]]/ws[[#This Row],[count]]-1</f>
        <v>0.2155913936048377</v>
      </c>
      <c r="N618" s="89">
        <f>POWER((ws[[#This Row],[flow]]-ws[[#This Row],[count]]),2)</f>
        <v>22147796.346661225</v>
      </c>
      <c r="O618" s="43">
        <f>VLOOKUP(ws[[#This Row],[hwycov_id]],count[],6,FALSE)</f>
        <v>0</v>
      </c>
      <c r="P618" s="43">
        <v>587</v>
      </c>
      <c r="Q618" s="43" t="str">
        <f>'[2]All Counts'!P618</f>
        <v>PeMS2016</v>
      </c>
      <c r="S618" s="94">
        <v>28186</v>
      </c>
      <c r="T618" s="17"/>
      <c r="U618" s="17"/>
      <c r="V618" s="17"/>
      <c r="W618" s="17"/>
      <c r="X618" s="17"/>
      <c r="Y618" s="17"/>
      <c r="Z618" s="17">
        <v>16600</v>
      </c>
      <c r="AA618" s="17">
        <v>15158.868164</v>
      </c>
      <c r="AB618" s="17">
        <v>16600</v>
      </c>
      <c r="AC618" s="17">
        <v>15158.868164</v>
      </c>
      <c r="AD618"/>
      <c r="AE618"/>
    </row>
    <row r="619" spans="1:31" x14ac:dyDescent="0.25">
      <c r="A619" s="136">
        <f>'[2]All Counts'!C619</f>
        <v>10</v>
      </c>
      <c r="B619" s="136">
        <f>'[2]All Counts'!D619</f>
        <v>2</v>
      </c>
      <c r="C619" s="136">
        <f>'[2]All Counts'!E619</f>
        <v>792</v>
      </c>
      <c r="D619" s="136">
        <f>'[2]All Counts'!F619</f>
        <v>1</v>
      </c>
      <c r="E619" s="136">
        <f>'[2]All Counts'!G619</f>
        <v>1</v>
      </c>
      <c r="F619" s="136" t="str">
        <f>'[2]All Counts'!H619</f>
        <v>I-805 SB</v>
      </c>
      <c r="G619" s="136">
        <f>'[2]All Counts'!I619</f>
        <v>33</v>
      </c>
      <c r="H619" s="136">
        <f>'[2]All Counts'!J619</f>
        <v>0</v>
      </c>
      <c r="I619" s="136" t="str">
        <f>'[2]All Counts'!K619</f>
        <v>MADISON</v>
      </c>
      <c r="J619" s="136" t="str">
        <f>'[2]All Counts'!L619</f>
        <v>EL CAJON</v>
      </c>
      <c r="K619" s="136">
        <f>'[2]All Counts'!O619</f>
        <v>29038</v>
      </c>
      <c r="L619" s="57">
        <f>VLOOKUP(ws[[#This Row],[hwycov_id]],readme!D:G,4,FALSE)</f>
        <v>33287.972655999998</v>
      </c>
      <c r="M619" s="88">
        <f>ws[[#This Row],[flow]]/ws[[#This Row],[count]]-1</f>
        <v>0.14635900048212691</v>
      </c>
      <c r="N619" s="89">
        <f>POWER((ws[[#This Row],[flow]]-ws[[#This Row],[count]]),2)</f>
        <v>18062267.576747678</v>
      </c>
      <c r="O619" s="43">
        <f>VLOOKUP(ws[[#This Row],[hwycov_id]],count[],6,FALSE)</f>
        <v>0</v>
      </c>
      <c r="P619" s="43">
        <v>588</v>
      </c>
      <c r="Q619" s="43" t="str">
        <f>'[2]All Counts'!P619</f>
        <v>PeMS2016</v>
      </c>
      <c r="S619" s="94">
        <v>28188</v>
      </c>
      <c r="T619" s="17"/>
      <c r="U619" s="17"/>
      <c r="V619" s="17"/>
      <c r="W619" s="17"/>
      <c r="X619" s="17">
        <v>12716</v>
      </c>
      <c r="Y619" s="17">
        <v>10108.418944999999</v>
      </c>
      <c r="Z619" s="17"/>
      <c r="AA619" s="17"/>
      <c r="AB619" s="17">
        <v>12716</v>
      </c>
      <c r="AC619" s="17">
        <v>10108.418944999999</v>
      </c>
      <c r="AD619"/>
      <c r="AE619"/>
    </row>
    <row r="620" spans="1:31" x14ac:dyDescent="0.25">
      <c r="A620" s="136">
        <f>'[2]All Counts'!C620</f>
        <v>10</v>
      </c>
      <c r="B620" s="136">
        <f>'[2]All Counts'!D620</f>
        <v>2</v>
      </c>
      <c r="C620" s="136">
        <f>'[2]All Counts'!E620</f>
        <v>797</v>
      </c>
      <c r="D620" s="136">
        <f>'[2]All Counts'!F620</f>
        <v>1</v>
      </c>
      <c r="E620" s="136">
        <f>'[2]All Counts'!G620</f>
        <v>1</v>
      </c>
      <c r="F620" s="136" t="str">
        <f>'[2]All Counts'!H620</f>
        <v>I-805 SB</v>
      </c>
      <c r="G620" s="136">
        <f>'[2]All Counts'!I620</f>
        <v>35</v>
      </c>
      <c r="H620" s="136">
        <f>'[2]All Counts'!J620</f>
        <v>0</v>
      </c>
      <c r="I620" s="136" t="str">
        <f>'[2]All Counts'!K620</f>
        <v>EL CAJON</v>
      </c>
      <c r="J620" s="136" t="str">
        <f>'[2]All Counts'!L620</f>
        <v>UNIVERSITY</v>
      </c>
      <c r="K620" s="136">
        <f>'[2]All Counts'!O620</f>
        <v>28272</v>
      </c>
      <c r="L620" s="57">
        <f>VLOOKUP(ws[[#This Row],[hwycov_id]],readme!D:G,4,FALSE)</f>
        <v>33477.5625</v>
      </c>
      <c r="M620" s="88">
        <f>ws[[#This Row],[flow]]/ws[[#This Row],[count]]-1</f>
        <v>0.18412431027164677</v>
      </c>
      <c r="N620" s="89">
        <f>POWER((ws[[#This Row],[flow]]-ws[[#This Row],[count]]),2)</f>
        <v>27097880.94140625</v>
      </c>
      <c r="O620" s="43">
        <f>VLOOKUP(ws[[#This Row],[hwycov_id]],count[],6,FALSE)</f>
        <v>0</v>
      </c>
      <c r="P620" s="43">
        <v>195</v>
      </c>
      <c r="Q620" s="43" t="str">
        <f>'[2]All Counts'!P620</f>
        <v>Caltran</v>
      </c>
      <c r="S620" s="94">
        <v>28193</v>
      </c>
      <c r="T620" s="17"/>
      <c r="U620" s="17"/>
      <c r="V620" s="17"/>
      <c r="W620" s="17"/>
      <c r="X620" s="17">
        <v>8290</v>
      </c>
      <c r="Y620" s="17">
        <v>7187.8037109999996</v>
      </c>
      <c r="Z620" s="17"/>
      <c r="AA620" s="17"/>
      <c r="AB620" s="17">
        <v>8290</v>
      </c>
      <c r="AC620" s="17">
        <v>7187.8037109999996</v>
      </c>
      <c r="AD620"/>
      <c r="AE620"/>
    </row>
    <row r="621" spans="1:31" x14ac:dyDescent="0.25">
      <c r="A621" s="136">
        <f>'[2]All Counts'!C621</f>
        <v>10</v>
      </c>
      <c r="B621" s="136">
        <f>'[2]All Counts'!D621</f>
        <v>2</v>
      </c>
      <c r="C621" s="136">
        <f>'[2]All Counts'!E621</f>
        <v>801</v>
      </c>
      <c r="D621" s="136">
        <f>'[2]All Counts'!F621</f>
        <v>1</v>
      </c>
      <c r="E621" s="136">
        <f>'[2]All Counts'!G621</f>
        <v>1</v>
      </c>
      <c r="F621" s="136" t="str">
        <f>'[2]All Counts'!H621</f>
        <v>I-805 SB</v>
      </c>
      <c r="G621" s="136">
        <f>'[2]All Counts'!I621</f>
        <v>39</v>
      </c>
      <c r="H621" s="136">
        <f>'[2]All Counts'!J621</f>
        <v>0</v>
      </c>
      <c r="I621" s="136" t="str">
        <f>'[2]All Counts'!K621</f>
        <v>SR-15 SB</v>
      </c>
      <c r="J621" s="136" t="str">
        <f>'[2]All Counts'!L621</f>
        <v>SR-15 SB</v>
      </c>
      <c r="K621" s="136">
        <f>'[2]All Counts'!O621</f>
        <v>23425</v>
      </c>
      <c r="L621" s="57">
        <f>VLOOKUP(ws[[#This Row],[hwycov_id]],readme!D:G,4,FALSE)</f>
        <v>26420.966797000001</v>
      </c>
      <c r="M621" s="88">
        <f>ws[[#This Row],[flow]]/ws[[#This Row],[count]]-1</f>
        <v>0.12789612794023486</v>
      </c>
      <c r="N621" s="89">
        <f>POWER((ws[[#This Row],[flow]]-ws[[#This Row],[count]]),2)</f>
        <v>8975817.0487264451</v>
      </c>
      <c r="O621" s="43">
        <f>VLOOKUP(ws[[#This Row],[hwycov_id]],count[],6,FALSE)</f>
        <v>0</v>
      </c>
      <c r="P621" s="43">
        <v>194</v>
      </c>
      <c r="Q621" s="43" t="str">
        <f>'[2]All Counts'!P621</f>
        <v>PeMS2016</v>
      </c>
      <c r="S621" s="94">
        <v>28195</v>
      </c>
      <c r="T621" s="17"/>
      <c r="U621" s="17"/>
      <c r="V621" s="17"/>
      <c r="W621" s="17"/>
      <c r="X621" s="17">
        <v>9769</v>
      </c>
      <c r="Y621" s="17">
        <v>8561.9775389999995</v>
      </c>
      <c r="Z621" s="17"/>
      <c r="AA621" s="17"/>
      <c r="AB621" s="17">
        <v>9769</v>
      </c>
      <c r="AC621" s="17">
        <v>8561.9775389999995</v>
      </c>
      <c r="AD621"/>
      <c r="AE621"/>
    </row>
    <row r="622" spans="1:31" x14ac:dyDescent="0.25">
      <c r="A622" s="136">
        <f>'[2]All Counts'!C622</f>
        <v>10</v>
      </c>
      <c r="B622" s="136">
        <f>'[2]All Counts'!D622</f>
        <v>2</v>
      </c>
      <c r="C622" s="136">
        <f>'[2]All Counts'!E622</f>
        <v>802</v>
      </c>
      <c r="D622" s="136">
        <f>'[2]All Counts'!F622</f>
        <v>1</v>
      </c>
      <c r="E622" s="136">
        <f>'[2]All Counts'!G622</f>
        <v>1</v>
      </c>
      <c r="F622" s="136" t="str">
        <f>'[2]All Counts'!H622</f>
        <v>I-805 SB</v>
      </c>
      <c r="G622" s="136">
        <f>'[2]All Counts'!I622</f>
        <v>40</v>
      </c>
      <c r="H622" s="136">
        <f>'[2]All Counts'!J622</f>
        <v>0</v>
      </c>
      <c r="I622" s="136" t="str">
        <f>'[2]All Counts'!K622</f>
        <v>SR-15 SB</v>
      </c>
      <c r="J622" s="136" t="str">
        <f>'[2]All Counts'!L622</f>
        <v>HOME</v>
      </c>
      <c r="K622" s="136">
        <f>'[2]All Counts'!O622</f>
        <v>32716</v>
      </c>
      <c r="L622" s="57">
        <f>VLOOKUP(ws[[#This Row],[hwycov_id]],readme!D:G,4,FALSE)</f>
        <v>39846.75</v>
      </c>
      <c r="M622" s="88">
        <f>ws[[#This Row],[flow]]/ws[[#This Row],[count]]-1</f>
        <v>0.21795910257977757</v>
      </c>
      <c r="N622" s="89">
        <f>POWER((ws[[#This Row],[flow]]-ws[[#This Row],[count]]),2)</f>
        <v>50847595.5625</v>
      </c>
      <c r="O622" s="43">
        <f>VLOOKUP(ws[[#This Row],[hwycov_id]],count[],6,FALSE)</f>
        <v>0</v>
      </c>
      <c r="P622" s="43">
        <v>191</v>
      </c>
      <c r="Q622" s="43" t="str">
        <f>'[2]All Counts'!P622</f>
        <v>PeMS2016</v>
      </c>
      <c r="S622" s="94">
        <v>28197</v>
      </c>
      <c r="T622" s="17"/>
      <c r="U622" s="17"/>
      <c r="V622" s="17"/>
      <c r="W622" s="17"/>
      <c r="X622" s="17">
        <v>9769</v>
      </c>
      <c r="Y622" s="17">
        <v>8561.9775389999995</v>
      </c>
      <c r="Z622" s="17"/>
      <c r="AA622" s="17"/>
      <c r="AB622" s="17">
        <v>9769</v>
      </c>
      <c r="AC622" s="17">
        <v>8561.9775389999995</v>
      </c>
      <c r="AD622"/>
      <c r="AE622"/>
    </row>
    <row r="623" spans="1:31" x14ac:dyDescent="0.25">
      <c r="A623" s="136">
        <f>'[2]All Counts'!C623</f>
        <v>10</v>
      </c>
      <c r="B623" s="136">
        <f>'[2]All Counts'!D623</f>
        <v>2</v>
      </c>
      <c r="C623" s="136">
        <f>'[2]All Counts'!E623</f>
        <v>804</v>
      </c>
      <c r="D623" s="136">
        <f>'[2]All Counts'!F623</f>
        <v>1</v>
      </c>
      <c r="E623" s="136">
        <f>'[2]All Counts'!G623</f>
        <v>1</v>
      </c>
      <c r="F623" s="136" t="str">
        <f>'[2]All Counts'!H623</f>
        <v>I-805 SB</v>
      </c>
      <c r="G623" s="136">
        <f>'[2]All Counts'!I623</f>
        <v>42</v>
      </c>
      <c r="H623" s="136">
        <f>'[2]All Counts'!J623</f>
        <v>0</v>
      </c>
      <c r="I623" s="136">
        <f>'[2]All Counts'!K623</f>
        <v>0</v>
      </c>
      <c r="J623" s="136" t="str">
        <f>'[2]All Counts'!L623</f>
        <v>SR-94 EB</v>
      </c>
      <c r="K623" s="136">
        <f>'[2]All Counts'!O623</f>
        <v>21789</v>
      </c>
      <c r="L623" s="57">
        <f>VLOOKUP(ws[[#This Row],[hwycov_id]],readme!D:G,4,FALSE)</f>
        <v>28762.302734000001</v>
      </c>
      <c r="M623" s="88">
        <f>ws[[#This Row],[flow]]/ws[[#This Row],[count]]-1</f>
        <v>0.32003775914452248</v>
      </c>
      <c r="N623" s="89">
        <f>POWER((ws[[#This Row],[flow]]-ws[[#This Row],[count]]),2)</f>
        <v>48626951.020011887</v>
      </c>
      <c r="O623" s="43">
        <f>VLOOKUP(ws[[#This Row],[hwycov_id]],count[],6,FALSE)</f>
        <v>0</v>
      </c>
      <c r="P623" s="43">
        <v>190</v>
      </c>
      <c r="Q623" s="43" t="str">
        <f>'[2]All Counts'!P623</f>
        <v>PeMS2016</v>
      </c>
      <c r="S623" s="94">
        <v>28199</v>
      </c>
      <c r="T623" s="17"/>
      <c r="U623" s="17"/>
      <c r="V623" s="17"/>
      <c r="W623" s="17"/>
      <c r="X623" s="17"/>
      <c r="Y623" s="17"/>
      <c r="Z623" s="17">
        <v>13517</v>
      </c>
      <c r="AA623" s="17">
        <v>13287.690430000001</v>
      </c>
      <c r="AB623" s="17">
        <v>13517</v>
      </c>
      <c r="AC623" s="17">
        <v>13287.690430000001</v>
      </c>
      <c r="AD623"/>
      <c r="AE623"/>
    </row>
    <row r="624" spans="1:31" x14ac:dyDescent="0.25">
      <c r="A624" s="136">
        <f>'[2]All Counts'!C624</f>
        <v>10</v>
      </c>
      <c r="B624" s="136">
        <f>'[2]All Counts'!D624</f>
        <v>2</v>
      </c>
      <c r="C624" s="136">
        <f>'[2]All Counts'!E624</f>
        <v>806</v>
      </c>
      <c r="D624" s="136">
        <f>'[2]All Counts'!F624</f>
        <v>1</v>
      </c>
      <c r="E624" s="136">
        <f>'[2]All Counts'!G624</f>
        <v>1</v>
      </c>
      <c r="F624" s="136" t="str">
        <f>'[2]All Counts'!H624</f>
        <v>I-805 SB</v>
      </c>
      <c r="G624" s="136">
        <f>'[2]All Counts'!I624</f>
        <v>45</v>
      </c>
      <c r="H624" s="136">
        <f>'[2]All Counts'!J624</f>
        <v>0</v>
      </c>
      <c r="I624" s="136" t="str">
        <f>'[2]All Counts'!K624</f>
        <v>MARKET</v>
      </c>
      <c r="J624" s="136" t="str">
        <f>'[2]All Counts'!L624</f>
        <v>SR-94 EB</v>
      </c>
      <c r="K624" s="136">
        <f>'[2]All Counts'!O624</f>
        <v>19717</v>
      </c>
      <c r="L624" s="57">
        <f>VLOOKUP(ws[[#This Row],[hwycov_id]],readme!D:G,4,FALSE)</f>
        <v>26552.71875</v>
      </c>
      <c r="M624" s="88">
        <f>ws[[#This Row],[flow]]/ws[[#This Row],[count]]-1</f>
        <v>0.3466916239793072</v>
      </c>
      <c r="N624" s="89">
        <f>POWER((ws[[#This Row],[flow]]-ws[[#This Row],[count]]),2)</f>
        <v>46727050.829101563</v>
      </c>
      <c r="O624" s="43">
        <f>VLOOKUP(ws[[#This Row],[hwycov_id]],count[],6,FALSE)</f>
        <v>0</v>
      </c>
      <c r="P624" s="43">
        <v>590</v>
      </c>
      <c r="Q624" s="43" t="str">
        <f>'[2]All Counts'!P624</f>
        <v>PeMS2016</v>
      </c>
      <c r="S624" s="94">
        <v>28200</v>
      </c>
      <c r="T624" s="17"/>
      <c r="U624" s="17"/>
      <c r="V624" s="17"/>
      <c r="W624" s="17"/>
      <c r="X624" s="17">
        <v>7575</v>
      </c>
      <c r="Y624" s="17">
        <v>6631.8139650000003</v>
      </c>
      <c r="Z624" s="17"/>
      <c r="AA624" s="17"/>
      <c r="AB624" s="17">
        <v>7575</v>
      </c>
      <c r="AC624" s="17">
        <v>6631.8139650000003</v>
      </c>
      <c r="AD624"/>
      <c r="AE624"/>
    </row>
    <row r="625" spans="1:31" x14ac:dyDescent="0.25">
      <c r="A625" s="136">
        <f>'[2]All Counts'!C625</f>
        <v>10</v>
      </c>
      <c r="B625" s="136">
        <f>'[2]All Counts'!D625</f>
        <v>2</v>
      </c>
      <c r="C625" s="136">
        <f>'[2]All Counts'!E625</f>
        <v>807</v>
      </c>
      <c r="D625" s="136">
        <f>'[2]All Counts'!F625</f>
        <v>1</v>
      </c>
      <c r="E625" s="136">
        <f>'[2]All Counts'!G625</f>
        <v>1</v>
      </c>
      <c r="F625" s="136" t="str">
        <f>'[2]All Counts'!H625</f>
        <v>I-805 SB</v>
      </c>
      <c r="G625" s="136">
        <f>'[2]All Counts'!I625</f>
        <v>46</v>
      </c>
      <c r="H625" s="136">
        <f>'[2]All Counts'!J625</f>
        <v>0</v>
      </c>
      <c r="I625" s="136" t="str">
        <f>'[2]All Counts'!K625</f>
        <v>SR-94 EB</v>
      </c>
      <c r="J625" s="136" t="str">
        <f>'[2]All Counts'!L625</f>
        <v>MARKET</v>
      </c>
      <c r="K625" s="136">
        <f>'[2]All Counts'!O625</f>
        <v>32011</v>
      </c>
      <c r="L625" s="57">
        <f>VLOOKUP(ws[[#This Row],[hwycov_id]],readme!D:G,4,FALSE)</f>
        <v>35267.824219000002</v>
      </c>
      <c r="M625" s="88">
        <f>ws[[#This Row],[flow]]/ws[[#This Row],[count]]-1</f>
        <v>0.10174078344943926</v>
      </c>
      <c r="N625" s="89">
        <f>POWER((ws[[#This Row],[flow]]-ws[[#This Row],[count]]),2)</f>
        <v>10606903.993464973</v>
      </c>
      <c r="O625" s="43">
        <f>VLOOKUP(ws[[#This Row],[hwycov_id]],count[],6,FALSE)</f>
        <v>0</v>
      </c>
      <c r="P625" s="43">
        <v>189</v>
      </c>
      <c r="Q625" s="43" t="str">
        <f>'[2]All Counts'!P625</f>
        <v>Caltran</v>
      </c>
      <c r="S625" s="94">
        <v>28203</v>
      </c>
      <c r="T625" s="17"/>
      <c r="U625" s="17"/>
      <c r="V625" s="17"/>
      <c r="W625" s="17"/>
      <c r="X625" s="17"/>
      <c r="Y625" s="17"/>
      <c r="Z625" s="17">
        <v>8493</v>
      </c>
      <c r="AA625" s="17">
        <v>9066.1757809999999</v>
      </c>
      <c r="AB625" s="17">
        <v>8493</v>
      </c>
      <c r="AC625" s="17">
        <v>9066.1757809999999</v>
      </c>
      <c r="AD625"/>
      <c r="AE625"/>
    </row>
    <row r="626" spans="1:31" x14ac:dyDescent="0.25">
      <c r="A626" s="136">
        <f>'[2]All Counts'!C626</f>
        <v>10</v>
      </c>
      <c r="B626" s="136">
        <f>'[2]All Counts'!D626</f>
        <v>2</v>
      </c>
      <c r="C626" s="136">
        <f>'[2]All Counts'!E626</f>
        <v>3222</v>
      </c>
      <c r="D626" s="136">
        <f>'[2]All Counts'!F626</f>
        <v>1</v>
      </c>
      <c r="E626" s="136">
        <f>'[2]All Counts'!G626</f>
        <v>1</v>
      </c>
      <c r="F626" s="136" t="str">
        <f>'[2]All Counts'!H626</f>
        <v>I-805 SB</v>
      </c>
      <c r="G626" s="136">
        <f>'[2]All Counts'!I626</f>
        <v>51</v>
      </c>
      <c r="H626" s="136">
        <f>'[2]All Counts'!J626</f>
        <v>0</v>
      </c>
      <c r="I626" s="136" t="str">
        <f>'[2]All Counts'!K626</f>
        <v>47TH</v>
      </c>
      <c r="J626" s="136" t="str">
        <f>'[2]All Counts'!L626</f>
        <v>47TH</v>
      </c>
      <c r="K626" s="136">
        <f>'[2]All Counts'!O626</f>
        <v>21475</v>
      </c>
      <c r="L626" s="57">
        <f>VLOOKUP(ws[[#This Row],[hwycov_id]],readme!D:G,4,FALSE)</f>
        <v>29358.111327999999</v>
      </c>
      <c r="M626" s="88">
        <f>ws[[#This Row],[flow]]/ws[[#This Row],[count]]-1</f>
        <v>0.36708318174621657</v>
      </c>
      <c r="N626" s="89">
        <f>POWER((ws[[#This Row],[flow]]-ws[[#This Row],[count]]),2)</f>
        <v>62143444.209641911</v>
      </c>
      <c r="O626" s="43">
        <f>VLOOKUP(ws[[#This Row],[hwycov_id]],count[],6,FALSE)</f>
        <v>0</v>
      </c>
      <c r="P626" s="43">
        <v>593</v>
      </c>
      <c r="Q626" s="43" t="str">
        <f>'[2]All Counts'!P626</f>
        <v>PeMS2016</v>
      </c>
      <c r="S626" s="94">
        <v>28206</v>
      </c>
      <c r="T626" s="17"/>
      <c r="U626" s="17"/>
      <c r="V626" s="17"/>
      <c r="W626" s="17"/>
      <c r="X626" s="17">
        <v>7200</v>
      </c>
      <c r="Y626" s="17">
        <v>5587.0834960000002</v>
      </c>
      <c r="Z626" s="17"/>
      <c r="AA626" s="17"/>
      <c r="AB626" s="17">
        <v>7200</v>
      </c>
      <c r="AC626" s="17">
        <v>5587.0834960000002</v>
      </c>
      <c r="AD626"/>
      <c r="AE626"/>
    </row>
    <row r="627" spans="1:31" s="185" customFormat="1" x14ac:dyDescent="0.25">
      <c r="A627" s="136">
        <f>'[2]All Counts'!C627</f>
        <v>10</v>
      </c>
      <c r="B627" s="136">
        <f>'[2]All Counts'!D627</f>
        <v>2</v>
      </c>
      <c r="C627" s="136">
        <f>'[2]All Counts'!E627</f>
        <v>813</v>
      </c>
      <c r="D627" s="136">
        <f>'[2]All Counts'!F627</f>
        <v>1</v>
      </c>
      <c r="E627" s="136">
        <f>'[2]All Counts'!G627</f>
        <v>1</v>
      </c>
      <c r="F627" s="136" t="str">
        <f>'[2]All Counts'!H627</f>
        <v>I-805 SB</v>
      </c>
      <c r="G627" s="136">
        <f>'[2]All Counts'!I627</f>
        <v>53</v>
      </c>
      <c r="H627" s="136">
        <f>'[2]All Counts'!J627</f>
        <v>0</v>
      </c>
      <c r="I627" s="136" t="str">
        <f>'[2]All Counts'!K627</f>
        <v>47TH</v>
      </c>
      <c r="J627" s="136" t="str">
        <f>'[2]All Counts'!L627</f>
        <v>43RD</v>
      </c>
      <c r="K627" s="136">
        <f>'[2]All Counts'!O627</f>
        <v>27118</v>
      </c>
      <c r="L627" s="57">
        <f>VLOOKUP(ws[[#This Row],[hwycov_id]],readme!D:G,4,FALSE)</f>
        <v>30525.400390999999</v>
      </c>
      <c r="M627" s="88">
        <f>ws[[#This Row],[flow]]/ws[[#This Row],[count]]-1</f>
        <v>0.1256508736263735</v>
      </c>
      <c r="N627" s="89">
        <f>POWER((ws[[#This Row],[flow]]-ws[[#This Row],[count]]),2)</f>
        <v>11610377.424586948</v>
      </c>
      <c r="O627" s="43">
        <f>VLOOKUP(ws[[#This Row],[hwycov_id]],count[],6,FALSE)</f>
        <v>0</v>
      </c>
      <c r="P627" s="43">
        <v>186</v>
      </c>
      <c r="Q627" s="43" t="str">
        <f>'[2]All Counts'!P627</f>
        <v>PeMS2016</v>
      </c>
      <c r="S627" s="94">
        <v>28208</v>
      </c>
      <c r="T627" s="17"/>
      <c r="U627" s="17"/>
      <c r="V627" s="17"/>
      <c r="W627" s="17"/>
      <c r="X627" s="17"/>
      <c r="Y627" s="17"/>
      <c r="Z627" s="17">
        <v>10341</v>
      </c>
      <c r="AA627" s="17">
        <v>9256.09375</v>
      </c>
      <c r="AB627" s="17">
        <v>10341</v>
      </c>
      <c r="AC627" s="17">
        <v>9256.09375</v>
      </c>
      <c r="AD627"/>
      <c r="AE627"/>
    </row>
    <row r="628" spans="1:31" s="185" customFormat="1" x14ac:dyDescent="0.25">
      <c r="A628" s="136">
        <f>'[2]All Counts'!C628</f>
        <v>10</v>
      </c>
      <c r="B628" s="136">
        <f>'[2]All Counts'!D628</f>
        <v>2</v>
      </c>
      <c r="C628" s="136">
        <f>'[2]All Counts'!E628</f>
        <v>815</v>
      </c>
      <c r="D628" s="136">
        <f>'[2]All Counts'!F628</f>
        <v>1</v>
      </c>
      <c r="E628" s="136">
        <f>'[2]All Counts'!G628</f>
        <v>1</v>
      </c>
      <c r="F628" s="136" t="str">
        <f>'[2]All Counts'!H628</f>
        <v>I-805 SB</v>
      </c>
      <c r="G628" s="136">
        <f>'[2]All Counts'!I628</f>
        <v>54</v>
      </c>
      <c r="H628" s="136">
        <f>'[2]All Counts'!J628</f>
        <v>0</v>
      </c>
      <c r="I628" s="136" t="str">
        <f>'[2]All Counts'!K628</f>
        <v>43RD</v>
      </c>
      <c r="J628" s="136" t="str">
        <f>'[2]All Counts'!L628</f>
        <v>PLAZA</v>
      </c>
      <c r="K628" s="136">
        <f>'[2]All Counts'!O628</f>
        <v>31203</v>
      </c>
      <c r="L628" s="57">
        <f>VLOOKUP(ws[[#This Row],[hwycov_id]],readme!D:G,4,FALSE)</f>
        <v>32409.998047000001</v>
      </c>
      <c r="M628" s="88">
        <f>ws[[#This Row],[flow]]/ws[[#This Row],[count]]-1</f>
        <v>3.8682115405570094E-2</v>
      </c>
      <c r="N628" s="89">
        <f>POWER((ws[[#This Row],[flow]]-ws[[#This Row],[count]]),2)</f>
        <v>1456844.2854618165</v>
      </c>
      <c r="O628" s="43">
        <f>VLOOKUP(ws[[#This Row],[hwycov_id]],count[],6,FALSE)</f>
        <v>0</v>
      </c>
      <c r="P628" s="43">
        <v>594</v>
      </c>
      <c r="Q628" s="43" t="str">
        <f>'[2]All Counts'!P628</f>
        <v>Caltran</v>
      </c>
      <c r="S628" s="94">
        <v>28211</v>
      </c>
      <c r="T628" s="17"/>
      <c r="U628" s="17"/>
      <c r="V628" s="17"/>
      <c r="W628" s="17"/>
      <c r="X628" s="17">
        <v>4867</v>
      </c>
      <c r="Y628" s="17">
        <v>3941.7145999999998</v>
      </c>
      <c r="Z628" s="17"/>
      <c r="AA628" s="17"/>
      <c r="AB628" s="17">
        <v>4867</v>
      </c>
      <c r="AC628" s="17">
        <v>3941.7145999999998</v>
      </c>
      <c r="AD628"/>
      <c r="AE628"/>
    </row>
    <row r="629" spans="1:31" s="185" customFormat="1" x14ac:dyDescent="0.25">
      <c r="A629" s="136">
        <f>'[2]All Counts'!C629</f>
        <v>10</v>
      </c>
      <c r="B629" s="136">
        <f>'[2]All Counts'!D629</f>
        <v>2</v>
      </c>
      <c r="C629" s="136">
        <f>'[2]All Counts'!E629</f>
        <v>20789</v>
      </c>
      <c r="D629" s="136">
        <f>'[2]All Counts'!F629</f>
        <v>1</v>
      </c>
      <c r="E629" s="136">
        <f>'[2]All Counts'!G629</f>
        <v>1</v>
      </c>
      <c r="F629" s="136" t="str">
        <f>'[2]All Counts'!H629</f>
        <v>I-805 SB</v>
      </c>
      <c r="G629" s="136">
        <f>'[2]All Counts'!I629</f>
        <v>55</v>
      </c>
      <c r="H629" s="136">
        <f>'[2]All Counts'!J629</f>
        <v>0</v>
      </c>
      <c r="I629" s="136" t="str">
        <f>'[2]All Counts'!K629</f>
        <v>PLAZA</v>
      </c>
      <c r="J629" s="136" t="str">
        <f>'[2]All Counts'!L629</f>
        <v>PLAZA</v>
      </c>
      <c r="K629" s="136">
        <f>'[2]All Counts'!O629</f>
        <v>27045</v>
      </c>
      <c r="L629" s="57">
        <f>VLOOKUP(ws[[#This Row],[hwycov_id]],readme!D:G,4,FALSE)</f>
        <v>28318.865234000001</v>
      </c>
      <c r="M629" s="88">
        <f>ws[[#This Row],[flow]]/ws[[#This Row],[count]]-1</f>
        <v>4.7101691033462734E-2</v>
      </c>
      <c r="N629" s="89">
        <f>POWER((ws[[#This Row],[flow]]-ws[[#This Row],[count]]),2)</f>
        <v>1622732.6343938767</v>
      </c>
      <c r="O629" s="43">
        <f>VLOOKUP(ws[[#This Row],[hwycov_id]],count[],6,FALSE)</f>
        <v>0</v>
      </c>
      <c r="P629" s="43">
        <v>185</v>
      </c>
      <c r="Q629" s="43" t="str">
        <f>'[2]All Counts'!P629</f>
        <v>PeMS2016</v>
      </c>
      <c r="S629" s="94">
        <v>28214</v>
      </c>
      <c r="T629" s="17"/>
      <c r="U629" s="17"/>
      <c r="V629" s="17"/>
      <c r="W629" s="17"/>
      <c r="X629" s="17"/>
      <c r="Y629" s="17"/>
      <c r="Z629" s="17">
        <v>7863</v>
      </c>
      <c r="AA629" s="17">
        <v>8833.3300780000009</v>
      </c>
      <c r="AB629" s="17">
        <v>7863</v>
      </c>
      <c r="AC629" s="17">
        <v>8833.3300780000009</v>
      </c>
      <c r="AD629"/>
      <c r="AE629"/>
    </row>
    <row r="630" spans="1:31" s="185" customFormat="1" x14ac:dyDescent="0.25">
      <c r="A630" s="136">
        <f>'[2]All Counts'!C630</f>
        <v>10</v>
      </c>
      <c r="B630" s="136">
        <f>'[2]All Counts'!D630</f>
        <v>2</v>
      </c>
      <c r="C630" s="136">
        <f>'[2]All Counts'!E630</f>
        <v>20790</v>
      </c>
      <c r="D630" s="136">
        <f>'[2]All Counts'!F630</f>
        <v>1</v>
      </c>
      <c r="E630" s="136">
        <f>'[2]All Counts'!G630</f>
        <v>1</v>
      </c>
      <c r="F630" s="136" t="str">
        <f>'[2]All Counts'!H630</f>
        <v>I-805 SB</v>
      </c>
      <c r="G630" s="136">
        <f>'[2]All Counts'!I630</f>
        <v>56</v>
      </c>
      <c r="H630" s="136">
        <f>'[2]All Counts'!J630</f>
        <v>0</v>
      </c>
      <c r="I630" s="136" t="str">
        <f>'[2]All Counts'!K630</f>
        <v>PLAZA</v>
      </c>
      <c r="J630" s="136" t="str">
        <f>'[2]All Counts'!L630</f>
        <v>SR-54 WB</v>
      </c>
      <c r="K630" s="136">
        <f>'[2]All Counts'!O630</f>
        <v>27413</v>
      </c>
      <c r="L630" s="57">
        <f>VLOOKUP(ws[[#This Row],[hwycov_id]],readme!D:G,4,FALSE)</f>
        <v>30701.773438</v>
      </c>
      <c r="M630" s="88">
        <f>ws[[#This Row],[flow]]/ws[[#This Row],[count]]-1</f>
        <v>0.119971306971145</v>
      </c>
      <c r="N630" s="89">
        <f>POWER((ws[[#This Row],[flow]]-ws[[#This Row],[count]]),2)</f>
        <v>10816030.72649434</v>
      </c>
      <c r="O630" s="43">
        <f>VLOOKUP(ws[[#This Row],[hwycov_id]],count[],6,FALSE)</f>
        <v>0</v>
      </c>
      <c r="P630" s="43">
        <v>595</v>
      </c>
      <c r="Q630" s="43" t="str">
        <f>'[2]All Counts'!P630</f>
        <v>PeMS2016</v>
      </c>
      <c r="S630" s="94">
        <v>28215</v>
      </c>
      <c r="T630" s="17"/>
      <c r="U630" s="17"/>
      <c r="V630" s="17"/>
      <c r="W630" s="17"/>
      <c r="X630" s="17">
        <v>5692</v>
      </c>
      <c r="Y630" s="17">
        <v>4961.3872069999998</v>
      </c>
      <c r="Z630" s="17"/>
      <c r="AA630" s="17"/>
      <c r="AB630" s="17">
        <v>5692</v>
      </c>
      <c r="AC630" s="17">
        <v>4961.3872069999998</v>
      </c>
      <c r="AD630"/>
      <c r="AE630"/>
    </row>
    <row r="631" spans="1:31" s="185" customFormat="1" x14ac:dyDescent="0.25">
      <c r="A631" s="136">
        <f>'[2]All Counts'!C631</f>
        <v>10</v>
      </c>
      <c r="B631" s="136">
        <f>'[2]All Counts'!D631</f>
        <v>2</v>
      </c>
      <c r="C631" s="136">
        <f>'[2]All Counts'!E631</f>
        <v>835</v>
      </c>
      <c r="D631" s="136">
        <f>'[2]All Counts'!F631</f>
        <v>1</v>
      </c>
      <c r="E631" s="136">
        <f>'[2]All Counts'!G631</f>
        <v>1</v>
      </c>
      <c r="F631" s="136" t="str">
        <f>'[2]All Counts'!H631</f>
        <v>I-805 SB</v>
      </c>
      <c r="G631" s="136">
        <f>'[2]All Counts'!I631</f>
        <v>62</v>
      </c>
      <c r="H631" s="136">
        <f>'[2]All Counts'!J631</f>
        <v>0</v>
      </c>
      <c r="I631" s="136" t="str">
        <f>'[2]All Counts'!K631</f>
        <v>SR-54 EB</v>
      </c>
      <c r="J631" s="136" t="str">
        <f>'[2]All Counts'!L631</f>
        <v>BONITA</v>
      </c>
      <c r="K631" s="136">
        <f>'[2]All Counts'!O631</f>
        <v>35806</v>
      </c>
      <c r="L631" s="57">
        <f>VLOOKUP(ws[[#This Row],[hwycov_id]],readme!D:G,4,FALSE)</f>
        <v>32834.386719000002</v>
      </c>
      <c r="M631" s="88">
        <f>ws[[#This Row],[flow]]/ws[[#This Row],[count]]-1</f>
        <v>-8.2992048287996334E-2</v>
      </c>
      <c r="N631" s="89">
        <f>POWER((ws[[#This Row],[flow]]-ws[[#This Row],[count]]),2)</f>
        <v>8830485.4918155745</v>
      </c>
      <c r="O631" s="43">
        <f>VLOOKUP(ws[[#This Row],[hwycov_id]],count[],6,FALSE)</f>
        <v>0</v>
      </c>
      <c r="P631" s="43">
        <v>184</v>
      </c>
      <c r="Q631" s="43" t="str">
        <f>'[2]All Counts'!P631</f>
        <v>Caltran</v>
      </c>
      <c r="S631" s="94">
        <v>28216</v>
      </c>
      <c r="T631" s="17"/>
      <c r="U631" s="17"/>
      <c r="V631" s="17"/>
      <c r="W631" s="17"/>
      <c r="X631" s="17"/>
      <c r="Y631" s="17"/>
      <c r="Z631" s="17">
        <v>8246</v>
      </c>
      <c r="AA631" s="17">
        <v>8869.7636719999991</v>
      </c>
      <c r="AB631" s="17">
        <v>8246</v>
      </c>
      <c r="AC631" s="17">
        <v>8869.7636719999991</v>
      </c>
      <c r="AD631"/>
      <c r="AE631"/>
    </row>
    <row r="632" spans="1:31" s="185" customFormat="1" x14ac:dyDescent="0.25">
      <c r="A632" s="136">
        <f>'[2]All Counts'!C632</f>
        <v>10</v>
      </c>
      <c r="B632" s="136">
        <f>'[2]All Counts'!D632</f>
        <v>2</v>
      </c>
      <c r="C632" s="136">
        <f>'[2]All Counts'!E632</f>
        <v>836</v>
      </c>
      <c r="D632" s="136">
        <f>'[2]All Counts'!F632</f>
        <v>1</v>
      </c>
      <c r="E632" s="136">
        <f>'[2]All Counts'!G632</f>
        <v>1</v>
      </c>
      <c r="F632" s="136" t="str">
        <f>'[2]All Counts'!H632</f>
        <v>I-805 SB</v>
      </c>
      <c r="G632" s="136">
        <f>'[2]All Counts'!I632</f>
        <v>63</v>
      </c>
      <c r="H632" s="136">
        <f>'[2]All Counts'!J632</f>
        <v>0</v>
      </c>
      <c r="I632" s="136" t="str">
        <f>'[2]All Counts'!K632</f>
        <v>BONITA</v>
      </c>
      <c r="J632" s="136" t="str">
        <f>'[2]All Counts'!L632</f>
        <v>BONITA</v>
      </c>
      <c r="K632" s="136">
        <f>'[2]All Counts'!O632</f>
        <v>30376</v>
      </c>
      <c r="L632" s="57">
        <f>VLOOKUP(ws[[#This Row],[hwycov_id]],readme!D:G,4,FALSE)</f>
        <v>30056.591797000001</v>
      </c>
      <c r="M632" s="88">
        <f>ws[[#This Row],[flow]]/ws[[#This Row],[count]]-1</f>
        <v>-1.0515150217276781E-2</v>
      </c>
      <c r="N632" s="89">
        <f>POWER((ws[[#This Row],[flow]]-ws[[#This Row],[count]]),2)</f>
        <v>102021.6001436886</v>
      </c>
      <c r="O632" s="43">
        <f>VLOOKUP(ws[[#This Row],[hwycov_id]],count[],6,FALSE)</f>
        <v>0</v>
      </c>
      <c r="P632" s="43">
        <v>596</v>
      </c>
      <c r="Q632" s="43" t="str">
        <f>'[2]All Counts'!P632</f>
        <v>PeMS2016</v>
      </c>
      <c r="S632" s="94">
        <v>28254</v>
      </c>
      <c r="T632" s="17"/>
      <c r="U632" s="17"/>
      <c r="V632" s="17"/>
      <c r="W632" s="17"/>
      <c r="X632" s="17">
        <v>2191</v>
      </c>
      <c r="Y632" s="17">
        <v>1243.587524</v>
      </c>
      <c r="Z632" s="17"/>
      <c r="AA632" s="17"/>
      <c r="AB632" s="17">
        <v>2191</v>
      </c>
      <c r="AC632" s="17">
        <v>1243.587524</v>
      </c>
      <c r="AD632"/>
      <c r="AE632"/>
    </row>
    <row r="633" spans="1:31" s="185" customFormat="1" x14ac:dyDescent="0.25">
      <c r="A633" s="136">
        <f>'[2]All Counts'!C633</f>
        <v>10</v>
      </c>
      <c r="B633" s="136">
        <f>'[2]All Counts'!D633</f>
        <v>2</v>
      </c>
      <c r="C633" s="136">
        <f>'[2]All Counts'!E633</f>
        <v>22157</v>
      </c>
      <c r="D633" s="136">
        <f>'[2]All Counts'!F633</f>
        <v>1</v>
      </c>
      <c r="E633" s="136">
        <f>'[2]All Counts'!G633</f>
        <v>1</v>
      </c>
      <c r="F633" s="136" t="str">
        <f>'[2]All Counts'!H633</f>
        <v>I-805 SB</v>
      </c>
      <c r="G633" s="136">
        <f>'[2]All Counts'!I633</f>
        <v>66</v>
      </c>
      <c r="H633" s="136">
        <f>'[2]All Counts'!J633</f>
        <v>0</v>
      </c>
      <c r="I633" s="136" t="str">
        <f>'[2]All Counts'!K633</f>
        <v>H</v>
      </c>
      <c r="J633" s="136" t="str">
        <f>'[2]All Counts'!L633</f>
        <v>H</v>
      </c>
      <c r="K633" s="136">
        <f>'[2]All Counts'!O633</f>
        <v>26889</v>
      </c>
      <c r="L633" s="57">
        <f>VLOOKUP(ws[[#This Row],[hwycov_id]],readme!D:G,4,FALSE)</f>
        <v>23564.941406000002</v>
      </c>
      <c r="M633" s="88">
        <f>ws[[#This Row],[flow]]/ws[[#This Row],[count]]-1</f>
        <v>-0.12362150299378927</v>
      </c>
      <c r="N633" s="89">
        <f>POWER((ws[[#This Row],[flow]]-ws[[#This Row],[count]]),2)</f>
        <v>11049365.536345245</v>
      </c>
      <c r="O633" s="43">
        <f>VLOOKUP(ws[[#This Row],[hwycov_id]],count[],6,FALSE)</f>
        <v>0</v>
      </c>
      <c r="P633" s="43">
        <v>183</v>
      </c>
      <c r="Q633" s="43" t="str">
        <f>'[2]All Counts'!P633</f>
        <v>PeMS2016</v>
      </c>
      <c r="S633" s="94">
        <v>28269</v>
      </c>
      <c r="T633" s="17"/>
      <c r="U633" s="17"/>
      <c r="V633" s="17"/>
      <c r="W633" s="17"/>
      <c r="X633" s="17"/>
      <c r="Y633" s="17"/>
      <c r="Z633" s="17">
        <v>1915</v>
      </c>
      <c r="AA633" s="17">
        <v>2320.1208499999998</v>
      </c>
      <c r="AB633" s="17">
        <v>1915</v>
      </c>
      <c r="AC633" s="17">
        <v>2320.1208499999998</v>
      </c>
      <c r="AD633"/>
      <c r="AE633"/>
    </row>
    <row r="634" spans="1:31" s="185" customFormat="1" x14ac:dyDescent="0.25">
      <c r="A634" s="136">
        <f>'[2]All Counts'!C634</f>
        <v>10</v>
      </c>
      <c r="B634" s="136">
        <f>'[2]All Counts'!D634</f>
        <v>2</v>
      </c>
      <c r="C634" s="136">
        <f>'[2]All Counts'!E634</f>
        <v>841</v>
      </c>
      <c r="D634" s="136">
        <f>'[2]All Counts'!F634</f>
        <v>1</v>
      </c>
      <c r="E634" s="136">
        <f>'[2]All Counts'!G634</f>
        <v>1</v>
      </c>
      <c r="F634" s="136" t="str">
        <f>'[2]All Counts'!H634</f>
        <v>I-805 SB</v>
      </c>
      <c r="G634" s="136">
        <f>'[2]All Counts'!I634</f>
        <v>69</v>
      </c>
      <c r="H634" s="136">
        <f>'[2]All Counts'!J634</f>
        <v>0</v>
      </c>
      <c r="I634" s="136" t="str">
        <f>'[2]All Counts'!K634</f>
        <v>H</v>
      </c>
      <c r="J634" s="136" t="str">
        <f>'[2]All Counts'!L634</f>
        <v>TELEGRAPH CANYON</v>
      </c>
      <c r="K634" s="136">
        <f>'[2]All Counts'!O634</f>
        <v>26224</v>
      </c>
      <c r="L634" s="57">
        <f>VLOOKUP(ws[[#This Row],[hwycov_id]],readme!D:G,4,FALSE)</f>
        <v>25396.898438</v>
      </c>
      <c r="M634" s="88">
        <f>ws[[#This Row],[flow]]/ws[[#This Row],[count]]-1</f>
        <v>-3.1539870424039051E-2</v>
      </c>
      <c r="N634" s="89">
        <f>POWER((ws[[#This Row],[flow]]-ws[[#This Row],[count]]),2)</f>
        <v>684096.99386283953</v>
      </c>
      <c r="O634" s="43">
        <f>VLOOKUP(ws[[#This Row],[hwycov_id]],count[],6,FALSE)</f>
        <v>0</v>
      </c>
      <c r="P634" s="43">
        <v>598</v>
      </c>
      <c r="Q634" s="43" t="str">
        <f>'[2]All Counts'!P634</f>
        <v>PeMS2016</v>
      </c>
      <c r="S634" s="94">
        <v>28270</v>
      </c>
      <c r="T634" s="17"/>
      <c r="U634" s="17"/>
      <c r="V634" s="17"/>
      <c r="W634" s="17"/>
      <c r="X634" s="17">
        <v>1811</v>
      </c>
      <c r="Y634" s="17">
        <v>847.37536599999999</v>
      </c>
      <c r="Z634" s="17"/>
      <c r="AA634" s="17"/>
      <c r="AB634" s="17">
        <v>1811</v>
      </c>
      <c r="AC634" s="17">
        <v>847.37536599999999</v>
      </c>
      <c r="AD634"/>
      <c r="AE634"/>
    </row>
    <row r="635" spans="1:31" s="185" customFormat="1" x14ac:dyDescent="0.25">
      <c r="A635" s="136">
        <f>'[2]All Counts'!C635</f>
        <v>10</v>
      </c>
      <c r="B635" s="136">
        <f>'[2]All Counts'!D635</f>
        <v>2</v>
      </c>
      <c r="C635" s="136">
        <f>'[2]All Counts'!E635</f>
        <v>10633</v>
      </c>
      <c r="D635" s="136">
        <f>'[2]All Counts'!F635</f>
        <v>1</v>
      </c>
      <c r="E635" s="136">
        <f>'[2]All Counts'!G635</f>
        <v>1</v>
      </c>
      <c r="F635" s="136" t="str">
        <f>'[2]All Counts'!H635</f>
        <v>I-805 SB</v>
      </c>
      <c r="G635" s="136">
        <f>'[2]All Counts'!I635</f>
        <v>70</v>
      </c>
      <c r="H635" s="136">
        <f>'[2]All Counts'!J635</f>
        <v>0</v>
      </c>
      <c r="I635" s="136" t="str">
        <f>'[2]All Counts'!K635</f>
        <v>TELEGRAPH CANYON</v>
      </c>
      <c r="J635" s="136" t="str">
        <f>'[2]All Counts'!L635</f>
        <v>TELEGRAPH CANYON</v>
      </c>
      <c r="K635" s="136">
        <f>'[2]All Counts'!O635</f>
        <v>16943</v>
      </c>
      <c r="L635" s="57">
        <f>VLOOKUP(ws[[#This Row],[hwycov_id]],readme!D:G,4,FALSE)</f>
        <v>14929.143555000001</v>
      </c>
      <c r="M635" s="88">
        <f>ws[[#This Row],[flow]]/ws[[#This Row],[count]]-1</f>
        <v>-0.11886067668063505</v>
      </c>
      <c r="N635" s="89">
        <f>POWER((ws[[#This Row],[flow]]-ws[[#This Row],[count]]),2)</f>
        <v>4055617.7810680359</v>
      </c>
      <c r="O635" s="43">
        <f>VLOOKUP(ws[[#This Row],[hwycov_id]],count[],6,FALSE)</f>
        <v>0</v>
      </c>
      <c r="P635" s="43">
        <v>182</v>
      </c>
      <c r="Q635" s="43" t="str">
        <f>'[2]All Counts'!P635</f>
        <v>PeMS2016</v>
      </c>
      <c r="S635" s="94">
        <v>28276</v>
      </c>
      <c r="T635" s="17"/>
      <c r="U635" s="17"/>
      <c r="V635" s="17"/>
      <c r="W635" s="17"/>
      <c r="X635" s="17"/>
      <c r="Y635" s="17"/>
      <c r="Z635" s="17">
        <v>9591</v>
      </c>
      <c r="AA635" s="17">
        <v>9401.4326170000004</v>
      </c>
      <c r="AB635" s="17">
        <v>9591</v>
      </c>
      <c r="AC635" s="17">
        <v>9401.4326170000004</v>
      </c>
      <c r="AD635"/>
      <c r="AE635"/>
    </row>
    <row r="636" spans="1:31" s="185" customFormat="1" x14ac:dyDescent="0.25">
      <c r="A636" s="136">
        <f>'[2]All Counts'!C636</f>
        <v>10</v>
      </c>
      <c r="B636" s="136">
        <f>'[2]All Counts'!D636</f>
        <v>2</v>
      </c>
      <c r="C636" s="136">
        <f>'[2]All Counts'!E636</f>
        <v>843</v>
      </c>
      <c r="D636" s="136">
        <f>'[2]All Counts'!F636</f>
        <v>1</v>
      </c>
      <c r="E636" s="136">
        <f>'[2]All Counts'!G636</f>
        <v>1</v>
      </c>
      <c r="F636" s="136" t="str">
        <f>'[2]All Counts'!H636</f>
        <v>I-805 SB</v>
      </c>
      <c r="G636" s="136">
        <f>'[2]All Counts'!I636</f>
        <v>72</v>
      </c>
      <c r="H636" s="136">
        <f>'[2]All Counts'!J636</f>
        <v>0</v>
      </c>
      <c r="I636" s="136" t="str">
        <f>'[2]All Counts'!K636</f>
        <v>TELEGRAPH CANYON</v>
      </c>
      <c r="J636" s="136" t="str">
        <f>'[2]All Counts'!L636</f>
        <v>PALOMAR</v>
      </c>
      <c r="K636" s="136">
        <f>'[2]All Counts'!O636</f>
        <v>16630</v>
      </c>
      <c r="L636" s="57">
        <f>VLOOKUP(ws[[#This Row],[hwycov_id]],readme!D:G,4,FALSE)</f>
        <v>16984.791015999999</v>
      </c>
      <c r="M636" s="88">
        <f>ws[[#This Row],[flow]]/ws[[#This Row],[count]]-1</f>
        <v>2.1334396632591623E-2</v>
      </c>
      <c r="N636" s="89">
        <f>POWER((ws[[#This Row],[flow]]-ws[[#This Row],[count]]),2)</f>
        <v>125876.66503431171</v>
      </c>
      <c r="O636" s="43">
        <f>VLOOKUP(ws[[#This Row],[hwycov_id]],count[],6,FALSE)</f>
        <v>0</v>
      </c>
      <c r="P636" s="43">
        <v>676</v>
      </c>
      <c r="Q636" s="43" t="str">
        <f>'[2]All Counts'!P636</f>
        <v>PeMS2016</v>
      </c>
      <c r="S636" s="94">
        <v>28279</v>
      </c>
      <c r="T636" s="17"/>
      <c r="U636" s="17"/>
      <c r="V636" s="17"/>
      <c r="W636" s="17"/>
      <c r="X636" s="17">
        <v>7981</v>
      </c>
      <c r="Y636" s="17">
        <v>8158.8969729999999</v>
      </c>
      <c r="Z636" s="17"/>
      <c r="AA636" s="17"/>
      <c r="AB636" s="17">
        <v>7981</v>
      </c>
      <c r="AC636" s="17">
        <v>8158.8969729999999</v>
      </c>
      <c r="AD636"/>
      <c r="AE636"/>
    </row>
    <row r="637" spans="1:31" s="185" customFormat="1" x14ac:dyDescent="0.25">
      <c r="A637" s="136">
        <f>'[2]All Counts'!C637</f>
        <v>10</v>
      </c>
      <c r="B637" s="136">
        <f>'[2]All Counts'!D637</f>
        <v>2</v>
      </c>
      <c r="C637" s="136">
        <f>'[2]All Counts'!E637</f>
        <v>851</v>
      </c>
      <c r="D637" s="136">
        <f>'[2]All Counts'!F637</f>
        <v>1</v>
      </c>
      <c r="E637" s="136">
        <f>'[2]All Counts'!G637</f>
        <v>1</v>
      </c>
      <c r="F637" s="136" t="str">
        <f>'[2]All Counts'!H637</f>
        <v>I-805 SB</v>
      </c>
      <c r="G637" s="136">
        <f>'[2]All Counts'!I637</f>
        <v>77</v>
      </c>
      <c r="H637" s="136">
        <f>'[2]All Counts'!J637</f>
        <v>0</v>
      </c>
      <c r="I637" s="136" t="str">
        <f>'[2]All Counts'!K637</f>
        <v>OTAY VALLEY</v>
      </c>
      <c r="J637" s="136" t="str">
        <f>'[2]All Counts'!L637</f>
        <v>OTAY VALLEY</v>
      </c>
      <c r="K637" s="136">
        <f>'[2]All Counts'!O637</f>
        <v>17965</v>
      </c>
      <c r="L637" s="57">
        <f>VLOOKUP(ws[[#This Row],[hwycov_id]],readme!D:G,4,FALSE)</f>
        <v>17630.005859000001</v>
      </c>
      <c r="M637" s="88">
        <f>ws[[#This Row],[flow]]/ws[[#This Row],[count]]-1</f>
        <v>-1.8647043751739423E-2</v>
      </c>
      <c r="N637" s="89">
        <f>POWER((ws[[#This Row],[flow]]-ws[[#This Row],[count]]),2)</f>
        <v>112221.07450432736</v>
      </c>
      <c r="O637" s="43">
        <f>VLOOKUP(ws[[#This Row],[hwycov_id]],count[],6,FALSE)</f>
        <v>0</v>
      </c>
      <c r="P637" s="43">
        <v>104</v>
      </c>
      <c r="Q637" s="43" t="str">
        <f>'[2]All Counts'!P637</f>
        <v>PeMS2016</v>
      </c>
      <c r="S637" s="94">
        <v>28280</v>
      </c>
      <c r="T637" s="17"/>
      <c r="U637" s="17"/>
      <c r="V637" s="17"/>
      <c r="W637" s="17"/>
      <c r="X637" s="17">
        <v>10361</v>
      </c>
      <c r="Y637" s="17">
        <v>9955.1308590000008</v>
      </c>
      <c r="Z637" s="17"/>
      <c r="AA637" s="17"/>
      <c r="AB637" s="17">
        <v>10361</v>
      </c>
      <c r="AC637" s="17">
        <v>9955.1308590000008</v>
      </c>
      <c r="AD637"/>
      <c r="AE637"/>
    </row>
    <row r="638" spans="1:31" s="185" customFormat="1" x14ac:dyDescent="0.25">
      <c r="A638" s="136">
        <f>'[2]All Counts'!C638</f>
        <v>10</v>
      </c>
      <c r="B638" s="136">
        <f>'[2]All Counts'!D638</f>
        <v>2</v>
      </c>
      <c r="C638" s="136">
        <f>'[2]All Counts'!E638</f>
        <v>853</v>
      </c>
      <c r="D638" s="136">
        <f>'[2]All Counts'!F638</f>
        <v>1</v>
      </c>
      <c r="E638" s="136">
        <f>'[2]All Counts'!G638</f>
        <v>1</v>
      </c>
      <c r="F638" s="136" t="str">
        <f>'[2]All Counts'!H638</f>
        <v>I-805 SB</v>
      </c>
      <c r="G638" s="136">
        <f>'[2]All Counts'!I638</f>
        <v>79</v>
      </c>
      <c r="H638" s="136">
        <f>'[2]All Counts'!J638</f>
        <v>0</v>
      </c>
      <c r="I638" s="136" t="str">
        <f>'[2]All Counts'!K638</f>
        <v>PALM</v>
      </c>
      <c r="J638" s="136" t="str">
        <f>'[2]All Counts'!L638</f>
        <v>PALM</v>
      </c>
      <c r="K638" s="136">
        <f>'[2]All Counts'!O638</f>
        <v>13679</v>
      </c>
      <c r="L638" s="57">
        <f>VLOOKUP(ws[[#This Row],[hwycov_id]],readme!D:G,4,FALSE)</f>
        <v>15539.817383</v>
      </c>
      <c r="M638" s="88">
        <f>ws[[#This Row],[flow]]/ws[[#This Row],[count]]-1</f>
        <v>0.13603460655018629</v>
      </c>
      <c r="N638" s="89">
        <f>POWER((ws[[#This Row],[flow]]-ws[[#This Row],[count]]),2)</f>
        <v>3462641.3328749673</v>
      </c>
      <c r="O638" s="43">
        <f>VLOOKUP(ws[[#This Row],[hwycov_id]],count[],6,FALSE)</f>
        <v>0</v>
      </c>
      <c r="P638" s="43">
        <v>103</v>
      </c>
      <c r="Q638" s="43" t="str">
        <f>'[2]All Counts'!P638</f>
        <v>PeMS2016</v>
      </c>
      <c r="S638" s="94">
        <v>28281</v>
      </c>
      <c r="T638" s="17"/>
      <c r="U638" s="17"/>
      <c r="V638" s="17"/>
      <c r="W638" s="17"/>
      <c r="X638" s="17"/>
      <c r="Y638" s="17"/>
      <c r="Z638" s="17">
        <v>10970</v>
      </c>
      <c r="AA638" s="17">
        <v>11307.59375</v>
      </c>
      <c r="AB638" s="17">
        <v>10970</v>
      </c>
      <c r="AC638" s="17">
        <v>11307.59375</v>
      </c>
      <c r="AD638"/>
      <c r="AE638"/>
    </row>
    <row r="639" spans="1:31" s="185" customFormat="1" x14ac:dyDescent="0.25">
      <c r="A639" s="136">
        <f>'[2]All Counts'!C639</f>
        <v>10</v>
      </c>
      <c r="B639" s="136">
        <f>'[2]All Counts'!D639</f>
        <v>2</v>
      </c>
      <c r="C639" s="136">
        <f>'[2]All Counts'!E639</f>
        <v>854</v>
      </c>
      <c r="D639" s="136">
        <f>'[2]All Counts'!F639</f>
        <v>1</v>
      </c>
      <c r="E639" s="136">
        <f>'[2]All Counts'!G639</f>
        <v>1</v>
      </c>
      <c r="F639" s="136" t="str">
        <f>'[2]All Counts'!H639</f>
        <v>I-805 SB</v>
      </c>
      <c r="G639" s="136">
        <f>'[2]All Counts'!I639</f>
        <v>80</v>
      </c>
      <c r="H639" s="136">
        <f>'[2]All Counts'!J639</f>
        <v>0</v>
      </c>
      <c r="I639" s="136" t="str">
        <f>'[2]All Counts'!K639</f>
        <v>PALM</v>
      </c>
      <c r="J639" s="136" t="str">
        <f>'[2]All Counts'!L639</f>
        <v>SR-905 WB</v>
      </c>
      <c r="K639" s="136">
        <f>'[2]All Counts'!O639</f>
        <v>14280</v>
      </c>
      <c r="L639" s="57">
        <f>VLOOKUP(ws[[#This Row],[hwycov_id]],readme!D:G,4,FALSE)</f>
        <v>18086.373047000001</v>
      </c>
      <c r="M639" s="88">
        <f>ws[[#This Row],[flow]]/ws[[#This Row],[count]]-1</f>
        <v>0.26655273438375349</v>
      </c>
      <c r="N639" s="89">
        <f>POWER((ws[[#This Row],[flow]]-ws[[#This Row],[count]]),2)</f>
        <v>14488475.772928072</v>
      </c>
      <c r="O639" s="43">
        <f>VLOOKUP(ws[[#This Row],[hwycov_id]],count[],6,FALSE)</f>
        <v>0</v>
      </c>
      <c r="P639" s="43">
        <v>677</v>
      </c>
      <c r="Q639" s="43" t="str">
        <f>'[2]All Counts'!P639</f>
        <v>PeMS2016</v>
      </c>
      <c r="S639" s="94">
        <v>28379</v>
      </c>
      <c r="T639" s="17"/>
      <c r="U639" s="17"/>
      <c r="V639" s="17"/>
      <c r="W639" s="17"/>
      <c r="X639" s="17">
        <v>8745</v>
      </c>
      <c r="Y639" s="17">
        <v>7643.7426759999998</v>
      </c>
      <c r="Z639" s="17"/>
      <c r="AA639" s="17"/>
      <c r="AB639" s="17">
        <v>8745</v>
      </c>
      <c r="AC639" s="17">
        <v>7643.7426759999998</v>
      </c>
      <c r="AD639"/>
      <c r="AE639"/>
    </row>
    <row r="640" spans="1:31" s="185" customFormat="1" x14ac:dyDescent="0.25">
      <c r="A640" s="136">
        <f>'[2]All Counts'!C640</f>
        <v>10</v>
      </c>
      <c r="B640" s="136">
        <f>'[2]All Counts'!D640</f>
        <v>2</v>
      </c>
      <c r="C640" s="136">
        <f>'[2]All Counts'!E640</f>
        <v>25533</v>
      </c>
      <c r="D640" s="136">
        <f>'[2]All Counts'!F640</f>
        <v>1</v>
      </c>
      <c r="E640" s="136">
        <f>'[2]All Counts'!G640</f>
        <v>1</v>
      </c>
      <c r="F640" s="136" t="str">
        <f>'[2]All Counts'!H640</f>
        <v>I-805 SB</v>
      </c>
      <c r="G640" s="136">
        <f>'[2]All Counts'!I640</f>
        <v>81</v>
      </c>
      <c r="H640" s="136">
        <f>'[2]All Counts'!J640</f>
        <v>0</v>
      </c>
      <c r="I640" s="136" t="str">
        <f>'[2]All Counts'!K640</f>
        <v>SR-905 WB</v>
      </c>
      <c r="J640" s="136" t="str">
        <f>'[2]All Counts'!L640</f>
        <v>SR-905 WB</v>
      </c>
      <c r="K640" s="136">
        <f>'[2]All Counts'!O640</f>
        <v>8561</v>
      </c>
      <c r="L640" s="57">
        <f>VLOOKUP(ws[[#This Row],[hwycov_id]],readme!D:G,4,FALSE)</f>
        <v>7642.4145509999998</v>
      </c>
      <c r="M640" s="88">
        <f>ws[[#This Row],[flow]]/ws[[#This Row],[count]]-1</f>
        <v>-0.10729884931666867</v>
      </c>
      <c r="N640" s="89">
        <f>POWER((ws[[#This Row],[flow]]-ws[[#This Row],[count]]),2)</f>
        <v>843799.22711453191</v>
      </c>
      <c r="O640" s="43">
        <f>VLOOKUP(ws[[#This Row],[hwycov_id]],count[],6,FALSE)</f>
        <v>0</v>
      </c>
      <c r="P640" s="43">
        <v>193</v>
      </c>
      <c r="Q640" s="43" t="str">
        <f>'[2]All Counts'!P640</f>
        <v>PeMS2016</v>
      </c>
      <c r="S640" s="94">
        <v>28380</v>
      </c>
      <c r="T640" s="17"/>
      <c r="U640" s="17"/>
      <c r="V640" s="17"/>
      <c r="W640" s="17"/>
      <c r="X640" s="17"/>
      <c r="Y640" s="17"/>
      <c r="Z640" s="17">
        <v>11477</v>
      </c>
      <c r="AA640" s="17">
        <v>12497.608398</v>
      </c>
      <c r="AB640" s="17">
        <v>11477</v>
      </c>
      <c r="AC640" s="17">
        <v>12497.608398</v>
      </c>
      <c r="AD640"/>
      <c r="AE640"/>
    </row>
    <row r="641" spans="1:31" s="185" customFormat="1" x14ac:dyDescent="0.25">
      <c r="A641" s="136">
        <f>'[2]All Counts'!C641</f>
        <v>10</v>
      </c>
      <c r="B641" s="136">
        <f>'[2]All Counts'!D641</f>
        <v>2</v>
      </c>
      <c r="C641" s="136">
        <f>'[2]All Counts'!E641</f>
        <v>857</v>
      </c>
      <c r="D641" s="136">
        <f>'[2]All Counts'!F641</f>
        <v>1</v>
      </c>
      <c r="E641" s="136">
        <f>'[2]All Counts'!G641</f>
        <v>1</v>
      </c>
      <c r="F641" s="136" t="str">
        <f>'[2]All Counts'!H641</f>
        <v>I-805 SB</v>
      </c>
      <c r="G641" s="136">
        <f>'[2]All Counts'!I641</f>
        <v>85</v>
      </c>
      <c r="H641" s="136">
        <f>'[2]All Counts'!J641</f>
        <v>0</v>
      </c>
      <c r="I641" s="136" t="str">
        <f>'[2]All Counts'!K641</f>
        <v>SR-905 EB</v>
      </c>
      <c r="J641" s="136" t="str">
        <f>'[2]All Counts'!L641</f>
        <v>EAST SAN YSIDRO</v>
      </c>
      <c r="K641" s="136">
        <f>'[2]All Counts'!O641</f>
        <v>12542</v>
      </c>
      <c r="L641" s="57">
        <f>VLOOKUP(ws[[#This Row],[hwycov_id]],readme!D:G,4,FALSE)</f>
        <v>8546.2949219999991</v>
      </c>
      <c r="M641" s="88">
        <f>ws[[#This Row],[flow]]/ws[[#This Row],[count]]-1</f>
        <v>-0.31858595742305862</v>
      </c>
      <c r="N641" s="89">
        <f>POWER((ws[[#This Row],[flow]]-ws[[#This Row],[count]]),2)</f>
        <v>15965659.070354993</v>
      </c>
      <c r="O641" s="43">
        <f>VLOOKUP(ws[[#This Row],[hwycov_id]],count[],6,FALSE)</f>
        <v>0</v>
      </c>
      <c r="P641" s="43">
        <v>589</v>
      </c>
      <c r="Q641" s="43" t="str">
        <f>'[2]All Counts'!P641</f>
        <v>PeMS2016</v>
      </c>
      <c r="S641" s="94">
        <v>28390</v>
      </c>
      <c r="T641" s="17"/>
      <c r="U641" s="17"/>
      <c r="V641" s="17"/>
      <c r="W641" s="17"/>
      <c r="X641" s="17"/>
      <c r="Y641" s="17"/>
      <c r="Z641" s="17">
        <v>21198</v>
      </c>
      <c r="AA641" s="17">
        <v>24746.496093999998</v>
      </c>
      <c r="AB641" s="17">
        <v>21198</v>
      </c>
      <c r="AC641" s="17">
        <v>24746.496093999998</v>
      </c>
      <c r="AD641"/>
      <c r="AE641"/>
    </row>
    <row r="642" spans="1:31" s="185" customFormat="1" x14ac:dyDescent="0.25">
      <c r="A642" s="136">
        <f>'[2]All Counts'!C642</f>
        <v>10</v>
      </c>
      <c r="B642" s="136">
        <f>'[2]All Counts'!D642</f>
        <v>2</v>
      </c>
      <c r="C642" s="136">
        <f>'[2]All Counts'!E642</f>
        <v>858</v>
      </c>
      <c r="D642" s="136">
        <f>'[2]All Counts'!F642</f>
        <v>1</v>
      </c>
      <c r="E642" s="136">
        <f>'[2]All Counts'!G642</f>
        <v>1</v>
      </c>
      <c r="F642" s="136" t="str">
        <f>'[2]All Counts'!H642</f>
        <v>I-805 SB</v>
      </c>
      <c r="G642" s="136">
        <f>'[2]All Counts'!I642</f>
        <v>86</v>
      </c>
      <c r="H642" s="136">
        <f>'[2]All Counts'!J642</f>
        <v>0</v>
      </c>
      <c r="I642" s="136" t="str">
        <f>'[2]All Counts'!K642</f>
        <v>EAST SAN YSIDRO</v>
      </c>
      <c r="J642" s="136" t="str">
        <f>'[2]All Counts'!L642</f>
        <v>EAST SAN YSIDRO</v>
      </c>
      <c r="K642" s="136">
        <f>'[2]All Counts'!O642</f>
        <v>6694</v>
      </c>
      <c r="L642" s="57">
        <f>VLOOKUP(ws[[#This Row],[hwycov_id]],readme!D:G,4,FALSE)</f>
        <v>6825.9545900000003</v>
      </c>
      <c r="M642" s="88">
        <f>ws[[#This Row],[flow]]/ws[[#This Row],[count]]-1</f>
        <v>1.9712367792052543E-2</v>
      </c>
      <c r="N642" s="89">
        <f>POWER((ws[[#This Row],[flow]]-ws[[#This Row],[count]]),2)</f>
        <v>17412.013822068173</v>
      </c>
      <c r="O642" s="43">
        <f>VLOOKUP(ws[[#This Row],[hwycov_id]],count[],6,FALSE)</f>
        <v>0</v>
      </c>
      <c r="P642" s="43">
        <v>581</v>
      </c>
      <c r="Q642" s="43" t="str">
        <f>'[2]All Counts'!P642</f>
        <v>PeMS2016</v>
      </c>
      <c r="S642" s="94">
        <v>28396</v>
      </c>
      <c r="T642" s="17"/>
      <c r="U642" s="17"/>
      <c r="V642" s="17"/>
      <c r="W642" s="17"/>
      <c r="X642" s="17">
        <v>11849</v>
      </c>
      <c r="Y642" s="17">
        <v>10692.170898</v>
      </c>
      <c r="Z642" s="17"/>
      <c r="AA642" s="17"/>
      <c r="AB642" s="17">
        <v>11849</v>
      </c>
      <c r="AC642" s="17">
        <v>10692.170898</v>
      </c>
      <c r="AD642"/>
      <c r="AE642"/>
    </row>
    <row r="643" spans="1:31" s="185" customFormat="1" x14ac:dyDescent="0.25">
      <c r="A643" s="136">
        <f>'[2]All Counts'!C643</f>
        <v>12</v>
      </c>
      <c r="B643" s="136">
        <f>'[2]All Counts'!D643</f>
        <v>2</v>
      </c>
      <c r="C643" s="136">
        <f>'[2]All Counts'!E643</f>
        <v>28925</v>
      </c>
      <c r="D643" s="136">
        <f>'[2]All Counts'!F643</f>
        <v>1</v>
      </c>
      <c r="E643" s="136">
        <f>'[2]All Counts'!G643</f>
        <v>1</v>
      </c>
      <c r="F643" s="136" t="str">
        <f>'[2]All Counts'!H643</f>
        <v>SR-125 SB</v>
      </c>
      <c r="G643" s="136">
        <f>'[2]All Counts'!I643</f>
        <v>2</v>
      </c>
      <c r="H643" s="136">
        <f>'[2]All Counts'!J643</f>
        <v>0</v>
      </c>
      <c r="I643" s="136" t="str">
        <f>'[2]All Counts'!K643</f>
        <v>SR-52 WB</v>
      </c>
      <c r="J643" s="136" t="str">
        <f>'[2]All Counts'!L643</f>
        <v>SR-52 EB</v>
      </c>
      <c r="K643" s="136">
        <f>'[2]All Counts'!O643</f>
        <v>5438</v>
      </c>
      <c r="L643" s="57">
        <f>VLOOKUP(ws[[#This Row],[hwycov_id]],readme!D:G,4,FALSE)</f>
        <v>4813.5258789999998</v>
      </c>
      <c r="M643" s="88">
        <f>ws[[#This Row],[flow]]/ws[[#This Row],[count]]-1</f>
        <v>-0.11483525579257081</v>
      </c>
      <c r="N643" s="89">
        <f>POWER((ws[[#This Row],[flow]]-ws[[#This Row],[count]]),2)</f>
        <v>389967.92779872287</v>
      </c>
      <c r="O643" s="43">
        <f>VLOOKUP(ws[[#This Row],[hwycov_id]],count[],6,FALSE)</f>
        <v>0</v>
      </c>
      <c r="P643" s="43">
        <v>204</v>
      </c>
      <c r="Q643" s="43" t="str">
        <f>'[2]All Counts'!P643</f>
        <v>PeMS2016</v>
      </c>
      <c r="S643" s="94">
        <v>28397</v>
      </c>
      <c r="T643" s="17"/>
      <c r="U643" s="17"/>
      <c r="V643" s="17"/>
      <c r="W643" s="17"/>
      <c r="X643" s="17">
        <v>19074</v>
      </c>
      <c r="Y643" s="17">
        <v>16358.929688</v>
      </c>
      <c r="Z643" s="17"/>
      <c r="AA643" s="17"/>
      <c r="AB643" s="17">
        <v>19074</v>
      </c>
      <c r="AC643" s="17">
        <v>16358.929688</v>
      </c>
      <c r="AD643"/>
      <c r="AE643"/>
    </row>
    <row r="644" spans="1:31" s="185" customFormat="1" x14ac:dyDescent="0.25">
      <c r="A644" s="136">
        <f>'[2]All Counts'!C644</f>
        <v>12</v>
      </c>
      <c r="B644" s="136">
        <f>'[2]All Counts'!D644</f>
        <v>2</v>
      </c>
      <c r="C644" s="136">
        <f>'[2]All Counts'!E644</f>
        <v>28950</v>
      </c>
      <c r="D644" s="136">
        <f>'[2]All Counts'!F644</f>
        <v>1</v>
      </c>
      <c r="E644" s="136">
        <f>'[2]All Counts'!G644</f>
        <v>1</v>
      </c>
      <c r="F644" s="136" t="str">
        <f>'[2]All Counts'!H644</f>
        <v>SR-125 SB</v>
      </c>
      <c r="G644" s="136">
        <f>'[2]All Counts'!I644</f>
        <v>3</v>
      </c>
      <c r="H644" s="136">
        <f>'[2]All Counts'!J644</f>
        <v>1</v>
      </c>
      <c r="I644" s="136" t="str">
        <f>'[2]All Counts'!K644</f>
        <v>SR-52 EB</v>
      </c>
      <c r="J644" s="136" t="str">
        <f>'[2]All Counts'!L644</f>
        <v>GROSSMONT COLLEGE DR</v>
      </c>
      <c r="K644" s="136">
        <f>'[2]All Counts'!O644</f>
        <v>10546</v>
      </c>
      <c r="L644" s="57">
        <f>VLOOKUP(ws[[#This Row],[hwycov_id]],readme!D:G,4,FALSE)</f>
        <v>8111.9604490000002</v>
      </c>
      <c r="M644" s="88">
        <f>ws[[#This Row],[flow]]/ws[[#This Row],[count]]-1</f>
        <v>-0.23080215731082876</v>
      </c>
      <c r="N644" s="89">
        <f>POWER((ws[[#This Row],[flow]]-ws[[#This Row],[count]]),2)</f>
        <v>5924548.5358322812</v>
      </c>
      <c r="O644" s="43">
        <f>VLOOKUP(ws[[#This Row],[hwycov_id]],count[],6,FALSE)</f>
        <v>0</v>
      </c>
      <c r="P644" s="43">
        <v>205</v>
      </c>
      <c r="Q644" s="43" t="str">
        <f>'[2]All Counts'!P644</f>
        <v>Caltran</v>
      </c>
      <c r="S644" s="94">
        <v>28417</v>
      </c>
      <c r="T644" s="17"/>
      <c r="U644" s="17"/>
      <c r="V644" s="17">
        <v>16528</v>
      </c>
      <c r="W644" s="17">
        <v>16870.421875</v>
      </c>
      <c r="X644" s="17"/>
      <c r="Y644" s="17"/>
      <c r="Z644" s="17"/>
      <c r="AA644" s="17"/>
      <c r="AB644" s="17">
        <v>16528</v>
      </c>
      <c r="AC644" s="17">
        <v>16870.421875</v>
      </c>
      <c r="AD644"/>
      <c r="AE644"/>
    </row>
    <row r="645" spans="1:31" s="185" customFormat="1" x14ac:dyDescent="0.25">
      <c r="A645" s="136">
        <f>'[2]All Counts'!C645</f>
        <v>12</v>
      </c>
      <c r="B645" s="136">
        <f>'[2]All Counts'!D645</f>
        <v>2</v>
      </c>
      <c r="C645" s="136">
        <f>'[2]All Counts'!E645</f>
        <v>28949</v>
      </c>
      <c r="D645" s="136">
        <f>'[2]All Counts'!F645</f>
        <v>1</v>
      </c>
      <c r="E645" s="136">
        <f>'[2]All Counts'!G645</f>
        <v>1</v>
      </c>
      <c r="F645" s="136" t="str">
        <f>'[2]All Counts'!H645</f>
        <v>SR-125 SB</v>
      </c>
      <c r="G645" s="136">
        <f>'[2]All Counts'!I645</f>
        <v>5</v>
      </c>
      <c r="H645" s="136">
        <f>'[2]All Counts'!J645</f>
        <v>0</v>
      </c>
      <c r="I645" s="136" t="str">
        <f>'[2]All Counts'!K645</f>
        <v>GROSSMONT COLLEGE DR</v>
      </c>
      <c r="J645" s="136" t="str">
        <f>'[2]All Counts'!L645</f>
        <v>NAVAJO</v>
      </c>
      <c r="K645" s="136">
        <f>'[2]All Counts'!O645</f>
        <v>7791</v>
      </c>
      <c r="L645" s="57">
        <f>VLOOKUP(ws[[#This Row],[hwycov_id]],readme!D:G,4,FALSE)</f>
        <v>5423.7290039999998</v>
      </c>
      <c r="M645" s="88">
        <f>ws[[#This Row],[flow]]/ws[[#This Row],[count]]-1</f>
        <v>-0.30384687408548328</v>
      </c>
      <c r="N645" s="89">
        <f>POWER((ws[[#This Row],[flow]]-ws[[#This Row],[count]]),2)</f>
        <v>5603971.9685028326</v>
      </c>
      <c r="O645" s="43">
        <f>VLOOKUP(ws[[#This Row],[hwycov_id]],count[],6,FALSE)</f>
        <v>0</v>
      </c>
      <c r="P645" s="43">
        <v>480</v>
      </c>
      <c r="Q645" s="43" t="str">
        <f>'[2]All Counts'!P645</f>
        <v>PeMS2016</v>
      </c>
      <c r="S645" s="94">
        <v>28455</v>
      </c>
      <c r="T645" s="17"/>
      <c r="U645" s="17"/>
      <c r="V645" s="17"/>
      <c r="W645" s="17"/>
      <c r="X645" s="17"/>
      <c r="Y645" s="17"/>
      <c r="Z645" s="17">
        <v>4715</v>
      </c>
      <c r="AA645" s="17">
        <v>7030.4902339999999</v>
      </c>
      <c r="AB645" s="17">
        <v>4715</v>
      </c>
      <c r="AC645" s="17">
        <v>7030.4902339999999</v>
      </c>
      <c r="AD645"/>
      <c r="AE645"/>
    </row>
    <row r="646" spans="1:31" s="185" customFormat="1" x14ac:dyDescent="0.25">
      <c r="A646" s="136">
        <f>'[2]All Counts'!C646</f>
        <v>12</v>
      </c>
      <c r="B646" s="136">
        <f>'[2]All Counts'!D646</f>
        <v>2</v>
      </c>
      <c r="C646" s="136">
        <f>'[2]All Counts'!E646</f>
        <v>12065</v>
      </c>
      <c r="D646" s="136">
        <f>'[2]All Counts'!F646</f>
        <v>1</v>
      </c>
      <c r="E646" s="136">
        <f>'[2]All Counts'!G646</f>
        <v>1</v>
      </c>
      <c r="F646" s="136" t="str">
        <f>'[2]All Counts'!H646</f>
        <v>SR-125 SB</v>
      </c>
      <c r="G646" s="136">
        <f>'[2]All Counts'!I646</f>
        <v>7</v>
      </c>
      <c r="H646" s="136">
        <f>'[2]All Counts'!J646</f>
        <v>0</v>
      </c>
      <c r="I646" s="136" t="str">
        <f>'[2]All Counts'!K646</f>
        <v>NAVAJO</v>
      </c>
      <c r="J646" s="136" t="str">
        <f>'[2]All Counts'!L646</f>
        <v>NAVAJO</v>
      </c>
      <c r="K646" s="136">
        <f>'[2]All Counts'!O646</f>
        <v>9705</v>
      </c>
      <c r="L646" s="57">
        <f>VLOOKUP(ws[[#This Row],[hwycov_id]],readme!D:G,4,FALSE)</f>
        <v>7908.3774409999996</v>
      </c>
      <c r="M646" s="88">
        <f>ws[[#This Row],[flow]]/ws[[#This Row],[count]]-1</f>
        <v>-0.18512339608449258</v>
      </c>
      <c r="N646" s="89">
        <f>POWER((ws[[#This Row],[flow]]-ws[[#This Row],[count]]),2)</f>
        <v>3227852.61950771</v>
      </c>
      <c r="O646" s="43">
        <f>VLOOKUP(ws[[#This Row],[hwycov_id]],count[],6,FALSE)</f>
        <v>0</v>
      </c>
      <c r="P646" s="43">
        <v>560</v>
      </c>
      <c r="Q646" s="43" t="str">
        <f>'[2]All Counts'!P646</f>
        <v>PeMS2016</v>
      </c>
      <c r="S646" s="94">
        <v>28466</v>
      </c>
      <c r="T646" s="17"/>
      <c r="U646" s="17"/>
      <c r="V646" s="17"/>
      <c r="W646" s="17"/>
      <c r="X646" s="17"/>
      <c r="Y646" s="17"/>
      <c r="Z646" s="17">
        <v>12559</v>
      </c>
      <c r="AA646" s="17">
        <v>10440.34375</v>
      </c>
      <c r="AB646" s="17">
        <v>12559</v>
      </c>
      <c r="AC646" s="17">
        <v>10440.34375</v>
      </c>
      <c r="AD646"/>
      <c r="AE646"/>
    </row>
    <row r="647" spans="1:31" s="185" customFormat="1" x14ac:dyDescent="0.25">
      <c r="A647" s="136">
        <f>'[2]All Counts'!C647</f>
        <v>12</v>
      </c>
      <c r="B647" s="136">
        <f>'[2]All Counts'!D647</f>
        <v>2</v>
      </c>
      <c r="C647" s="136">
        <f>'[2]All Counts'!E647</f>
        <v>28941</v>
      </c>
      <c r="D647" s="136">
        <f>'[2]All Counts'!F647</f>
        <v>1</v>
      </c>
      <c r="E647" s="136">
        <f>'[2]All Counts'!G647</f>
        <v>1</v>
      </c>
      <c r="F647" s="136" t="str">
        <f>'[2]All Counts'!H647</f>
        <v>SR-125 SB</v>
      </c>
      <c r="G647" s="136">
        <f>'[2]All Counts'!I647</f>
        <v>8</v>
      </c>
      <c r="H647" s="136">
        <f>'[2]All Counts'!J647</f>
        <v>0</v>
      </c>
      <c r="I647" s="136" t="str">
        <f>'[2]All Counts'!K647</f>
        <v>NAVAJO</v>
      </c>
      <c r="J647" s="136" t="str">
        <f>'[2]All Counts'!L647</f>
        <v>AMAYA</v>
      </c>
      <c r="K647" s="136">
        <f>'[2]All Counts'!O647</f>
        <v>12576</v>
      </c>
      <c r="L647" s="57">
        <f>VLOOKUP(ws[[#This Row],[hwycov_id]],readme!D:G,4,FALSE)</f>
        <v>10987.779296999999</v>
      </c>
      <c r="M647" s="88">
        <f>ws[[#This Row],[flow]]/ws[[#This Row],[count]]-1</f>
        <v>-0.12628981416984741</v>
      </c>
      <c r="N647" s="89">
        <f>POWER((ws[[#This Row],[flow]]-ws[[#This Row],[count]]),2)</f>
        <v>2522445.0014378168</v>
      </c>
      <c r="O647" s="43">
        <f>VLOOKUP(ws[[#This Row],[hwycov_id]],count[],6,FALSE)</f>
        <v>0</v>
      </c>
      <c r="P647" s="43">
        <v>675</v>
      </c>
      <c r="Q647" s="43" t="str">
        <f>'[2]All Counts'!P647</f>
        <v>PeMS2016</v>
      </c>
      <c r="S647" s="94">
        <v>28486</v>
      </c>
      <c r="T647" s="17">
        <v>11005</v>
      </c>
      <c r="U647" s="17">
        <v>14461.248046999999</v>
      </c>
      <c r="V647" s="17"/>
      <c r="W647" s="17"/>
      <c r="X647" s="17"/>
      <c r="Y647" s="17"/>
      <c r="Z647" s="17"/>
      <c r="AA647" s="17"/>
      <c r="AB647" s="17">
        <v>11005</v>
      </c>
      <c r="AC647" s="17">
        <v>14461.248046999999</v>
      </c>
      <c r="AD647"/>
      <c r="AE647"/>
    </row>
    <row r="648" spans="1:31" s="185" customFormat="1" x14ac:dyDescent="0.25">
      <c r="A648" s="136">
        <f>'[2]All Counts'!C648</f>
        <v>12</v>
      </c>
      <c r="B648" s="136">
        <f>'[2]All Counts'!D648</f>
        <v>2</v>
      </c>
      <c r="C648" s="136">
        <f>'[2]All Counts'!E648</f>
        <v>28938</v>
      </c>
      <c r="D648" s="136">
        <f>'[2]All Counts'!F648</f>
        <v>1</v>
      </c>
      <c r="E648" s="136">
        <f>'[2]All Counts'!G648</f>
        <v>1</v>
      </c>
      <c r="F648" s="136" t="str">
        <f>'[2]All Counts'!H648</f>
        <v>SR-125 SB</v>
      </c>
      <c r="G648" s="136">
        <f>'[2]All Counts'!I648</f>
        <v>9</v>
      </c>
      <c r="H648" s="136">
        <f>'[2]All Counts'!J648</f>
        <v>0</v>
      </c>
      <c r="I648" s="136" t="str">
        <f>'[2]All Counts'!K648</f>
        <v>AMAYA</v>
      </c>
      <c r="J648" s="136" t="str">
        <f>'[2]All Counts'!L648</f>
        <v>AMAYA</v>
      </c>
      <c r="K648" s="136">
        <f>'[2]All Counts'!O648</f>
        <v>11022</v>
      </c>
      <c r="L648" s="57">
        <f>VLOOKUP(ws[[#This Row],[hwycov_id]],readme!D:G,4,FALSE)</f>
        <v>10223.458008</v>
      </c>
      <c r="M648" s="88">
        <f>ws[[#This Row],[flow]]/ws[[#This Row],[count]]-1</f>
        <v>-7.2449826891671232E-2</v>
      </c>
      <c r="N648" s="89">
        <f>POWER((ws[[#This Row],[flow]]-ws[[#This Row],[count]]),2)</f>
        <v>637669.31298732874</v>
      </c>
      <c r="O648" s="43">
        <f>VLOOKUP(ws[[#This Row],[hwycov_id]],count[],6,FALSE)</f>
        <v>0</v>
      </c>
      <c r="P648" s="43">
        <v>324</v>
      </c>
      <c r="Q648" s="43" t="str">
        <f>'[2]All Counts'!P648</f>
        <v>PeMS2016</v>
      </c>
      <c r="S648" s="94">
        <v>28490</v>
      </c>
      <c r="T648" s="17"/>
      <c r="U648" s="17"/>
      <c r="V648" s="17">
        <v>19293</v>
      </c>
      <c r="W648" s="17">
        <v>18208.244140999999</v>
      </c>
      <c r="X648" s="17"/>
      <c r="Y648" s="17"/>
      <c r="Z648" s="17"/>
      <c r="AA648" s="17"/>
      <c r="AB648" s="17">
        <v>19293</v>
      </c>
      <c r="AC648" s="17">
        <v>18208.244140999999</v>
      </c>
      <c r="AD648"/>
      <c r="AE648"/>
    </row>
    <row r="649" spans="1:31" s="185" customFormat="1" x14ac:dyDescent="0.25">
      <c r="A649" s="136">
        <f>'[2]All Counts'!C649</f>
        <v>12</v>
      </c>
      <c r="B649" s="136">
        <f>'[2]All Counts'!D649</f>
        <v>2</v>
      </c>
      <c r="C649" s="136">
        <f>'[2]All Counts'!E649</f>
        <v>9043</v>
      </c>
      <c r="D649" s="136">
        <f>'[2]All Counts'!F649</f>
        <v>1</v>
      </c>
      <c r="E649" s="136">
        <f>'[2]All Counts'!G649</f>
        <v>1</v>
      </c>
      <c r="F649" s="136" t="str">
        <f>'[2]All Counts'!H649</f>
        <v>SR-125 SB</v>
      </c>
      <c r="G649" s="136">
        <f>'[2]All Counts'!I649</f>
        <v>20</v>
      </c>
      <c r="H649" s="136">
        <f>'[2]All Counts'!J649</f>
        <v>0</v>
      </c>
      <c r="I649" s="136" t="str">
        <f>'[2]All Counts'!K649</f>
        <v>SPRING</v>
      </c>
      <c r="J649" s="136" t="str">
        <f>'[2]All Counts'!L649</f>
        <v>SPRING</v>
      </c>
      <c r="K649" s="136">
        <f>'[2]All Counts'!O649</f>
        <v>18998</v>
      </c>
      <c r="L649" s="57">
        <f>VLOOKUP(ws[[#This Row],[hwycov_id]],readme!D:G,4,FALSE)</f>
        <v>21269.275390999999</v>
      </c>
      <c r="M649" s="88">
        <f>ws[[#This Row],[flow]]/ws[[#This Row],[count]]-1</f>
        <v>0.11955339462048631</v>
      </c>
      <c r="N649" s="89">
        <f>POWER((ws[[#This Row],[flow]]-ws[[#This Row],[count]]),2)</f>
        <v>5158691.9017621996</v>
      </c>
      <c r="O649" s="43">
        <f>VLOOKUP(ws[[#This Row],[hwycov_id]],count[],6,FALSE)</f>
        <v>0</v>
      </c>
      <c r="P649" s="43">
        <v>490</v>
      </c>
      <c r="Q649" s="43" t="str">
        <f>'[2]All Counts'!P649</f>
        <v>PeMS2016</v>
      </c>
      <c r="S649" s="94">
        <v>28493</v>
      </c>
      <c r="T649" s="17"/>
      <c r="U649" s="17"/>
      <c r="V649" s="17">
        <v>18019</v>
      </c>
      <c r="W649" s="17">
        <v>17498.544922000001</v>
      </c>
      <c r="X649" s="17"/>
      <c r="Y649" s="17"/>
      <c r="Z649" s="17"/>
      <c r="AA649" s="17"/>
      <c r="AB649" s="17">
        <v>18019</v>
      </c>
      <c r="AC649" s="17">
        <v>17498.544922000001</v>
      </c>
      <c r="AD649"/>
      <c r="AE649"/>
    </row>
    <row r="650" spans="1:31" s="185" customFormat="1" x14ac:dyDescent="0.25">
      <c r="A650" s="136">
        <f>'[2]All Counts'!C650</f>
        <v>12</v>
      </c>
      <c r="B650" s="136">
        <f>'[2]All Counts'!D650</f>
        <v>2</v>
      </c>
      <c r="C650" s="136">
        <f>'[2]All Counts'!E650</f>
        <v>10177</v>
      </c>
      <c r="D650" s="136">
        <f>'[2]All Counts'!F650</f>
        <v>1</v>
      </c>
      <c r="E650" s="136">
        <f>'[2]All Counts'!G650</f>
        <v>1</v>
      </c>
      <c r="F650" s="136" t="str">
        <f>'[2]All Counts'!H650</f>
        <v>SR-125 SB</v>
      </c>
      <c r="G650" s="136">
        <f>'[2]All Counts'!I650</f>
        <v>21</v>
      </c>
      <c r="H650" s="136">
        <f>'[2]All Counts'!J650</f>
        <v>0</v>
      </c>
      <c r="I650" s="136" t="str">
        <f>'[2]All Counts'!K650</f>
        <v>SPRING</v>
      </c>
      <c r="J650" s="136" t="str">
        <f>'[2]All Counts'!L650</f>
        <v>SR-94 WB</v>
      </c>
      <c r="K650" s="136">
        <f>'[2]All Counts'!O650</f>
        <v>20215</v>
      </c>
      <c r="L650" s="57">
        <f>VLOOKUP(ws[[#This Row],[hwycov_id]],readme!D:G,4,FALSE)</f>
        <v>21269.275390999999</v>
      </c>
      <c r="M650" s="88">
        <f>ws[[#This Row],[flow]]/ws[[#This Row],[count]]-1</f>
        <v>5.2153123472668872E-2</v>
      </c>
      <c r="N650" s="89">
        <f>POWER((ws[[#This Row],[flow]]-ws[[#This Row],[count]]),2)</f>
        <v>1111496.6000682013</v>
      </c>
      <c r="O650" s="43">
        <f>VLOOKUP(ws[[#This Row],[hwycov_id]],count[],6,FALSE)</f>
        <v>0</v>
      </c>
      <c r="P650" s="43">
        <v>491</v>
      </c>
      <c r="Q650" s="43" t="str">
        <f>'[2]All Counts'!P650</f>
        <v>PeMS2016</v>
      </c>
      <c r="S650" s="94">
        <v>28495</v>
      </c>
      <c r="T650" s="17">
        <v>15508</v>
      </c>
      <c r="U650" s="17">
        <v>20113.472656000002</v>
      </c>
      <c r="V650" s="17"/>
      <c r="W650" s="17"/>
      <c r="X650" s="17"/>
      <c r="Y650" s="17"/>
      <c r="Z650" s="17"/>
      <c r="AA650" s="17"/>
      <c r="AB650" s="17">
        <v>15508</v>
      </c>
      <c r="AC650" s="17">
        <v>20113.472656000002</v>
      </c>
      <c r="AD650"/>
      <c r="AE650"/>
    </row>
    <row r="651" spans="1:31" s="185" customFormat="1" x14ac:dyDescent="0.25">
      <c r="A651" s="136">
        <f>'[2]All Counts'!C651</f>
        <v>12</v>
      </c>
      <c r="B651" s="136">
        <f>'[2]All Counts'!D651</f>
        <v>2</v>
      </c>
      <c r="C651" s="136">
        <f>'[2]All Counts'!E651</f>
        <v>10791</v>
      </c>
      <c r="D651" s="136">
        <f>'[2]All Counts'!F651</f>
        <v>1</v>
      </c>
      <c r="E651" s="136">
        <f>'[2]All Counts'!G651</f>
        <v>1</v>
      </c>
      <c r="F651" s="136" t="str">
        <f>'[2]All Counts'!H651</f>
        <v>SR-125 SB</v>
      </c>
      <c r="G651" s="136">
        <f>'[2]All Counts'!I651</f>
        <v>3</v>
      </c>
      <c r="H651" s="136">
        <f>'[2]All Counts'!J651</f>
        <v>1</v>
      </c>
      <c r="I651" s="136" t="str">
        <f>'[2]All Counts'!K651</f>
        <v>TROY</v>
      </c>
      <c r="J651" s="136" t="str">
        <f>'[2]All Counts'!L651</f>
        <v>JAMACHA ROAD</v>
      </c>
      <c r="K651" s="136">
        <f>'[2]All Counts'!O651</f>
        <v>20233</v>
      </c>
      <c r="L651" s="57">
        <f>VLOOKUP(ws[[#This Row],[hwycov_id]],readme!D:G,4,FALSE)</f>
        <v>17562.330077999999</v>
      </c>
      <c r="M651" s="88">
        <f>ws[[#This Row],[flow]]/ws[[#This Row],[count]]-1</f>
        <v>-0.13199574566302574</v>
      </c>
      <c r="N651" s="89">
        <f>POWER((ws[[#This Row],[flow]]-ws[[#This Row],[count]]),2)</f>
        <v>7132477.8322754912</v>
      </c>
      <c r="O651" s="43">
        <f>VLOOKUP(ws[[#This Row],[hwycov_id]],count[],6,FALSE)</f>
        <v>0</v>
      </c>
      <c r="P651" s="43">
        <v>321</v>
      </c>
      <c r="Q651" s="43" t="str">
        <f>'[2]All Counts'!P651</f>
        <v>PeMS2016</v>
      </c>
      <c r="S651" s="94">
        <v>28511</v>
      </c>
      <c r="T651" s="17">
        <v>16392</v>
      </c>
      <c r="U651" s="17">
        <v>20515.982422000001</v>
      </c>
      <c r="V651" s="17"/>
      <c r="W651" s="17"/>
      <c r="X651" s="17"/>
      <c r="Y651" s="17"/>
      <c r="Z651" s="17"/>
      <c r="AA651" s="17"/>
      <c r="AB651" s="17">
        <v>16392</v>
      </c>
      <c r="AC651" s="17">
        <v>20515.982422000001</v>
      </c>
      <c r="AD651"/>
      <c r="AE651"/>
    </row>
    <row r="652" spans="1:31" s="185" customFormat="1" x14ac:dyDescent="0.25">
      <c r="A652" s="136">
        <f>'[2]All Counts'!C652</f>
        <v>12</v>
      </c>
      <c r="B652" s="136">
        <f>'[2]All Counts'!D652</f>
        <v>2</v>
      </c>
      <c r="C652" s="136">
        <f>'[2]All Counts'!E652</f>
        <v>7258</v>
      </c>
      <c r="D652" s="136">
        <f>'[2]All Counts'!F652</f>
        <v>1</v>
      </c>
      <c r="E652" s="136">
        <f>'[2]All Counts'!G652</f>
        <v>1</v>
      </c>
      <c r="F652" s="136" t="str">
        <f>'[2]All Counts'!H652</f>
        <v>SR-125 SB</v>
      </c>
      <c r="G652" s="136">
        <f>'[2]All Counts'!I652</f>
        <v>5</v>
      </c>
      <c r="H652" s="136">
        <f>'[2]All Counts'!J652</f>
        <v>0</v>
      </c>
      <c r="I652" s="136" t="str">
        <f>'[2]All Counts'!K652</f>
        <v>JAMACHA ROAD</v>
      </c>
      <c r="J652" s="136" t="str">
        <f>'[2]All Counts'!L652</f>
        <v>SR  54</v>
      </c>
      <c r="K652" s="136">
        <f>'[2]All Counts'!O652</f>
        <v>14935</v>
      </c>
      <c r="L652" s="57">
        <f>VLOOKUP(ws[[#This Row],[hwycov_id]],readme!D:G,4,FALSE)</f>
        <v>15151.928711</v>
      </c>
      <c r="M652" s="88">
        <f>ws[[#This Row],[flow]]/ws[[#This Row],[count]]-1</f>
        <v>1.4524855105457091E-2</v>
      </c>
      <c r="N652" s="89">
        <f>POWER((ws[[#This Row],[flow]]-ws[[#This Row],[count]]),2)</f>
        <v>47058.065656121726</v>
      </c>
      <c r="O652" s="43">
        <f>VLOOKUP(ws[[#This Row],[hwycov_id]],count[],6,FALSE)</f>
        <v>0</v>
      </c>
      <c r="P652" s="43">
        <v>322</v>
      </c>
      <c r="Q652" s="43" t="str">
        <f>'[2]All Counts'!P652</f>
        <v>PeMS2016</v>
      </c>
      <c r="S652" s="94">
        <v>28512</v>
      </c>
      <c r="T652" s="17">
        <v>13004</v>
      </c>
      <c r="U652" s="17">
        <v>17549.816406000002</v>
      </c>
      <c r="V652" s="17"/>
      <c r="W652" s="17"/>
      <c r="X652" s="17"/>
      <c r="Y652" s="17"/>
      <c r="Z652" s="17"/>
      <c r="AA652" s="17"/>
      <c r="AB652" s="17">
        <v>13004</v>
      </c>
      <c r="AC652" s="17">
        <v>17549.816406000002</v>
      </c>
      <c r="AD652"/>
      <c r="AE652"/>
    </row>
    <row r="653" spans="1:31" x14ac:dyDescent="0.25">
      <c r="A653" s="136">
        <f>'[2]All Counts'!C653</f>
        <v>12</v>
      </c>
      <c r="B653" s="136">
        <f>'[2]All Counts'!D653</f>
        <v>2</v>
      </c>
      <c r="C653" s="136">
        <f>'[2]All Counts'!E653</f>
        <v>7259</v>
      </c>
      <c r="D653" s="136">
        <f>'[2]All Counts'!F653</f>
        <v>1</v>
      </c>
      <c r="E653" s="136">
        <f>'[2]All Counts'!G653</f>
        <v>1</v>
      </c>
      <c r="F653" s="136" t="str">
        <f>'[2]All Counts'!H653</f>
        <v>SR-125 SB</v>
      </c>
      <c r="G653" s="136">
        <f>'[2]All Counts'!I653</f>
        <v>6</v>
      </c>
      <c r="H653" s="136">
        <f>'[2]All Counts'!J653</f>
        <v>0</v>
      </c>
      <c r="I653" s="136" t="str">
        <f>'[2]All Counts'!K653</f>
        <v>SR  54</v>
      </c>
      <c r="J653" s="136" t="str">
        <f>'[2]All Counts'!L653</f>
        <v>PARADISE VALLEY</v>
      </c>
      <c r="K653" s="136">
        <f>'[2]All Counts'!O653</f>
        <v>14060</v>
      </c>
      <c r="L653" s="57">
        <f>VLOOKUP(ws[[#This Row],[hwycov_id]],readme!D:G,4,FALSE)</f>
        <v>12828.628906</v>
      </c>
      <c r="M653" s="88">
        <f>ws[[#This Row],[flow]]/ws[[#This Row],[count]]-1</f>
        <v>-8.7579736415362763E-2</v>
      </c>
      <c r="N653" s="89">
        <f>POWER((ws[[#This Row],[flow]]-ws[[#This Row],[count]]),2)</f>
        <v>1516274.771138757</v>
      </c>
      <c r="O653" s="43">
        <f>VLOOKUP(ws[[#This Row],[hwycov_id]],count[],6,FALSE)</f>
        <v>0</v>
      </c>
      <c r="P653" s="43">
        <v>323</v>
      </c>
      <c r="Q653" s="43" t="str">
        <f>'[2]All Counts'!P653</f>
        <v>PeMS2016</v>
      </c>
      <c r="S653" s="94">
        <v>28515</v>
      </c>
      <c r="T653" s="17"/>
      <c r="U653" s="17"/>
      <c r="V653" s="17">
        <v>15983</v>
      </c>
      <c r="W653" s="17">
        <v>15723.182617</v>
      </c>
      <c r="X653" s="17"/>
      <c r="Y653" s="17"/>
      <c r="Z653" s="17"/>
      <c r="AA653" s="17"/>
      <c r="AB653" s="17">
        <v>15983</v>
      </c>
      <c r="AC653" s="17">
        <v>15723.182617</v>
      </c>
      <c r="AD653"/>
      <c r="AE653"/>
    </row>
    <row r="654" spans="1:31" x14ac:dyDescent="0.25">
      <c r="A654" s="136">
        <f>'[2]All Counts'!C654</f>
        <v>12</v>
      </c>
      <c r="B654" s="136">
        <f>'[2]All Counts'!D654</f>
        <v>2</v>
      </c>
      <c r="C654" s="136">
        <f>'[2]All Counts'!E654</f>
        <v>9012</v>
      </c>
      <c r="D654" s="136">
        <f>'[2]All Counts'!F654</f>
        <v>1</v>
      </c>
      <c r="E654" s="136">
        <f>'[2]All Counts'!G654</f>
        <v>4</v>
      </c>
      <c r="F654" s="136" t="str">
        <f>'[2]All Counts'!H654</f>
        <v>SR-125 SB</v>
      </c>
      <c r="G654" s="136">
        <f>'[2]All Counts'!I654</f>
        <v>1</v>
      </c>
      <c r="H654" s="136">
        <f>'[2]All Counts'!J654</f>
        <v>2</v>
      </c>
      <c r="I654" s="136" t="str">
        <f>'[2]All Counts'!K654</f>
        <v>SR-54 EB</v>
      </c>
      <c r="J654" s="136" t="str">
        <f>'[2]All Counts'!L654</f>
        <v>SAN MIGUEL</v>
      </c>
      <c r="K654" s="136">
        <f>'[2]All Counts'!O654</f>
        <v>5914</v>
      </c>
      <c r="L654" s="57">
        <f>VLOOKUP(ws[[#This Row],[hwycov_id]],readme!D:G,4,FALSE)</f>
        <v>6356.9423829999996</v>
      </c>
      <c r="M654" s="88">
        <f>ws[[#This Row],[flow]]/ws[[#This Row],[count]]-1</f>
        <v>7.4897257862698519E-2</v>
      </c>
      <c r="N654" s="89">
        <f>POWER((ws[[#This Row],[flow]]-ws[[#This Row],[count]]),2)</f>
        <v>196197.95465771834</v>
      </c>
      <c r="O654" s="43">
        <f>VLOOKUP(ws[[#This Row],[hwycov_id]],count[],6,FALSE)</f>
        <v>0</v>
      </c>
      <c r="P654" s="43">
        <v>489</v>
      </c>
      <c r="Q654" s="43" t="str">
        <f>'[2]All Counts'!P654</f>
        <v>SANDAG</v>
      </c>
      <c r="S654" s="94">
        <v>28534</v>
      </c>
      <c r="T654" s="17"/>
      <c r="U654" s="17"/>
      <c r="V654" s="17"/>
      <c r="W654" s="17"/>
      <c r="X654" s="17">
        <v>11696</v>
      </c>
      <c r="Y654" s="17">
        <v>11245.690430000001</v>
      </c>
      <c r="Z654" s="17"/>
      <c r="AA654" s="17"/>
      <c r="AB654" s="17">
        <v>11696</v>
      </c>
      <c r="AC654" s="17">
        <v>11245.690430000001</v>
      </c>
      <c r="AD654"/>
      <c r="AE654"/>
    </row>
    <row r="655" spans="1:31" x14ac:dyDescent="0.25">
      <c r="A655" s="136">
        <f>'[2]All Counts'!C655</f>
        <v>12</v>
      </c>
      <c r="B655" s="136">
        <f>'[2]All Counts'!D655</f>
        <v>2</v>
      </c>
      <c r="C655" s="136">
        <f>'[2]All Counts'!E655</f>
        <v>30782</v>
      </c>
      <c r="D655" s="136">
        <f>'[2]All Counts'!F655</f>
        <v>1</v>
      </c>
      <c r="E655" s="136">
        <f>'[2]All Counts'!G655</f>
        <v>4</v>
      </c>
      <c r="F655" s="136" t="str">
        <f>'[2]All Counts'!H655</f>
        <v>SR-125 SB</v>
      </c>
      <c r="G655" s="136">
        <f>'[2]All Counts'!I655</f>
        <v>3</v>
      </c>
      <c r="H655" s="136">
        <f>'[2]All Counts'!J655</f>
        <v>0</v>
      </c>
      <c r="I655" s="136" t="str">
        <f>'[2]All Counts'!K655</f>
        <v>SAN MIGUEL</v>
      </c>
      <c r="J655" s="136" t="str">
        <f>'[2]All Counts'!L655</f>
        <v>H</v>
      </c>
      <c r="K655" s="136">
        <f>'[2]All Counts'!O655</f>
        <v>5332</v>
      </c>
      <c r="L655" s="57">
        <f>VLOOKUP(ws[[#This Row],[hwycov_id]],readme!D:G,4,FALSE)</f>
        <v>5855.5986329999996</v>
      </c>
      <c r="M655" s="88">
        <f>ws[[#This Row],[flow]]/ws[[#This Row],[count]]-1</f>
        <v>9.819929351087775E-2</v>
      </c>
      <c r="N655" s="89">
        <f>POWER((ws[[#This Row],[flow]]-ws[[#This Row],[count]]),2)</f>
        <v>274155.52847946825</v>
      </c>
      <c r="O655" s="43">
        <f>VLOOKUP(ws[[#This Row],[hwycov_id]],count[],6,FALSE)</f>
        <v>0</v>
      </c>
      <c r="P655" s="43">
        <v>59</v>
      </c>
      <c r="Q655" s="43" t="str">
        <f>'[2]All Counts'!P655</f>
        <v>SANDAG</v>
      </c>
      <c r="S655" s="94">
        <v>28535</v>
      </c>
      <c r="T655" s="17"/>
      <c r="U655" s="17"/>
      <c r="V655" s="17"/>
      <c r="W655" s="17"/>
      <c r="X655" s="17"/>
      <c r="Y655" s="17"/>
      <c r="Z655" s="17">
        <v>15065</v>
      </c>
      <c r="AA655" s="17">
        <v>14981.489258</v>
      </c>
      <c r="AB655" s="17">
        <v>15065</v>
      </c>
      <c r="AC655" s="17">
        <v>14981.489258</v>
      </c>
      <c r="AD655"/>
      <c r="AE655"/>
    </row>
    <row r="656" spans="1:31" x14ac:dyDescent="0.25">
      <c r="A656" s="136">
        <f>'[2]All Counts'!C656</f>
        <v>12</v>
      </c>
      <c r="B656" s="136">
        <f>'[2]All Counts'!D656</f>
        <v>2</v>
      </c>
      <c r="C656" s="136">
        <f>'[2]All Counts'!E656</f>
        <v>9142</v>
      </c>
      <c r="D656" s="136">
        <f>'[2]All Counts'!F656</f>
        <v>1</v>
      </c>
      <c r="E656" s="136">
        <f>'[2]All Counts'!G656</f>
        <v>4</v>
      </c>
      <c r="F656" s="136" t="str">
        <f>'[2]All Counts'!H656</f>
        <v>SR-125 SB</v>
      </c>
      <c r="G656" s="136">
        <f>'[2]All Counts'!I656</f>
        <v>6</v>
      </c>
      <c r="H656" s="136">
        <f>'[2]All Counts'!J656</f>
        <v>0</v>
      </c>
      <c r="I656" s="136" t="str">
        <f>'[2]All Counts'!K656</f>
        <v>H</v>
      </c>
      <c r="J656" s="136" t="str">
        <f>'[2]All Counts'!L656</f>
        <v>TELEGRAPH CANYON</v>
      </c>
      <c r="K656" s="136">
        <f>'[2]All Counts'!O656</f>
        <v>4233</v>
      </c>
      <c r="L656" s="57">
        <f>VLOOKUP(ws[[#This Row],[hwycov_id]],readme!D:G,4,FALSE)</f>
        <v>4199.8891599999997</v>
      </c>
      <c r="M656" s="88">
        <f>ws[[#This Row],[flow]]/ws[[#This Row],[count]]-1</f>
        <v>-7.8220741790693271E-3</v>
      </c>
      <c r="N656" s="89">
        <f>POWER((ws[[#This Row],[flow]]-ws[[#This Row],[count]]),2)</f>
        <v>1096.3277255056187</v>
      </c>
      <c r="O656" s="43">
        <f>VLOOKUP(ws[[#This Row],[hwycov_id]],count[],6,FALSE)</f>
        <v>0</v>
      </c>
      <c r="P656" s="43">
        <v>716</v>
      </c>
      <c r="Q656" s="43" t="str">
        <f>'[2]All Counts'!P656</f>
        <v>SANDAG</v>
      </c>
      <c r="S656" s="94">
        <v>28540</v>
      </c>
      <c r="T656" s="17"/>
      <c r="U656" s="17"/>
      <c r="V656" s="17"/>
      <c r="W656" s="17"/>
      <c r="X656" s="17">
        <v>11514</v>
      </c>
      <c r="Y656" s="17">
        <v>11301.975586</v>
      </c>
      <c r="Z656" s="17"/>
      <c r="AA656" s="17"/>
      <c r="AB656" s="17">
        <v>11514</v>
      </c>
      <c r="AC656" s="17">
        <v>11301.975586</v>
      </c>
      <c r="AD656"/>
      <c r="AE656"/>
    </row>
    <row r="657" spans="1:31" x14ac:dyDescent="0.25">
      <c r="A657" s="136">
        <f>'[2]All Counts'!C657</f>
        <v>12</v>
      </c>
      <c r="B657" s="136">
        <f>'[2]All Counts'!D657</f>
        <v>2</v>
      </c>
      <c r="C657" s="136">
        <f>'[2]All Counts'!E657</f>
        <v>9516</v>
      </c>
      <c r="D657" s="136">
        <f>'[2]All Counts'!F657</f>
        <v>1</v>
      </c>
      <c r="E657" s="136">
        <f>'[2]All Counts'!G657</f>
        <v>4</v>
      </c>
      <c r="F657" s="136" t="str">
        <f>'[2]All Counts'!H657</f>
        <v>SR-125 SB</v>
      </c>
      <c r="G657" s="136">
        <f>'[2]All Counts'!I657</f>
        <v>9</v>
      </c>
      <c r="H657" s="136">
        <f>'[2]All Counts'!J657</f>
        <v>0</v>
      </c>
      <c r="I657" s="136" t="str">
        <f>'[2]All Counts'!K657</f>
        <v>TELEGRAPH CANYON</v>
      </c>
      <c r="J657" s="136" t="str">
        <f>'[2]All Counts'!L657</f>
        <v>TOLL PLAZA</v>
      </c>
      <c r="K657" s="136">
        <f>'[2]All Counts'!O657</f>
        <v>2769</v>
      </c>
      <c r="L657" s="57">
        <f>VLOOKUP(ws[[#This Row],[hwycov_id]],readme!D:G,4,FALSE)</f>
        <v>3155.4753420000002</v>
      </c>
      <c r="M657" s="88">
        <f>ws[[#This Row],[flow]]/ws[[#This Row],[count]]-1</f>
        <v>0.1395721711809319</v>
      </c>
      <c r="N657" s="89">
        <f>POWER((ws[[#This Row],[flow]]-ws[[#This Row],[count]]),2)</f>
        <v>149363.18997401709</v>
      </c>
      <c r="O657" s="43">
        <f>VLOOKUP(ws[[#This Row],[hwycov_id]],count[],6,FALSE)</f>
        <v>0</v>
      </c>
      <c r="P657" s="43">
        <v>57</v>
      </c>
      <c r="Q657" s="43" t="str">
        <f>'[2]All Counts'!P657</f>
        <v>SANDAG</v>
      </c>
      <c r="S657" s="94">
        <v>28569</v>
      </c>
      <c r="T657" s="17"/>
      <c r="U657" s="17"/>
      <c r="V657" s="17">
        <v>12337</v>
      </c>
      <c r="W657" s="17">
        <v>10345.674805000001</v>
      </c>
      <c r="X657" s="17"/>
      <c r="Y657" s="17"/>
      <c r="Z657" s="17"/>
      <c r="AA657" s="17"/>
      <c r="AB657" s="17">
        <v>12337</v>
      </c>
      <c r="AC657" s="17">
        <v>10345.674805000001</v>
      </c>
      <c r="AD657"/>
      <c r="AE657"/>
    </row>
    <row r="658" spans="1:31" x14ac:dyDescent="0.25">
      <c r="A658" s="136">
        <f>'[2]All Counts'!C658</f>
        <v>12</v>
      </c>
      <c r="B658" s="136">
        <f>'[2]All Counts'!D658</f>
        <v>2</v>
      </c>
      <c r="C658" s="136">
        <f>'[2]All Counts'!E658</f>
        <v>9510</v>
      </c>
      <c r="D658" s="136">
        <f>'[2]All Counts'!F658</f>
        <v>1</v>
      </c>
      <c r="E658" s="136">
        <f>'[2]All Counts'!G658</f>
        <v>4</v>
      </c>
      <c r="F658" s="136" t="str">
        <f>'[2]All Counts'!H658</f>
        <v>SR-125 SB</v>
      </c>
      <c r="G658" s="136">
        <f>'[2]All Counts'!I658</f>
        <v>12</v>
      </c>
      <c r="H658" s="136">
        <f>'[2]All Counts'!J658</f>
        <v>0</v>
      </c>
      <c r="I658" s="136" t="str">
        <f>'[2]All Counts'!K658</f>
        <v>RAMP</v>
      </c>
      <c r="J658" s="136" t="str">
        <f>'[2]All Counts'!L658</f>
        <v>EAST CENTER</v>
      </c>
      <c r="K658" s="136">
        <f>'[2]All Counts'!O658</f>
        <v>1552</v>
      </c>
      <c r="L658" s="57">
        <f>VLOOKUP(ws[[#This Row],[hwycov_id]],readme!D:G,4,FALSE)</f>
        <v>1915.2257079999999</v>
      </c>
      <c r="M658" s="88">
        <f>ws[[#This Row],[flow]]/ws[[#This Row],[count]]-1</f>
        <v>0.23403718298969078</v>
      </c>
      <c r="N658" s="89">
        <f>POWER((ws[[#This Row],[flow]]-ws[[#This Row],[count]]),2)</f>
        <v>131932.91495210122</v>
      </c>
      <c r="O658" s="43">
        <f>VLOOKUP(ws[[#This Row],[hwycov_id]],count[],6,FALSE)</f>
        <v>0</v>
      </c>
      <c r="P658" s="43">
        <v>427</v>
      </c>
      <c r="Q658" s="43" t="str">
        <f>'[2]All Counts'!P658</f>
        <v>SANDAG</v>
      </c>
      <c r="S658" s="94">
        <v>28587</v>
      </c>
      <c r="T658" s="17"/>
      <c r="U658" s="17"/>
      <c r="V658" s="17">
        <v>18744</v>
      </c>
      <c r="W658" s="17">
        <v>21829.029297000001</v>
      </c>
      <c r="X658" s="17"/>
      <c r="Y658" s="17"/>
      <c r="Z658" s="17"/>
      <c r="AA658" s="17"/>
      <c r="AB658" s="17">
        <v>18744</v>
      </c>
      <c r="AC658" s="17">
        <v>21829.029297000001</v>
      </c>
      <c r="AD658"/>
      <c r="AE658"/>
    </row>
    <row r="659" spans="1:31" x14ac:dyDescent="0.25">
      <c r="A659" s="136">
        <f>'[2]All Counts'!C659</f>
        <v>12</v>
      </c>
      <c r="B659" s="136">
        <f>'[2]All Counts'!D659</f>
        <v>2</v>
      </c>
      <c r="C659" s="136">
        <f>'[2]All Counts'!E659</f>
        <v>9488</v>
      </c>
      <c r="D659" s="136">
        <f>'[2]All Counts'!F659</f>
        <v>1</v>
      </c>
      <c r="E659" s="136">
        <f>'[2]All Counts'!G659</f>
        <v>4</v>
      </c>
      <c r="F659" s="136" t="str">
        <f>'[2]All Counts'!H659</f>
        <v>SR-125 SB</v>
      </c>
      <c r="G659" s="136">
        <f>'[2]All Counts'!I659</f>
        <v>15</v>
      </c>
      <c r="H659" s="136">
        <f>'[2]All Counts'!J659</f>
        <v>0</v>
      </c>
      <c r="I659" s="136" t="str">
        <f>'[2]All Counts'!K659</f>
        <v>EAST CENTER</v>
      </c>
      <c r="J659" s="136" t="str">
        <f>'[2]All Counts'!L659</f>
        <v>WOLF CANYON</v>
      </c>
      <c r="K659" s="136">
        <f>'[2]All Counts'!O659</f>
        <v>757</v>
      </c>
      <c r="L659" s="57">
        <f>VLOOKUP(ws[[#This Row],[hwycov_id]],readme!D:G,4,FALSE)</f>
        <v>1180.147461</v>
      </c>
      <c r="M659" s="88">
        <f>ws[[#This Row],[flow]]/ws[[#This Row],[count]]-1</f>
        <v>0.55897947291941885</v>
      </c>
      <c r="N659" s="89">
        <f>POWER((ws[[#This Row],[flow]]-ws[[#This Row],[count]]),2)</f>
        <v>179053.77375074654</v>
      </c>
      <c r="O659" s="43">
        <f>VLOOKUP(ws[[#This Row],[hwycov_id]],count[],6,FALSE)</f>
        <v>0</v>
      </c>
      <c r="P659" s="43">
        <v>429</v>
      </c>
      <c r="Q659" s="43" t="str">
        <f>'[2]All Counts'!P659</f>
        <v>SANDAG</v>
      </c>
      <c r="S659" s="94">
        <v>28588</v>
      </c>
      <c r="T659" s="17">
        <v>25689</v>
      </c>
      <c r="U659" s="17">
        <v>27098.158202999999</v>
      </c>
      <c r="V659" s="17"/>
      <c r="W659" s="17"/>
      <c r="X659" s="17"/>
      <c r="Y659" s="17"/>
      <c r="Z659" s="17"/>
      <c r="AA659" s="17"/>
      <c r="AB659" s="17">
        <v>25689</v>
      </c>
      <c r="AC659" s="17">
        <v>27098.158202999999</v>
      </c>
      <c r="AD659"/>
      <c r="AE659"/>
    </row>
    <row r="660" spans="1:31" x14ac:dyDescent="0.25">
      <c r="A660" s="136">
        <f>'[2]All Counts'!C660</f>
        <v>11</v>
      </c>
      <c r="B660" s="136">
        <f>'[2]All Counts'!D660</f>
        <v>2</v>
      </c>
      <c r="C660" s="136">
        <f>'[2]All Counts'!E660</f>
        <v>7374</v>
      </c>
      <c r="D660" s="136">
        <f>'[2]All Counts'!F660</f>
        <v>1</v>
      </c>
      <c r="E660" s="136">
        <f>'[2]All Counts'!G660</f>
        <v>1</v>
      </c>
      <c r="F660" s="136" t="str">
        <f>'[2]All Counts'!H660</f>
        <v>SR-163 SB</v>
      </c>
      <c r="G660" s="136">
        <f>'[2]All Counts'!I660</f>
        <v>1</v>
      </c>
      <c r="H660" s="136">
        <f>'[2]All Counts'!J660</f>
        <v>0</v>
      </c>
      <c r="I660" s="136" t="str">
        <f>'[2]All Counts'!K660</f>
        <v>I-15 SB</v>
      </c>
      <c r="J660" s="136" t="str">
        <f>'[2]All Counts'!L660</f>
        <v>I-15 HOV SB</v>
      </c>
      <c r="K660" s="136">
        <f>'[2]All Counts'!O660</f>
        <v>17739</v>
      </c>
      <c r="L660" s="57">
        <f>VLOOKUP(ws[[#This Row],[hwycov_id]],readme!D:G,4,FALSE)</f>
        <v>13165.798828000001</v>
      </c>
      <c r="M660" s="88">
        <f>ws[[#This Row],[flow]]/ws[[#This Row],[count]]-1</f>
        <v>-0.25780490286938385</v>
      </c>
      <c r="N660" s="89">
        <f>POWER((ws[[#This Row],[flow]]-ws[[#This Row],[count]]),2)</f>
        <v>20914168.959582165</v>
      </c>
      <c r="O660" s="43">
        <f>VLOOKUP(ws[[#This Row],[hwycov_id]],count[],6,FALSE)</f>
        <v>0</v>
      </c>
      <c r="P660" s="43">
        <v>384</v>
      </c>
      <c r="Q660" s="43" t="str">
        <f>'[2]All Counts'!P660</f>
        <v>PeMS2016</v>
      </c>
      <c r="S660" s="94">
        <v>28623</v>
      </c>
      <c r="T660" s="17"/>
      <c r="U660" s="17"/>
      <c r="V660" s="17"/>
      <c r="W660" s="17"/>
      <c r="X660" s="17"/>
      <c r="Y660" s="17"/>
      <c r="Z660" s="17">
        <v>8655</v>
      </c>
      <c r="AA660" s="17">
        <v>7749.8647460000002</v>
      </c>
      <c r="AB660" s="17">
        <v>8655</v>
      </c>
      <c r="AC660" s="17">
        <v>7749.8647460000002</v>
      </c>
      <c r="AD660"/>
      <c r="AE660"/>
    </row>
    <row r="661" spans="1:31" x14ac:dyDescent="0.25">
      <c r="A661" s="136">
        <f>'[2]All Counts'!C661</f>
        <v>11</v>
      </c>
      <c r="B661" s="136">
        <f>'[2]All Counts'!D661</f>
        <v>2</v>
      </c>
      <c r="C661" s="136">
        <f>'[2]All Counts'!E661</f>
        <v>16162</v>
      </c>
      <c r="D661" s="136">
        <f>'[2]All Counts'!F661</f>
        <v>1</v>
      </c>
      <c r="E661" s="136">
        <f>'[2]All Counts'!G661</f>
        <v>1</v>
      </c>
      <c r="F661" s="136" t="str">
        <f>'[2]All Counts'!H661</f>
        <v>SR-163 SB</v>
      </c>
      <c r="G661" s="136">
        <f>'[2]All Counts'!I661</f>
        <v>2</v>
      </c>
      <c r="H661" s="136">
        <f>'[2]All Counts'!J661</f>
        <v>0</v>
      </c>
      <c r="I661" s="136" t="str">
        <f>'[2]All Counts'!K661</f>
        <v>I-15 HOV SB</v>
      </c>
      <c r="J661" s="136" t="str">
        <f>'[2]All Counts'!L661</f>
        <v>KEARNY VILLA</v>
      </c>
      <c r="K661" s="136">
        <f>'[2]All Counts'!O661</f>
        <v>20825</v>
      </c>
      <c r="L661" s="57">
        <f>VLOOKUP(ws[[#This Row],[hwycov_id]],readme!D:G,4,FALSE)</f>
        <v>13179.798828000001</v>
      </c>
      <c r="M661" s="88">
        <f>ws[[#This Row],[flow]]/ws[[#This Row],[count]]-1</f>
        <v>-0.36711650285714281</v>
      </c>
      <c r="N661" s="89">
        <f>POWER((ws[[#This Row],[flow]]-ws[[#This Row],[count]]),2)</f>
        <v>58449100.960350163</v>
      </c>
      <c r="O661" s="43">
        <f>VLOOKUP(ws[[#This Row],[hwycov_id]],count[],6,FALSE)</f>
        <v>0</v>
      </c>
      <c r="P661" s="43">
        <v>760</v>
      </c>
      <c r="Q661" s="43" t="str">
        <f>'[2]All Counts'!P661</f>
        <v>PeMS2016</v>
      </c>
      <c r="S661" s="94">
        <v>28634</v>
      </c>
      <c r="T661" s="17"/>
      <c r="U661" s="17"/>
      <c r="V661" s="17"/>
      <c r="W661" s="17"/>
      <c r="X661" s="17">
        <v>8745</v>
      </c>
      <c r="Y661" s="17">
        <v>7643.7426759999998</v>
      </c>
      <c r="Z661" s="17"/>
      <c r="AA661" s="17"/>
      <c r="AB661" s="17">
        <v>8745</v>
      </c>
      <c r="AC661" s="17">
        <v>7643.7426759999998</v>
      </c>
      <c r="AD661"/>
      <c r="AE661"/>
    </row>
    <row r="662" spans="1:31" x14ac:dyDescent="0.25">
      <c r="A662" s="136">
        <f>'[2]All Counts'!C662</f>
        <v>11</v>
      </c>
      <c r="B662" s="136">
        <f>'[2]All Counts'!D662</f>
        <v>2</v>
      </c>
      <c r="C662" s="136">
        <f>'[2]All Counts'!E662</f>
        <v>16163</v>
      </c>
      <c r="D662" s="136">
        <f>'[2]All Counts'!F662</f>
        <v>1</v>
      </c>
      <c r="E662" s="136">
        <f>'[2]All Counts'!G662</f>
        <v>1</v>
      </c>
      <c r="F662" s="136" t="str">
        <f>'[2]All Counts'!H662</f>
        <v>SR-163 SB</v>
      </c>
      <c r="G662" s="136">
        <f>'[2]All Counts'!I662</f>
        <v>4</v>
      </c>
      <c r="H662" s="136">
        <f>'[2]All Counts'!J662</f>
        <v>0</v>
      </c>
      <c r="I662" s="136" t="str">
        <f>'[2]All Counts'!K662</f>
        <v>KEARNY VILLA</v>
      </c>
      <c r="J662" s="136" t="str">
        <f>'[2]All Counts'!L662</f>
        <v>SR-52 WB</v>
      </c>
      <c r="K662" s="136">
        <f>'[2]All Counts'!O662</f>
        <v>25016</v>
      </c>
      <c r="L662" s="57">
        <f>VLOOKUP(ws[[#This Row],[hwycov_id]],readme!D:G,4,FALSE)</f>
        <v>15696.981444999999</v>
      </c>
      <c r="M662" s="88">
        <f>ws[[#This Row],[flow]]/ws[[#This Row],[count]]-1</f>
        <v>-0.37252232791013751</v>
      </c>
      <c r="N662" s="89">
        <f>POWER((ws[[#This Row],[flow]]-ws[[#This Row],[count]]),2)</f>
        <v>86844106.828434303</v>
      </c>
      <c r="O662" s="43">
        <f>VLOOKUP(ws[[#This Row],[hwycov_id]],count[],6,FALSE)</f>
        <v>0</v>
      </c>
      <c r="P662" s="43">
        <v>192</v>
      </c>
      <c r="Q662" s="43" t="str">
        <f>'[2]All Counts'!P662</f>
        <v>PeMS2016</v>
      </c>
      <c r="S662" s="94">
        <v>28635</v>
      </c>
      <c r="T662" s="17"/>
      <c r="U662" s="17"/>
      <c r="V662" s="17"/>
      <c r="W662" s="17"/>
      <c r="X662" s="17"/>
      <c r="Y662" s="17"/>
      <c r="Z662" s="17">
        <v>10967</v>
      </c>
      <c r="AA662" s="17">
        <v>10658.822265999999</v>
      </c>
      <c r="AB662" s="17">
        <v>10967</v>
      </c>
      <c r="AC662" s="17">
        <v>10658.822265999999</v>
      </c>
      <c r="AD662"/>
      <c r="AE662"/>
    </row>
    <row r="663" spans="1:31" x14ac:dyDescent="0.25">
      <c r="A663" s="136">
        <f>'[2]All Counts'!C663</f>
        <v>11</v>
      </c>
      <c r="B663" s="136">
        <f>'[2]All Counts'!D663</f>
        <v>2</v>
      </c>
      <c r="C663" s="136">
        <f>'[2]All Counts'!E663</f>
        <v>8820</v>
      </c>
      <c r="D663" s="136">
        <f>'[2]All Counts'!F663</f>
        <v>1</v>
      </c>
      <c r="E663" s="136">
        <f>'[2]All Counts'!G663</f>
        <v>1</v>
      </c>
      <c r="F663" s="136" t="str">
        <f>'[2]All Counts'!H663</f>
        <v>SR-163 SB</v>
      </c>
      <c r="G663" s="136">
        <f>'[2]All Counts'!I663</f>
        <v>9</v>
      </c>
      <c r="H663" s="136">
        <f>'[2]All Counts'!J663</f>
        <v>0</v>
      </c>
      <c r="I663" s="136" t="str">
        <f>'[2]All Counts'!K663</f>
        <v>CLAIREMONT MESA</v>
      </c>
      <c r="J663" s="136" t="str">
        <f>'[2]All Counts'!L663</f>
        <v>BALBOA</v>
      </c>
      <c r="K663" s="136">
        <f>'[2]All Counts'!O663</f>
        <v>23317</v>
      </c>
      <c r="L663" s="57">
        <f>VLOOKUP(ws[[#This Row],[hwycov_id]],readme!D:G,4,FALSE)</f>
        <v>19762.931640999999</v>
      </c>
      <c r="M663" s="88">
        <f>ws[[#This Row],[flow]]/ws[[#This Row],[count]]-1</f>
        <v>-0.15242391212420126</v>
      </c>
      <c r="N663" s="89">
        <f>POWER((ws[[#This Row],[flow]]-ws[[#This Row],[count]]),2)</f>
        <v>12631401.900444958</v>
      </c>
      <c r="O663" s="43">
        <f>VLOOKUP(ws[[#This Row],[hwycov_id]],count[],6,FALSE)</f>
        <v>0</v>
      </c>
      <c r="P663" s="43">
        <v>591</v>
      </c>
      <c r="Q663" s="43" t="str">
        <f>'[2]All Counts'!P663</f>
        <v>PeMS2016</v>
      </c>
      <c r="S663" s="94">
        <v>28636</v>
      </c>
      <c r="T663" s="17"/>
      <c r="U663" s="17"/>
      <c r="V663" s="17"/>
      <c r="W663" s="17"/>
      <c r="X663" s="17"/>
      <c r="Y663" s="17"/>
      <c r="Z663" s="17">
        <v>8529</v>
      </c>
      <c r="AA663" s="17">
        <v>11264.482421999999</v>
      </c>
      <c r="AB663" s="17">
        <v>8529</v>
      </c>
      <c r="AC663" s="17">
        <v>11264.482421999999</v>
      </c>
      <c r="AD663"/>
      <c r="AE663"/>
    </row>
    <row r="664" spans="1:31" x14ac:dyDescent="0.25">
      <c r="A664" s="136">
        <f>'[2]All Counts'!C664</f>
        <v>11</v>
      </c>
      <c r="B664" s="136">
        <f>'[2]All Counts'!D664</f>
        <v>2</v>
      </c>
      <c r="C664" s="136">
        <f>'[2]All Counts'!E664</f>
        <v>8823</v>
      </c>
      <c r="D664" s="136">
        <f>'[2]All Counts'!F664</f>
        <v>1</v>
      </c>
      <c r="E664" s="136">
        <f>'[2]All Counts'!G664</f>
        <v>1</v>
      </c>
      <c r="F664" s="136" t="str">
        <f>'[2]All Counts'!H664</f>
        <v>SR-163 SB</v>
      </c>
      <c r="G664" s="136">
        <f>'[2]All Counts'!I664</f>
        <v>10</v>
      </c>
      <c r="H664" s="136">
        <f>'[2]All Counts'!J664</f>
        <v>0</v>
      </c>
      <c r="I664" s="136" t="str">
        <f>'[2]All Counts'!K664</f>
        <v>BALBOA</v>
      </c>
      <c r="J664" s="136" t="str">
        <f>'[2]All Counts'!L664</f>
        <v>BALBOA</v>
      </c>
      <c r="K664" s="136">
        <f>'[2]All Counts'!O664</f>
        <v>18036</v>
      </c>
      <c r="L664" s="57">
        <f>VLOOKUP(ws[[#This Row],[hwycov_id]],readme!D:G,4,FALSE)</f>
        <v>15473.75</v>
      </c>
      <c r="M664" s="88">
        <f>ws[[#This Row],[flow]]/ws[[#This Row],[count]]-1</f>
        <v>-0.14206309603016187</v>
      </c>
      <c r="N664" s="89">
        <f>POWER((ws[[#This Row],[flow]]-ws[[#This Row],[count]]),2)</f>
        <v>6565125.0625</v>
      </c>
      <c r="O664" s="43">
        <f>VLOOKUP(ws[[#This Row],[hwycov_id]],count[],6,FALSE)</f>
        <v>0</v>
      </c>
      <c r="P664" s="43">
        <v>592</v>
      </c>
      <c r="Q664" s="43" t="str">
        <f>'[2]All Counts'!P664</f>
        <v>PeMS2016</v>
      </c>
      <c r="S664" s="94">
        <v>28637</v>
      </c>
      <c r="T664" s="17"/>
      <c r="U664" s="17"/>
      <c r="V664" s="17"/>
      <c r="W664" s="17"/>
      <c r="X664" s="17">
        <v>8766</v>
      </c>
      <c r="Y664" s="17">
        <v>6945.7744140000004</v>
      </c>
      <c r="Z664" s="17"/>
      <c r="AA664" s="17"/>
      <c r="AB664" s="17">
        <v>8766</v>
      </c>
      <c r="AC664" s="17">
        <v>6945.7744140000004</v>
      </c>
      <c r="AD664"/>
      <c r="AE664"/>
    </row>
    <row r="665" spans="1:31" x14ac:dyDescent="0.25">
      <c r="A665" s="136">
        <f>'[2]All Counts'!C665</f>
        <v>11</v>
      </c>
      <c r="B665" s="136">
        <f>'[2]All Counts'!D665</f>
        <v>2</v>
      </c>
      <c r="C665" s="136">
        <f>'[2]All Counts'!E665</f>
        <v>15688</v>
      </c>
      <c r="D665" s="136">
        <f>'[2]All Counts'!F665</f>
        <v>1</v>
      </c>
      <c r="E665" s="136">
        <f>'[2]All Counts'!G665</f>
        <v>1</v>
      </c>
      <c r="F665" s="136" t="str">
        <f>'[2]All Counts'!H665</f>
        <v>SR-163 SB</v>
      </c>
      <c r="G665" s="136">
        <f>'[2]All Counts'!I665</f>
        <v>11</v>
      </c>
      <c r="H665" s="136">
        <f>'[2]All Counts'!J665</f>
        <v>0</v>
      </c>
      <c r="I665" s="136" t="str">
        <f>'[2]All Counts'!K665</f>
        <v>BALBOA</v>
      </c>
      <c r="J665" s="136" t="str">
        <f>'[2]All Counts'!L665</f>
        <v>I-805 SB</v>
      </c>
      <c r="K665" s="136">
        <f>'[2]All Counts'!O665</f>
        <v>23134</v>
      </c>
      <c r="L665" s="57">
        <f>VLOOKUP(ws[[#This Row],[hwycov_id]],readme!D:G,4,FALSE)</f>
        <v>24033.806640999999</v>
      </c>
      <c r="M665" s="88">
        <f>ws[[#This Row],[flow]]/ws[[#This Row],[count]]-1</f>
        <v>3.8895419771764361E-2</v>
      </c>
      <c r="N665" s="89">
        <f>POWER((ws[[#This Row],[flow]]-ws[[#This Row],[count]]),2)</f>
        <v>809651.99118770147</v>
      </c>
      <c r="O665" s="43">
        <f>VLOOKUP(ws[[#This Row],[hwycov_id]],count[],6,FALSE)</f>
        <v>0</v>
      </c>
      <c r="P665" s="43">
        <v>188</v>
      </c>
      <c r="Q665" s="43" t="str">
        <f>'[2]All Counts'!P665</f>
        <v>PeMS2016</v>
      </c>
      <c r="S665" s="94">
        <v>28638</v>
      </c>
      <c r="T665" s="17"/>
      <c r="U665" s="17"/>
      <c r="V665" s="17"/>
      <c r="W665" s="17"/>
      <c r="X665" s="17">
        <v>6569</v>
      </c>
      <c r="Y665" s="17">
        <v>5456.6054690000001</v>
      </c>
      <c r="Z665" s="17"/>
      <c r="AA665" s="17"/>
      <c r="AB665" s="17">
        <v>6569</v>
      </c>
      <c r="AC665" s="17">
        <v>5456.6054690000001</v>
      </c>
      <c r="AD665"/>
      <c r="AE665"/>
    </row>
    <row r="666" spans="1:31" x14ac:dyDescent="0.25">
      <c r="A666" s="136">
        <f>'[2]All Counts'!C666</f>
        <v>11</v>
      </c>
      <c r="B666" s="136">
        <f>'[2]All Counts'!D666</f>
        <v>2</v>
      </c>
      <c r="C666" s="136">
        <f>'[2]All Counts'!E666</f>
        <v>31184</v>
      </c>
      <c r="D666" s="136">
        <f>'[2]All Counts'!F666</f>
        <v>1</v>
      </c>
      <c r="E666" s="136">
        <f>'[2]All Counts'!G666</f>
        <v>1</v>
      </c>
      <c r="F666" s="136" t="str">
        <f>'[2]All Counts'!H666</f>
        <v>SR-163 SB</v>
      </c>
      <c r="G666" s="136">
        <f>'[2]All Counts'!I666</f>
        <v>13</v>
      </c>
      <c r="H666" s="136">
        <f>'[2]All Counts'!J666</f>
        <v>0</v>
      </c>
      <c r="I666" s="136" t="str">
        <f>'[2]All Counts'!K666</f>
        <v>I-805 SB</v>
      </c>
      <c r="J666" s="136" t="str">
        <f>'[2]All Counts'!L666</f>
        <v>MESA COLLEGE</v>
      </c>
      <c r="K666" s="136">
        <f>'[2]All Counts'!O666</f>
        <v>21898</v>
      </c>
      <c r="L666" s="57">
        <f>VLOOKUP(ws[[#This Row],[hwycov_id]],readme!D:G,4,FALSE)</f>
        <v>21091.041015999999</v>
      </c>
      <c r="M666" s="88">
        <f>ws[[#This Row],[flow]]/ws[[#This Row],[count]]-1</f>
        <v>-3.6850807562334498E-2</v>
      </c>
      <c r="N666" s="89">
        <f>POWER((ws[[#This Row],[flow]]-ws[[#This Row],[count]]),2)</f>
        <v>651182.8018583135</v>
      </c>
      <c r="O666" s="43">
        <f>VLOOKUP(ws[[#This Row],[hwycov_id]],count[],6,FALSE)</f>
        <v>0</v>
      </c>
      <c r="P666" s="43">
        <v>187</v>
      </c>
      <c r="Q666" s="43" t="str">
        <f>'[2]All Counts'!P666</f>
        <v>PeMS2016</v>
      </c>
      <c r="S666" s="94">
        <v>28675</v>
      </c>
      <c r="T666" s="17"/>
      <c r="U666" s="17"/>
      <c r="V666" s="17"/>
      <c r="W666" s="17"/>
      <c r="X666" s="17">
        <v>13756</v>
      </c>
      <c r="Y666" s="17">
        <v>10629.482421999999</v>
      </c>
      <c r="Z666" s="17"/>
      <c r="AA666" s="17"/>
      <c r="AB666" s="17">
        <v>13756</v>
      </c>
      <c r="AC666" s="17">
        <v>10629.482421999999</v>
      </c>
      <c r="AD666"/>
      <c r="AE666"/>
    </row>
    <row r="667" spans="1:31" x14ac:dyDescent="0.25">
      <c r="A667" s="136">
        <f>'[2]All Counts'!C667</f>
        <v>11</v>
      </c>
      <c r="B667" s="136">
        <f>'[2]All Counts'!D667</f>
        <v>2</v>
      </c>
      <c r="C667" s="136">
        <f>'[2]All Counts'!E667</f>
        <v>15705</v>
      </c>
      <c r="D667" s="136">
        <f>'[2]All Counts'!F667</f>
        <v>1</v>
      </c>
      <c r="E667" s="136">
        <f>'[2]All Counts'!G667</f>
        <v>1</v>
      </c>
      <c r="F667" s="136" t="str">
        <f>'[2]All Counts'!H667</f>
        <v>SR-163 SB</v>
      </c>
      <c r="G667" s="136">
        <f>'[2]All Counts'!I667</f>
        <v>17</v>
      </c>
      <c r="H667" s="136">
        <f>'[2]All Counts'!J667</f>
        <v>0</v>
      </c>
      <c r="I667" s="136" t="str">
        <f>'[2]All Counts'!K667</f>
        <v>GENESEE</v>
      </c>
      <c r="J667" s="136" t="str">
        <f>'[2]All Counts'!L667</f>
        <v>GENESEE</v>
      </c>
      <c r="K667" s="136">
        <f>'[2]All Counts'!O667</f>
        <v>17086</v>
      </c>
      <c r="L667" s="57">
        <f>VLOOKUP(ws[[#This Row],[hwycov_id]],readme!D:G,4,FALSE)</f>
        <v>21550.384765999999</v>
      </c>
      <c r="M667" s="88">
        <f>ws[[#This Row],[flow]]/ws[[#This Row],[count]]-1</f>
        <v>0.26128905337703379</v>
      </c>
      <c r="N667" s="89">
        <f>POWER((ws[[#This Row],[flow]]-ws[[#This Row],[count]]),2)</f>
        <v>19930731.338892866</v>
      </c>
      <c r="O667" s="43">
        <f>VLOOKUP(ws[[#This Row],[hwycov_id]],count[],6,FALSE)</f>
        <v>0</v>
      </c>
      <c r="P667" s="43">
        <v>84</v>
      </c>
      <c r="Q667" s="43" t="str">
        <f>'[2]All Counts'!P667</f>
        <v>PeMS2016</v>
      </c>
      <c r="S667" s="94">
        <v>28676</v>
      </c>
      <c r="T667" s="17"/>
      <c r="U667" s="17"/>
      <c r="V667" s="17"/>
      <c r="W667" s="17"/>
      <c r="X667" s="17"/>
      <c r="Y667" s="17"/>
      <c r="Z667" s="17">
        <v>18999</v>
      </c>
      <c r="AA667" s="17">
        <v>18615.066406000002</v>
      </c>
      <c r="AB667" s="17">
        <v>18999</v>
      </c>
      <c r="AC667" s="17">
        <v>18615.066406000002</v>
      </c>
      <c r="AD667"/>
      <c r="AE667"/>
    </row>
    <row r="668" spans="1:31" x14ac:dyDescent="0.25">
      <c r="A668" s="136">
        <f>'[2]All Counts'!C668</f>
        <v>11</v>
      </c>
      <c r="B668" s="136">
        <f>'[2]All Counts'!D668</f>
        <v>2</v>
      </c>
      <c r="C668" s="136">
        <f>'[2]All Counts'!E668</f>
        <v>25142</v>
      </c>
      <c r="D668" s="136">
        <f>'[2]All Counts'!F668</f>
        <v>1</v>
      </c>
      <c r="E668" s="136">
        <f>'[2]All Counts'!G668</f>
        <v>1</v>
      </c>
      <c r="F668" s="136" t="str">
        <f>'[2]All Counts'!H668</f>
        <v>SR-163 SB</v>
      </c>
      <c r="G668" s="136">
        <f>'[2]All Counts'!I668</f>
        <v>19</v>
      </c>
      <c r="H668" s="136">
        <f>'[2]All Counts'!J668</f>
        <v>0</v>
      </c>
      <c r="I668" s="136" t="str">
        <f>'[2]All Counts'!K668</f>
        <v>GENESEE</v>
      </c>
      <c r="J668" s="136" t="str">
        <f>'[2]All Counts'!L668</f>
        <v>FRIARS</v>
      </c>
      <c r="K668" s="136">
        <f>'[2]All Counts'!O668</f>
        <v>21723</v>
      </c>
      <c r="L668" s="57">
        <f>VLOOKUP(ws[[#This Row],[hwycov_id]],readme!D:G,4,FALSE)</f>
        <v>24406.072265999999</v>
      </c>
      <c r="M668" s="88">
        <f>ws[[#This Row],[flow]]/ws[[#This Row],[count]]-1</f>
        <v>0.12351297086037838</v>
      </c>
      <c r="N668" s="89">
        <f>POWER((ws[[#This Row],[flow]]-ws[[#This Row],[count]]),2)</f>
        <v>7198876.7845783709</v>
      </c>
      <c r="O668" s="43">
        <f>VLOOKUP(ws[[#This Row],[hwycov_id]],count[],6,FALSE)</f>
        <v>0</v>
      </c>
      <c r="P668" s="43">
        <v>692</v>
      </c>
      <c r="Q668" s="43" t="str">
        <f>'[2]All Counts'!P668</f>
        <v>PeMS2016</v>
      </c>
      <c r="S668" s="94">
        <v>28677</v>
      </c>
      <c r="T668" s="17"/>
      <c r="U668" s="17"/>
      <c r="V668" s="17"/>
      <c r="W668" s="17"/>
      <c r="X668" s="17">
        <v>15465</v>
      </c>
      <c r="Y668" s="17">
        <v>11886.195312</v>
      </c>
      <c r="Z668" s="17"/>
      <c r="AA668" s="17"/>
      <c r="AB668" s="17">
        <v>15465</v>
      </c>
      <c r="AC668" s="17">
        <v>11886.195312</v>
      </c>
      <c r="AD668"/>
      <c r="AE668"/>
    </row>
    <row r="669" spans="1:31" x14ac:dyDescent="0.25">
      <c r="A669" s="136">
        <f>'[2]All Counts'!C669</f>
        <v>11</v>
      </c>
      <c r="B669" s="136">
        <f>'[2]All Counts'!D669</f>
        <v>2</v>
      </c>
      <c r="C669" s="136">
        <f>'[2]All Counts'!E669</f>
        <v>15722</v>
      </c>
      <c r="D669" s="136">
        <f>'[2]All Counts'!F669</f>
        <v>1</v>
      </c>
      <c r="E669" s="136">
        <f>'[2]All Counts'!G669</f>
        <v>1</v>
      </c>
      <c r="F669" s="136" t="str">
        <f>'[2]All Counts'!H669</f>
        <v>SR-163 SB</v>
      </c>
      <c r="G669" s="136">
        <f>'[2]All Counts'!I669</f>
        <v>22</v>
      </c>
      <c r="H669" s="136">
        <f>'[2]All Counts'!J669</f>
        <v>0</v>
      </c>
      <c r="I669" s="136" t="str">
        <f>'[2]All Counts'!K669</f>
        <v>FRIARS</v>
      </c>
      <c r="J669" s="136" t="str">
        <f>'[2]All Counts'!L669</f>
        <v>FRIARS</v>
      </c>
      <c r="K669" s="136">
        <f>'[2]All Counts'!O669</f>
        <v>19872</v>
      </c>
      <c r="L669" s="57">
        <f>VLOOKUP(ws[[#This Row],[hwycov_id]],readme!D:G,4,FALSE)</f>
        <v>21519.048827999999</v>
      </c>
      <c r="M669" s="88">
        <f>ws[[#This Row],[flow]]/ws[[#This Row],[count]]-1</f>
        <v>8.2882891908212519E-2</v>
      </c>
      <c r="N669" s="89">
        <f>POWER((ws[[#This Row],[flow]]-ws[[#This Row],[count]]),2)</f>
        <v>2712769.8418161706</v>
      </c>
      <c r="O669" s="43">
        <f>VLOOKUP(ws[[#This Row],[hwycov_id]],count[],6,FALSE)</f>
        <v>0</v>
      </c>
      <c r="P669" s="43">
        <v>85</v>
      </c>
      <c r="Q669" s="43" t="str">
        <f>'[2]All Counts'!P669</f>
        <v>PeMS2016</v>
      </c>
      <c r="S669" s="94">
        <v>28678</v>
      </c>
      <c r="T669" s="17"/>
      <c r="U669" s="17"/>
      <c r="V669" s="17"/>
      <c r="W669" s="17"/>
      <c r="X669" s="17"/>
      <c r="Y669" s="17"/>
      <c r="Z669" s="17">
        <v>16037</v>
      </c>
      <c r="AA669" s="17">
        <v>16295.623046999999</v>
      </c>
      <c r="AB669" s="17">
        <v>16037</v>
      </c>
      <c r="AC669" s="17">
        <v>16295.623046999999</v>
      </c>
      <c r="AD669"/>
      <c r="AE669"/>
    </row>
    <row r="670" spans="1:31" x14ac:dyDescent="0.25">
      <c r="A670" s="136">
        <f>'[2]All Counts'!C670</f>
        <v>11</v>
      </c>
      <c r="B670" s="136">
        <f>'[2]All Counts'!D670</f>
        <v>2</v>
      </c>
      <c r="C670" s="136">
        <f>'[2]All Counts'!E670</f>
        <v>8887</v>
      </c>
      <c r="D670" s="136">
        <f>'[2]All Counts'!F670</f>
        <v>1</v>
      </c>
      <c r="E670" s="136">
        <f>'[2]All Counts'!G670</f>
        <v>1</v>
      </c>
      <c r="F670" s="136" t="str">
        <f>'[2]All Counts'!H670</f>
        <v>SR-163 SB</v>
      </c>
      <c r="G670" s="136">
        <f>'[2]All Counts'!I670</f>
        <v>28</v>
      </c>
      <c r="H670" s="136">
        <f>'[2]All Counts'!J670</f>
        <v>0</v>
      </c>
      <c r="I670" s="136" t="str">
        <f>'[2]All Counts'!K670</f>
        <v>I-8 EB</v>
      </c>
      <c r="J670" s="136" t="str">
        <f>'[2]All Counts'!L670</f>
        <v>06TH EX</v>
      </c>
      <c r="K670" s="136">
        <f>'[2]All Counts'!O670</f>
        <v>22727</v>
      </c>
      <c r="L670" s="57">
        <f>VLOOKUP(ws[[#This Row],[hwycov_id]],readme!D:G,4,FALSE)</f>
        <v>22699.681640999999</v>
      </c>
      <c r="M670" s="88">
        <f>ws[[#This Row],[flow]]/ws[[#This Row],[count]]-1</f>
        <v>-1.2020222202666631E-3</v>
      </c>
      <c r="N670" s="89">
        <f>POWER((ws[[#This Row],[flow]]-ws[[#This Row],[count]]),2)</f>
        <v>746.2927384529238</v>
      </c>
      <c r="O670" s="43">
        <f>VLOOKUP(ws[[#This Row],[hwycov_id]],count[],6,FALSE)</f>
        <v>0</v>
      </c>
      <c r="P670" s="43">
        <v>693</v>
      </c>
      <c r="Q670" s="43" t="str">
        <f>'[2]All Counts'!P670</f>
        <v>PeMS2016</v>
      </c>
      <c r="S670" s="94">
        <v>28695</v>
      </c>
      <c r="T670" s="17">
        <v>13780</v>
      </c>
      <c r="U670" s="17">
        <v>20966.109375</v>
      </c>
      <c r="V670" s="17"/>
      <c r="W670" s="17"/>
      <c r="X670" s="17"/>
      <c r="Y670" s="17"/>
      <c r="Z670" s="17"/>
      <c r="AA670" s="17"/>
      <c r="AB670" s="17">
        <v>13780</v>
      </c>
      <c r="AC670" s="17">
        <v>20966.109375</v>
      </c>
      <c r="AD670"/>
      <c r="AE670"/>
    </row>
    <row r="671" spans="1:31" x14ac:dyDescent="0.25">
      <c r="A671" s="136">
        <f>'[2]All Counts'!C671</f>
        <v>11</v>
      </c>
      <c r="B671" s="136">
        <f>'[2]All Counts'!D671</f>
        <v>2</v>
      </c>
      <c r="C671" s="136">
        <f>'[2]All Counts'!E671</f>
        <v>16045</v>
      </c>
      <c r="D671" s="136">
        <f>'[2]All Counts'!F671</f>
        <v>1</v>
      </c>
      <c r="E671" s="136">
        <f>'[2]All Counts'!G671</f>
        <v>1</v>
      </c>
      <c r="F671" s="136" t="str">
        <f>'[2]All Counts'!H671</f>
        <v>SR-163 SB</v>
      </c>
      <c r="G671" s="136">
        <f>'[2]All Counts'!I671</f>
        <v>30</v>
      </c>
      <c r="H671" s="136">
        <f>'[2]All Counts'!J671</f>
        <v>0</v>
      </c>
      <c r="I671" s="136" t="str">
        <f>'[2]All Counts'!K671</f>
        <v>WASHINGTON</v>
      </c>
      <c r="J671" s="136" t="str">
        <f>'[2]All Counts'!L671</f>
        <v>WASHINGTON</v>
      </c>
      <c r="K671" s="136">
        <f>'[2]All Counts'!O671</f>
        <v>10840</v>
      </c>
      <c r="L671" s="57">
        <f>VLOOKUP(ws[[#This Row],[hwycov_id]],readme!D:G,4,FALSE)</f>
        <v>11890.033203000001</v>
      </c>
      <c r="M671" s="88">
        <f>ws[[#This Row],[flow]]/ws[[#This Row],[count]]-1</f>
        <v>9.6866531642066489E-2</v>
      </c>
      <c r="N671" s="89">
        <f>POWER((ws[[#This Row],[flow]]-ws[[#This Row],[count]]),2)</f>
        <v>1102569.727402441</v>
      </c>
      <c r="O671" s="43">
        <f>VLOOKUP(ws[[#This Row],[hwycov_id]],count[],6,FALSE)</f>
        <v>0</v>
      </c>
      <c r="P671" s="43">
        <v>251</v>
      </c>
      <c r="Q671" s="43" t="str">
        <f>'[2]All Counts'!P671</f>
        <v>PeMS2016</v>
      </c>
      <c r="S671" s="94">
        <v>28706</v>
      </c>
      <c r="T671" s="17"/>
      <c r="U671" s="17"/>
      <c r="V671" s="17">
        <v>22365</v>
      </c>
      <c r="W671" s="17">
        <v>28445.037109000001</v>
      </c>
      <c r="X671" s="17"/>
      <c r="Y671" s="17"/>
      <c r="Z671" s="17"/>
      <c r="AA671" s="17"/>
      <c r="AB671" s="17">
        <v>22365</v>
      </c>
      <c r="AC671" s="17">
        <v>28445.037109000001</v>
      </c>
      <c r="AD671"/>
      <c r="AE671"/>
    </row>
    <row r="672" spans="1:31" x14ac:dyDescent="0.25">
      <c r="A672" s="136">
        <f>'[2]All Counts'!C672</f>
        <v>11</v>
      </c>
      <c r="B672" s="136">
        <f>'[2]All Counts'!D672</f>
        <v>2</v>
      </c>
      <c r="C672" s="136">
        <f>'[2]All Counts'!E672</f>
        <v>21848</v>
      </c>
      <c r="D672" s="136">
        <f>'[2]All Counts'!F672</f>
        <v>1</v>
      </c>
      <c r="E672" s="136">
        <f>'[2]All Counts'!G672</f>
        <v>1</v>
      </c>
      <c r="F672" s="136" t="str">
        <f>'[2]All Counts'!H672</f>
        <v>SR-163 SB</v>
      </c>
      <c r="G672" s="136">
        <f>'[2]All Counts'!I672</f>
        <v>32</v>
      </c>
      <c r="H672" s="136">
        <f>'[2]All Counts'!J672</f>
        <v>0</v>
      </c>
      <c r="I672" s="136" t="str">
        <f>'[2]All Counts'!K672</f>
        <v>UNIVERSITY</v>
      </c>
      <c r="J672" s="136" t="str">
        <f>'[2]All Counts'!L672</f>
        <v>ROBINSON</v>
      </c>
      <c r="K672" s="136">
        <f>'[2]All Counts'!O672</f>
        <v>11803</v>
      </c>
      <c r="L672" s="57">
        <f>VLOOKUP(ws[[#This Row],[hwycov_id]],readme!D:G,4,FALSE)</f>
        <v>12370.199219</v>
      </c>
      <c r="M672" s="88">
        <f>ws[[#This Row],[flow]]/ws[[#This Row],[count]]-1</f>
        <v>4.8055512920443855E-2</v>
      </c>
      <c r="N672" s="89">
        <f>POWER((ws[[#This Row],[flow]]-ws[[#This Row],[count]]),2)</f>
        <v>321714.95403421007</v>
      </c>
      <c r="O672" s="43">
        <f>VLOOKUP(ws[[#This Row],[hwycov_id]],count[],6,FALSE)</f>
        <v>0</v>
      </c>
      <c r="P672" s="43">
        <v>553</v>
      </c>
      <c r="Q672" s="43" t="str">
        <f>'[2]All Counts'!P672</f>
        <v>Caltran</v>
      </c>
      <c r="S672" s="94">
        <v>28717</v>
      </c>
      <c r="T672" s="17"/>
      <c r="U672" s="17"/>
      <c r="V672" s="17">
        <v>25627</v>
      </c>
      <c r="W672" s="17">
        <v>29174.890625</v>
      </c>
      <c r="X672" s="17"/>
      <c r="Y672" s="17"/>
      <c r="Z672" s="17"/>
      <c r="AA672" s="17"/>
      <c r="AB672" s="17">
        <v>25627</v>
      </c>
      <c r="AC672" s="17">
        <v>29174.890625</v>
      </c>
      <c r="AD672"/>
      <c r="AE672"/>
    </row>
    <row r="673" spans="1:31" x14ac:dyDescent="0.25">
      <c r="A673" s="136">
        <f>'[2]All Counts'!C673</f>
        <v>24</v>
      </c>
      <c r="B673" s="136">
        <f>'[2]All Counts'!D673</f>
        <v>4</v>
      </c>
      <c r="C673" s="136">
        <f>'[2]All Counts'!E673</f>
        <v>28466</v>
      </c>
      <c r="D673" s="136">
        <f>'[2]All Counts'!F673</f>
        <v>1</v>
      </c>
      <c r="E673" s="136">
        <f>'[2]All Counts'!G673</f>
        <v>1</v>
      </c>
      <c r="F673" s="136" t="str">
        <f>'[2]All Counts'!H673</f>
        <v>SR-52 EB</v>
      </c>
      <c r="G673" s="136">
        <f>'[2]All Counts'!I673</f>
        <v>1</v>
      </c>
      <c r="H673" s="136">
        <f>'[2]All Counts'!J673</f>
        <v>0</v>
      </c>
      <c r="I673" s="136" t="str">
        <f>'[2]All Counts'!K673</f>
        <v>RAMP SR-52 EB</v>
      </c>
      <c r="J673" s="136" t="str">
        <f>'[2]All Counts'!L673</f>
        <v>I-5 SB</v>
      </c>
      <c r="K673" s="136">
        <f>'[2]All Counts'!O673</f>
        <v>12559</v>
      </c>
      <c r="L673" s="57">
        <f>VLOOKUP(ws[[#This Row],[hwycov_id]],readme!D:G,4,FALSE)</f>
        <v>10440.34375</v>
      </c>
      <c r="M673" s="88">
        <f>ws[[#This Row],[flow]]/ws[[#This Row],[count]]-1</f>
        <v>-0.16869625368261809</v>
      </c>
      <c r="N673" s="89">
        <f>POWER((ws[[#This Row],[flow]]-ws[[#This Row],[count]]),2)</f>
        <v>4488704.3056640625</v>
      </c>
      <c r="O673" s="43">
        <f>VLOOKUP(ws[[#This Row],[hwycov_id]],count[],6,FALSE)</f>
        <v>0</v>
      </c>
      <c r="P673" s="43">
        <v>552</v>
      </c>
      <c r="Q673" s="43" t="str">
        <f>'[2]All Counts'!P673</f>
        <v>PeMS2016</v>
      </c>
      <c r="S673" s="94">
        <v>28718</v>
      </c>
      <c r="T673" s="17">
        <v>15393</v>
      </c>
      <c r="U673" s="17">
        <v>20088.693359000001</v>
      </c>
      <c r="V673" s="17"/>
      <c r="W673" s="17"/>
      <c r="X673" s="17"/>
      <c r="Y673" s="17"/>
      <c r="Z673" s="17"/>
      <c r="AA673" s="17"/>
      <c r="AB673" s="17">
        <v>15393</v>
      </c>
      <c r="AC673" s="17">
        <v>20088.693359000001</v>
      </c>
      <c r="AD673"/>
      <c r="AE673"/>
    </row>
    <row r="674" spans="1:31" x14ac:dyDescent="0.25">
      <c r="A674" s="136">
        <f>'[2]All Counts'!C674</f>
        <v>24</v>
      </c>
      <c r="B674" s="136">
        <f>'[2]All Counts'!D674</f>
        <v>4</v>
      </c>
      <c r="C674" s="136">
        <f>'[2]All Counts'!E674</f>
        <v>28276</v>
      </c>
      <c r="D674" s="136">
        <f>'[2]All Counts'!F674</f>
        <v>1</v>
      </c>
      <c r="E674" s="136">
        <f>'[2]All Counts'!G674</f>
        <v>1</v>
      </c>
      <c r="F674" s="136" t="str">
        <f>'[2]All Counts'!H674</f>
        <v>SR-52 EB</v>
      </c>
      <c r="G674" s="136">
        <f>'[2]All Counts'!I674</f>
        <v>3</v>
      </c>
      <c r="H674" s="136">
        <f>'[2]All Counts'!J674</f>
        <v>0</v>
      </c>
      <c r="I674" s="136" t="str">
        <f>'[2]All Counts'!K674</f>
        <v>REGENTS</v>
      </c>
      <c r="J674" s="136" t="str">
        <f>'[2]All Counts'!L674</f>
        <v>REGENTS</v>
      </c>
      <c r="K674" s="136">
        <f>'[2]All Counts'!O674</f>
        <v>9591</v>
      </c>
      <c r="L674" s="57">
        <f>VLOOKUP(ws[[#This Row],[hwycov_id]],readme!D:G,4,FALSE)</f>
        <v>9401.4326170000004</v>
      </c>
      <c r="M674" s="88">
        <f>ws[[#This Row],[flow]]/ws[[#This Row],[count]]-1</f>
        <v>-1.9765132207277603E-2</v>
      </c>
      <c r="N674" s="89">
        <f>POWER((ws[[#This Row],[flow]]-ws[[#This Row],[count]]),2)</f>
        <v>35935.79269746854</v>
      </c>
      <c r="O674" s="43">
        <f>VLOOKUP(ws[[#This Row],[hwycov_id]],count[],6,FALSE)</f>
        <v>0</v>
      </c>
      <c r="P674" s="43">
        <v>252</v>
      </c>
      <c r="Q674" s="43" t="str">
        <f>'[2]All Counts'!P674</f>
        <v>PeMS2016</v>
      </c>
      <c r="S674" s="94">
        <v>28725</v>
      </c>
      <c r="T674" s="17">
        <v>13528</v>
      </c>
      <c r="U674" s="17">
        <v>22583.847656000002</v>
      </c>
      <c r="V674" s="17"/>
      <c r="W674" s="17"/>
      <c r="X674" s="17"/>
      <c r="Y674" s="17"/>
      <c r="Z674" s="17"/>
      <c r="AA674" s="17"/>
      <c r="AB674" s="17">
        <v>13528</v>
      </c>
      <c r="AC674" s="17">
        <v>22583.847656000002</v>
      </c>
      <c r="AD674"/>
      <c r="AE674"/>
    </row>
    <row r="675" spans="1:31" x14ac:dyDescent="0.25">
      <c r="A675" s="136">
        <f>'[2]All Counts'!C675</f>
        <v>24</v>
      </c>
      <c r="B675" s="136">
        <f>'[2]All Counts'!D675</f>
        <v>4</v>
      </c>
      <c r="C675" s="136">
        <f>'[2]All Counts'!E675</f>
        <v>28281</v>
      </c>
      <c r="D675" s="136">
        <f>'[2]All Counts'!F675</f>
        <v>1</v>
      </c>
      <c r="E675" s="136">
        <f>'[2]All Counts'!G675</f>
        <v>1</v>
      </c>
      <c r="F675" s="136" t="str">
        <f>'[2]All Counts'!H675</f>
        <v>SR-52 EB</v>
      </c>
      <c r="G675" s="136">
        <f>'[2]All Counts'!I675</f>
        <v>4</v>
      </c>
      <c r="H675" s="136">
        <f>'[2]All Counts'!J675</f>
        <v>0</v>
      </c>
      <c r="I675" s="136" t="str">
        <f>'[2]All Counts'!K675</f>
        <v>REGENTS</v>
      </c>
      <c r="J675" s="136" t="str">
        <f>'[2]All Counts'!L675</f>
        <v>GENESEE</v>
      </c>
      <c r="K675" s="136">
        <f>'[2]All Counts'!O675</f>
        <v>10970</v>
      </c>
      <c r="L675" s="57">
        <f>VLOOKUP(ws[[#This Row],[hwycov_id]],readme!D:G,4,FALSE)</f>
        <v>11307.59375</v>
      </c>
      <c r="M675" s="88">
        <f>ws[[#This Row],[flow]]/ws[[#This Row],[count]]-1</f>
        <v>3.0774270738377352E-2</v>
      </c>
      <c r="N675" s="89">
        <f>POWER((ws[[#This Row],[flow]]-ws[[#This Row],[count]]),2)</f>
        <v>113969.5400390625</v>
      </c>
      <c r="O675" s="43">
        <f>VLOOKUP(ws[[#This Row],[hwycov_id]],count[],6,FALSE)</f>
        <v>0</v>
      </c>
      <c r="P675" s="43">
        <v>253</v>
      </c>
      <c r="Q675" s="43" t="str">
        <f>'[2]All Counts'!P675</f>
        <v>PeMS2016</v>
      </c>
      <c r="S675" s="94">
        <v>28726</v>
      </c>
      <c r="T675" s="17"/>
      <c r="U675" s="17"/>
      <c r="V675" s="17">
        <v>23110</v>
      </c>
      <c r="W675" s="17">
        <v>31971.744140999999</v>
      </c>
      <c r="X675" s="17"/>
      <c r="Y675" s="17"/>
      <c r="Z675" s="17"/>
      <c r="AA675" s="17"/>
      <c r="AB675" s="17">
        <v>23110</v>
      </c>
      <c r="AC675" s="17">
        <v>31971.744140999999</v>
      </c>
      <c r="AD675"/>
      <c r="AE675"/>
    </row>
    <row r="676" spans="1:31" x14ac:dyDescent="0.25">
      <c r="A676" s="136">
        <f>'[2]All Counts'!C676</f>
        <v>24</v>
      </c>
      <c r="B676" s="136">
        <f>'[2]All Counts'!D676</f>
        <v>4</v>
      </c>
      <c r="C676" s="136">
        <f>'[2]All Counts'!E676</f>
        <v>11095</v>
      </c>
      <c r="D676" s="136">
        <f>'[2]All Counts'!F676</f>
        <v>1</v>
      </c>
      <c r="E676" s="136">
        <f>'[2]All Counts'!G676</f>
        <v>1</v>
      </c>
      <c r="F676" s="136" t="str">
        <f>'[2]All Counts'!H676</f>
        <v>SR-52 EB</v>
      </c>
      <c r="G676" s="136">
        <f>'[2]All Counts'!I676</f>
        <v>6</v>
      </c>
      <c r="H676" s="136">
        <f>'[2]All Counts'!J676</f>
        <v>0</v>
      </c>
      <c r="I676" s="136" t="str">
        <f>'[2]All Counts'!K676</f>
        <v>GENESEE</v>
      </c>
      <c r="J676" s="136" t="str">
        <f>'[2]All Counts'!L676</f>
        <v>I-805 SB</v>
      </c>
      <c r="K676" s="136">
        <f>'[2]All Counts'!O676</f>
        <v>11876</v>
      </c>
      <c r="L676" s="57">
        <f>VLOOKUP(ws[[#This Row],[hwycov_id]],readme!D:G,4,FALSE)</f>
        <v>14191.337890999999</v>
      </c>
      <c r="M676" s="88">
        <f>ws[[#This Row],[flow]]/ws[[#This Row],[count]]-1</f>
        <v>0.19495940476591445</v>
      </c>
      <c r="N676" s="89">
        <f>POWER((ws[[#This Row],[flow]]-ws[[#This Row],[count]]),2)</f>
        <v>5360789.5495003238</v>
      </c>
      <c r="O676" s="43">
        <f>VLOOKUP(ws[[#This Row],[hwycov_id]],count[],6,FALSE)</f>
        <v>0</v>
      </c>
      <c r="P676" s="43">
        <v>551</v>
      </c>
      <c r="Q676" s="43" t="str">
        <f>'[2]All Counts'!P676</f>
        <v>Caltran</v>
      </c>
      <c r="S676" s="94">
        <v>28727</v>
      </c>
      <c r="T676" s="17">
        <v>18512</v>
      </c>
      <c r="U676" s="17">
        <v>26484.007812</v>
      </c>
      <c r="V676" s="17"/>
      <c r="W676" s="17"/>
      <c r="X676" s="17"/>
      <c r="Y676" s="17"/>
      <c r="Z676" s="17"/>
      <c r="AA676" s="17"/>
      <c r="AB676" s="17">
        <v>18512</v>
      </c>
      <c r="AC676" s="17">
        <v>26484.007812</v>
      </c>
      <c r="AD676"/>
      <c r="AE676"/>
    </row>
    <row r="677" spans="1:31" x14ac:dyDescent="0.25">
      <c r="A677" s="136">
        <f>'[2]All Counts'!C677</f>
        <v>24</v>
      </c>
      <c r="B677" s="136">
        <f>'[2]All Counts'!D677</f>
        <v>4</v>
      </c>
      <c r="C677" s="136">
        <f>'[2]All Counts'!E677</f>
        <v>11103</v>
      </c>
      <c r="D677" s="136">
        <f>'[2]All Counts'!F677</f>
        <v>1</v>
      </c>
      <c r="E677" s="136">
        <f>'[2]All Counts'!G677</f>
        <v>1</v>
      </c>
      <c r="F677" s="136" t="str">
        <f>'[2]All Counts'!H677</f>
        <v>SR-52 EB</v>
      </c>
      <c r="G677" s="136">
        <f>'[2]All Counts'!I677</f>
        <v>10</v>
      </c>
      <c r="H677" s="136">
        <f>'[2]All Counts'!J677</f>
        <v>0</v>
      </c>
      <c r="I677" s="136" t="str">
        <f>'[2]All Counts'!K677</f>
        <v>I-805 NB</v>
      </c>
      <c r="J677" s="136" t="str">
        <f>'[2]All Counts'!L677</f>
        <v>CONVOY</v>
      </c>
      <c r="K677" s="136">
        <f>'[2]All Counts'!O677</f>
        <v>15241</v>
      </c>
      <c r="L677" s="57">
        <f>VLOOKUP(ws[[#This Row],[hwycov_id]],readme!D:G,4,FALSE)</f>
        <v>19357.279297000001</v>
      </c>
      <c r="M677" s="88">
        <f>ws[[#This Row],[flow]]/ws[[#This Row],[count]]-1</f>
        <v>0.27007934499048636</v>
      </c>
      <c r="N677" s="89">
        <f>POWER((ws[[#This Row],[flow]]-ws[[#This Row],[count]]),2)</f>
        <v>16943755.250910822</v>
      </c>
      <c r="O677" s="43">
        <f>VLOOKUP(ws[[#This Row],[hwycov_id]],count[],6,FALSE)</f>
        <v>0</v>
      </c>
      <c r="P677" s="43">
        <v>254</v>
      </c>
      <c r="Q677" s="43" t="str">
        <f>'[2]All Counts'!P677</f>
        <v>PeMS2016</v>
      </c>
      <c r="S677" s="94">
        <v>28735</v>
      </c>
      <c r="T677" s="17">
        <v>13512</v>
      </c>
      <c r="U677" s="17">
        <v>20065.240234000001</v>
      </c>
      <c r="V677" s="17"/>
      <c r="W677" s="17"/>
      <c r="X677" s="17"/>
      <c r="Y677" s="17"/>
      <c r="Z677" s="17"/>
      <c r="AA677" s="17"/>
      <c r="AB677" s="17">
        <v>13512</v>
      </c>
      <c r="AC677" s="17">
        <v>20065.240234000001</v>
      </c>
      <c r="AD677"/>
      <c r="AE677"/>
    </row>
    <row r="678" spans="1:31" x14ac:dyDescent="0.25">
      <c r="A678" s="136">
        <f>'[2]All Counts'!C678</f>
        <v>24</v>
      </c>
      <c r="B678" s="136">
        <f>'[2]All Counts'!D678</f>
        <v>4</v>
      </c>
      <c r="C678" s="136">
        <f>'[2]All Counts'!E678</f>
        <v>7430</v>
      </c>
      <c r="D678" s="136">
        <f>'[2]All Counts'!F678</f>
        <v>1</v>
      </c>
      <c r="E678" s="136">
        <f>'[2]All Counts'!G678</f>
        <v>1</v>
      </c>
      <c r="F678" s="136" t="str">
        <f>'[2]All Counts'!H678</f>
        <v>SR-52 EB</v>
      </c>
      <c r="G678" s="136">
        <f>'[2]All Counts'!I678</f>
        <v>11</v>
      </c>
      <c r="H678" s="136">
        <f>'[2]All Counts'!J678</f>
        <v>0</v>
      </c>
      <c r="I678" s="136" t="str">
        <f>'[2]All Counts'!K678</f>
        <v>CONVOY</v>
      </c>
      <c r="J678" s="136" t="str">
        <f>'[2]All Counts'!L678</f>
        <v>CONVOY</v>
      </c>
      <c r="K678" s="136">
        <f>'[2]All Counts'!O678</f>
        <v>15528</v>
      </c>
      <c r="L678" s="57">
        <f>VLOOKUP(ws[[#This Row],[hwycov_id]],readme!D:G,4,FALSE)</f>
        <v>17831.539062</v>
      </c>
      <c r="M678" s="88">
        <f>ws[[#This Row],[flow]]/ws[[#This Row],[count]]-1</f>
        <v>0.14834744088098928</v>
      </c>
      <c r="N678" s="89">
        <f>POWER((ws[[#This Row],[flow]]-ws[[#This Row],[count]]),2)</f>
        <v>5306292.2101598391</v>
      </c>
      <c r="O678" s="43">
        <f>VLOOKUP(ws[[#This Row],[hwycov_id]],count[],6,FALSE)</f>
        <v>0</v>
      </c>
      <c r="P678" s="43">
        <v>257</v>
      </c>
      <c r="Q678" s="43" t="str">
        <f>'[2]All Counts'!P678</f>
        <v>Caltran</v>
      </c>
      <c r="S678" s="94">
        <v>28736</v>
      </c>
      <c r="T678" s="17"/>
      <c r="U678" s="17"/>
      <c r="V678" s="17">
        <v>20217</v>
      </c>
      <c r="W678" s="17">
        <v>28089.830077999999</v>
      </c>
      <c r="X678" s="17"/>
      <c r="Y678" s="17"/>
      <c r="Z678" s="17"/>
      <c r="AA678" s="17"/>
      <c r="AB678" s="17">
        <v>20217</v>
      </c>
      <c r="AC678" s="17">
        <v>28089.830077999999</v>
      </c>
      <c r="AD678"/>
      <c r="AE678"/>
    </row>
    <row r="679" spans="1:31" x14ac:dyDescent="0.25">
      <c r="A679" s="136">
        <f>'[2]All Counts'!C679</f>
        <v>24</v>
      </c>
      <c r="B679" s="136">
        <f>'[2]All Counts'!D679</f>
        <v>4</v>
      </c>
      <c r="C679" s="136">
        <f>'[2]All Counts'!E679</f>
        <v>7497</v>
      </c>
      <c r="D679" s="136">
        <f>'[2]All Counts'!F679</f>
        <v>1</v>
      </c>
      <c r="E679" s="136">
        <f>'[2]All Counts'!G679</f>
        <v>1</v>
      </c>
      <c r="F679" s="136" t="str">
        <f>'[2]All Counts'!H679</f>
        <v>SR-52 EB</v>
      </c>
      <c r="G679" s="136">
        <f>'[2]All Counts'!I679</f>
        <v>12</v>
      </c>
      <c r="H679" s="136">
        <f>'[2]All Counts'!J679</f>
        <v>0</v>
      </c>
      <c r="I679" s="136" t="str">
        <f>'[2]All Counts'!K679</f>
        <v>CONVOY</v>
      </c>
      <c r="J679" s="136" t="str">
        <f>'[2]All Counts'!L679</f>
        <v>CONVOY</v>
      </c>
      <c r="K679" s="136">
        <f>'[2]All Counts'!O679</f>
        <v>16404</v>
      </c>
      <c r="L679" s="57">
        <f>VLOOKUP(ws[[#This Row],[hwycov_id]],readme!D:G,4,FALSE)</f>
        <v>17831.539062</v>
      </c>
      <c r="M679" s="88">
        <f>ws[[#This Row],[flow]]/ws[[#This Row],[count]]-1</f>
        <v>8.702383942940739E-2</v>
      </c>
      <c r="N679" s="89">
        <f>POWER((ws[[#This Row],[flow]]-ws[[#This Row],[count]]),2)</f>
        <v>2037867.7735358393</v>
      </c>
      <c r="O679" s="43">
        <f>VLOOKUP(ws[[#This Row],[hwycov_id]],count[],6,FALSE)</f>
        <v>0</v>
      </c>
      <c r="P679" s="43">
        <v>549</v>
      </c>
      <c r="Q679" s="43" t="str">
        <f>'[2]All Counts'!P679</f>
        <v>Caltran</v>
      </c>
      <c r="S679" s="94">
        <v>28793</v>
      </c>
      <c r="T679" s="17"/>
      <c r="U679" s="17"/>
      <c r="V679" s="17">
        <v>9432</v>
      </c>
      <c r="W679" s="17">
        <v>12409.535156</v>
      </c>
      <c r="X679" s="17"/>
      <c r="Y679" s="17"/>
      <c r="Z679" s="17"/>
      <c r="AA679" s="17"/>
      <c r="AB679" s="17">
        <v>9432</v>
      </c>
      <c r="AC679" s="17">
        <v>12409.535156</v>
      </c>
      <c r="AD679"/>
      <c r="AE679"/>
    </row>
    <row r="680" spans="1:31" x14ac:dyDescent="0.25">
      <c r="A680" s="136">
        <f>'[2]All Counts'!C680</f>
        <v>24</v>
      </c>
      <c r="B680" s="136">
        <f>'[2]All Counts'!D680</f>
        <v>4</v>
      </c>
      <c r="C680" s="136">
        <f>'[2]All Counts'!E680</f>
        <v>28904</v>
      </c>
      <c r="D680" s="136">
        <f>'[2]All Counts'!F680</f>
        <v>1</v>
      </c>
      <c r="E680" s="136">
        <f>'[2]All Counts'!G680</f>
        <v>1</v>
      </c>
      <c r="F680" s="136" t="str">
        <f>'[2]All Counts'!H680</f>
        <v>SR-52 EB</v>
      </c>
      <c r="G680" s="136">
        <f>'[2]All Counts'!I680</f>
        <v>17</v>
      </c>
      <c r="H680" s="136">
        <f>'[2]All Counts'!J680</f>
        <v>0</v>
      </c>
      <c r="I680" s="136" t="str">
        <f>'[2]All Counts'!K680</f>
        <v>SR-163 NB</v>
      </c>
      <c r="J680" s="136" t="str">
        <f>'[2]All Counts'!L680</f>
        <v>KEARNY VILLA</v>
      </c>
      <c r="K680" s="136">
        <f>'[2]All Counts'!O680</f>
        <v>6136</v>
      </c>
      <c r="L680" s="57">
        <f>VLOOKUP(ws[[#This Row],[hwycov_id]],readme!D:G,4,FALSE)</f>
        <v>12705.788086</v>
      </c>
      <c r="M680" s="88">
        <f>ws[[#This Row],[flow]]/ws[[#This Row],[count]]-1</f>
        <v>1.0706955811603653</v>
      </c>
      <c r="N680" s="89">
        <f>POWER((ws[[#This Row],[flow]]-ws[[#This Row],[count]]),2)</f>
        <v>43162115.494947553</v>
      </c>
      <c r="O680" s="43">
        <f>VLOOKUP(ws[[#This Row],[hwycov_id]],count[],6,FALSE)</f>
        <v>0</v>
      </c>
      <c r="P680" s="43">
        <v>601</v>
      </c>
      <c r="Q680" s="43" t="str">
        <f>'[2]All Counts'!P680</f>
        <v>PeMS2016</v>
      </c>
      <c r="S680" s="94">
        <v>28796</v>
      </c>
      <c r="T680" s="17">
        <v>10271</v>
      </c>
      <c r="U680" s="17">
        <v>18226.771484000001</v>
      </c>
      <c r="V680" s="17"/>
      <c r="W680" s="17"/>
      <c r="X680" s="17"/>
      <c r="Y680" s="17"/>
      <c r="Z680" s="17"/>
      <c r="AA680" s="17"/>
      <c r="AB680" s="17">
        <v>10271</v>
      </c>
      <c r="AC680" s="17">
        <v>18226.771484000001</v>
      </c>
      <c r="AD680"/>
      <c r="AE680"/>
    </row>
    <row r="681" spans="1:31" x14ac:dyDescent="0.25">
      <c r="A681" s="136">
        <f>'[2]All Counts'!C681</f>
        <v>24</v>
      </c>
      <c r="B681" s="136">
        <f>'[2]All Counts'!D681</f>
        <v>4</v>
      </c>
      <c r="C681" s="136">
        <f>'[2]All Counts'!E681</f>
        <v>9028</v>
      </c>
      <c r="D681" s="136">
        <f>'[2]All Counts'!F681</f>
        <v>1</v>
      </c>
      <c r="E681" s="136">
        <f>'[2]All Counts'!G681</f>
        <v>1</v>
      </c>
      <c r="F681" s="136" t="str">
        <f>'[2]All Counts'!H681</f>
        <v>SR-52 EB</v>
      </c>
      <c r="G681" s="136">
        <f>'[2]All Counts'!I681</f>
        <v>21</v>
      </c>
      <c r="H681" s="136">
        <f>'[2]All Counts'!J681</f>
        <v>0</v>
      </c>
      <c r="I681" s="136" t="str">
        <f>'[2]All Counts'!K681</f>
        <v>I-15 NB</v>
      </c>
      <c r="J681" s="136" t="str">
        <f>'[2]All Counts'!L681</f>
        <v>SANTO</v>
      </c>
      <c r="K681" s="136">
        <f>'[2]All Counts'!O681</f>
        <v>16332</v>
      </c>
      <c r="L681" s="57">
        <f>VLOOKUP(ws[[#This Row],[hwycov_id]],readme!D:G,4,FALSE)</f>
        <v>21258.558593999998</v>
      </c>
      <c r="M681" s="88">
        <f>ws[[#This Row],[flow]]/ws[[#This Row],[count]]-1</f>
        <v>0.30165066091109471</v>
      </c>
      <c r="N681" s="89">
        <f>POWER((ws[[#This Row],[flow]]-ws[[#This Row],[count]]),2)</f>
        <v>24270979.58011524</v>
      </c>
      <c r="O681" s="43">
        <f>VLOOKUP(ws[[#This Row],[hwycov_id]],count[],6,FALSE)</f>
        <v>0</v>
      </c>
      <c r="P681" s="43">
        <v>176</v>
      </c>
      <c r="Q681" s="43" t="str">
        <f>'[2]All Counts'!P681</f>
        <v>Caltran</v>
      </c>
      <c r="S681" s="94">
        <v>28798</v>
      </c>
      <c r="T681" s="17"/>
      <c r="U681" s="17"/>
      <c r="V681" s="17">
        <v>12370</v>
      </c>
      <c r="W681" s="17">
        <v>14624.327148</v>
      </c>
      <c r="X681" s="17"/>
      <c r="Y681" s="17"/>
      <c r="Z681" s="17"/>
      <c r="AA681" s="17"/>
      <c r="AB681" s="17">
        <v>12370</v>
      </c>
      <c r="AC681" s="17">
        <v>14624.327148</v>
      </c>
      <c r="AD681"/>
      <c r="AE681"/>
    </row>
    <row r="682" spans="1:31" x14ac:dyDescent="0.25">
      <c r="A682" s="136">
        <f>'[2]All Counts'!C682</f>
        <v>24</v>
      </c>
      <c r="B682" s="136">
        <f>'[2]All Counts'!D682</f>
        <v>4</v>
      </c>
      <c r="C682" s="136">
        <f>'[2]All Counts'!E682</f>
        <v>7772</v>
      </c>
      <c r="D682" s="136">
        <f>'[2]All Counts'!F682</f>
        <v>1</v>
      </c>
      <c r="E682" s="136">
        <f>'[2]All Counts'!G682</f>
        <v>1</v>
      </c>
      <c r="F682" s="136" t="str">
        <f>'[2]All Counts'!H682</f>
        <v>SR-52 EB</v>
      </c>
      <c r="G682" s="136">
        <f>'[2]All Counts'!I682</f>
        <v>25</v>
      </c>
      <c r="H682" s="136">
        <f>'[2]All Counts'!J682</f>
        <v>2</v>
      </c>
      <c r="I682" s="136" t="str">
        <f>'[2]All Counts'!K682</f>
        <v>SANTO</v>
      </c>
      <c r="J682" s="136" t="str">
        <f>'[2]All Counts'!L682</f>
        <v>MAST</v>
      </c>
      <c r="K682" s="136">
        <f>'[2]All Counts'!O682</f>
        <v>17040</v>
      </c>
      <c r="L682" s="57">
        <f>VLOOKUP(ws[[#This Row],[hwycov_id]],readme!D:G,4,FALSE)</f>
        <v>20860.212890999999</v>
      </c>
      <c r="M682" s="88">
        <f>ws[[#This Row],[flow]]/ws[[#This Row],[count]]-1</f>
        <v>0.22419089735915487</v>
      </c>
      <c r="N682" s="89">
        <f>POWER((ws[[#This Row],[flow]]-ws[[#This Row],[count]]),2)</f>
        <v>14594026.532562573</v>
      </c>
      <c r="O682" s="43">
        <f>VLOOKUP(ws[[#This Row],[hwycov_id]],count[],6,FALSE)</f>
        <v>0</v>
      </c>
      <c r="P682" s="43">
        <v>603</v>
      </c>
      <c r="Q682" s="43" t="str">
        <f>'[2]All Counts'!P682</f>
        <v>Caltran</v>
      </c>
      <c r="S682" s="94">
        <v>28809</v>
      </c>
      <c r="T682" s="17"/>
      <c r="U682" s="17"/>
      <c r="V682" s="17">
        <v>24549</v>
      </c>
      <c r="W682" s="17">
        <v>23598.720702999999</v>
      </c>
      <c r="X682" s="17"/>
      <c r="Y682" s="17"/>
      <c r="Z682" s="17"/>
      <c r="AA682" s="17"/>
      <c r="AB682" s="17">
        <v>24549</v>
      </c>
      <c r="AC682" s="17">
        <v>23598.720702999999</v>
      </c>
      <c r="AD682"/>
      <c r="AE682"/>
    </row>
    <row r="683" spans="1:31" x14ac:dyDescent="0.25">
      <c r="A683" s="136">
        <f>'[2]All Counts'!C683</f>
        <v>24</v>
      </c>
      <c r="B683" s="136">
        <f>'[2]All Counts'!D683</f>
        <v>4</v>
      </c>
      <c r="C683" s="136">
        <f>'[2]All Counts'!E683</f>
        <v>7375</v>
      </c>
      <c r="D683" s="136">
        <f>'[2]All Counts'!F683</f>
        <v>1</v>
      </c>
      <c r="E683" s="136">
        <f>'[2]All Counts'!G683</f>
        <v>1</v>
      </c>
      <c r="F683" s="136" t="str">
        <f>'[2]All Counts'!H683</f>
        <v>SR-52 EB</v>
      </c>
      <c r="G683" s="136">
        <f>'[2]All Counts'!I683</f>
        <v>28</v>
      </c>
      <c r="H683" s="136">
        <f>'[2]All Counts'!J683</f>
        <v>0</v>
      </c>
      <c r="I683" s="136" t="str">
        <f>'[2]All Counts'!K683</f>
        <v>SANTO</v>
      </c>
      <c r="J683" s="136" t="str">
        <f>'[2]All Counts'!L683</f>
        <v>MAST</v>
      </c>
      <c r="K683" s="136">
        <f>'[2]All Counts'!O683</f>
        <v>17410</v>
      </c>
      <c r="L683" s="57">
        <f>VLOOKUP(ws[[#This Row],[hwycov_id]],readme!D:G,4,FALSE)</f>
        <v>20860.212890999999</v>
      </c>
      <c r="M683" s="88">
        <f>ws[[#This Row],[flow]]/ws[[#This Row],[count]]-1</f>
        <v>0.19817420396323948</v>
      </c>
      <c r="N683" s="89">
        <f>POWER((ws[[#This Row],[flow]]-ws[[#This Row],[count]]),2)</f>
        <v>11903968.993222572</v>
      </c>
      <c r="O683" s="43">
        <f>VLOOKUP(ws[[#This Row],[hwycov_id]],count[],6,FALSE)</f>
        <v>0</v>
      </c>
      <c r="P683" s="43">
        <v>453</v>
      </c>
      <c r="Q683" s="43" t="str">
        <f>'[2]All Counts'!P683</f>
        <v>Caltran</v>
      </c>
      <c r="S683" s="94">
        <v>28810</v>
      </c>
      <c r="T683" s="17">
        <v>29565</v>
      </c>
      <c r="U683" s="17">
        <v>38480.796875</v>
      </c>
      <c r="V683" s="17"/>
      <c r="W683" s="17"/>
      <c r="X683" s="17"/>
      <c r="Y683" s="17"/>
      <c r="Z683" s="17"/>
      <c r="AA683" s="17"/>
      <c r="AB683" s="17">
        <v>29565</v>
      </c>
      <c r="AC683" s="17">
        <v>38480.796875</v>
      </c>
      <c r="AD683"/>
      <c r="AE683"/>
    </row>
    <row r="684" spans="1:31" x14ac:dyDescent="0.25">
      <c r="A684" s="136">
        <f>'[2]All Counts'!C684</f>
        <v>24</v>
      </c>
      <c r="B684" s="136">
        <f>'[2]All Counts'!D684</f>
        <v>4</v>
      </c>
      <c r="C684" s="136">
        <f>'[2]All Counts'!E684</f>
        <v>15239</v>
      </c>
      <c r="D684" s="136">
        <f>'[2]All Counts'!F684</f>
        <v>1</v>
      </c>
      <c r="E684" s="136">
        <f>'[2]All Counts'!G684</f>
        <v>1</v>
      </c>
      <c r="F684" s="136" t="str">
        <f>'[2]All Counts'!H684</f>
        <v>SR-52 EB</v>
      </c>
      <c r="G684" s="136">
        <f>'[2]All Counts'!I684</f>
        <v>29</v>
      </c>
      <c r="H684" s="136">
        <f>'[2]All Counts'!J684</f>
        <v>0</v>
      </c>
      <c r="I684" s="136" t="str">
        <f>'[2]All Counts'!K684</f>
        <v>MAST</v>
      </c>
      <c r="J684" s="136" t="str">
        <f>'[2]All Counts'!L684</f>
        <v>MAST</v>
      </c>
      <c r="K684" s="136">
        <f>'[2]All Counts'!O684</f>
        <v>14034</v>
      </c>
      <c r="L684" s="57">
        <f>VLOOKUP(ws[[#This Row],[hwycov_id]],readme!D:G,4,FALSE)</f>
        <v>17307.417968999998</v>
      </c>
      <c r="M684" s="88">
        <f>ws[[#This Row],[flow]]/ws[[#This Row],[count]]-1</f>
        <v>0.23324910709704993</v>
      </c>
      <c r="N684" s="89">
        <f>POWER((ws[[#This Row],[flow]]-ws[[#This Row],[count]]),2)</f>
        <v>10715265.199772073</v>
      </c>
      <c r="O684" s="43">
        <f>VLOOKUP(ws[[#This Row],[hwycov_id]],count[],6,FALSE)</f>
        <v>0</v>
      </c>
      <c r="P684" s="43">
        <v>360</v>
      </c>
      <c r="Q684" s="43" t="str">
        <f>'[2]All Counts'!P684</f>
        <v>PeMS2016</v>
      </c>
      <c r="S684" s="94">
        <v>28849</v>
      </c>
      <c r="T684" s="17"/>
      <c r="U684" s="17"/>
      <c r="V684" s="17"/>
      <c r="W684" s="17"/>
      <c r="X684" s="17">
        <v>14491</v>
      </c>
      <c r="Y684" s="17">
        <v>14762.392578000001</v>
      </c>
      <c r="Z684" s="17"/>
      <c r="AA684" s="17"/>
      <c r="AB684" s="17">
        <v>14491</v>
      </c>
      <c r="AC684" s="17">
        <v>14762.392578000001</v>
      </c>
      <c r="AD684"/>
      <c r="AE684"/>
    </row>
    <row r="685" spans="1:31" x14ac:dyDescent="0.25">
      <c r="A685" s="136">
        <f>'[2]All Counts'!C685</f>
        <v>24</v>
      </c>
      <c r="B685" s="136">
        <f>'[2]All Counts'!D685</f>
        <v>4</v>
      </c>
      <c r="C685" s="136">
        <f>'[2]All Counts'!E685</f>
        <v>11124</v>
      </c>
      <c r="D685" s="136">
        <f>'[2]All Counts'!F685</f>
        <v>1</v>
      </c>
      <c r="E685" s="136">
        <f>'[2]All Counts'!G685</f>
        <v>1</v>
      </c>
      <c r="F685" s="136" t="str">
        <f>'[2]All Counts'!H685</f>
        <v>SR-52 EB</v>
      </c>
      <c r="G685" s="136">
        <f>'[2]All Counts'!I685</f>
        <v>30</v>
      </c>
      <c r="H685" s="136">
        <f>'[2]All Counts'!J685</f>
        <v>0</v>
      </c>
      <c r="I685" s="136" t="str">
        <f>'[2]All Counts'!K685</f>
        <v>MAST</v>
      </c>
      <c r="J685" s="136" t="str">
        <f>'[2]All Counts'!L685</f>
        <v>MISSION GORGE</v>
      </c>
      <c r="K685" s="136">
        <f>'[2]All Counts'!O685</f>
        <v>14494</v>
      </c>
      <c r="L685" s="57">
        <f>VLOOKUP(ws[[#This Row],[hwycov_id]],readme!D:G,4,FALSE)</f>
        <v>17693.544922000001</v>
      </c>
      <c r="M685" s="88">
        <f>ws[[#This Row],[flow]]/ws[[#This Row],[count]]-1</f>
        <v>0.22074961515109703</v>
      </c>
      <c r="N685" s="89">
        <f>POWER((ws[[#This Row],[flow]]-ws[[#This Row],[count]]),2)</f>
        <v>10237087.707895992</v>
      </c>
      <c r="O685" s="43">
        <f>VLOOKUP(ws[[#This Row],[hwycov_id]],count[],6,FALSE)</f>
        <v>0</v>
      </c>
      <c r="P685" s="43">
        <v>52</v>
      </c>
      <c r="Q685" s="43" t="str">
        <f>'[2]All Counts'!P685</f>
        <v>Caltran</v>
      </c>
      <c r="S685" s="94">
        <v>28868</v>
      </c>
      <c r="T685" s="17"/>
      <c r="U685" s="17"/>
      <c r="V685" s="17"/>
      <c r="W685" s="17"/>
      <c r="X685" s="17">
        <v>9018</v>
      </c>
      <c r="Y685" s="17">
        <v>8092.0366210000002</v>
      </c>
      <c r="Z685" s="17"/>
      <c r="AA685" s="17"/>
      <c r="AB685" s="17">
        <v>9018</v>
      </c>
      <c r="AC685" s="17">
        <v>8092.0366210000002</v>
      </c>
      <c r="AD685"/>
      <c r="AE685"/>
    </row>
    <row r="686" spans="1:31" x14ac:dyDescent="0.25">
      <c r="A686" s="136">
        <f>'[2]All Counts'!C686</f>
        <v>24</v>
      </c>
      <c r="B686" s="136">
        <f>'[2]All Counts'!D686</f>
        <v>4</v>
      </c>
      <c r="C686" s="136">
        <f>'[2]All Counts'!E686</f>
        <v>19481</v>
      </c>
      <c r="D686" s="136">
        <f>'[2]All Counts'!F686</f>
        <v>1</v>
      </c>
      <c r="E686" s="136">
        <f>'[2]All Counts'!G686</f>
        <v>1</v>
      </c>
      <c r="F686" s="136" t="str">
        <f>'[2]All Counts'!H686</f>
        <v>SR-52 EB</v>
      </c>
      <c r="G686" s="136">
        <f>'[2]All Counts'!I686</f>
        <v>31</v>
      </c>
      <c r="H686" s="136">
        <f>'[2]All Counts'!J686</f>
        <v>0</v>
      </c>
      <c r="I686" s="136" t="str">
        <f>'[2]All Counts'!K686</f>
        <v>MISSION GORGE</v>
      </c>
      <c r="J686" s="136" t="str">
        <f>'[2]All Counts'!L686</f>
        <v>NEW MISSION GORGE</v>
      </c>
      <c r="K686" s="136">
        <f>'[2]All Counts'!O686</f>
        <v>14757</v>
      </c>
      <c r="L686" s="57">
        <f>VLOOKUP(ws[[#This Row],[hwycov_id]],readme!D:G,4,FALSE)</f>
        <v>17693.544922000001</v>
      </c>
      <c r="M686" s="88">
        <f>ws[[#This Row],[flow]]/ws[[#This Row],[count]]-1</f>
        <v>0.1989933537981976</v>
      </c>
      <c r="N686" s="89">
        <f>POWER((ws[[#This Row],[flow]]-ws[[#This Row],[count]]),2)</f>
        <v>8623296.0789239909</v>
      </c>
      <c r="O686" s="43">
        <f>VLOOKUP(ws[[#This Row],[hwycov_id]],count[],6,FALSE)</f>
        <v>0</v>
      </c>
      <c r="P686" s="43">
        <v>102</v>
      </c>
      <c r="Q686" s="43" t="str">
        <f>'[2]All Counts'!P686</f>
        <v>PeMS2016</v>
      </c>
      <c r="S686" s="94">
        <v>28899</v>
      </c>
      <c r="T686" s="17"/>
      <c r="U686" s="17"/>
      <c r="V686" s="17">
        <v>10958</v>
      </c>
      <c r="W686" s="17">
        <v>19602.171875</v>
      </c>
      <c r="X686" s="17"/>
      <c r="Y686" s="17"/>
      <c r="Z686" s="17"/>
      <c r="AA686" s="17"/>
      <c r="AB686" s="17">
        <v>10958</v>
      </c>
      <c r="AC686" s="17">
        <v>19602.171875</v>
      </c>
      <c r="AD686"/>
      <c r="AE686"/>
    </row>
    <row r="687" spans="1:31" x14ac:dyDescent="0.25">
      <c r="A687" s="136">
        <f>'[2]All Counts'!C687</f>
        <v>24</v>
      </c>
      <c r="B687" s="136">
        <f>'[2]All Counts'!D687</f>
        <v>4</v>
      </c>
      <c r="C687" s="136">
        <f>'[2]All Counts'!E687</f>
        <v>7377</v>
      </c>
      <c r="D687" s="136">
        <f>'[2]All Counts'!F687</f>
        <v>1</v>
      </c>
      <c r="E687" s="136">
        <f>'[2]All Counts'!G687</f>
        <v>1</v>
      </c>
      <c r="F687" s="136" t="str">
        <f>'[2]All Counts'!H687</f>
        <v>SR-52 EB</v>
      </c>
      <c r="G687" s="136">
        <f>'[2]All Counts'!I687</f>
        <v>36</v>
      </c>
      <c r="H687" s="136">
        <f>'[2]All Counts'!J687</f>
        <v>0</v>
      </c>
      <c r="I687" s="136" t="str">
        <f>'[2]All Counts'!K687</f>
        <v>FANITA</v>
      </c>
      <c r="J687" s="136" t="str">
        <f>'[2]All Counts'!L687</f>
        <v>CUYAMACA</v>
      </c>
      <c r="K687" s="136">
        <f>'[2]All Counts'!O687</f>
        <v>12887</v>
      </c>
      <c r="L687" s="57">
        <f>VLOOKUP(ws[[#This Row],[hwycov_id]],readme!D:G,4,FALSE)</f>
        <v>15300.839844</v>
      </c>
      <c r="M687" s="88">
        <f>ws[[#This Row],[flow]]/ws[[#This Row],[count]]-1</f>
        <v>0.18730812788081019</v>
      </c>
      <c r="N687" s="89">
        <f>POWER((ws[[#This Row],[flow]]-ws[[#This Row],[count]]),2)</f>
        <v>5826622.7924819449</v>
      </c>
      <c r="O687" s="43">
        <f>VLOOKUP(ws[[#This Row],[hwycov_id]],count[],6,FALSE)</f>
        <v>0</v>
      </c>
      <c r="P687" s="43">
        <v>462</v>
      </c>
      <c r="Q687" s="43" t="str">
        <f>'[2]All Counts'!P687</f>
        <v>Caltran</v>
      </c>
      <c r="S687" s="94">
        <v>28904</v>
      </c>
      <c r="T687" s="17"/>
      <c r="U687" s="17"/>
      <c r="V687" s="17"/>
      <c r="W687" s="17"/>
      <c r="X687" s="17"/>
      <c r="Y687" s="17"/>
      <c r="Z687" s="17">
        <v>6136</v>
      </c>
      <c r="AA687" s="17">
        <v>12705.788086</v>
      </c>
      <c r="AB687" s="17">
        <v>6136</v>
      </c>
      <c r="AC687" s="17">
        <v>12705.788086</v>
      </c>
      <c r="AD687"/>
      <c r="AE687"/>
    </row>
    <row r="688" spans="1:31" x14ac:dyDescent="0.25">
      <c r="A688" s="136">
        <f>'[2]All Counts'!C688</f>
        <v>24</v>
      </c>
      <c r="B688" s="136">
        <f>'[2]All Counts'!D688</f>
        <v>4</v>
      </c>
      <c r="C688" s="136">
        <f>'[2]All Counts'!E688</f>
        <v>27229</v>
      </c>
      <c r="D688" s="136">
        <f>'[2]All Counts'!F688</f>
        <v>1</v>
      </c>
      <c r="E688" s="136">
        <f>'[2]All Counts'!G688</f>
        <v>1</v>
      </c>
      <c r="F688" s="136" t="str">
        <f>'[2]All Counts'!H688</f>
        <v>SR-52 EB</v>
      </c>
      <c r="G688" s="136">
        <f>'[2]All Counts'!I688</f>
        <v>38</v>
      </c>
      <c r="H688" s="136">
        <f>'[2]All Counts'!J688</f>
        <v>0</v>
      </c>
      <c r="I688" s="136" t="str">
        <f>'[2]All Counts'!K688</f>
        <v>CUYAMACA</v>
      </c>
      <c r="J688" s="136" t="str">
        <f>'[2]All Counts'!L688</f>
        <v>MAGNOLIA</v>
      </c>
      <c r="K688" s="136">
        <f>'[2]All Counts'!O688</f>
        <v>12478</v>
      </c>
      <c r="L688" s="57">
        <f>VLOOKUP(ws[[#This Row],[hwycov_id]],readme!D:G,4,FALSE)</f>
        <v>14889.771484000001</v>
      </c>
      <c r="M688" s="88">
        <f>ws[[#This Row],[flow]]/ws[[#This Row],[count]]-1</f>
        <v>0.19328189485494485</v>
      </c>
      <c r="N688" s="89">
        <f>POWER((ws[[#This Row],[flow]]-ws[[#This Row],[count]]),2)</f>
        <v>5816641.6910355659</v>
      </c>
      <c r="O688" s="43">
        <f>VLOOKUP(ws[[#This Row],[hwycov_id]],count[],6,FALSE)</f>
        <v>0</v>
      </c>
      <c r="P688" s="43">
        <v>682</v>
      </c>
      <c r="Q688" s="43" t="str">
        <f>'[2]All Counts'!P688</f>
        <v>Caltran</v>
      </c>
      <c r="S688" s="94">
        <v>28923</v>
      </c>
      <c r="T688" s="17">
        <v>3622</v>
      </c>
      <c r="U688" s="17">
        <v>4722.7475590000004</v>
      </c>
      <c r="V688" s="17"/>
      <c r="W688" s="17"/>
      <c r="X688" s="17"/>
      <c r="Y688" s="17"/>
      <c r="Z688" s="17"/>
      <c r="AA688" s="17"/>
      <c r="AB688" s="17">
        <v>3622</v>
      </c>
      <c r="AC688" s="17">
        <v>4722.7475590000004</v>
      </c>
      <c r="AD688"/>
      <c r="AE688"/>
    </row>
    <row r="689" spans="1:31" x14ac:dyDescent="0.25">
      <c r="A689" s="136">
        <f>'[2]All Counts'!C689</f>
        <v>25</v>
      </c>
      <c r="B689" s="136">
        <f>'[2]All Counts'!D689</f>
        <v>4</v>
      </c>
      <c r="C689" s="136">
        <f>'[2]All Counts'!E689</f>
        <v>27959</v>
      </c>
      <c r="D689" s="136">
        <f>'[2]All Counts'!F689</f>
        <v>1</v>
      </c>
      <c r="E689" s="136">
        <f>'[2]All Counts'!G689</f>
        <v>1</v>
      </c>
      <c r="F689" s="136" t="str">
        <f>'[2]All Counts'!H689</f>
        <v>SR-54 EB</v>
      </c>
      <c r="G689" s="136">
        <f>'[2]All Counts'!I689</f>
        <v>1</v>
      </c>
      <c r="H689" s="136">
        <f>'[2]All Counts'!J689</f>
        <v>0</v>
      </c>
      <c r="I689" s="136" t="str">
        <f>'[2]All Counts'!K689</f>
        <v>NATIONAL CITY</v>
      </c>
      <c r="J689" s="136" t="str">
        <f>'[2]All Counts'!L689</f>
        <v>HIGHLAND</v>
      </c>
      <c r="K689" s="136">
        <f>'[2]All Counts'!O689</f>
        <v>15496</v>
      </c>
      <c r="L689" s="57">
        <f>VLOOKUP(ws[[#This Row],[hwycov_id]],readme!D:G,4,FALSE)</f>
        <v>16487.349609000001</v>
      </c>
      <c r="M689" s="88">
        <f>ws[[#This Row],[flow]]/ws[[#This Row],[count]]-1</f>
        <v>6.3974548851316593E-2</v>
      </c>
      <c r="N689" s="89">
        <f>POWER((ws[[#This Row],[flow]]-ws[[#This Row],[count]]),2)</f>
        <v>982774.04726445442</v>
      </c>
      <c r="O689" s="43">
        <f>VLOOKUP(ws[[#This Row],[hwycov_id]],count[],6,FALSE)</f>
        <v>0</v>
      </c>
      <c r="P689" s="43">
        <v>134</v>
      </c>
      <c r="Q689" s="43" t="str">
        <f>'[2]All Counts'!P689</f>
        <v>Caltran</v>
      </c>
      <c r="S689" s="94">
        <v>28924</v>
      </c>
      <c r="T689" s="17">
        <v>8862</v>
      </c>
      <c r="U689" s="17">
        <v>9140.53125</v>
      </c>
      <c r="V689" s="17"/>
      <c r="W689" s="17"/>
      <c r="X689" s="17"/>
      <c r="Y689" s="17"/>
      <c r="Z689" s="17"/>
      <c r="AA689" s="17"/>
      <c r="AB689" s="17">
        <v>8862</v>
      </c>
      <c r="AC689" s="17">
        <v>9140.53125</v>
      </c>
      <c r="AD689"/>
      <c r="AE689"/>
    </row>
    <row r="690" spans="1:31" x14ac:dyDescent="0.25">
      <c r="A690" s="136">
        <f>'[2]All Counts'!C690</f>
        <v>25</v>
      </c>
      <c r="B690" s="136">
        <f>'[2]All Counts'!D690</f>
        <v>4</v>
      </c>
      <c r="C690" s="136">
        <f>'[2]All Counts'!E690</f>
        <v>28676</v>
      </c>
      <c r="D690" s="136">
        <f>'[2]All Counts'!F690</f>
        <v>1</v>
      </c>
      <c r="E690" s="136">
        <f>'[2]All Counts'!G690</f>
        <v>1</v>
      </c>
      <c r="F690" s="136" t="str">
        <f>'[2]All Counts'!H690</f>
        <v>SR-54 EB</v>
      </c>
      <c r="G690" s="136">
        <f>'[2]All Counts'!I690</f>
        <v>6</v>
      </c>
      <c r="H690" s="136">
        <f>'[2]All Counts'!J690</f>
        <v>0</v>
      </c>
      <c r="I690" s="136" t="str">
        <f>'[2]All Counts'!K690</f>
        <v>I-805 NB</v>
      </c>
      <c r="J690" s="136" t="str">
        <f>'[2]All Counts'!L690</f>
        <v>VALLEY</v>
      </c>
      <c r="K690" s="136">
        <f>'[2]All Counts'!O690</f>
        <v>18999</v>
      </c>
      <c r="L690" s="57">
        <f>VLOOKUP(ws[[#This Row],[hwycov_id]],readme!D:G,4,FALSE)</f>
        <v>18615.066406000002</v>
      </c>
      <c r="M690" s="88">
        <f>ws[[#This Row],[flow]]/ws[[#This Row],[count]]-1</f>
        <v>-2.0208094847097069E-2</v>
      </c>
      <c r="N690" s="89">
        <f>POWER((ws[[#This Row],[flow]]-ws[[#This Row],[count]]),2)</f>
        <v>147405.0046017555</v>
      </c>
      <c r="O690" s="43">
        <f>VLOOKUP(ws[[#This Row],[hwycov_id]],count[],6,FALSE)</f>
        <v>0</v>
      </c>
      <c r="P690" s="43">
        <v>133</v>
      </c>
      <c r="Q690" s="43" t="str">
        <f>'[2]All Counts'!P690</f>
        <v>Caltran</v>
      </c>
      <c r="S690" s="94">
        <v>28925</v>
      </c>
      <c r="T690" s="17"/>
      <c r="U690" s="17"/>
      <c r="V690" s="17">
        <v>5438</v>
      </c>
      <c r="W690" s="17">
        <v>4813.5258789999998</v>
      </c>
      <c r="X690" s="17"/>
      <c r="Y690" s="17"/>
      <c r="Z690" s="17"/>
      <c r="AA690" s="17"/>
      <c r="AB690" s="17">
        <v>5438</v>
      </c>
      <c r="AC690" s="17">
        <v>4813.5258789999998</v>
      </c>
      <c r="AD690"/>
      <c r="AE690"/>
    </row>
    <row r="691" spans="1:31" x14ac:dyDescent="0.25">
      <c r="A691" s="136">
        <f>'[2]All Counts'!C691</f>
        <v>25</v>
      </c>
      <c r="B691" s="136">
        <f>'[2]All Counts'!D691</f>
        <v>4</v>
      </c>
      <c r="C691" s="136">
        <f>'[2]All Counts'!E691</f>
        <v>28678</v>
      </c>
      <c r="D691" s="136">
        <f>'[2]All Counts'!F691</f>
        <v>1</v>
      </c>
      <c r="E691" s="136">
        <f>'[2]All Counts'!G691</f>
        <v>1</v>
      </c>
      <c r="F691" s="136" t="str">
        <f>'[2]All Counts'!H691</f>
        <v>SR-54 EB</v>
      </c>
      <c r="G691" s="136">
        <f>'[2]All Counts'!I691</f>
        <v>7</v>
      </c>
      <c r="H691" s="136">
        <f>'[2]All Counts'!J691</f>
        <v>0</v>
      </c>
      <c r="I691" s="136" t="str">
        <f>'[2]All Counts'!K691</f>
        <v>VALLEY</v>
      </c>
      <c r="J691" s="136" t="str">
        <f>'[2]All Counts'!L691</f>
        <v>VALLEY</v>
      </c>
      <c r="K691" s="136">
        <f>'[2]All Counts'!O691</f>
        <v>16037</v>
      </c>
      <c r="L691" s="57">
        <f>VLOOKUP(ws[[#This Row],[hwycov_id]],readme!D:G,4,FALSE)</f>
        <v>16295.623046999999</v>
      </c>
      <c r="M691" s="88">
        <f>ws[[#This Row],[flow]]/ws[[#This Row],[count]]-1</f>
        <v>1.6126647565005925E-2</v>
      </c>
      <c r="N691" s="89">
        <f>POWER((ws[[#This Row],[flow]]-ws[[#This Row],[count]]),2)</f>
        <v>66885.880439563756</v>
      </c>
      <c r="O691" s="43">
        <f>VLOOKUP(ws[[#This Row],[hwycov_id]],count[],6,FALSE)</f>
        <v>0</v>
      </c>
      <c r="P691" s="43">
        <v>644</v>
      </c>
      <c r="Q691" s="43" t="str">
        <f>'[2]All Counts'!P691</f>
        <v>PeMS2016</v>
      </c>
      <c r="S691" s="94">
        <v>28938</v>
      </c>
      <c r="T691" s="17"/>
      <c r="U691" s="17"/>
      <c r="V691" s="17">
        <v>11022</v>
      </c>
      <c r="W691" s="17">
        <v>10223.458008</v>
      </c>
      <c r="X691" s="17"/>
      <c r="Y691" s="17"/>
      <c r="Z691" s="17"/>
      <c r="AA691" s="17"/>
      <c r="AB691" s="17">
        <v>11022</v>
      </c>
      <c r="AC691" s="17">
        <v>10223.458008</v>
      </c>
      <c r="AD691"/>
      <c r="AE691"/>
    </row>
    <row r="692" spans="1:31" x14ac:dyDescent="0.25">
      <c r="A692" s="136">
        <f>'[2]All Counts'!C692</f>
        <v>25</v>
      </c>
      <c r="B692" s="136">
        <f>'[2]All Counts'!D692</f>
        <v>4</v>
      </c>
      <c r="C692" s="136">
        <f>'[2]All Counts'!E692</f>
        <v>14143</v>
      </c>
      <c r="D692" s="136">
        <f>'[2]All Counts'!F692</f>
        <v>1</v>
      </c>
      <c r="E692" s="136">
        <f>'[2]All Counts'!G692</f>
        <v>1</v>
      </c>
      <c r="F692" s="136" t="str">
        <f>'[2]All Counts'!H692</f>
        <v>SR-54 EB</v>
      </c>
      <c r="G692" s="136">
        <f>'[2]All Counts'!I692</f>
        <v>8</v>
      </c>
      <c r="H692" s="136">
        <f>'[2]All Counts'!J692</f>
        <v>0</v>
      </c>
      <c r="I692" s="136" t="str">
        <f>'[2]All Counts'!K692</f>
        <v>VALLEY</v>
      </c>
      <c r="J692" s="136" t="str">
        <f>'[2]All Counts'!L692</f>
        <v>WOODMAN</v>
      </c>
      <c r="K692" s="136">
        <f>'[2]All Counts'!O692</f>
        <v>17321</v>
      </c>
      <c r="L692" s="57">
        <f>VLOOKUP(ws[[#This Row],[hwycov_id]],readme!D:G,4,FALSE)</f>
        <v>17350.5</v>
      </c>
      <c r="M692" s="88">
        <f>ws[[#This Row],[flow]]/ws[[#This Row],[count]]-1</f>
        <v>1.7031349229259529E-3</v>
      </c>
      <c r="N692" s="89">
        <f>POWER((ws[[#This Row],[flow]]-ws[[#This Row],[count]]),2)</f>
        <v>870.25</v>
      </c>
      <c r="O692" s="43">
        <f>VLOOKUP(ws[[#This Row],[hwycov_id]],count[],6,FALSE)</f>
        <v>0</v>
      </c>
      <c r="P692" s="43">
        <v>649</v>
      </c>
      <c r="Q692" s="43" t="str">
        <f>'[2]All Counts'!P692</f>
        <v>Caltran</v>
      </c>
      <c r="S692" s="94">
        <v>28939</v>
      </c>
      <c r="T692" s="17">
        <v>9161</v>
      </c>
      <c r="U692" s="17">
        <v>9474.3300780000009</v>
      </c>
      <c r="V692" s="17"/>
      <c r="W692" s="17"/>
      <c r="X692" s="17"/>
      <c r="Y692" s="17"/>
      <c r="Z692" s="17"/>
      <c r="AA692" s="17"/>
      <c r="AB692" s="17">
        <v>9161</v>
      </c>
      <c r="AC692" s="17">
        <v>9474.3300780000009</v>
      </c>
      <c r="AD692"/>
      <c r="AE692"/>
    </row>
    <row r="693" spans="1:31" x14ac:dyDescent="0.25">
      <c r="A693" s="136">
        <f>'[2]All Counts'!C693</f>
        <v>25</v>
      </c>
      <c r="B693" s="136">
        <f>'[2]All Counts'!D693</f>
        <v>4</v>
      </c>
      <c r="C693" s="136">
        <f>'[2]All Counts'!E693</f>
        <v>14151</v>
      </c>
      <c r="D693" s="136">
        <f>'[2]All Counts'!F693</f>
        <v>1</v>
      </c>
      <c r="E693" s="136">
        <f>'[2]All Counts'!G693</f>
        <v>1</v>
      </c>
      <c r="F693" s="136" t="str">
        <f>'[2]All Counts'!H693</f>
        <v>SR-54 EB</v>
      </c>
      <c r="G693" s="136">
        <f>'[2]All Counts'!I693</f>
        <v>9</v>
      </c>
      <c r="H693" s="136">
        <f>'[2]All Counts'!J693</f>
        <v>0</v>
      </c>
      <c r="I693" s="136" t="str">
        <f>'[2]All Counts'!K693</f>
        <v>WOODMAN</v>
      </c>
      <c r="J693" s="136" t="str">
        <f>'[2]All Counts'!L693</f>
        <v>WOODMAN</v>
      </c>
      <c r="K693" s="136">
        <f>'[2]All Counts'!O693</f>
        <v>15033</v>
      </c>
      <c r="L693" s="57">
        <f>VLOOKUP(ws[[#This Row],[hwycov_id]],readme!D:G,4,FALSE)</f>
        <v>15216.630859000001</v>
      </c>
      <c r="M693" s="88">
        <f>ws[[#This Row],[flow]]/ws[[#This Row],[count]]-1</f>
        <v>1.221518386217002E-2</v>
      </c>
      <c r="N693" s="89">
        <f>POWER((ws[[#This Row],[flow]]-ws[[#This Row],[count]]),2)</f>
        <v>33720.292377078171</v>
      </c>
      <c r="O693" s="43">
        <f>VLOOKUP(ws[[#This Row],[hwycov_id]],count[],6,FALSE)</f>
        <v>0</v>
      </c>
      <c r="P693" s="43">
        <v>129</v>
      </c>
      <c r="Q693" s="43" t="str">
        <f>'[2]All Counts'!P693</f>
        <v>PeMS2016</v>
      </c>
      <c r="S693" s="94">
        <v>28940</v>
      </c>
      <c r="T693" s="17">
        <v>11629</v>
      </c>
      <c r="U693" s="17">
        <v>10271.800781</v>
      </c>
      <c r="V693" s="17"/>
      <c r="W693" s="17"/>
      <c r="X693" s="17"/>
      <c r="Y693" s="17"/>
      <c r="Z693" s="17"/>
      <c r="AA693" s="17"/>
      <c r="AB693" s="17">
        <v>11629</v>
      </c>
      <c r="AC693" s="17">
        <v>10271.800781</v>
      </c>
      <c r="AD693"/>
      <c r="AE693"/>
    </row>
    <row r="694" spans="1:31" x14ac:dyDescent="0.25">
      <c r="A694" s="136">
        <f>'[2]All Counts'!C694</f>
        <v>25</v>
      </c>
      <c r="B694" s="136">
        <f>'[2]All Counts'!D694</f>
        <v>4</v>
      </c>
      <c r="C694" s="136">
        <f>'[2]All Counts'!E694</f>
        <v>14153</v>
      </c>
      <c r="D694" s="136">
        <f>'[2]All Counts'!F694</f>
        <v>1</v>
      </c>
      <c r="E694" s="136">
        <f>'[2]All Counts'!G694</f>
        <v>1</v>
      </c>
      <c r="F694" s="136" t="str">
        <f>'[2]All Counts'!H694</f>
        <v>SR-54 EB</v>
      </c>
      <c r="G694" s="136">
        <f>'[2]All Counts'!I694</f>
        <v>10</v>
      </c>
      <c r="H694" s="136">
        <f>'[2]All Counts'!J694</f>
        <v>0</v>
      </c>
      <c r="I694" s="136" t="str">
        <f>'[2]All Counts'!K694</f>
        <v>WOODMAN</v>
      </c>
      <c r="J694" s="136" t="str">
        <f>'[2]All Counts'!L694</f>
        <v>BRIARWOOD</v>
      </c>
      <c r="K694" s="136">
        <f>'[2]All Counts'!O694</f>
        <v>15541</v>
      </c>
      <c r="L694" s="57">
        <f>VLOOKUP(ws[[#This Row],[hwycov_id]],readme!D:G,4,FALSE)</f>
        <v>15781.353515999999</v>
      </c>
      <c r="M694" s="88">
        <f>ws[[#This Row],[flow]]/ws[[#This Row],[count]]-1</f>
        <v>1.54657689981339E-2</v>
      </c>
      <c r="N694" s="89">
        <f>POWER((ws[[#This Row],[flow]]-ws[[#This Row],[count]]),2)</f>
        <v>57769.812653561879</v>
      </c>
      <c r="O694" s="43">
        <f>VLOOKUP(ws[[#This Row],[hwycov_id]],count[],6,FALSE)</f>
        <v>0</v>
      </c>
      <c r="P694" s="43">
        <v>130</v>
      </c>
      <c r="Q694" s="43" t="str">
        <f>'[2]All Counts'!P694</f>
        <v>Caltran</v>
      </c>
      <c r="S694" s="94">
        <v>28941</v>
      </c>
      <c r="T694" s="17"/>
      <c r="U694" s="17"/>
      <c r="V694" s="17">
        <v>12576</v>
      </c>
      <c r="W694" s="17">
        <v>10987.779296999999</v>
      </c>
      <c r="X694" s="17"/>
      <c r="Y694" s="17"/>
      <c r="Z694" s="17"/>
      <c r="AA694" s="17"/>
      <c r="AB694" s="17">
        <v>12576</v>
      </c>
      <c r="AC694" s="17">
        <v>10987.779296999999</v>
      </c>
      <c r="AD694"/>
      <c r="AE694"/>
    </row>
    <row r="695" spans="1:31" x14ac:dyDescent="0.25">
      <c r="A695" s="136">
        <f>'[2]All Counts'!C695</f>
        <v>25</v>
      </c>
      <c r="B695" s="136">
        <f>'[2]All Counts'!D695</f>
        <v>4</v>
      </c>
      <c r="C695" s="136">
        <f>'[2]All Counts'!E695</f>
        <v>7514</v>
      </c>
      <c r="D695" s="136">
        <f>'[2]All Counts'!F695</f>
        <v>1</v>
      </c>
      <c r="E695" s="136">
        <f>'[2]All Counts'!G695</f>
        <v>1</v>
      </c>
      <c r="F695" s="136" t="str">
        <f>'[2]All Counts'!H695</f>
        <v>SR-54 EB</v>
      </c>
      <c r="G695" s="136">
        <f>'[2]All Counts'!I695</f>
        <v>11</v>
      </c>
      <c r="H695" s="136">
        <f>'[2]All Counts'!J695</f>
        <v>0</v>
      </c>
      <c r="I695" s="136" t="str">
        <f>'[2]All Counts'!K695</f>
        <v>BRIARWOOD</v>
      </c>
      <c r="J695" s="136" t="str">
        <f>'[2]All Counts'!L695</f>
        <v>BRIARWOOD</v>
      </c>
      <c r="K695" s="136">
        <f>'[2]All Counts'!O695</f>
        <v>12664</v>
      </c>
      <c r="L695" s="57">
        <f>VLOOKUP(ws[[#This Row],[hwycov_id]],readme!D:G,4,FALSE)</f>
        <v>12700.825194999999</v>
      </c>
      <c r="M695" s="88">
        <f>ws[[#This Row],[flow]]/ws[[#This Row],[count]]-1</f>
        <v>2.9078644188249569E-3</v>
      </c>
      <c r="N695" s="89">
        <f>POWER((ws[[#This Row],[flow]]-ws[[#This Row],[count]]),2)</f>
        <v>1356.0949867879838</v>
      </c>
      <c r="O695" s="43">
        <f>VLOOKUP(ws[[#This Row],[hwycov_id]],count[],6,FALSE)</f>
        <v>0</v>
      </c>
      <c r="P695" s="43">
        <v>648</v>
      </c>
      <c r="Q695" s="43" t="str">
        <f>'[2]All Counts'!P695</f>
        <v>PeMS2016</v>
      </c>
      <c r="S695" s="94">
        <v>28945</v>
      </c>
      <c r="T695" s="17">
        <v>6963</v>
      </c>
      <c r="U695" s="17">
        <v>6347.7446289999998</v>
      </c>
      <c r="V695" s="17"/>
      <c r="W695" s="17"/>
      <c r="X695" s="17"/>
      <c r="Y695" s="17"/>
      <c r="Z695" s="17"/>
      <c r="AA695" s="17"/>
      <c r="AB695" s="17">
        <v>6963</v>
      </c>
      <c r="AC695" s="17">
        <v>6347.7446289999998</v>
      </c>
      <c r="AD695"/>
      <c r="AE695"/>
    </row>
    <row r="696" spans="1:31" x14ac:dyDescent="0.25">
      <c r="A696" s="136">
        <f>'[2]All Counts'!C696</f>
        <v>25</v>
      </c>
      <c r="B696" s="136">
        <f>'[2]All Counts'!D696</f>
        <v>4</v>
      </c>
      <c r="C696" s="136">
        <f>'[2]All Counts'!E696</f>
        <v>7525</v>
      </c>
      <c r="D696" s="136">
        <f>'[2]All Counts'!F696</f>
        <v>1</v>
      </c>
      <c r="E696" s="136">
        <f>'[2]All Counts'!G696</f>
        <v>1</v>
      </c>
      <c r="F696" s="136" t="str">
        <f>'[2]All Counts'!H696</f>
        <v>SR-54 EB</v>
      </c>
      <c r="G696" s="136">
        <f>'[2]All Counts'!I696</f>
        <v>12</v>
      </c>
      <c r="H696" s="136">
        <f>'[2]All Counts'!J696</f>
        <v>0</v>
      </c>
      <c r="I696" s="136" t="str">
        <f>'[2]All Counts'!K696</f>
        <v>BRIARWOOD</v>
      </c>
      <c r="J696" s="136" t="str">
        <f>'[2]All Counts'!L696</f>
        <v>SR-125 SB</v>
      </c>
      <c r="K696" s="136">
        <f>'[2]All Counts'!O696</f>
        <v>13722</v>
      </c>
      <c r="L696" s="57">
        <f>VLOOKUP(ws[[#This Row],[hwycov_id]],readme!D:G,4,FALSE)</f>
        <v>14583.092773</v>
      </c>
      <c r="M696" s="88">
        <f>ws[[#This Row],[flow]]/ws[[#This Row],[count]]-1</f>
        <v>6.2752716295000788E-2</v>
      </c>
      <c r="N696" s="89">
        <f>POWER((ws[[#This Row],[flow]]-ws[[#This Row],[count]]),2)</f>
        <v>741480.76371283003</v>
      </c>
      <c r="O696" s="43">
        <f>VLOOKUP(ws[[#This Row],[hwycov_id]],count[],6,FALSE)</f>
        <v>0</v>
      </c>
      <c r="P696" s="43">
        <v>131</v>
      </c>
      <c r="Q696" s="43" t="str">
        <f>'[2]All Counts'!P696</f>
        <v>Caltran</v>
      </c>
      <c r="S696" s="94">
        <v>28948</v>
      </c>
      <c r="T696" s="17">
        <v>6914</v>
      </c>
      <c r="U696" s="17">
        <v>6347.7446289999998</v>
      </c>
      <c r="V696" s="17"/>
      <c r="W696" s="17"/>
      <c r="X696" s="17"/>
      <c r="Y696" s="17"/>
      <c r="Z696" s="17"/>
      <c r="AA696" s="17"/>
      <c r="AB696" s="17">
        <v>6914</v>
      </c>
      <c r="AC696" s="17">
        <v>6347.7446289999998</v>
      </c>
      <c r="AD696"/>
      <c r="AE696"/>
    </row>
    <row r="697" spans="1:31" x14ac:dyDescent="0.25">
      <c r="A697" s="136">
        <f>'[2]All Counts'!C697</f>
        <v>26</v>
      </c>
      <c r="B697" s="136">
        <f>'[2]All Counts'!D697</f>
        <v>4</v>
      </c>
      <c r="C697" s="136">
        <f>'[2]All Counts'!E697</f>
        <v>7636</v>
      </c>
      <c r="D697" s="136">
        <f>'[2]All Counts'!F697</f>
        <v>1</v>
      </c>
      <c r="E697" s="136">
        <f>'[2]All Counts'!G697</f>
        <v>1</v>
      </c>
      <c r="F697" s="136" t="str">
        <f>'[2]All Counts'!H697</f>
        <v>SR-56 EB</v>
      </c>
      <c r="G697" s="136">
        <f>'[2]All Counts'!I697</f>
        <v>1</v>
      </c>
      <c r="H697" s="136">
        <f>'[2]All Counts'!J697</f>
        <v>0</v>
      </c>
      <c r="I697" s="136" t="str">
        <f>'[2]All Counts'!K697</f>
        <v>EL CAMINO REAL</v>
      </c>
      <c r="J697" s="136" t="str">
        <f>'[2]All Counts'!L697</f>
        <v>CARMEL CREEK</v>
      </c>
      <c r="K697" s="136">
        <f>'[2]All Counts'!O697</f>
        <v>11173</v>
      </c>
      <c r="L697" s="57">
        <f>VLOOKUP(ws[[#This Row],[hwycov_id]],readme!D:G,4,FALSE)</f>
        <v>9782.2451170000004</v>
      </c>
      <c r="M697" s="88">
        <f>ws[[#This Row],[flow]]/ws[[#This Row],[count]]-1</f>
        <v>-0.12447461585966169</v>
      </c>
      <c r="N697" s="89">
        <f>POWER((ws[[#This Row],[flow]]-ws[[#This Row],[count]]),2)</f>
        <v>1934199.1445883426</v>
      </c>
      <c r="O697" s="43">
        <f>VLOOKUP(ws[[#This Row],[hwycov_id]],count[],6,FALSE)</f>
        <v>0</v>
      </c>
      <c r="P697" s="43">
        <v>132</v>
      </c>
      <c r="Q697" s="43" t="str">
        <f>'[2]All Counts'!P697</f>
        <v>PeMS2016</v>
      </c>
      <c r="S697" s="94">
        <v>28949</v>
      </c>
      <c r="T697" s="17"/>
      <c r="U697" s="17"/>
      <c r="V697" s="17">
        <v>7791</v>
      </c>
      <c r="W697" s="17">
        <v>5423.7290039999998</v>
      </c>
      <c r="X697" s="17"/>
      <c r="Y697" s="17"/>
      <c r="Z697" s="17"/>
      <c r="AA697" s="17"/>
      <c r="AB697" s="17">
        <v>7791</v>
      </c>
      <c r="AC697" s="17">
        <v>5423.7290039999998</v>
      </c>
      <c r="AD697"/>
      <c r="AE697"/>
    </row>
    <row r="698" spans="1:31" x14ac:dyDescent="0.25">
      <c r="A698" s="136">
        <f>'[2]All Counts'!C698</f>
        <v>26</v>
      </c>
      <c r="B698" s="136">
        <f>'[2]All Counts'!D698</f>
        <v>4</v>
      </c>
      <c r="C698" s="136">
        <f>'[2]All Counts'!E698</f>
        <v>27505</v>
      </c>
      <c r="D698" s="136">
        <f>'[2]All Counts'!F698</f>
        <v>1</v>
      </c>
      <c r="E698" s="136">
        <f>'[2]All Counts'!G698</f>
        <v>1</v>
      </c>
      <c r="F698" s="136" t="str">
        <f>'[2]All Counts'!H698</f>
        <v>SR-56 EB</v>
      </c>
      <c r="G698" s="136">
        <f>'[2]All Counts'!I698</f>
        <v>3</v>
      </c>
      <c r="H698" s="136">
        <f>'[2]All Counts'!J698</f>
        <v>0</v>
      </c>
      <c r="I698" s="136" t="str">
        <f>'[2]All Counts'!K698</f>
        <v>CARMEL CREEK</v>
      </c>
      <c r="J698" s="136" t="str">
        <f>'[2]All Counts'!L698</f>
        <v>CARMEL CREEK</v>
      </c>
      <c r="K698" s="136">
        <f>'[2]All Counts'!O698</f>
        <v>11784</v>
      </c>
      <c r="L698" s="57">
        <f>VLOOKUP(ws[[#This Row],[hwycov_id]],readme!D:G,4,FALSE)</f>
        <v>14180.369140999999</v>
      </c>
      <c r="M698" s="88">
        <f>ws[[#This Row],[flow]]/ws[[#This Row],[count]]-1</f>
        <v>0.20335787007807182</v>
      </c>
      <c r="N698" s="89">
        <f>POWER((ws[[#This Row],[flow]]-ws[[#This Row],[count]]),2)</f>
        <v>5742585.0599370738</v>
      </c>
      <c r="O698" s="43">
        <f>VLOOKUP(ws[[#This Row],[hwycov_id]],count[],6,FALSE)</f>
        <v>0</v>
      </c>
      <c r="P698" s="43">
        <v>646</v>
      </c>
      <c r="Q698" s="43" t="str">
        <f>'[2]All Counts'!P698</f>
        <v>PeMS2016</v>
      </c>
      <c r="S698" s="94">
        <v>28950</v>
      </c>
      <c r="T698" s="17"/>
      <c r="U698" s="17"/>
      <c r="V698" s="17">
        <v>10546</v>
      </c>
      <c r="W698" s="17">
        <v>8111.9604490000002</v>
      </c>
      <c r="X698" s="17"/>
      <c r="Y698" s="17"/>
      <c r="Z698" s="17"/>
      <c r="AA698" s="17"/>
      <c r="AB698" s="17">
        <v>10546</v>
      </c>
      <c r="AC698" s="17">
        <v>8111.9604490000002</v>
      </c>
      <c r="AD698"/>
      <c r="AE698"/>
    </row>
    <row r="699" spans="1:31" x14ac:dyDescent="0.25">
      <c r="A699" s="136">
        <f>'[2]All Counts'!C699</f>
        <v>26</v>
      </c>
      <c r="B699" s="136">
        <f>'[2]All Counts'!D699</f>
        <v>4</v>
      </c>
      <c r="C699" s="136">
        <f>'[2]All Counts'!E699</f>
        <v>27507</v>
      </c>
      <c r="D699" s="136">
        <f>'[2]All Counts'!F699</f>
        <v>1</v>
      </c>
      <c r="E699" s="136">
        <f>'[2]All Counts'!G699</f>
        <v>1</v>
      </c>
      <c r="F699" s="136" t="str">
        <f>'[2]All Counts'!H699</f>
        <v>SR-56 EB</v>
      </c>
      <c r="G699" s="136">
        <f>'[2]All Counts'!I699</f>
        <v>4</v>
      </c>
      <c r="H699" s="136">
        <f>'[2]All Counts'!J699</f>
        <v>0</v>
      </c>
      <c r="I699" s="136" t="str">
        <f>'[2]All Counts'!K699</f>
        <v>CARMEL CREEK</v>
      </c>
      <c r="J699" s="136" t="str">
        <f>'[2]All Counts'!L699</f>
        <v>CARMEL COUNTRY</v>
      </c>
      <c r="K699" s="136">
        <f>'[2]All Counts'!O699</f>
        <v>13771</v>
      </c>
      <c r="L699" s="57">
        <f>VLOOKUP(ws[[#This Row],[hwycov_id]],readme!D:G,4,FALSE)</f>
        <v>14967.219727</v>
      </c>
      <c r="M699" s="88">
        <f>ws[[#This Row],[flow]]/ws[[#This Row],[count]]-1</f>
        <v>8.6865131580858401E-2</v>
      </c>
      <c r="N699" s="89">
        <f>POWER((ws[[#This Row],[flow]]-ws[[#This Row],[count]]),2)</f>
        <v>1430941.6352639538</v>
      </c>
      <c r="O699" s="43">
        <f>VLOOKUP(ws[[#This Row],[hwycov_id]],count[],6,FALSE)</f>
        <v>0</v>
      </c>
      <c r="P699" s="43">
        <v>645</v>
      </c>
      <c r="Q699" s="43" t="str">
        <f>'[2]All Counts'!P699</f>
        <v>Caltran</v>
      </c>
      <c r="S699" s="94">
        <v>29016</v>
      </c>
      <c r="T699" s="17"/>
      <c r="U699" s="17"/>
      <c r="V699" s="17"/>
      <c r="W699" s="17"/>
      <c r="X699" s="17">
        <v>14371</v>
      </c>
      <c r="Y699" s="17">
        <v>15430.521484000001</v>
      </c>
      <c r="Z699" s="17"/>
      <c r="AA699" s="17"/>
      <c r="AB699" s="17">
        <v>14371</v>
      </c>
      <c r="AC699" s="17">
        <v>15430.521484000001</v>
      </c>
      <c r="AD699"/>
      <c r="AE699"/>
    </row>
    <row r="700" spans="1:31" x14ac:dyDescent="0.25">
      <c r="A700" s="136">
        <f>'[2]All Counts'!C700</f>
        <v>26</v>
      </c>
      <c r="B700" s="136">
        <f>'[2]All Counts'!D700</f>
        <v>4</v>
      </c>
      <c r="C700" s="136">
        <f>'[2]All Counts'!E700</f>
        <v>29168</v>
      </c>
      <c r="D700" s="136">
        <f>'[2]All Counts'!F700</f>
        <v>1</v>
      </c>
      <c r="E700" s="136">
        <f>'[2]All Counts'!G700</f>
        <v>1</v>
      </c>
      <c r="F700" s="136" t="str">
        <f>'[2]All Counts'!H700</f>
        <v>SR-56 EB</v>
      </c>
      <c r="G700" s="136">
        <f>'[2]All Counts'!I700</f>
        <v>5</v>
      </c>
      <c r="H700" s="136">
        <f>'[2]All Counts'!J700</f>
        <v>0</v>
      </c>
      <c r="I700" s="136" t="str">
        <f>'[2]All Counts'!K700</f>
        <v>CARMEL COUNTRY</v>
      </c>
      <c r="J700" s="136" t="str">
        <f>'[2]All Counts'!L700</f>
        <v>CARMEL COUNTRY</v>
      </c>
      <c r="K700" s="136">
        <f>'[2]All Counts'!O700</f>
        <v>10644</v>
      </c>
      <c r="L700" s="57">
        <f>VLOOKUP(ws[[#This Row],[hwycov_id]],readme!D:G,4,FALSE)</f>
        <v>12655.594727</v>
      </c>
      <c r="M700" s="88">
        <f>ws[[#This Row],[flow]]/ws[[#This Row],[count]]-1</f>
        <v>0.18898860644494553</v>
      </c>
      <c r="N700" s="89">
        <f>POWER((ws[[#This Row],[flow]]-ws[[#This Row],[count]]),2)</f>
        <v>4046513.3456942034</v>
      </c>
      <c r="O700" s="43">
        <f>VLOOKUP(ws[[#This Row],[hwycov_id]],count[],6,FALSE)</f>
        <v>0</v>
      </c>
      <c r="P700" s="43">
        <v>8</v>
      </c>
      <c r="Q700" s="43" t="str">
        <f>'[2]All Counts'!P700</f>
        <v>PeMS2016</v>
      </c>
      <c r="S700" s="94">
        <v>29023</v>
      </c>
      <c r="T700" s="17"/>
      <c r="U700" s="17"/>
      <c r="V700" s="17"/>
      <c r="W700" s="17"/>
      <c r="X700" s="17"/>
      <c r="Y700" s="17"/>
      <c r="Z700" s="17">
        <v>27341</v>
      </c>
      <c r="AA700" s="17">
        <v>27589.865234000001</v>
      </c>
      <c r="AB700" s="17">
        <v>27341</v>
      </c>
      <c r="AC700" s="17">
        <v>27589.865234000001</v>
      </c>
      <c r="AD700"/>
      <c r="AE700"/>
    </row>
    <row r="701" spans="1:31" x14ac:dyDescent="0.25">
      <c r="A701" s="136">
        <f>'[2]All Counts'!C701</f>
        <v>26</v>
      </c>
      <c r="B701" s="136">
        <f>'[2]All Counts'!D701</f>
        <v>4</v>
      </c>
      <c r="C701" s="136">
        <f>'[2]All Counts'!E701</f>
        <v>16356</v>
      </c>
      <c r="D701" s="136">
        <f>'[2]All Counts'!F701</f>
        <v>1</v>
      </c>
      <c r="E701" s="136">
        <f>'[2]All Counts'!G701</f>
        <v>1</v>
      </c>
      <c r="F701" s="136" t="str">
        <f>'[2]All Counts'!H701</f>
        <v>SR-56 EB</v>
      </c>
      <c r="G701" s="136">
        <f>'[2]All Counts'!I701</f>
        <v>6</v>
      </c>
      <c r="H701" s="136">
        <f>'[2]All Counts'!J701</f>
        <v>0</v>
      </c>
      <c r="I701" s="136" t="str">
        <f>'[2]All Counts'!K701</f>
        <v>CARMEL COUNTRY</v>
      </c>
      <c r="J701" s="136" t="str">
        <f>'[2]All Counts'!L701</f>
        <v>CAMINO SANTA FE</v>
      </c>
      <c r="K701" s="136">
        <f>'[2]All Counts'!O701</f>
        <v>13298</v>
      </c>
      <c r="L701" s="57">
        <f>VLOOKUP(ws[[#This Row],[hwycov_id]],readme!D:G,4,FALSE)</f>
        <v>14247.068359000001</v>
      </c>
      <c r="M701" s="88">
        <f>ws[[#This Row],[flow]]/ws[[#This Row],[count]]-1</f>
        <v>7.1369255451947611E-2</v>
      </c>
      <c r="N701" s="89">
        <f>POWER((ws[[#This Row],[flow]]-ws[[#This Row],[count]]),2)</f>
        <v>900730.75005495432</v>
      </c>
      <c r="O701" s="43">
        <f>VLOOKUP(ws[[#This Row],[hwycov_id]],count[],6,FALSE)</f>
        <v>0</v>
      </c>
      <c r="P701" s="43">
        <v>753</v>
      </c>
      <c r="Q701" s="43" t="str">
        <f>'[2]All Counts'!P701</f>
        <v>Caltran</v>
      </c>
      <c r="S701" s="94">
        <v>29025</v>
      </c>
      <c r="T701" s="17"/>
      <c r="U701" s="17"/>
      <c r="V701" s="17"/>
      <c r="W701" s="17"/>
      <c r="X701" s="17"/>
      <c r="Y701" s="17"/>
      <c r="Z701" s="17">
        <v>21170</v>
      </c>
      <c r="AA701" s="17">
        <v>24804.322265999999</v>
      </c>
      <c r="AB701" s="17">
        <v>21170</v>
      </c>
      <c r="AC701" s="17">
        <v>24804.322265999999</v>
      </c>
      <c r="AD701"/>
      <c r="AE701"/>
    </row>
    <row r="702" spans="1:31" x14ac:dyDescent="0.25">
      <c r="A702" s="136">
        <f>'[2]All Counts'!C702</f>
        <v>26</v>
      </c>
      <c r="B702" s="136">
        <f>'[2]All Counts'!D702</f>
        <v>4</v>
      </c>
      <c r="C702" s="136">
        <f>'[2]All Counts'!E702</f>
        <v>29169</v>
      </c>
      <c r="D702" s="136">
        <f>'[2]All Counts'!F702</f>
        <v>1</v>
      </c>
      <c r="E702" s="136">
        <f>'[2]All Counts'!G702</f>
        <v>1</v>
      </c>
      <c r="F702" s="136" t="str">
        <f>'[2]All Counts'!H702</f>
        <v>SR-56 EB</v>
      </c>
      <c r="G702" s="136">
        <f>'[2]All Counts'!I702</f>
        <v>7</v>
      </c>
      <c r="H702" s="136">
        <f>'[2]All Counts'!J702</f>
        <v>0</v>
      </c>
      <c r="I702" s="136" t="str">
        <f>'[2]All Counts'!K702</f>
        <v>CAMINO SANTA FE</v>
      </c>
      <c r="J702" s="136" t="str">
        <f>'[2]All Counts'!L702</f>
        <v>CAMINO SANTA FE</v>
      </c>
      <c r="K702" s="136">
        <f>'[2]All Counts'!O702</f>
        <v>11369</v>
      </c>
      <c r="L702" s="57">
        <f>VLOOKUP(ws[[#This Row],[hwycov_id]],readme!D:G,4,FALSE)</f>
        <v>11474.403319999999</v>
      </c>
      <c r="M702" s="88">
        <f>ws[[#This Row],[flow]]/ws[[#This Row],[count]]-1</f>
        <v>9.271116193156681E-3</v>
      </c>
      <c r="N702" s="89">
        <f>POWER((ws[[#This Row],[flow]]-ws[[#This Row],[count]]),2)</f>
        <v>11109.859867022282</v>
      </c>
      <c r="O702" s="43">
        <f>VLOOKUP(ws[[#This Row],[hwycov_id]],count[],6,FALSE)</f>
        <v>0</v>
      </c>
      <c r="P702" s="43">
        <v>754</v>
      </c>
      <c r="Q702" s="43" t="str">
        <f>'[2]All Counts'!P702</f>
        <v>PeMS2016</v>
      </c>
      <c r="S702" s="94">
        <v>29027</v>
      </c>
      <c r="T702" s="17"/>
      <c r="U702" s="17"/>
      <c r="V702" s="17"/>
      <c r="W702" s="17"/>
      <c r="X702" s="17"/>
      <c r="Y702" s="17"/>
      <c r="Z702" s="17">
        <v>27704</v>
      </c>
      <c r="AA702" s="17">
        <v>29407.886718999998</v>
      </c>
      <c r="AB702" s="17">
        <v>27704</v>
      </c>
      <c r="AC702" s="17">
        <v>29407.886718999998</v>
      </c>
      <c r="AD702"/>
      <c r="AE702"/>
    </row>
    <row r="703" spans="1:31" x14ac:dyDescent="0.25">
      <c r="A703" s="136">
        <f>'[2]All Counts'!C703</f>
        <v>26</v>
      </c>
      <c r="B703" s="136">
        <f>'[2]All Counts'!D703</f>
        <v>4</v>
      </c>
      <c r="C703" s="136">
        <f>'[2]All Counts'!E703</f>
        <v>16360</v>
      </c>
      <c r="D703" s="136">
        <f>'[2]All Counts'!F703</f>
        <v>1</v>
      </c>
      <c r="E703" s="136">
        <f>'[2]All Counts'!G703</f>
        <v>1</v>
      </c>
      <c r="F703" s="136" t="str">
        <f>'[2]All Counts'!H703</f>
        <v>SR-56 EB</v>
      </c>
      <c r="G703" s="136">
        <f>'[2]All Counts'!I703</f>
        <v>8</v>
      </c>
      <c r="H703" s="136">
        <f>'[2]All Counts'!J703</f>
        <v>1</v>
      </c>
      <c r="I703" s="136" t="str">
        <f>'[2]All Counts'!K703</f>
        <v>CAMINO SANTA FE</v>
      </c>
      <c r="J703" s="136" t="str">
        <f>'[2]All Counts'!L703</f>
        <v>CAMINO RUIZ</v>
      </c>
      <c r="K703" s="136">
        <f>'[2]All Counts'!O703</f>
        <v>12653</v>
      </c>
      <c r="L703" s="57">
        <f>VLOOKUP(ws[[#This Row],[hwycov_id]],readme!D:G,4,FALSE)</f>
        <v>12247.650390999999</v>
      </c>
      <c r="M703" s="88">
        <f>ws[[#This Row],[flow]]/ws[[#This Row],[count]]-1</f>
        <v>-3.2035849917015802E-2</v>
      </c>
      <c r="N703" s="89">
        <f>POWER((ws[[#This Row],[flow]]-ws[[#This Row],[count]]),2)</f>
        <v>164308.30551645352</v>
      </c>
      <c r="O703" s="43">
        <f>VLOOKUP(ws[[#This Row],[hwycov_id]],count[],6,FALSE)</f>
        <v>0</v>
      </c>
      <c r="P703" s="43">
        <v>752</v>
      </c>
      <c r="Q703" s="43" t="str">
        <f>'[2]All Counts'!P703</f>
        <v>Caltran</v>
      </c>
      <c r="S703" s="94">
        <v>29028</v>
      </c>
      <c r="T703" s="17"/>
      <c r="U703" s="17"/>
      <c r="V703" s="17"/>
      <c r="W703" s="17"/>
      <c r="X703" s="17">
        <v>15747</v>
      </c>
      <c r="Y703" s="17">
        <v>17249.279297000001</v>
      </c>
      <c r="Z703" s="17"/>
      <c r="AA703" s="17"/>
      <c r="AB703" s="17">
        <v>15747</v>
      </c>
      <c r="AC703" s="17">
        <v>17249.279297000001</v>
      </c>
      <c r="AD703"/>
      <c r="AE703"/>
    </row>
    <row r="704" spans="1:31" x14ac:dyDescent="0.25">
      <c r="A704" s="136">
        <f>'[2]All Counts'!C704</f>
        <v>26</v>
      </c>
      <c r="B704" s="136">
        <f>'[2]All Counts'!D704</f>
        <v>4</v>
      </c>
      <c r="C704" s="136">
        <f>'[2]All Counts'!E704</f>
        <v>16350</v>
      </c>
      <c r="D704" s="136">
        <f>'[2]All Counts'!F704</f>
        <v>1</v>
      </c>
      <c r="E704" s="136">
        <f>'[2]All Counts'!G704</f>
        <v>1</v>
      </c>
      <c r="F704" s="136" t="str">
        <f>'[2]All Counts'!H704</f>
        <v>SR-56 EB</v>
      </c>
      <c r="G704" s="136">
        <f>'[2]All Counts'!I704</f>
        <v>9</v>
      </c>
      <c r="H704" s="136">
        <f>'[2]All Counts'!J704</f>
        <v>0</v>
      </c>
      <c r="I704" s="136" t="str">
        <f>'[2]All Counts'!K704</f>
        <v>CAMINO SANTA FE</v>
      </c>
      <c r="J704" s="136" t="str">
        <f>'[2]All Counts'!L704</f>
        <v>CAMINO RUIZ</v>
      </c>
      <c r="K704" s="136">
        <f>'[2]All Counts'!O704</f>
        <v>12710</v>
      </c>
      <c r="L704" s="57">
        <f>VLOOKUP(ws[[#This Row],[hwycov_id]],readme!D:G,4,FALSE)</f>
        <v>12247.650390999999</v>
      </c>
      <c r="M704" s="88">
        <f>ws[[#This Row],[flow]]/ws[[#This Row],[count]]-1</f>
        <v>-3.6376837844217191E-2</v>
      </c>
      <c r="N704" s="89">
        <f>POWER((ws[[#This Row],[flow]]-ws[[#This Row],[count]]),2)</f>
        <v>213767.1609424536</v>
      </c>
      <c r="O704" s="43">
        <f>VLOOKUP(ws[[#This Row],[hwycov_id]],count[],6,FALSE)</f>
        <v>0</v>
      </c>
      <c r="P704" s="43">
        <v>9</v>
      </c>
      <c r="Q704" s="43" t="str">
        <f>'[2]All Counts'!P704</f>
        <v>PeMS2016</v>
      </c>
      <c r="S704" s="94">
        <v>29035</v>
      </c>
      <c r="T704" s="17"/>
      <c r="U704" s="17"/>
      <c r="V704" s="17"/>
      <c r="W704" s="17"/>
      <c r="X704" s="17"/>
      <c r="Y704" s="17"/>
      <c r="Z704" s="17">
        <v>26851</v>
      </c>
      <c r="AA704" s="17">
        <v>28426.685547000001</v>
      </c>
      <c r="AB704" s="17">
        <v>26851</v>
      </c>
      <c r="AC704" s="17">
        <v>28426.685547000001</v>
      </c>
      <c r="AD704"/>
      <c r="AE704"/>
    </row>
    <row r="705" spans="1:31" x14ac:dyDescent="0.25">
      <c r="A705" s="136">
        <f>'[2]All Counts'!C705</f>
        <v>26</v>
      </c>
      <c r="B705" s="136">
        <f>'[2]All Counts'!D705</f>
        <v>4</v>
      </c>
      <c r="C705" s="136">
        <f>'[2]All Counts'!E705</f>
        <v>29173</v>
      </c>
      <c r="D705" s="136">
        <f>'[2]All Counts'!F705</f>
        <v>1</v>
      </c>
      <c r="E705" s="136">
        <f>'[2]All Counts'!G705</f>
        <v>1</v>
      </c>
      <c r="F705" s="136" t="str">
        <f>'[2]All Counts'!H705</f>
        <v>SR-56 EB</v>
      </c>
      <c r="G705" s="136">
        <f>'[2]All Counts'!I705</f>
        <v>11</v>
      </c>
      <c r="H705" s="136">
        <f>'[2]All Counts'!J705</f>
        <v>0</v>
      </c>
      <c r="I705" s="136" t="str">
        <f>'[2]All Counts'!K705</f>
        <v>CAMINO RUIZ</v>
      </c>
      <c r="J705" s="136" t="str">
        <f>'[2]All Counts'!L705</f>
        <v>CAMINO RUIZ</v>
      </c>
      <c r="K705" s="136">
        <f>'[2]All Counts'!O705</f>
        <v>10972</v>
      </c>
      <c r="L705" s="57">
        <f>VLOOKUP(ws[[#This Row],[hwycov_id]],readme!D:G,4,FALSE)</f>
        <v>10239.106444999999</v>
      </c>
      <c r="M705" s="88">
        <f>ws[[#This Row],[flow]]/ws[[#This Row],[count]]-1</f>
        <v>-6.6796714819540748E-2</v>
      </c>
      <c r="N705" s="89">
        <f>POWER((ws[[#This Row],[flow]]-ws[[#This Row],[count]]),2)</f>
        <v>537132.9629605388</v>
      </c>
      <c r="O705" s="43">
        <f>VLOOKUP(ws[[#This Row],[hwycov_id]],count[],6,FALSE)</f>
        <v>0</v>
      </c>
      <c r="P705" s="43">
        <v>751</v>
      </c>
      <c r="Q705" s="43" t="str">
        <f>'[2]All Counts'!P705</f>
        <v>PeMS2016</v>
      </c>
      <c r="S705" s="94">
        <v>29037</v>
      </c>
      <c r="T705" s="17"/>
      <c r="U705" s="17"/>
      <c r="V705" s="17"/>
      <c r="W705" s="17"/>
      <c r="X705" s="17">
        <v>15038</v>
      </c>
      <c r="Y705" s="17">
        <v>16941.630859000001</v>
      </c>
      <c r="Z705" s="17"/>
      <c r="AA705" s="17"/>
      <c r="AB705" s="17">
        <v>15038</v>
      </c>
      <c r="AC705" s="17">
        <v>16941.630859000001</v>
      </c>
      <c r="AD705"/>
      <c r="AE705"/>
    </row>
    <row r="706" spans="1:31" x14ac:dyDescent="0.25">
      <c r="A706" s="136">
        <f>'[2]All Counts'!C706</f>
        <v>26</v>
      </c>
      <c r="B706" s="136">
        <f>'[2]All Counts'!D706</f>
        <v>4</v>
      </c>
      <c r="C706" s="136">
        <f>'[2]All Counts'!E706</f>
        <v>16353</v>
      </c>
      <c r="D706" s="136">
        <f>'[2]All Counts'!F706</f>
        <v>1</v>
      </c>
      <c r="E706" s="136">
        <f>'[2]All Counts'!G706</f>
        <v>1</v>
      </c>
      <c r="F706" s="136" t="str">
        <f>'[2]All Counts'!H706</f>
        <v>SR-56 EB</v>
      </c>
      <c r="G706" s="136">
        <f>'[2]All Counts'!I706</f>
        <v>13</v>
      </c>
      <c r="H706" s="136">
        <f>'[2]All Counts'!J706</f>
        <v>0</v>
      </c>
      <c r="I706" s="136" t="str">
        <f>'[2]All Counts'!K706</f>
        <v>CAMINO RUIZ</v>
      </c>
      <c r="J706" s="136" t="str">
        <f>'[2]All Counts'!L706</f>
        <v>BLACK MOUNTAIN</v>
      </c>
      <c r="K706" s="136">
        <f>'[2]All Counts'!O706</f>
        <v>12737</v>
      </c>
      <c r="L706" s="57">
        <f>VLOOKUP(ws[[#This Row],[hwycov_id]],readme!D:G,4,FALSE)</f>
        <v>12556.775390999999</v>
      </c>
      <c r="M706" s="88">
        <f>ws[[#This Row],[flow]]/ws[[#This Row],[count]]-1</f>
        <v>-1.4149690586480412E-2</v>
      </c>
      <c r="N706" s="89">
        <f>POWER((ws[[#This Row],[flow]]-ws[[#This Row],[count]]),2)</f>
        <v>32480.909689203163</v>
      </c>
      <c r="O706" s="43">
        <f>VLOOKUP(ws[[#This Row],[hwycov_id]],count[],6,FALSE)</f>
        <v>0</v>
      </c>
      <c r="P706" s="43">
        <v>10</v>
      </c>
      <c r="Q706" s="43" t="str">
        <f>'[2]All Counts'!P706</f>
        <v>Caltran</v>
      </c>
      <c r="S706" s="94">
        <v>29039</v>
      </c>
      <c r="T706" s="17"/>
      <c r="U706" s="17"/>
      <c r="V706" s="17"/>
      <c r="W706" s="17"/>
      <c r="X706" s="17"/>
      <c r="Y706" s="17"/>
      <c r="Z706" s="17">
        <v>29831</v>
      </c>
      <c r="AA706" s="17">
        <v>32788.738280999998</v>
      </c>
      <c r="AB706" s="17">
        <v>29831</v>
      </c>
      <c r="AC706" s="17">
        <v>32788.738280999998</v>
      </c>
      <c r="AD706"/>
      <c r="AE706"/>
    </row>
    <row r="707" spans="1:31" x14ac:dyDescent="0.25">
      <c r="A707" s="136">
        <f>'[2]All Counts'!C707</f>
        <v>26</v>
      </c>
      <c r="B707" s="136">
        <f>'[2]All Counts'!D707</f>
        <v>4</v>
      </c>
      <c r="C707" s="136">
        <f>'[2]All Counts'!E707</f>
        <v>16144</v>
      </c>
      <c r="D707" s="136">
        <f>'[2]All Counts'!F707</f>
        <v>1</v>
      </c>
      <c r="E707" s="136">
        <f>'[2]All Counts'!G707</f>
        <v>1</v>
      </c>
      <c r="F707" s="136" t="str">
        <f>'[2]All Counts'!H707</f>
        <v>SR-56 EB</v>
      </c>
      <c r="G707" s="136">
        <f>'[2]All Counts'!I707</f>
        <v>15</v>
      </c>
      <c r="H707" s="136">
        <f>'[2]All Counts'!J707</f>
        <v>0</v>
      </c>
      <c r="I707" s="136" t="str">
        <f>'[2]All Counts'!K707</f>
        <v>BLACK MOUNTAIN</v>
      </c>
      <c r="J707" s="136" t="str">
        <f>'[2]All Counts'!L707</f>
        <v>RANCHO PENASQUITOS</v>
      </c>
      <c r="K707" s="136">
        <f>'[2]All Counts'!O707</f>
        <v>10773</v>
      </c>
      <c r="L707" s="57">
        <f>VLOOKUP(ws[[#This Row],[hwycov_id]],readme!D:G,4,FALSE)</f>
        <v>10832.131836</v>
      </c>
      <c r="M707" s="88">
        <f>ws[[#This Row],[flow]]/ws[[#This Row],[count]]-1</f>
        <v>5.4888922305764698E-3</v>
      </c>
      <c r="N707" s="89">
        <f>POWER((ws[[#This Row],[flow]]-ws[[#This Row],[count]]),2)</f>
        <v>3496.5740287309523</v>
      </c>
      <c r="O707" s="43">
        <f>VLOOKUP(ws[[#This Row],[hwycov_id]],count[],6,FALSE)</f>
        <v>0</v>
      </c>
      <c r="P707" s="43">
        <v>750</v>
      </c>
      <c r="Q707" s="43" t="str">
        <f>'[2]All Counts'!P707</f>
        <v>PeMS2016</v>
      </c>
      <c r="S707" s="94">
        <v>29041</v>
      </c>
      <c r="T707" s="17"/>
      <c r="U707" s="17"/>
      <c r="V707" s="17"/>
      <c r="W707" s="17"/>
      <c r="X707" s="17">
        <v>18588</v>
      </c>
      <c r="Y707" s="17">
        <v>18551.257812</v>
      </c>
      <c r="Z707" s="17"/>
      <c r="AA707" s="17"/>
      <c r="AB707" s="17">
        <v>18588</v>
      </c>
      <c r="AC707" s="17">
        <v>18551.257812</v>
      </c>
      <c r="AD707"/>
      <c r="AE707"/>
    </row>
    <row r="708" spans="1:31" x14ac:dyDescent="0.25">
      <c r="A708" s="136">
        <f>'[2]All Counts'!C708</f>
        <v>26</v>
      </c>
      <c r="B708" s="136">
        <f>'[2]All Counts'!D708</f>
        <v>4</v>
      </c>
      <c r="C708" s="136">
        <f>'[2]All Counts'!E708</f>
        <v>11379</v>
      </c>
      <c r="D708" s="136">
        <f>'[2]All Counts'!F708</f>
        <v>1</v>
      </c>
      <c r="E708" s="136">
        <f>'[2]All Counts'!G708</f>
        <v>1</v>
      </c>
      <c r="F708" s="136" t="str">
        <f>'[2]All Counts'!H708</f>
        <v>SR-56 EB</v>
      </c>
      <c r="G708" s="136">
        <f>'[2]All Counts'!I708</f>
        <v>16</v>
      </c>
      <c r="H708" s="136">
        <f>'[2]All Counts'!J708</f>
        <v>0</v>
      </c>
      <c r="I708" s="136" t="str">
        <f>'[2]All Counts'!K708</f>
        <v>RANCHO PENASQUITOS</v>
      </c>
      <c r="J708" s="136" t="str">
        <f>'[2]All Counts'!L708</f>
        <v>RANCHO PENASQUITOS</v>
      </c>
      <c r="K708" s="136">
        <f>'[2]All Counts'!O708</f>
        <v>9505</v>
      </c>
      <c r="L708" s="57">
        <f>VLOOKUP(ws[[#This Row],[hwycov_id]],readme!D:G,4,FALSE)</f>
        <v>8538.0449219999991</v>
      </c>
      <c r="M708" s="88">
        <f>ws[[#This Row],[flow]]/ws[[#This Row],[count]]-1</f>
        <v>-0.10173120231457133</v>
      </c>
      <c r="N708" s="89">
        <f>POWER((ws[[#This Row],[flow]]-ws[[#This Row],[count]]),2)</f>
        <v>935002.12286998774</v>
      </c>
      <c r="O708" s="43">
        <f>VLOOKUP(ws[[#This Row],[hwycov_id]],count[],6,FALSE)</f>
        <v>0</v>
      </c>
      <c r="P708" s="43">
        <v>11</v>
      </c>
      <c r="Q708" s="43" t="str">
        <f>'[2]All Counts'!P708</f>
        <v>PeMS2016</v>
      </c>
      <c r="S708" s="94">
        <v>29046</v>
      </c>
      <c r="T708" s="17"/>
      <c r="U708" s="17"/>
      <c r="V708" s="17"/>
      <c r="W708" s="17"/>
      <c r="X708" s="17">
        <v>9141</v>
      </c>
      <c r="Y708" s="17">
        <v>11687.135742</v>
      </c>
      <c r="Z708" s="17"/>
      <c r="AA708" s="17"/>
      <c r="AB708" s="17">
        <v>9141</v>
      </c>
      <c r="AC708" s="17">
        <v>11687.135742</v>
      </c>
      <c r="AD708"/>
      <c r="AE708"/>
    </row>
    <row r="709" spans="1:31" x14ac:dyDescent="0.25">
      <c r="A709" s="136">
        <f>'[2]All Counts'!C709</f>
        <v>26</v>
      </c>
      <c r="B709" s="136">
        <f>'[2]All Counts'!D709</f>
        <v>4</v>
      </c>
      <c r="C709" s="136">
        <f>'[2]All Counts'!E709</f>
        <v>16523</v>
      </c>
      <c r="D709" s="136">
        <f>'[2]All Counts'!F709</f>
        <v>1</v>
      </c>
      <c r="E709" s="136">
        <f>'[2]All Counts'!G709</f>
        <v>1</v>
      </c>
      <c r="F709" s="136" t="str">
        <f>'[2]All Counts'!H709</f>
        <v>SR-56 EB</v>
      </c>
      <c r="G709" s="136">
        <f>'[2]All Counts'!I709</f>
        <v>17</v>
      </c>
      <c r="H709" s="136">
        <f>'[2]All Counts'!J709</f>
        <v>0</v>
      </c>
      <c r="I709" s="136" t="str">
        <f>'[2]All Counts'!K709</f>
        <v>RANCHO PENASQUITOS</v>
      </c>
      <c r="J709" s="136" t="str">
        <f>'[2]All Counts'!L709</f>
        <v>I-15 SB</v>
      </c>
      <c r="K709" s="136">
        <f>'[2]All Counts'!O709</f>
        <v>10219</v>
      </c>
      <c r="L709" s="57">
        <f>VLOOKUP(ws[[#This Row],[hwycov_id]],readme!D:G,4,FALSE)</f>
        <v>9648.4882809999999</v>
      </c>
      <c r="M709" s="88">
        <f>ws[[#This Row],[flow]]/ws[[#This Row],[count]]-1</f>
        <v>-5.5828527155298957E-2</v>
      </c>
      <c r="N709" s="89">
        <f>POWER((ws[[#This Row],[flow]]-ws[[#This Row],[count]]),2)</f>
        <v>325483.62151633506</v>
      </c>
      <c r="O709" s="43">
        <f>VLOOKUP(ws[[#This Row],[hwycov_id]],count[],6,FALSE)</f>
        <v>0</v>
      </c>
      <c r="P709" s="43">
        <v>12</v>
      </c>
      <c r="Q709" s="43" t="str">
        <f>'[2]All Counts'!P709</f>
        <v>PeMS2016</v>
      </c>
      <c r="S709" s="94">
        <v>29047</v>
      </c>
      <c r="T709" s="17"/>
      <c r="U709" s="17"/>
      <c r="V709" s="17"/>
      <c r="W709" s="17"/>
      <c r="X709" s="17"/>
      <c r="Y709" s="17"/>
      <c r="Z709" s="17">
        <v>17407</v>
      </c>
      <c r="AA709" s="17">
        <v>19735.253906000002</v>
      </c>
      <c r="AB709" s="17">
        <v>17407</v>
      </c>
      <c r="AC709" s="17">
        <v>19735.253906000002</v>
      </c>
      <c r="AD709"/>
      <c r="AE709"/>
    </row>
    <row r="710" spans="1:31" x14ac:dyDescent="0.25">
      <c r="A710" s="136">
        <f>'[2]All Counts'!C710</f>
        <v>13</v>
      </c>
      <c r="B710" s="136">
        <f>'[2]All Counts'!D710</f>
        <v>2</v>
      </c>
      <c r="C710" s="136">
        <f>'[2]All Counts'!E710</f>
        <v>9033</v>
      </c>
      <c r="D710" s="136">
        <f>'[2]All Counts'!F710</f>
        <v>1</v>
      </c>
      <c r="E710" s="136">
        <f>'[2]All Counts'!G710</f>
        <v>1</v>
      </c>
      <c r="F710" s="136" t="str">
        <f>'[2]All Counts'!H710</f>
        <v>SR-67 SB</v>
      </c>
      <c r="G710" s="136">
        <f>'[2]All Counts'!I710</f>
        <v>9</v>
      </c>
      <c r="H710" s="136">
        <f>'[2]All Counts'!J710</f>
        <v>0</v>
      </c>
      <c r="I710" s="136" t="str">
        <f>'[2]All Counts'!K710</f>
        <v>WOODSIDE(N)</v>
      </c>
      <c r="J710" s="136" t="str">
        <f>'[2]All Counts'!L710</f>
        <v>SR-52 WB</v>
      </c>
      <c r="K710" s="136">
        <f>'[2]All Counts'!O710</f>
        <v>8372</v>
      </c>
      <c r="L710" s="57">
        <f>VLOOKUP(ws[[#This Row],[hwycov_id]],readme!D:G,4,FALSE)</f>
        <v>8746.6435550000006</v>
      </c>
      <c r="M710" s="88">
        <f>ws[[#This Row],[flow]]/ws[[#This Row],[count]]-1</f>
        <v>4.4749588509316762E-2</v>
      </c>
      <c r="N710" s="89">
        <f>POWER((ws[[#This Row],[flow]]-ws[[#This Row],[count]]),2)</f>
        <v>140357.79330303846</v>
      </c>
      <c r="O710" s="43">
        <f>VLOOKUP(ws[[#This Row],[hwycov_id]],count[],6,FALSE)</f>
        <v>0</v>
      </c>
      <c r="P710" s="43">
        <v>749</v>
      </c>
      <c r="Q710" s="43" t="str">
        <f>'[2]All Counts'!P710</f>
        <v>Caltran</v>
      </c>
      <c r="S710" s="94">
        <v>29049</v>
      </c>
      <c r="T710" s="17"/>
      <c r="U710" s="17"/>
      <c r="V710" s="17"/>
      <c r="W710" s="17"/>
      <c r="X710" s="17">
        <v>12622</v>
      </c>
      <c r="Y710" s="17">
        <v>13892.342773</v>
      </c>
      <c r="Z710" s="17"/>
      <c r="AA710" s="17"/>
      <c r="AB710" s="17">
        <v>12622</v>
      </c>
      <c r="AC710" s="17">
        <v>13892.342773</v>
      </c>
      <c r="AD710"/>
      <c r="AE710"/>
    </row>
    <row r="711" spans="1:31" x14ac:dyDescent="0.25">
      <c r="A711" s="136">
        <f>'[2]All Counts'!C711</f>
        <v>13</v>
      </c>
      <c r="B711" s="136">
        <f>'[2]All Counts'!D711</f>
        <v>2</v>
      </c>
      <c r="C711" s="136">
        <f>'[2]All Counts'!E711</f>
        <v>13035</v>
      </c>
      <c r="D711" s="136">
        <f>'[2]All Counts'!F711</f>
        <v>1</v>
      </c>
      <c r="E711" s="136">
        <f>'[2]All Counts'!G711</f>
        <v>1</v>
      </c>
      <c r="F711" s="136" t="str">
        <f>'[2]All Counts'!H711</f>
        <v>SR-67 SB</v>
      </c>
      <c r="G711" s="136">
        <f>'[2]All Counts'!I711</f>
        <v>12</v>
      </c>
      <c r="H711" s="136">
        <f>'[2]All Counts'!J711</f>
        <v>0</v>
      </c>
      <c r="I711" s="136" t="str">
        <f>'[2]All Counts'!K711</f>
        <v>SR-52 EB</v>
      </c>
      <c r="J711" s="136" t="str">
        <f>'[2]All Counts'!L711</f>
        <v>BRADLEY</v>
      </c>
      <c r="K711" s="136">
        <f>'[2]All Counts'!O711</f>
        <v>13580</v>
      </c>
      <c r="L711" s="57">
        <f>VLOOKUP(ws[[#This Row],[hwycov_id]],readme!D:G,4,FALSE)</f>
        <v>17803.623047000001</v>
      </c>
      <c r="M711" s="88">
        <f>ws[[#This Row],[flow]]/ws[[#This Row],[count]]-1</f>
        <v>0.31101789742268049</v>
      </c>
      <c r="N711" s="89">
        <f>POWER((ws[[#This Row],[flow]]-ws[[#This Row],[count]]),2)</f>
        <v>17838991.643149573</v>
      </c>
      <c r="O711" s="43">
        <f>VLOOKUP(ws[[#This Row],[hwycov_id]],count[],6,FALSE)</f>
        <v>0</v>
      </c>
      <c r="P711" s="43">
        <v>13</v>
      </c>
      <c r="Q711" s="43" t="str">
        <f>'[2]All Counts'!P711</f>
        <v>Caltran</v>
      </c>
      <c r="S711" s="94">
        <v>29051</v>
      </c>
      <c r="T711" s="17"/>
      <c r="U711" s="17"/>
      <c r="V711" s="17"/>
      <c r="W711" s="17"/>
      <c r="X711" s="17">
        <v>11868</v>
      </c>
      <c r="Y711" s="17">
        <v>12675.560546999999</v>
      </c>
      <c r="Z711" s="17"/>
      <c r="AA711" s="17"/>
      <c r="AB711" s="17">
        <v>11868</v>
      </c>
      <c r="AC711" s="17">
        <v>12675.560546999999</v>
      </c>
      <c r="AD711"/>
      <c r="AE711"/>
    </row>
    <row r="712" spans="1:31" x14ac:dyDescent="0.25">
      <c r="A712" s="136">
        <f>'[2]All Counts'!C712</f>
        <v>14</v>
      </c>
      <c r="B712" s="136">
        <f>'[2]All Counts'!D712</f>
        <v>2</v>
      </c>
      <c r="C712" s="136">
        <f>'[2]All Counts'!E712</f>
        <v>7724</v>
      </c>
      <c r="D712" s="136">
        <f>'[2]All Counts'!F712</f>
        <v>1</v>
      </c>
      <c r="E712" s="136">
        <f>'[2]All Counts'!G712</f>
        <v>1</v>
      </c>
      <c r="F712" s="136" t="str">
        <f>'[2]All Counts'!H712</f>
        <v>SR-75 SB</v>
      </c>
      <c r="G712" s="136">
        <f>'[2]All Counts'!I712</f>
        <v>6</v>
      </c>
      <c r="H712" s="136">
        <f>'[2]All Counts'!J712</f>
        <v>0</v>
      </c>
      <c r="I712" s="136" t="str">
        <f>'[2]All Counts'!K712</f>
        <v>I-5 SB</v>
      </c>
      <c r="J712" s="136" t="str">
        <f>'[2]All Counts'!L712</f>
        <v>GLORIETTA</v>
      </c>
      <c r="K712" s="136">
        <f>'[2]All Counts'!O712</f>
        <v>11465</v>
      </c>
      <c r="L712" s="57">
        <f>VLOOKUP(ws[[#This Row],[hwycov_id]],readme!D:G,4,FALSE)</f>
        <v>10731.844727</v>
      </c>
      <c r="M712" s="88">
        <f>ws[[#This Row],[flow]]/ws[[#This Row],[count]]-1</f>
        <v>-6.3947254513737506E-2</v>
      </c>
      <c r="N712" s="89">
        <f>POWER((ws[[#This Row],[flow]]-ws[[#This Row],[count]]),2)</f>
        <v>537516.65432770504</v>
      </c>
      <c r="O712" s="43">
        <f>VLOOKUP(ws[[#This Row],[hwycov_id]],count[],6,FALSE)</f>
        <v>0</v>
      </c>
      <c r="P712" s="43">
        <v>15</v>
      </c>
      <c r="Q712" s="43" t="str">
        <f>'[2]All Counts'!P712</f>
        <v>Caltran</v>
      </c>
      <c r="S712" s="94">
        <v>29052</v>
      </c>
      <c r="T712" s="17"/>
      <c r="U712" s="17"/>
      <c r="V712" s="17"/>
      <c r="W712" s="17"/>
      <c r="X712" s="17"/>
      <c r="Y712" s="17"/>
      <c r="Z712" s="17">
        <v>20068</v>
      </c>
      <c r="AA712" s="17">
        <v>20736.330077999999</v>
      </c>
      <c r="AB712" s="17">
        <v>20068</v>
      </c>
      <c r="AC712" s="17">
        <v>20736.330077999999</v>
      </c>
      <c r="AD712"/>
      <c r="AE712"/>
    </row>
    <row r="713" spans="1:31" x14ac:dyDescent="0.25">
      <c r="A713" s="136">
        <f>'[2]All Counts'!C713</f>
        <v>23</v>
      </c>
      <c r="B713" s="136">
        <f>'[2]All Counts'!D713</f>
        <v>4</v>
      </c>
      <c r="C713" s="136">
        <f>'[2]All Counts'!E713</f>
        <v>16489</v>
      </c>
      <c r="D713" s="136">
        <f>'[2]All Counts'!F713</f>
        <v>1</v>
      </c>
      <c r="E713" s="136">
        <f>'[2]All Counts'!G713</f>
        <v>1</v>
      </c>
      <c r="F713" s="136" t="str">
        <f>'[2]All Counts'!H713</f>
        <v>SR-78 EB</v>
      </c>
      <c r="G713" s="136">
        <f>'[2]All Counts'!I713</f>
        <v>4</v>
      </c>
      <c r="H713" s="136">
        <f>'[2]All Counts'!J713</f>
        <v>0</v>
      </c>
      <c r="I713" s="136" t="str">
        <f>'[2]All Counts'!K713</f>
        <v>I-5 NB</v>
      </c>
      <c r="J713" s="136" t="str">
        <f>'[2]All Counts'!L713</f>
        <v>JEFFERSON</v>
      </c>
      <c r="K713" s="136">
        <f>'[2]All Counts'!O713</f>
        <v>18307</v>
      </c>
      <c r="L713" s="57">
        <f>VLOOKUP(ws[[#This Row],[hwycov_id]],readme!D:G,4,FALSE)</f>
        <v>16772.240234000001</v>
      </c>
      <c r="M713" s="88">
        <f>ws[[#This Row],[flow]]/ws[[#This Row],[count]]-1</f>
        <v>-8.3834586005353096E-2</v>
      </c>
      <c r="N713" s="89">
        <f>POWER((ws[[#This Row],[flow]]-ws[[#This Row],[count]]),2)</f>
        <v>2355487.5393323721</v>
      </c>
      <c r="O713" s="43">
        <f>VLOOKUP(ws[[#This Row],[hwycov_id]],count[],6,FALSE)</f>
        <v>0</v>
      </c>
      <c r="P713" s="43">
        <v>748</v>
      </c>
      <c r="Q713" s="43" t="str">
        <f>'[2]All Counts'!P713</f>
        <v>PeMS2016</v>
      </c>
      <c r="S713" s="94">
        <v>29082</v>
      </c>
      <c r="T713" s="17"/>
      <c r="U713" s="17"/>
      <c r="V713" s="17"/>
      <c r="W713" s="17"/>
      <c r="X713" s="17">
        <v>22199</v>
      </c>
      <c r="Y713" s="17">
        <v>21972.509765999999</v>
      </c>
      <c r="Z713" s="17"/>
      <c r="AA713" s="17"/>
      <c r="AB713" s="17">
        <v>22199</v>
      </c>
      <c r="AC713" s="17">
        <v>21972.509765999999</v>
      </c>
      <c r="AD713"/>
      <c r="AE713"/>
    </row>
    <row r="714" spans="1:31" x14ac:dyDescent="0.25">
      <c r="A714" s="136">
        <f>'[2]All Counts'!C714</f>
        <v>23</v>
      </c>
      <c r="B714" s="136">
        <f>'[2]All Counts'!D714</f>
        <v>4</v>
      </c>
      <c r="C714" s="136">
        <f>'[2]All Counts'!E714</f>
        <v>28535</v>
      </c>
      <c r="D714" s="136">
        <f>'[2]All Counts'!F714</f>
        <v>1</v>
      </c>
      <c r="E714" s="136">
        <f>'[2]All Counts'!G714</f>
        <v>1</v>
      </c>
      <c r="F714" s="136" t="str">
        <f>'[2]All Counts'!H714</f>
        <v>SR-78 EB</v>
      </c>
      <c r="G714" s="136">
        <f>'[2]All Counts'!I714</f>
        <v>5</v>
      </c>
      <c r="H714" s="136">
        <f>'[2]All Counts'!J714</f>
        <v>0</v>
      </c>
      <c r="I714" s="136" t="str">
        <f>'[2]All Counts'!K714</f>
        <v>JEFFERSON</v>
      </c>
      <c r="J714" s="136" t="str">
        <f>'[2]All Counts'!L714</f>
        <v>JEFFERSON</v>
      </c>
      <c r="K714" s="136">
        <f>'[2]All Counts'!O714</f>
        <v>15065</v>
      </c>
      <c r="L714" s="57">
        <f>VLOOKUP(ws[[#This Row],[hwycov_id]],readme!D:G,4,FALSE)</f>
        <v>14981.489258</v>
      </c>
      <c r="M714" s="88">
        <f>ws[[#This Row],[flow]]/ws[[#This Row],[count]]-1</f>
        <v>-5.543361566545002E-3</v>
      </c>
      <c r="N714" s="89">
        <f>POWER((ws[[#This Row],[flow]]-ws[[#This Row],[count]]),2)</f>
        <v>6974.0440293906295</v>
      </c>
      <c r="O714" s="43">
        <f>VLOOKUP(ws[[#This Row],[hwycov_id]],count[],6,FALSE)</f>
        <v>0</v>
      </c>
      <c r="P714" s="43">
        <v>229</v>
      </c>
      <c r="Q714" s="43" t="str">
        <f>'[2]All Counts'!P714</f>
        <v>PeMS2016</v>
      </c>
      <c r="S714" s="94">
        <v>29086</v>
      </c>
      <c r="T714" s="17"/>
      <c r="U714" s="17"/>
      <c r="V714" s="17"/>
      <c r="W714" s="17"/>
      <c r="X714" s="17">
        <v>22199</v>
      </c>
      <c r="Y714" s="17">
        <v>21304.689452999999</v>
      </c>
      <c r="Z714" s="17"/>
      <c r="AA714" s="17"/>
      <c r="AB714" s="17">
        <v>22199</v>
      </c>
      <c r="AC714" s="17">
        <v>21304.689452999999</v>
      </c>
      <c r="AD714"/>
      <c r="AE714"/>
    </row>
    <row r="715" spans="1:31" x14ac:dyDescent="0.25">
      <c r="A715" s="136">
        <f>'[2]All Counts'!C715</f>
        <v>23</v>
      </c>
      <c r="B715" s="136">
        <f>'[2]All Counts'!D715</f>
        <v>4</v>
      </c>
      <c r="C715" s="136">
        <f>'[2]All Counts'!E715</f>
        <v>27544</v>
      </c>
      <c r="D715" s="136">
        <f>'[2]All Counts'!F715</f>
        <v>1</v>
      </c>
      <c r="E715" s="136">
        <f>'[2]All Counts'!G715</f>
        <v>1</v>
      </c>
      <c r="F715" s="136" t="str">
        <f>'[2]All Counts'!H715</f>
        <v>SR-78 EB</v>
      </c>
      <c r="G715" s="136">
        <f>'[2]All Counts'!I715</f>
        <v>6</v>
      </c>
      <c r="H715" s="136">
        <f>'[2]All Counts'!J715</f>
        <v>0</v>
      </c>
      <c r="I715" s="136" t="str">
        <f>'[2]All Counts'!K715</f>
        <v>JEFFERSON</v>
      </c>
      <c r="J715" s="136" t="str">
        <f>'[2]All Counts'!L715</f>
        <v>EL CAMINO REAL</v>
      </c>
      <c r="K715" s="136">
        <f>'[2]All Counts'!O715</f>
        <v>16132</v>
      </c>
      <c r="L715" s="57">
        <f>VLOOKUP(ws[[#This Row],[hwycov_id]],readme!D:G,4,FALSE)</f>
        <v>16100.902344</v>
      </c>
      <c r="M715" s="88">
        <f>ws[[#This Row],[flow]]/ws[[#This Row],[count]]-1</f>
        <v>-1.9276999752045887E-3</v>
      </c>
      <c r="N715" s="89">
        <f>POWER((ws[[#This Row],[flow]]-ws[[#This Row],[count]]),2)</f>
        <v>967.06420869433077</v>
      </c>
      <c r="O715" s="43">
        <f>VLOOKUP(ws[[#This Row],[hwycov_id]],count[],6,FALSE)</f>
        <v>0</v>
      </c>
      <c r="P715" s="43">
        <v>228</v>
      </c>
      <c r="Q715" s="43" t="str">
        <f>'[2]All Counts'!P715</f>
        <v>Caltran</v>
      </c>
      <c r="S715" s="94">
        <v>29089</v>
      </c>
      <c r="T715" s="17"/>
      <c r="U715" s="17"/>
      <c r="V715" s="17"/>
      <c r="W715" s="17"/>
      <c r="X715" s="17"/>
      <c r="Y715" s="17"/>
      <c r="Z715" s="17">
        <v>25023</v>
      </c>
      <c r="AA715" s="17">
        <v>26247.490234000001</v>
      </c>
      <c r="AB715" s="17">
        <v>25023</v>
      </c>
      <c r="AC715" s="17">
        <v>26247.490234000001</v>
      </c>
      <c r="AD715"/>
      <c r="AE715"/>
    </row>
    <row r="716" spans="1:31" x14ac:dyDescent="0.25">
      <c r="A716" s="136">
        <f>'[2]All Counts'!C716</f>
        <v>23</v>
      </c>
      <c r="B716" s="136">
        <f>'[2]All Counts'!D716</f>
        <v>4</v>
      </c>
      <c r="C716" s="136">
        <f>'[2]All Counts'!E716</f>
        <v>27245</v>
      </c>
      <c r="D716" s="136">
        <f>'[2]All Counts'!F716</f>
        <v>1</v>
      </c>
      <c r="E716" s="136">
        <f>'[2]All Counts'!G716</f>
        <v>1</v>
      </c>
      <c r="F716" s="136" t="str">
        <f>'[2]All Counts'!H716</f>
        <v>SR-78 EB</v>
      </c>
      <c r="G716" s="136">
        <f>'[2]All Counts'!I716</f>
        <v>7</v>
      </c>
      <c r="H716" s="136">
        <f>'[2]All Counts'!J716</f>
        <v>0</v>
      </c>
      <c r="I716" s="136" t="str">
        <f>'[2]All Counts'!K716</f>
        <v>EL CAMINO REAL</v>
      </c>
      <c r="J716" s="136" t="str">
        <f>'[2]All Counts'!L716</f>
        <v>EL CAMINO REAL</v>
      </c>
      <c r="K716" s="136">
        <f>'[2]All Counts'!O716</f>
        <v>13752</v>
      </c>
      <c r="L716" s="57">
        <f>VLOOKUP(ws[[#This Row],[hwycov_id]],readme!D:G,4,FALSE)</f>
        <v>14316.778319999999</v>
      </c>
      <c r="M716" s="88">
        <f>ws[[#This Row],[flow]]/ws[[#This Row],[count]]-1</f>
        <v>4.1068813263525294E-2</v>
      </c>
      <c r="N716" s="89">
        <f>POWER((ws[[#This Row],[flow]]-ws[[#This Row],[count]]),2)</f>
        <v>318974.55074202176</v>
      </c>
      <c r="O716" s="43">
        <f>VLOOKUP(ws[[#This Row],[hwycov_id]],count[],6,FALSE)</f>
        <v>0</v>
      </c>
      <c r="P716" s="43">
        <v>566</v>
      </c>
      <c r="Q716" s="43" t="str">
        <f>'[2]All Counts'!P716</f>
        <v>PeMS2016</v>
      </c>
      <c r="S716" s="94">
        <v>29090</v>
      </c>
      <c r="T716" s="17"/>
      <c r="U716" s="17"/>
      <c r="V716" s="17"/>
      <c r="W716" s="17"/>
      <c r="X716" s="17">
        <v>22801</v>
      </c>
      <c r="Y716" s="17">
        <v>23623.019531000002</v>
      </c>
      <c r="Z716" s="17"/>
      <c r="AA716" s="17"/>
      <c r="AB716" s="17">
        <v>22801</v>
      </c>
      <c r="AC716" s="17">
        <v>23623.019531000002</v>
      </c>
      <c r="AD716"/>
      <c r="AE716"/>
    </row>
    <row r="717" spans="1:31" x14ac:dyDescent="0.25">
      <c r="A717" s="136">
        <f>'[2]All Counts'!C717</f>
        <v>23</v>
      </c>
      <c r="B717" s="136">
        <f>'[2]All Counts'!D717</f>
        <v>4</v>
      </c>
      <c r="C717" s="136">
        <f>'[2]All Counts'!E717</f>
        <v>8829</v>
      </c>
      <c r="D717" s="136">
        <f>'[2]All Counts'!F717</f>
        <v>1</v>
      </c>
      <c r="E717" s="136">
        <f>'[2]All Counts'!G717</f>
        <v>1</v>
      </c>
      <c r="F717" s="136" t="str">
        <f>'[2]All Counts'!H717</f>
        <v>SR-78 EB</v>
      </c>
      <c r="G717" s="136">
        <f>'[2]All Counts'!I717</f>
        <v>8</v>
      </c>
      <c r="H717" s="136">
        <f>'[2]All Counts'!J717</f>
        <v>0</v>
      </c>
      <c r="I717" s="136" t="str">
        <f>'[2]All Counts'!K717</f>
        <v>EL CAMINO REAL</v>
      </c>
      <c r="J717" s="136" t="str">
        <f>'[2]All Counts'!L717</f>
        <v>RANCHO DEL ORO</v>
      </c>
      <c r="K717" s="136">
        <f>'[2]All Counts'!O717</f>
        <v>18241</v>
      </c>
      <c r="L717" s="57">
        <f>VLOOKUP(ws[[#This Row],[hwycov_id]],readme!D:G,4,FALSE)</f>
        <v>16805.021484000001</v>
      </c>
      <c r="M717" s="88">
        <f>ws[[#This Row],[flow]]/ws[[#This Row],[count]]-1</f>
        <v>-7.8722576393838062E-2</v>
      </c>
      <c r="N717" s="89">
        <f>POWER((ws[[#This Row],[flow]]-ws[[#This Row],[count]]),2)</f>
        <v>2062034.29841356</v>
      </c>
      <c r="O717" s="43">
        <f>VLOOKUP(ws[[#This Row],[hwycov_id]],count[],6,FALSE)</f>
        <v>0</v>
      </c>
      <c r="P717" s="43">
        <v>227</v>
      </c>
      <c r="Q717" s="43" t="str">
        <f>'[2]All Counts'!P717</f>
        <v>Caltran</v>
      </c>
      <c r="S717" s="94">
        <v>29095</v>
      </c>
      <c r="T717" s="17"/>
      <c r="U717" s="17"/>
      <c r="V717" s="17"/>
      <c r="W717" s="17"/>
      <c r="X717" s="17">
        <v>21943</v>
      </c>
      <c r="Y717" s="17">
        <v>21921.298827999999</v>
      </c>
      <c r="Z717" s="17"/>
      <c r="AA717" s="17"/>
      <c r="AB717" s="17">
        <v>21943</v>
      </c>
      <c r="AC717" s="17">
        <v>21921.298827999999</v>
      </c>
      <c r="AD717"/>
      <c r="AE717"/>
    </row>
    <row r="718" spans="1:31" x14ac:dyDescent="0.25">
      <c r="A718" s="136">
        <f>'[2]All Counts'!C718</f>
        <v>23</v>
      </c>
      <c r="B718" s="136">
        <f>'[2]All Counts'!D718</f>
        <v>4</v>
      </c>
      <c r="C718" s="136">
        <f>'[2]All Counts'!E718</f>
        <v>8831</v>
      </c>
      <c r="D718" s="136">
        <f>'[2]All Counts'!F718</f>
        <v>1</v>
      </c>
      <c r="E718" s="136">
        <f>'[2]All Counts'!G718</f>
        <v>1</v>
      </c>
      <c r="F718" s="136" t="str">
        <f>'[2]All Counts'!H718</f>
        <v>SR-78 EB</v>
      </c>
      <c r="G718" s="136">
        <f>'[2]All Counts'!I718</f>
        <v>11</v>
      </c>
      <c r="H718" s="136">
        <f>'[2]All Counts'!J718</f>
        <v>0</v>
      </c>
      <c r="I718" s="136" t="str">
        <f>'[2]All Counts'!K718</f>
        <v>COLLEGE</v>
      </c>
      <c r="J718" s="136" t="str">
        <f>'[2]All Counts'!L718</f>
        <v>PLAZA</v>
      </c>
      <c r="K718" s="136">
        <f>'[2]All Counts'!O718</f>
        <v>13844</v>
      </c>
      <c r="L718" s="57">
        <f>VLOOKUP(ws[[#This Row],[hwycov_id]],readme!D:G,4,FALSE)</f>
        <v>15029.502930000001</v>
      </c>
      <c r="M718" s="88">
        <f>ws[[#This Row],[flow]]/ws[[#This Row],[count]]-1</f>
        <v>8.5632976740826372E-2</v>
      </c>
      <c r="N718" s="89">
        <f>POWER((ws[[#This Row],[flow]]-ws[[#This Row],[count]]),2)</f>
        <v>1405417.1970385863</v>
      </c>
      <c r="O718" s="43">
        <f>VLOOKUP(ws[[#This Row],[hwycov_id]],count[],6,FALSE)</f>
        <v>0</v>
      </c>
      <c r="P718" s="43">
        <v>226</v>
      </c>
      <c r="Q718" s="43" t="str">
        <f>'[2]All Counts'!P718</f>
        <v>PeMS2016</v>
      </c>
      <c r="S718" s="94">
        <v>29097</v>
      </c>
      <c r="T718" s="17"/>
      <c r="U718" s="17"/>
      <c r="V718" s="17"/>
      <c r="W718" s="17"/>
      <c r="X718" s="17">
        <v>18221</v>
      </c>
      <c r="Y718" s="17">
        <v>12230.083008</v>
      </c>
      <c r="Z718" s="17"/>
      <c r="AA718" s="17"/>
      <c r="AB718" s="17">
        <v>18221</v>
      </c>
      <c r="AC718" s="17">
        <v>12230.083008</v>
      </c>
      <c r="AD718"/>
      <c r="AE718"/>
    </row>
    <row r="719" spans="1:31" x14ac:dyDescent="0.25">
      <c r="A719" s="136">
        <f>'[2]All Counts'!C719</f>
        <v>23</v>
      </c>
      <c r="B719" s="136">
        <f>'[2]All Counts'!D719</f>
        <v>4</v>
      </c>
      <c r="C719" s="136">
        <f>'[2]All Counts'!E719</f>
        <v>8830</v>
      </c>
      <c r="D719" s="136">
        <f>'[2]All Counts'!F719</f>
        <v>1</v>
      </c>
      <c r="E719" s="136">
        <f>'[2]All Counts'!G719</f>
        <v>1</v>
      </c>
      <c r="F719" s="136" t="str">
        <f>'[2]All Counts'!H719</f>
        <v>SR-78 EB</v>
      </c>
      <c r="G719" s="136">
        <f>'[2]All Counts'!I719</f>
        <v>12</v>
      </c>
      <c r="H719" s="136">
        <f>'[2]All Counts'!J719</f>
        <v>0</v>
      </c>
      <c r="I719" s="136" t="str">
        <f>'[2]All Counts'!K719</f>
        <v>PLAZA</v>
      </c>
      <c r="J719" s="136" t="str">
        <f>'[2]All Counts'!L719</f>
        <v>PLAZA</v>
      </c>
      <c r="K719" s="136">
        <f>'[2]All Counts'!O719</f>
        <v>13469</v>
      </c>
      <c r="L719" s="57">
        <f>VLOOKUP(ws[[#This Row],[hwycov_id]],readme!D:G,4,FALSE)</f>
        <v>13243.988281</v>
      </c>
      <c r="M719" s="88">
        <f>ws[[#This Row],[flow]]/ws[[#This Row],[count]]-1</f>
        <v>-1.6705896428836575E-2</v>
      </c>
      <c r="N719" s="89">
        <f>POWER((ws[[#This Row],[flow]]-ws[[#This Row],[count]]),2)</f>
        <v>50630.273687335</v>
      </c>
      <c r="O719" s="43">
        <f>VLOOKUP(ws[[#This Row],[hwycov_id]],count[],6,FALSE)</f>
        <v>0</v>
      </c>
      <c r="P719" s="43">
        <v>225</v>
      </c>
      <c r="Q719" s="43" t="str">
        <f>'[2]All Counts'!P719</f>
        <v>PeMS2016</v>
      </c>
      <c r="S719" s="94">
        <v>29108</v>
      </c>
      <c r="T719" s="17"/>
      <c r="U719" s="17"/>
      <c r="V719" s="17"/>
      <c r="W719" s="17"/>
      <c r="X719" s="17"/>
      <c r="Y719" s="17"/>
      <c r="Z719" s="17">
        <v>30291</v>
      </c>
      <c r="AA719" s="17">
        <v>32088.878906000002</v>
      </c>
      <c r="AB719" s="17">
        <v>30291</v>
      </c>
      <c r="AC719" s="17">
        <v>32088.878906000002</v>
      </c>
      <c r="AD719"/>
      <c r="AE719"/>
    </row>
    <row r="720" spans="1:31" x14ac:dyDescent="0.25">
      <c r="A720" s="136">
        <f>'[2]All Counts'!C720</f>
        <v>23</v>
      </c>
      <c r="B720" s="136">
        <f>'[2]All Counts'!D720</f>
        <v>4</v>
      </c>
      <c r="C720" s="136">
        <f>'[2]All Counts'!E720</f>
        <v>16566</v>
      </c>
      <c r="D720" s="136">
        <f>'[2]All Counts'!F720</f>
        <v>1</v>
      </c>
      <c r="E720" s="136">
        <f>'[2]All Counts'!G720</f>
        <v>1</v>
      </c>
      <c r="F720" s="136" t="str">
        <f>'[2]All Counts'!H720</f>
        <v>SR-78 EB</v>
      </c>
      <c r="G720" s="136">
        <f>'[2]All Counts'!I720</f>
        <v>14</v>
      </c>
      <c r="H720" s="136">
        <f>'[2]All Counts'!J720</f>
        <v>0</v>
      </c>
      <c r="I720" s="136" t="str">
        <f>'[2]All Counts'!K720</f>
        <v>EMERALD</v>
      </c>
      <c r="J720" s="136" t="str">
        <f>'[2]All Counts'!L720</f>
        <v>EMERALD</v>
      </c>
      <c r="K720" s="136">
        <f>'[2]All Counts'!O720</f>
        <v>13311</v>
      </c>
      <c r="L720" s="57">
        <f>VLOOKUP(ws[[#This Row],[hwycov_id]],readme!D:G,4,FALSE)</f>
        <v>13378.260742</v>
      </c>
      <c r="M720" s="88">
        <f>ws[[#This Row],[flow]]/ws[[#This Row],[count]]-1</f>
        <v>5.0530194575915122E-3</v>
      </c>
      <c r="N720" s="89">
        <f>POWER((ws[[#This Row],[flow]]-ws[[#This Row],[count]]),2)</f>
        <v>4524.0074143906168</v>
      </c>
      <c r="O720" s="43">
        <f>VLOOKUP(ws[[#This Row],[hwycov_id]],count[],6,FALSE)</f>
        <v>0</v>
      </c>
      <c r="P720" s="43">
        <v>567</v>
      </c>
      <c r="Q720" s="43" t="str">
        <f>'[2]All Counts'!P720</f>
        <v>PeMS2016</v>
      </c>
      <c r="S720" s="94">
        <v>29158</v>
      </c>
      <c r="T720" s="17"/>
      <c r="U720" s="17"/>
      <c r="V720" s="17"/>
      <c r="W720" s="17"/>
      <c r="X720" s="17">
        <v>5378</v>
      </c>
      <c r="Y720" s="17">
        <v>3744.255615</v>
      </c>
      <c r="Z720" s="17"/>
      <c r="AA720" s="17"/>
      <c r="AB720" s="17">
        <v>5378</v>
      </c>
      <c r="AC720" s="17">
        <v>3744.255615</v>
      </c>
      <c r="AD720"/>
      <c r="AE720"/>
    </row>
    <row r="721" spans="1:31" x14ac:dyDescent="0.25">
      <c r="A721" s="136">
        <f>'[2]All Counts'!C721</f>
        <v>23</v>
      </c>
      <c r="B721" s="136">
        <f>'[2]All Counts'!D721</f>
        <v>4</v>
      </c>
      <c r="C721" s="136">
        <f>'[2]All Counts'!E721</f>
        <v>16565</v>
      </c>
      <c r="D721" s="136">
        <f>'[2]All Counts'!F721</f>
        <v>1</v>
      </c>
      <c r="E721" s="136">
        <f>'[2]All Counts'!G721</f>
        <v>1</v>
      </c>
      <c r="F721" s="136" t="str">
        <f>'[2]All Counts'!H721</f>
        <v>SR-78 EB</v>
      </c>
      <c r="G721" s="136">
        <f>'[2]All Counts'!I721</f>
        <v>15</v>
      </c>
      <c r="H721" s="136">
        <f>'[2]All Counts'!J721</f>
        <v>1</v>
      </c>
      <c r="I721" s="136" t="str">
        <f>'[2]All Counts'!K721</f>
        <v>EMERALD</v>
      </c>
      <c r="J721" s="136" t="str">
        <f>'[2]All Counts'!L721</f>
        <v>MELROSE</v>
      </c>
      <c r="K721" s="136">
        <f>'[2]All Counts'!O721</f>
        <v>16661</v>
      </c>
      <c r="L721" s="57">
        <f>VLOOKUP(ws[[#This Row],[hwycov_id]],readme!D:G,4,FALSE)</f>
        <v>15961.9375</v>
      </c>
      <c r="M721" s="88">
        <f>ws[[#This Row],[flow]]/ws[[#This Row],[count]]-1</f>
        <v>-4.1958015725346631E-2</v>
      </c>
      <c r="N721" s="89">
        <f>POWER((ws[[#This Row],[flow]]-ws[[#This Row],[count]]),2)</f>
        <v>488688.37890625</v>
      </c>
      <c r="O721" s="43">
        <f>VLOOKUP(ws[[#This Row],[hwycov_id]],count[],6,FALSE)</f>
        <v>0</v>
      </c>
      <c r="P721" s="43">
        <v>24</v>
      </c>
      <c r="Q721" s="43" t="str">
        <f>'[2]All Counts'!P721</f>
        <v>Caltran</v>
      </c>
      <c r="S721" s="94">
        <v>29167</v>
      </c>
      <c r="T721" s="17"/>
      <c r="U721" s="17"/>
      <c r="V721" s="17"/>
      <c r="W721" s="17"/>
      <c r="X721" s="17">
        <v>5024</v>
      </c>
      <c r="Y721" s="17">
        <v>6414.8808589999999</v>
      </c>
      <c r="Z721" s="17"/>
      <c r="AA721" s="17"/>
      <c r="AB721" s="17">
        <v>5024</v>
      </c>
      <c r="AC721" s="17">
        <v>6414.8808589999999</v>
      </c>
      <c r="AD721"/>
      <c r="AE721"/>
    </row>
    <row r="722" spans="1:31" x14ac:dyDescent="0.25">
      <c r="A722" s="136">
        <f>'[2]All Counts'!C722</f>
        <v>23</v>
      </c>
      <c r="B722" s="136">
        <f>'[2]All Counts'!D722</f>
        <v>4</v>
      </c>
      <c r="C722" s="136">
        <f>'[2]All Counts'!E722</f>
        <v>7872</v>
      </c>
      <c r="D722" s="136">
        <f>'[2]All Counts'!F722</f>
        <v>1</v>
      </c>
      <c r="E722" s="136">
        <f>'[2]All Counts'!G722</f>
        <v>1</v>
      </c>
      <c r="F722" s="136" t="str">
        <f>'[2]All Counts'!H722</f>
        <v>SR-78 EB</v>
      </c>
      <c r="G722" s="136">
        <f>'[2]All Counts'!I722</f>
        <v>18</v>
      </c>
      <c r="H722" s="136">
        <f>'[2]All Counts'!J722</f>
        <v>0</v>
      </c>
      <c r="I722" s="136" t="str">
        <f>'[2]All Counts'!K722</f>
        <v>MELROSE</v>
      </c>
      <c r="J722" s="136" t="str">
        <f>'[2]All Counts'!L722</f>
        <v>MELROSE</v>
      </c>
      <c r="K722" s="136">
        <f>'[2]All Counts'!O722</f>
        <v>11425</v>
      </c>
      <c r="L722" s="57">
        <f>VLOOKUP(ws[[#This Row],[hwycov_id]],readme!D:G,4,FALSE)</f>
        <v>12476.134765999999</v>
      </c>
      <c r="M722" s="88">
        <f>ws[[#This Row],[flow]]/ws[[#This Row],[count]]-1</f>
        <v>9.2003042975929983E-2</v>
      </c>
      <c r="N722" s="89">
        <f>POWER((ws[[#This Row],[flow]]-ws[[#This Row],[count]]),2)</f>
        <v>1104884.2962938731</v>
      </c>
      <c r="O722" s="43">
        <f>VLOOKUP(ws[[#This Row],[hwycov_id]],count[],6,FALSE)</f>
        <v>0</v>
      </c>
      <c r="P722" s="43">
        <v>76</v>
      </c>
      <c r="Q722" s="43" t="str">
        <f>'[2]All Counts'!P722</f>
        <v>PeMS2016</v>
      </c>
      <c r="S722" s="94">
        <v>29168</v>
      </c>
      <c r="T722" s="17"/>
      <c r="U722" s="17"/>
      <c r="V722" s="17"/>
      <c r="W722" s="17"/>
      <c r="X722" s="17"/>
      <c r="Y722" s="17"/>
      <c r="Z722" s="17">
        <v>10644</v>
      </c>
      <c r="AA722" s="17">
        <v>12655.594727</v>
      </c>
      <c r="AB722" s="17">
        <v>10644</v>
      </c>
      <c r="AC722" s="17">
        <v>12655.594727</v>
      </c>
      <c r="AD722"/>
      <c r="AE722"/>
    </row>
    <row r="723" spans="1:31" x14ac:dyDescent="0.25">
      <c r="A723" s="136">
        <f>'[2]All Counts'!C723</f>
        <v>23</v>
      </c>
      <c r="B723" s="136">
        <f>'[2]All Counts'!D723</f>
        <v>4</v>
      </c>
      <c r="C723" s="136">
        <f>'[2]All Counts'!E723</f>
        <v>27247</v>
      </c>
      <c r="D723" s="136">
        <f>'[2]All Counts'!F723</f>
        <v>1</v>
      </c>
      <c r="E723" s="136">
        <f>'[2]All Counts'!G723</f>
        <v>1</v>
      </c>
      <c r="F723" s="136" t="str">
        <f>'[2]All Counts'!H723</f>
        <v>SR-78 EB</v>
      </c>
      <c r="G723" s="136">
        <f>'[2]All Counts'!I723</f>
        <v>20</v>
      </c>
      <c r="H723" s="136">
        <f>'[2]All Counts'!J723</f>
        <v>0</v>
      </c>
      <c r="I723" s="136" t="str">
        <f>'[2]All Counts'!K723</f>
        <v>SUNSET</v>
      </c>
      <c r="J723" s="136" t="str">
        <f>'[2]All Counts'!L723</f>
        <v>SUNSET</v>
      </c>
      <c r="K723" s="136">
        <f>'[2]All Counts'!O723</f>
        <v>11810</v>
      </c>
      <c r="L723" s="57">
        <f>VLOOKUP(ws[[#This Row],[hwycov_id]],readme!D:G,4,FALSE)</f>
        <v>13279.395508</v>
      </c>
      <c r="M723" s="88">
        <f>ws[[#This Row],[flow]]/ws[[#This Row],[count]]-1</f>
        <v>0.12441960270956809</v>
      </c>
      <c r="N723" s="89">
        <f>POWER((ws[[#This Row],[flow]]-ws[[#This Row],[count]]),2)</f>
        <v>2159123.1589305769</v>
      </c>
      <c r="O723" s="43">
        <f>VLOOKUP(ws[[#This Row],[hwycov_id]],count[],6,FALSE)</f>
        <v>0</v>
      </c>
      <c r="P723" s="43">
        <v>702</v>
      </c>
      <c r="Q723" s="43" t="str">
        <f>'[2]All Counts'!P723</f>
        <v>PeMS2016</v>
      </c>
      <c r="S723" s="94">
        <v>29169</v>
      </c>
      <c r="T723" s="17"/>
      <c r="U723" s="17"/>
      <c r="V723" s="17"/>
      <c r="W723" s="17"/>
      <c r="X723" s="17"/>
      <c r="Y723" s="17"/>
      <c r="Z723" s="17">
        <v>11369</v>
      </c>
      <c r="AA723" s="17">
        <v>11474.403319999999</v>
      </c>
      <c r="AB723" s="17">
        <v>11369</v>
      </c>
      <c r="AC723" s="17">
        <v>11474.403319999999</v>
      </c>
      <c r="AD723"/>
      <c r="AE723"/>
    </row>
    <row r="724" spans="1:31" x14ac:dyDescent="0.25">
      <c r="A724" s="136">
        <f>'[2]All Counts'!C724</f>
        <v>23</v>
      </c>
      <c r="B724" s="136">
        <f>'[2]All Counts'!D724</f>
        <v>4</v>
      </c>
      <c r="C724" s="136">
        <f>'[2]All Counts'!E724</f>
        <v>7873</v>
      </c>
      <c r="D724" s="136">
        <f>'[2]All Counts'!F724</f>
        <v>1</v>
      </c>
      <c r="E724" s="136">
        <f>'[2]All Counts'!G724</f>
        <v>1</v>
      </c>
      <c r="F724" s="136" t="str">
        <f>'[2]All Counts'!H724</f>
        <v>SR-78 EB</v>
      </c>
      <c r="G724" s="136">
        <f>'[2]All Counts'!I724</f>
        <v>22</v>
      </c>
      <c r="H724" s="136">
        <f>'[2]All Counts'!J724</f>
        <v>0</v>
      </c>
      <c r="I724" s="136" t="str">
        <f>'[2]All Counts'!K724</f>
        <v>MAR VISTA</v>
      </c>
      <c r="J724" s="136" t="str">
        <f>'[2]All Counts'!L724</f>
        <v>MAR VISTA</v>
      </c>
      <c r="K724" s="136">
        <f>'[2]All Counts'!O724</f>
        <v>13522</v>
      </c>
      <c r="L724" s="57">
        <f>VLOOKUP(ws[[#This Row],[hwycov_id]],readme!D:G,4,FALSE)</f>
        <v>14044.342773</v>
      </c>
      <c r="M724" s="88">
        <f>ws[[#This Row],[flow]]/ws[[#This Row],[count]]-1</f>
        <v>3.8629106123354573E-2</v>
      </c>
      <c r="N724" s="89">
        <f>POWER((ws[[#This Row],[flow]]-ws[[#This Row],[count]]),2)</f>
        <v>272841.97250532988</v>
      </c>
      <c r="O724" s="43">
        <f>VLOOKUP(ws[[#This Row],[hwycov_id]],count[],6,FALSE)</f>
        <v>0</v>
      </c>
      <c r="P724" s="43">
        <v>704</v>
      </c>
      <c r="Q724" s="43" t="str">
        <f>'[2]All Counts'!P724</f>
        <v>PeMS2016</v>
      </c>
      <c r="S724" s="94">
        <v>29171</v>
      </c>
      <c r="T724" s="17"/>
      <c r="U724" s="17"/>
      <c r="V724" s="17"/>
      <c r="W724" s="17"/>
      <c r="X724" s="17">
        <v>4831</v>
      </c>
      <c r="Y724" s="17">
        <v>6530.1904299999997</v>
      </c>
      <c r="Z724" s="17"/>
      <c r="AA724" s="17"/>
      <c r="AB724" s="17">
        <v>4831</v>
      </c>
      <c r="AC724" s="17">
        <v>6530.1904299999997</v>
      </c>
      <c r="AD724"/>
      <c r="AE724"/>
    </row>
    <row r="725" spans="1:31" x14ac:dyDescent="0.25">
      <c r="A725" s="136">
        <f>'[2]All Counts'!C725</f>
        <v>23</v>
      </c>
      <c r="B725" s="136">
        <f>'[2]All Counts'!D725</f>
        <v>4</v>
      </c>
      <c r="C725" s="136">
        <f>'[2]All Counts'!E725</f>
        <v>8840</v>
      </c>
      <c r="D725" s="136">
        <f>'[2]All Counts'!F725</f>
        <v>1</v>
      </c>
      <c r="E725" s="136">
        <f>'[2]All Counts'!G725</f>
        <v>1</v>
      </c>
      <c r="F725" s="136" t="str">
        <f>'[2]All Counts'!H725</f>
        <v>SR-78 EB</v>
      </c>
      <c r="G725" s="136">
        <f>'[2]All Counts'!I725</f>
        <v>24</v>
      </c>
      <c r="H725" s="136">
        <f>'[2]All Counts'!J725</f>
        <v>0</v>
      </c>
      <c r="I725" s="136" t="str">
        <f>'[2]All Counts'!K725</f>
        <v>SYCAMORE</v>
      </c>
      <c r="J725" s="136" t="str">
        <f>'[2]All Counts'!L725</f>
        <v>SYCAMORE</v>
      </c>
      <c r="K725" s="136">
        <f>'[2]All Counts'!O725</f>
        <v>11323</v>
      </c>
      <c r="L725" s="57">
        <f>VLOOKUP(ws[[#This Row],[hwycov_id]],readme!D:G,4,FALSE)</f>
        <v>13894.675781</v>
      </c>
      <c r="M725" s="88">
        <f>ws[[#This Row],[flow]]/ws[[#This Row],[count]]-1</f>
        <v>0.22711964859136269</v>
      </c>
      <c r="N725" s="89">
        <f>POWER((ws[[#This Row],[flow]]-ws[[#This Row],[count]]),2)</f>
        <v>6613516.3225819599</v>
      </c>
      <c r="O725" s="43">
        <f>VLOOKUP(ws[[#This Row],[hwycov_id]],count[],6,FALSE)</f>
        <v>0</v>
      </c>
      <c r="P725" s="43">
        <v>70</v>
      </c>
      <c r="Q725" s="43" t="str">
        <f>'[2]All Counts'!P725</f>
        <v>PeMS2016</v>
      </c>
      <c r="S725" s="94">
        <v>29172</v>
      </c>
      <c r="T725" s="17"/>
      <c r="U725" s="17"/>
      <c r="V725" s="17"/>
      <c r="W725" s="17"/>
      <c r="X725" s="17">
        <v>4856</v>
      </c>
      <c r="Y725" s="17">
        <v>6530.1904299999997</v>
      </c>
      <c r="Z725" s="17"/>
      <c r="AA725" s="17"/>
      <c r="AB725" s="17">
        <v>4856</v>
      </c>
      <c r="AC725" s="17">
        <v>6530.1904299999997</v>
      </c>
      <c r="AD725"/>
      <c r="AE725"/>
    </row>
    <row r="726" spans="1:31" x14ac:dyDescent="0.25">
      <c r="A726" s="136">
        <f>'[2]All Counts'!C726</f>
        <v>23</v>
      </c>
      <c r="B726" s="136">
        <f>'[2]All Counts'!D726</f>
        <v>4</v>
      </c>
      <c r="C726" s="136">
        <f>'[2]All Counts'!E726</f>
        <v>8841</v>
      </c>
      <c r="D726" s="136">
        <f>'[2]All Counts'!F726</f>
        <v>1</v>
      </c>
      <c r="E726" s="136">
        <f>'[2]All Counts'!G726</f>
        <v>1</v>
      </c>
      <c r="F726" s="136" t="str">
        <f>'[2]All Counts'!H726</f>
        <v>SR-78 EB</v>
      </c>
      <c r="G726" s="136">
        <f>'[2]All Counts'!I726</f>
        <v>27</v>
      </c>
      <c r="H726" s="136">
        <f>'[2]All Counts'!J726</f>
        <v>0</v>
      </c>
      <c r="I726" s="136" t="str">
        <f>'[2]All Counts'!K726</f>
        <v>SYCAMORE</v>
      </c>
      <c r="J726" s="136" t="str">
        <f>'[2]All Counts'!L726</f>
        <v>RANCHO SANTA FE</v>
      </c>
      <c r="K726" s="136">
        <f>'[2]All Counts'!O726</f>
        <v>13576</v>
      </c>
      <c r="L726" s="57">
        <f>VLOOKUP(ws[[#This Row],[hwycov_id]],readme!D:G,4,FALSE)</f>
        <v>17164.515625</v>
      </c>
      <c r="M726" s="88">
        <f>ws[[#This Row],[flow]]/ws[[#This Row],[count]]-1</f>
        <v>0.26432790402180317</v>
      </c>
      <c r="N726" s="89">
        <f>POWER((ws[[#This Row],[flow]]-ws[[#This Row],[count]]),2)</f>
        <v>12877444.390869141</v>
      </c>
      <c r="O726" s="43">
        <f>VLOOKUP(ws[[#This Row],[hwycov_id]],count[],6,FALSE)</f>
        <v>0</v>
      </c>
      <c r="P726" s="43">
        <v>71</v>
      </c>
      <c r="Q726" s="43" t="str">
        <f>'[2]All Counts'!P726</f>
        <v>Caltran</v>
      </c>
      <c r="S726" s="94">
        <v>29173</v>
      </c>
      <c r="T726" s="17"/>
      <c r="U726" s="17"/>
      <c r="V726" s="17"/>
      <c r="W726" s="17"/>
      <c r="X726" s="17"/>
      <c r="Y726" s="17"/>
      <c r="Z726" s="17">
        <v>10972</v>
      </c>
      <c r="AA726" s="17">
        <v>10239.106444999999</v>
      </c>
      <c r="AB726" s="17">
        <v>10972</v>
      </c>
      <c r="AC726" s="17">
        <v>10239.106444999999</v>
      </c>
      <c r="AD726"/>
      <c r="AE726"/>
    </row>
    <row r="727" spans="1:31" x14ac:dyDescent="0.25">
      <c r="A727" s="136">
        <f>'[2]All Counts'!C727</f>
        <v>23</v>
      </c>
      <c r="B727" s="136">
        <f>'[2]All Counts'!D727</f>
        <v>4</v>
      </c>
      <c r="C727" s="136">
        <f>'[2]All Counts'!E727</f>
        <v>29182</v>
      </c>
      <c r="D727" s="136">
        <f>'[2]All Counts'!F727</f>
        <v>1</v>
      </c>
      <c r="E727" s="136">
        <f>'[2]All Counts'!G727</f>
        <v>1</v>
      </c>
      <c r="F727" s="136" t="str">
        <f>'[2]All Counts'!H727</f>
        <v>SR-78 EB</v>
      </c>
      <c r="G727" s="136">
        <f>'[2]All Counts'!I727</f>
        <v>28</v>
      </c>
      <c r="H727" s="136">
        <f>'[2]All Counts'!J727</f>
        <v>0</v>
      </c>
      <c r="I727" s="136" t="str">
        <f>'[2]All Counts'!K727</f>
        <v>RANCHO SANTA FE</v>
      </c>
      <c r="J727" s="136" t="str">
        <f>'[2]All Counts'!L727</f>
        <v>RANCHO SANTA FE</v>
      </c>
      <c r="K727" s="136">
        <f>'[2]All Counts'!O727</f>
        <v>12174</v>
      </c>
      <c r="L727" s="57">
        <f>VLOOKUP(ws[[#This Row],[hwycov_id]],readme!D:G,4,FALSE)</f>
        <v>15430.165039</v>
      </c>
      <c r="M727" s="88">
        <f>ws[[#This Row],[flow]]/ws[[#This Row],[count]]-1</f>
        <v>0.26746878914079186</v>
      </c>
      <c r="N727" s="89">
        <f>POWER((ws[[#This Row],[flow]]-ws[[#This Row],[count]]),2)</f>
        <v>10602610.761205869</v>
      </c>
      <c r="O727" s="43">
        <f>VLOOKUP(ws[[#This Row],[hwycov_id]],count[],6,FALSE)</f>
        <v>0</v>
      </c>
      <c r="P727" s="43">
        <v>707</v>
      </c>
      <c r="Q727" s="43" t="str">
        <f>'[2]All Counts'!P727</f>
        <v>PeMS2016</v>
      </c>
      <c r="S727" s="94">
        <v>29182</v>
      </c>
      <c r="T727" s="17"/>
      <c r="U727" s="17"/>
      <c r="V727" s="17"/>
      <c r="W727" s="17"/>
      <c r="X727" s="17"/>
      <c r="Y727" s="17"/>
      <c r="Z727" s="17">
        <v>12174</v>
      </c>
      <c r="AA727" s="17">
        <v>15430.165039</v>
      </c>
      <c r="AB727" s="17">
        <v>12174</v>
      </c>
      <c r="AC727" s="17">
        <v>15430.165039</v>
      </c>
      <c r="AD727"/>
      <c r="AE727"/>
    </row>
    <row r="728" spans="1:31" x14ac:dyDescent="0.25">
      <c r="A728" s="136">
        <f>'[2]All Counts'!C728</f>
        <v>23</v>
      </c>
      <c r="B728" s="136">
        <f>'[2]All Counts'!D728</f>
        <v>4</v>
      </c>
      <c r="C728" s="136">
        <f>'[2]All Counts'!E728</f>
        <v>16428</v>
      </c>
      <c r="D728" s="136">
        <f>'[2]All Counts'!F728</f>
        <v>1</v>
      </c>
      <c r="E728" s="136">
        <f>'[2]All Counts'!G728</f>
        <v>1</v>
      </c>
      <c r="F728" s="136" t="str">
        <f>'[2]All Counts'!H728</f>
        <v>SR-78 EB</v>
      </c>
      <c r="G728" s="136">
        <f>'[2]All Counts'!I728</f>
        <v>29</v>
      </c>
      <c r="H728" s="136">
        <f>'[2]All Counts'!J728</f>
        <v>0</v>
      </c>
      <c r="I728" s="136" t="str">
        <f>'[2]All Counts'!K728</f>
        <v>RANCHO SANTA FE</v>
      </c>
      <c r="J728" s="136" t="str">
        <f>'[2]All Counts'!L728</f>
        <v>LAS POSAS</v>
      </c>
      <c r="K728" s="136">
        <f>'[2]All Counts'!O728</f>
        <v>14152</v>
      </c>
      <c r="L728" s="57">
        <f>VLOOKUP(ws[[#This Row],[hwycov_id]],readme!D:G,4,FALSE)</f>
        <v>18340.689452999999</v>
      </c>
      <c r="M728" s="88">
        <f>ws[[#This Row],[flow]]/ws[[#This Row],[count]]-1</f>
        <v>0.29597862160825317</v>
      </c>
      <c r="N728" s="89">
        <f>POWER((ws[[#This Row],[flow]]-ws[[#This Row],[count]]),2)</f>
        <v>17545119.333673432</v>
      </c>
      <c r="O728" s="43">
        <f>VLOOKUP(ws[[#This Row],[hwycov_id]],count[],6,FALSE)</f>
        <v>0</v>
      </c>
      <c r="P728" s="43">
        <v>729</v>
      </c>
      <c r="Q728" s="43" t="str">
        <f>'[2]All Counts'!P728</f>
        <v>Caltran</v>
      </c>
      <c r="S728" s="94">
        <v>29183</v>
      </c>
      <c r="T728" s="17"/>
      <c r="U728" s="17"/>
      <c r="V728" s="17"/>
      <c r="W728" s="17"/>
      <c r="X728" s="17">
        <v>16131</v>
      </c>
      <c r="Y728" s="17">
        <v>18936.142577999999</v>
      </c>
      <c r="Z728" s="17"/>
      <c r="AA728" s="17"/>
      <c r="AB728" s="17">
        <v>16131</v>
      </c>
      <c r="AC728" s="17">
        <v>18936.142577999999</v>
      </c>
      <c r="AD728"/>
      <c r="AE728"/>
    </row>
    <row r="729" spans="1:31" x14ac:dyDescent="0.25">
      <c r="A729" s="136">
        <f>'[2]All Counts'!C729</f>
        <v>23</v>
      </c>
      <c r="B729" s="136">
        <f>'[2]All Counts'!D729</f>
        <v>4</v>
      </c>
      <c r="C729" s="136">
        <f>'[2]All Counts'!E729</f>
        <v>19571</v>
      </c>
      <c r="D729" s="136">
        <f>'[2]All Counts'!F729</f>
        <v>1</v>
      </c>
      <c r="E729" s="136">
        <f>'[2]All Counts'!G729</f>
        <v>1</v>
      </c>
      <c r="F729" s="136" t="str">
        <f>'[2]All Counts'!H729</f>
        <v>SR-78 EB</v>
      </c>
      <c r="G729" s="136">
        <f>'[2]All Counts'!I729</f>
        <v>33</v>
      </c>
      <c r="H729" s="136">
        <f>'[2]All Counts'!J729</f>
        <v>0</v>
      </c>
      <c r="I729" s="136" t="str">
        <f>'[2]All Counts'!K729</f>
        <v>LAS POSAS</v>
      </c>
      <c r="J729" s="136" t="str">
        <f>'[2]All Counts'!L729</f>
        <v>SAN MARCOS</v>
      </c>
      <c r="K729" s="136">
        <f>'[2]All Counts'!O729</f>
        <v>11206</v>
      </c>
      <c r="L729" s="57">
        <f>VLOOKUP(ws[[#This Row],[hwycov_id]],readme!D:G,4,FALSE)</f>
        <v>16209.459961</v>
      </c>
      <c r="M729" s="88">
        <f>ws[[#This Row],[flow]]/ws[[#This Row],[count]]-1</f>
        <v>0.44649830099946453</v>
      </c>
      <c r="N729" s="89">
        <f>POWER((ws[[#This Row],[flow]]-ws[[#This Row],[count]]),2)</f>
        <v>25034611.581330128</v>
      </c>
      <c r="O729" s="43">
        <f>VLOOKUP(ws[[#This Row],[hwycov_id]],count[],6,FALSE)</f>
        <v>0</v>
      </c>
      <c r="P729" s="43">
        <v>45</v>
      </c>
      <c r="Q729" s="43" t="str">
        <f>'[2]All Counts'!P729</f>
        <v>PeMS2016</v>
      </c>
      <c r="S729" s="94">
        <v>29215</v>
      </c>
      <c r="T729" s="17"/>
      <c r="U729" s="17"/>
      <c r="V729" s="17"/>
      <c r="W729" s="17"/>
      <c r="X729" s="17"/>
      <c r="Y729" s="17"/>
      <c r="Z729" s="17">
        <v>2708</v>
      </c>
      <c r="AA729" s="17">
        <v>3218.482422</v>
      </c>
      <c r="AB729" s="17">
        <v>2708</v>
      </c>
      <c r="AC729" s="17">
        <v>3218.482422</v>
      </c>
      <c r="AD729"/>
      <c r="AE729"/>
    </row>
    <row r="730" spans="1:31" x14ac:dyDescent="0.25">
      <c r="A730" s="136">
        <f>'[2]All Counts'!C730</f>
        <v>23</v>
      </c>
      <c r="B730" s="136">
        <f>'[2]All Counts'!D730</f>
        <v>4</v>
      </c>
      <c r="C730" s="136">
        <f>'[2]All Counts'!E730</f>
        <v>30792</v>
      </c>
      <c r="D730" s="136">
        <f>'[2]All Counts'!F730</f>
        <v>1</v>
      </c>
      <c r="E730" s="136">
        <f>'[2]All Counts'!G730</f>
        <v>1</v>
      </c>
      <c r="F730" s="136" t="str">
        <f>'[2]All Counts'!H730</f>
        <v>SR-78 EB</v>
      </c>
      <c r="G730" s="136">
        <f>'[2]All Counts'!I730</f>
        <v>35</v>
      </c>
      <c r="H730" s="136">
        <f>'[2]All Counts'!J730</f>
        <v>0</v>
      </c>
      <c r="I730" s="136" t="str">
        <f>'[2]All Counts'!K730</f>
        <v>SAN MARCOS</v>
      </c>
      <c r="J730" s="136" t="str">
        <f>'[2]All Counts'!L730</f>
        <v>SAN MARCOS</v>
      </c>
      <c r="K730" s="136">
        <f>'[2]All Counts'!O730</f>
        <v>12855</v>
      </c>
      <c r="L730" s="57">
        <f>VLOOKUP(ws[[#This Row],[hwycov_id]],readme!D:G,4,FALSE)</f>
        <v>17839.464843999998</v>
      </c>
      <c r="M730" s="88">
        <f>ws[[#This Row],[flow]]/ws[[#This Row],[count]]-1</f>
        <v>0.38774522318164117</v>
      </c>
      <c r="N730" s="89">
        <f>POWER((ws[[#This Row],[flow]]-ws[[#This Row],[count]]),2)</f>
        <v>24844889.781071927</v>
      </c>
      <c r="O730" s="43">
        <f>VLOOKUP(ws[[#This Row],[hwycov_id]],count[],6,FALSE)</f>
        <v>0</v>
      </c>
      <c r="P730" s="43">
        <v>597</v>
      </c>
      <c r="Q730" s="43" t="str">
        <f>'[2]All Counts'!P730</f>
        <v>PeMS2016</v>
      </c>
      <c r="S730" s="94">
        <v>29232</v>
      </c>
      <c r="T730" s="17">
        <v>16511</v>
      </c>
      <c r="U730" s="17">
        <v>20386.878906000002</v>
      </c>
      <c r="V730" s="17"/>
      <c r="W730" s="17"/>
      <c r="X730" s="17"/>
      <c r="Y730" s="17"/>
      <c r="Z730" s="17"/>
      <c r="AA730" s="17"/>
      <c r="AB730" s="17">
        <v>16511</v>
      </c>
      <c r="AC730" s="17">
        <v>20386.878906000002</v>
      </c>
      <c r="AD730"/>
      <c r="AE730"/>
    </row>
    <row r="731" spans="1:31" x14ac:dyDescent="0.25">
      <c r="A731" s="136">
        <f>'[2]All Counts'!C731</f>
        <v>23</v>
      </c>
      <c r="B731" s="136">
        <f>'[2]All Counts'!D731</f>
        <v>4</v>
      </c>
      <c r="C731" s="136">
        <f>'[2]All Counts'!E731</f>
        <v>16446</v>
      </c>
      <c r="D731" s="136">
        <f>'[2]All Counts'!F731</f>
        <v>1</v>
      </c>
      <c r="E731" s="136">
        <f>'[2]All Counts'!G731</f>
        <v>1</v>
      </c>
      <c r="F731" s="136" t="str">
        <f>'[2]All Counts'!H731</f>
        <v>SR-78 EB</v>
      </c>
      <c r="G731" s="136">
        <f>'[2]All Counts'!I731</f>
        <v>37</v>
      </c>
      <c r="H731" s="136">
        <f>'[2]All Counts'!J731</f>
        <v>0</v>
      </c>
      <c r="I731" s="136" t="str">
        <f>'[2]All Counts'!K731</f>
        <v>TWIN OAKS VALLEY</v>
      </c>
      <c r="J731" s="136" t="str">
        <f>'[2]All Counts'!L731</f>
        <v>TWIN OAKS VALLEY</v>
      </c>
      <c r="K731" s="136">
        <f>'[2]All Counts'!O731</f>
        <v>15361</v>
      </c>
      <c r="L731" s="57">
        <f>VLOOKUP(ws[[#This Row],[hwycov_id]],readme!D:G,4,FALSE)</f>
        <v>19198.648438</v>
      </c>
      <c r="M731" s="88">
        <f>ws[[#This Row],[flow]]/ws[[#This Row],[count]]-1</f>
        <v>0.24983063850009768</v>
      </c>
      <c r="N731" s="89">
        <f>POWER((ws[[#This Row],[flow]]-ws[[#This Row],[count]]),2)</f>
        <v>14727545.533683842</v>
      </c>
      <c r="O731" s="43">
        <f>VLOOKUP(ws[[#This Row],[hwycov_id]],count[],6,FALSE)</f>
        <v>0</v>
      </c>
      <c r="P731" s="43">
        <v>264</v>
      </c>
      <c r="Q731" s="43" t="str">
        <f>'[2]All Counts'!P731</f>
        <v>PeMS2016</v>
      </c>
      <c r="S731" s="94">
        <v>29368</v>
      </c>
      <c r="T731" s="17">
        <v>6574</v>
      </c>
      <c r="U731" s="17">
        <v>6289.7080079999996</v>
      </c>
      <c r="V731" s="17"/>
      <c r="W731" s="17"/>
      <c r="X731" s="17"/>
      <c r="Y731" s="17"/>
      <c r="Z731" s="17"/>
      <c r="AA731" s="17"/>
      <c r="AB731" s="17">
        <v>6574</v>
      </c>
      <c r="AC731" s="17">
        <v>6289.7080079999996</v>
      </c>
      <c r="AD731"/>
      <c r="AE731"/>
    </row>
    <row r="732" spans="1:31" x14ac:dyDescent="0.25">
      <c r="A732" s="136">
        <f>'[2]All Counts'!C732</f>
        <v>23</v>
      </c>
      <c r="B732" s="136">
        <f>'[2]All Counts'!D732</f>
        <v>4</v>
      </c>
      <c r="C732" s="136">
        <f>'[2]All Counts'!E732</f>
        <v>8846</v>
      </c>
      <c r="D732" s="136">
        <f>'[2]All Counts'!F732</f>
        <v>1</v>
      </c>
      <c r="E732" s="136">
        <f>'[2]All Counts'!G732</f>
        <v>1</v>
      </c>
      <c r="F732" s="136" t="str">
        <f>'[2]All Counts'!H732</f>
        <v>SR-78 EB</v>
      </c>
      <c r="G732" s="136">
        <f>'[2]All Counts'!I732</f>
        <v>42</v>
      </c>
      <c r="H732" s="136">
        <f>'[2]All Counts'!J732</f>
        <v>0</v>
      </c>
      <c r="I732" s="136" t="str">
        <f>'[2]All Counts'!K732</f>
        <v>WOODLAND</v>
      </c>
      <c r="J732" s="136" t="str">
        <f>'[2]All Counts'!L732</f>
        <v>BARHAM</v>
      </c>
      <c r="K732" s="136">
        <f>'[2]All Counts'!O732</f>
        <v>15772</v>
      </c>
      <c r="L732" s="57">
        <f>VLOOKUP(ws[[#This Row],[hwycov_id]],readme!D:G,4,FALSE)</f>
        <v>20939.974609000001</v>
      </c>
      <c r="M732" s="88">
        <f>ws[[#This Row],[flow]]/ws[[#This Row],[count]]-1</f>
        <v>0.32766767746639625</v>
      </c>
      <c r="N732" s="89">
        <f>POWER((ws[[#This Row],[flow]]-ws[[#This Row],[count]]),2)</f>
        <v>26707961.559268709</v>
      </c>
      <c r="O732" s="43">
        <f>VLOOKUP(ws[[#This Row],[hwycov_id]],count[],6,FALSE)</f>
        <v>0</v>
      </c>
      <c r="P732" s="43">
        <v>408</v>
      </c>
      <c r="Q732" s="43" t="str">
        <f>'[2]All Counts'!P732</f>
        <v>PeMS2016</v>
      </c>
      <c r="S732" s="94">
        <v>29442</v>
      </c>
      <c r="T732" s="17"/>
      <c r="U732" s="17"/>
      <c r="V732" s="17">
        <v>3405</v>
      </c>
      <c r="W732" s="17">
        <v>2672.876221</v>
      </c>
      <c r="X732" s="17"/>
      <c r="Y732" s="17"/>
      <c r="Z732" s="17"/>
      <c r="AA732" s="17"/>
      <c r="AB732" s="17">
        <v>3405</v>
      </c>
      <c r="AC732" s="17">
        <v>2672.876221</v>
      </c>
      <c r="AD732"/>
      <c r="AE732"/>
    </row>
    <row r="733" spans="1:31" x14ac:dyDescent="0.25">
      <c r="A733" s="136">
        <f>'[2]All Counts'!C733</f>
        <v>23</v>
      </c>
      <c r="B733" s="136">
        <f>'[2]All Counts'!D733</f>
        <v>4</v>
      </c>
      <c r="C733" s="136">
        <f>'[2]All Counts'!E733</f>
        <v>8042</v>
      </c>
      <c r="D733" s="136">
        <f>'[2]All Counts'!F733</f>
        <v>1</v>
      </c>
      <c r="E733" s="136">
        <f>'[2]All Counts'!G733</f>
        <v>1</v>
      </c>
      <c r="F733" s="136" t="str">
        <f>'[2]All Counts'!H733</f>
        <v>SR-78 EB</v>
      </c>
      <c r="G733" s="136">
        <f>'[2]All Counts'!I733</f>
        <v>44</v>
      </c>
      <c r="H733" s="136">
        <f>'[2]All Counts'!J733</f>
        <v>0</v>
      </c>
      <c r="I733" s="136" t="str">
        <f>'[2]All Counts'!K733</f>
        <v>NORDAHL</v>
      </c>
      <c r="J733" s="136" t="str">
        <f>'[2]All Counts'!L733</f>
        <v>NORDAHL</v>
      </c>
      <c r="K733" s="136">
        <f>'[2]All Counts'!O733</f>
        <v>18047</v>
      </c>
      <c r="L733" s="57">
        <f>VLOOKUP(ws[[#This Row],[hwycov_id]],readme!D:G,4,FALSE)</f>
        <v>20493.337890999999</v>
      </c>
      <c r="M733" s="88">
        <f>ws[[#This Row],[flow]]/ws[[#This Row],[count]]-1</f>
        <v>0.1355537148002437</v>
      </c>
      <c r="N733" s="89">
        <f>POWER((ws[[#This Row],[flow]]-ws[[#This Row],[count]]),2)</f>
        <v>5984569.0769423237</v>
      </c>
      <c r="O733" s="43">
        <f>VLOOKUP(ws[[#This Row],[hwycov_id]],count[],6,FALSE)</f>
        <v>0</v>
      </c>
      <c r="P733" s="43">
        <v>411</v>
      </c>
      <c r="Q733" s="43" t="str">
        <f>'[2]All Counts'!P733</f>
        <v>PeMS2016</v>
      </c>
      <c r="S733" s="94">
        <v>29490</v>
      </c>
      <c r="T733" s="17">
        <v>4350</v>
      </c>
      <c r="U733" s="17">
        <v>5962.09375</v>
      </c>
      <c r="V733" s="17"/>
      <c r="W733" s="17"/>
      <c r="X733" s="17"/>
      <c r="Y733" s="17"/>
      <c r="Z733" s="17"/>
      <c r="AA733" s="17"/>
      <c r="AB733" s="17">
        <v>4350</v>
      </c>
      <c r="AC733" s="17">
        <v>5962.09375</v>
      </c>
      <c r="AD733"/>
      <c r="AE733"/>
    </row>
    <row r="734" spans="1:31" x14ac:dyDescent="0.25">
      <c r="A734" s="136">
        <f>'[2]All Counts'!C734</f>
        <v>23</v>
      </c>
      <c r="B734" s="136">
        <f>'[2]All Counts'!D734</f>
        <v>4</v>
      </c>
      <c r="C734" s="136">
        <f>'[2]All Counts'!E734</f>
        <v>12838</v>
      </c>
      <c r="D734" s="136">
        <f>'[2]All Counts'!F734</f>
        <v>1</v>
      </c>
      <c r="E734" s="136">
        <f>'[2]All Counts'!G734</f>
        <v>1</v>
      </c>
      <c r="F734" s="136" t="str">
        <f>'[2]All Counts'!H734</f>
        <v>SR-78 EB</v>
      </c>
      <c r="G734" s="136">
        <f>'[2]All Counts'!I734</f>
        <v>45</v>
      </c>
      <c r="H734" s="136">
        <f>'[2]All Counts'!J734</f>
        <v>0</v>
      </c>
      <c r="I734" s="136" t="str">
        <f>'[2]All Counts'!K734</f>
        <v>NORDAHL</v>
      </c>
      <c r="J734" s="136" t="str">
        <f>'[2]All Counts'!L734</f>
        <v>I-15 SB</v>
      </c>
      <c r="K734" s="136">
        <f>'[2]All Counts'!O734</f>
        <v>21956</v>
      </c>
      <c r="L734" s="57">
        <f>VLOOKUP(ws[[#This Row],[hwycov_id]],readme!D:G,4,FALSE)</f>
        <v>22969.519531000002</v>
      </c>
      <c r="M734" s="88">
        <f>ws[[#This Row],[flow]]/ws[[#This Row],[count]]-1</f>
        <v>4.6161392375660526E-2</v>
      </c>
      <c r="N734" s="89">
        <f>POWER((ws[[#This Row],[flow]]-ws[[#This Row],[count]]),2)</f>
        <v>1027221.8397184635</v>
      </c>
      <c r="O734" s="43">
        <f>VLOOKUP(ws[[#This Row],[hwycov_id]],count[],6,FALSE)</f>
        <v>0</v>
      </c>
      <c r="P734" s="43">
        <v>331</v>
      </c>
      <c r="Q734" s="43" t="str">
        <f>'[2]All Counts'!P734</f>
        <v>PeMS2016</v>
      </c>
      <c r="S734" s="94">
        <v>29533</v>
      </c>
      <c r="T734" s="17">
        <v>2778</v>
      </c>
      <c r="U734" s="17">
        <v>3106.874268</v>
      </c>
      <c r="V734" s="17"/>
      <c r="W734" s="17"/>
      <c r="X734" s="17"/>
      <c r="Y734" s="17"/>
      <c r="Z734" s="17"/>
      <c r="AA734" s="17"/>
      <c r="AB734" s="17">
        <v>2778</v>
      </c>
      <c r="AC734" s="17">
        <v>3106.874268</v>
      </c>
      <c r="AD734"/>
      <c r="AE734"/>
    </row>
    <row r="735" spans="1:31" x14ac:dyDescent="0.25">
      <c r="A735" s="136">
        <f>'[2]All Counts'!C735</f>
        <v>23</v>
      </c>
      <c r="B735" s="136">
        <f>'[2]All Counts'!D735</f>
        <v>4</v>
      </c>
      <c r="C735" s="136">
        <f>'[2]All Counts'!E735</f>
        <v>12841</v>
      </c>
      <c r="D735" s="136">
        <f>'[2]All Counts'!F735</f>
        <v>1</v>
      </c>
      <c r="E735" s="136">
        <f>'[2]All Counts'!G735</f>
        <v>1</v>
      </c>
      <c r="F735" s="136" t="str">
        <f>'[2]All Counts'!H735</f>
        <v>SR-78 EB</v>
      </c>
      <c r="G735" s="136">
        <f>'[2]All Counts'!I735</f>
        <v>46</v>
      </c>
      <c r="H735" s="136">
        <f>'[2]All Counts'!J735</f>
        <v>0</v>
      </c>
      <c r="I735" s="136" t="str">
        <f>'[2]All Counts'!K735</f>
        <v>I-15 SB</v>
      </c>
      <c r="J735" s="136" t="str">
        <f>'[2]All Counts'!L735</f>
        <v>I-15 NB</v>
      </c>
      <c r="K735" s="136">
        <f>'[2]All Counts'!O735</f>
        <v>10358</v>
      </c>
      <c r="L735" s="57">
        <f>VLOOKUP(ws[[#This Row],[hwycov_id]],readme!D:G,4,FALSE)</f>
        <v>10515.212890999999</v>
      </c>
      <c r="M735" s="88">
        <f>ws[[#This Row],[flow]]/ws[[#This Row],[count]]-1</f>
        <v>1.5177919579069332E-2</v>
      </c>
      <c r="N735" s="89">
        <f>POWER((ws[[#This Row],[flow]]-ws[[#This Row],[count]]),2)</f>
        <v>24715.893096577634</v>
      </c>
      <c r="O735" s="43">
        <f>VLOOKUP(ws[[#This Row],[hwycov_id]],count[],6,FALSE)</f>
        <v>0</v>
      </c>
      <c r="P735" s="43">
        <v>177</v>
      </c>
      <c r="Q735" s="43" t="str">
        <f>'[2]All Counts'!P735</f>
        <v>PeMS2016</v>
      </c>
      <c r="S735" s="94">
        <v>29548</v>
      </c>
      <c r="T735" s="17"/>
      <c r="U735" s="17"/>
      <c r="V735" s="17">
        <v>2838</v>
      </c>
      <c r="W735" s="17">
        <v>2136.1215820000002</v>
      </c>
      <c r="X735" s="17"/>
      <c r="Y735" s="17"/>
      <c r="Z735" s="17"/>
      <c r="AA735" s="17"/>
      <c r="AB735" s="17">
        <v>2838</v>
      </c>
      <c r="AC735" s="17">
        <v>2136.1215820000002</v>
      </c>
      <c r="AD735"/>
      <c r="AE735"/>
    </row>
    <row r="736" spans="1:31" x14ac:dyDescent="0.25">
      <c r="A736" s="136">
        <f>'[2]All Counts'!C736</f>
        <v>27</v>
      </c>
      <c r="B736" s="136">
        <f>'[2]All Counts'!D736</f>
        <v>4</v>
      </c>
      <c r="C736" s="136">
        <f>'[2]All Counts'!E736</f>
        <v>27855</v>
      </c>
      <c r="D736" s="136">
        <f>'[2]All Counts'!F736</f>
        <v>1</v>
      </c>
      <c r="E736" s="136">
        <f>'[2]All Counts'!G736</f>
        <v>1</v>
      </c>
      <c r="F736" s="136" t="str">
        <f>'[2]All Counts'!H736</f>
        <v>SR-905 EB</v>
      </c>
      <c r="G736" s="136">
        <f>'[2]All Counts'!I736</f>
        <v>5</v>
      </c>
      <c r="H736" s="136">
        <f>'[2]All Counts'!J736</f>
        <v>0</v>
      </c>
      <c r="I736" s="136" t="str">
        <f>'[2]All Counts'!K736</f>
        <v>I-5 SB</v>
      </c>
      <c r="J736" s="136" t="str">
        <f>'[2]All Counts'!L736</f>
        <v>BEYER</v>
      </c>
      <c r="K736" s="136">
        <f>'[2]All Counts'!O736</f>
        <v>8022</v>
      </c>
      <c r="L736" s="57">
        <f>VLOOKUP(ws[[#This Row],[hwycov_id]],readme!D:G,4,FALSE)</f>
        <v>6988.6923829999996</v>
      </c>
      <c r="M736" s="88">
        <f>ws[[#This Row],[flow]]/ws[[#This Row],[count]]-1</f>
        <v>-0.12880922675143358</v>
      </c>
      <c r="N736" s="89">
        <f>POWER((ws[[#This Row],[flow]]-ws[[#This Row],[count]]),2)</f>
        <v>1067724.6313502195</v>
      </c>
      <c r="O736" s="43">
        <f>VLOOKUP(ws[[#This Row],[hwycov_id]],count[],6,FALSE)</f>
        <v>0</v>
      </c>
      <c r="P736" s="43">
        <v>600</v>
      </c>
      <c r="Q736" s="43" t="str">
        <f>'[2]All Counts'!P736</f>
        <v>Caltran</v>
      </c>
      <c r="S736" s="94">
        <v>29553</v>
      </c>
      <c r="T736" s="17">
        <v>2629</v>
      </c>
      <c r="U736" s="17">
        <v>4525.5776370000003</v>
      </c>
      <c r="V736" s="17"/>
      <c r="W736" s="17"/>
      <c r="X736" s="17"/>
      <c r="Y736" s="17"/>
      <c r="Z736" s="17"/>
      <c r="AA736" s="17"/>
      <c r="AB736" s="17">
        <v>2629</v>
      </c>
      <c r="AC736" s="17">
        <v>4525.5776370000003</v>
      </c>
      <c r="AD736"/>
      <c r="AE736"/>
    </row>
    <row r="737" spans="1:31" x14ac:dyDescent="0.25">
      <c r="A737" s="136">
        <f>'[2]All Counts'!C737</f>
        <v>27</v>
      </c>
      <c r="B737" s="136">
        <f>'[2]All Counts'!D737</f>
        <v>4</v>
      </c>
      <c r="C737" s="136">
        <f>'[2]All Counts'!E737</f>
        <v>9914</v>
      </c>
      <c r="D737" s="136">
        <f>'[2]All Counts'!F737</f>
        <v>1</v>
      </c>
      <c r="E737" s="136">
        <f>'[2]All Counts'!G737</f>
        <v>1</v>
      </c>
      <c r="F737" s="136" t="str">
        <f>'[2]All Counts'!H737</f>
        <v>SR-905 EB</v>
      </c>
      <c r="G737" s="136">
        <f>'[2]All Counts'!I737</f>
        <v>12</v>
      </c>
      <c r="H737" s="136">
        <f>'[2]All Counts'!J737</f>
        <v>0</v>
      </c>
      <c r="I737" s="136" t="str">
        <f>'[2]All Counts'!K737</f>
        <v>I-805 SB</v>
      </c>
      <c r="J737" s="136" t="str">
        <f>'[2]All Counts'!L737</f>
        <v>I-805 NB</v>
      </c>
      <c r="K737" s="136">
        <f>'[2]All Counts'!O737</f>
        <v>3466</v>
      </c>
      <c r="L737" s="57">
        <f>VLOOKUP(ws[[#This Row],[hwycov_id]],readme!D:G,4,FALSE)</f>
        <v>4057.8901369999999</v>
      </c>
      <c r="M737" s="88">
        <f>ws[[#This Row],[flow]]/ws[[#This Row],[count]]-1</f>
        <v>0.17077037997691868</v>
      </c>
      <c r="N737" s="89">
        <f>POWER((ws[[#This Row],[flow]]-ws[[#This Row],[count]]),2)</f>
        <v>350333.93427787861</v>
      </c>
      <c r="O737" s="43">
        <f>VLOOKUP(ws[[#This Row],[hwycov_id]],count[],6,FALSE)</f>
        <v>0</v>
      </c>
      <c r="P737" s="43">
        <v>180</v>
      </c>
      <c r="Q737" s="43" t="str">
        <f>'[2]All Counts'!P737</f>
        <v>PeMS2016</v>
      </c>
      <c r="S737" s="94">
        <v>29571</v>
      </c>
      <c r="T737" s="17">
        <v>2521</v>
      </c>
      <c r="U737" s="17">
        <v>6483.7470700000003</v>
      </c>
      <c r="V737" s="17"/>
      <c r="W737" s="17"/>
      <c r="X737" s="17"/>
      <c r="Y737" s="17"/>
      <c r="Z737" s="17"/>
      <c r="AA737" s="17"/>
      <c r="AB737" s="17">
        <v>2521</v>
      </c>
      <c r="AC737" s="17">
        <v>6483.7470700000003</v>
      </c>
      <c r="AD737"/>
      <c r="AE737"/>
    </row>
    <row r="738" spans="1:31" x14ac:dyDescent="0.25">
      <c r="A738" s="136">
        <f>'[2]All Counts'!C738</f>
        <v>27</v>
      </c>
      <c r="B738" s="136">
        <f>'[2]All Counts'!D738</f>
        <v>4</v>
      </c>
      <c r="C738" s="136">
        <f>'[2]All Counts'!E738</f>
        <v>9903</v>
      </c>
      <c r="D738" s="136">
        <f>'[2]All Counts'!F738</f>
        <v>1</v>
      </c>
      <c r="E738" s="136">
        <f>'[2]All Counts'!G738</f>
        <v>1</v>
      </c>
      <c r="F738" s="136" t="str">
        <f>'[2]All Counts'!H738</f>
        <v>SR-905 EB</v>
      </c>
      <c r="G738" s="136">
        <f>'[2]All Counts'!I738</f>
        <v>13</v>
      </c>
      <c r="H738" s="136">
        <f>'[2]All Counts'!J738</f>
        <v>0</v>
      </c>
      <c r="I738" s="136" t="str">
        <f>'[2]All Counts'!K738</f>
        <v>I-805 NB</v>
      </c>
      <c r="J738" s="136" t="str">
        <f>'[2]All Counts'!L738</f>
        <v>CALIENTE</v>
      </c>
      <c r="K738" s="136">
        <f>'[2]All Counts'!O738</f>
        <v>7641</v>
      </c>
      <c r="L738" s="57">
        <f>VLOOKUP(ws[[#This Row],[hwycov_id]],readme!D:G,4,FALSE)</f>
        <v>11025.977539</v>
      </c>
      <c r="M738" s="88">
        <f>ws[[#This Row],[flow]]/ws[[#This Row],[count]]-1</f>
        <v>0.44300190276141871</v>
      </c>
      <c r="N738" s="89">
        <f>POWER((ws[[#This Row],[flow]]-ws[[#This Row],[count]]),2)</f>
        <v>11458072.939534493</v>
      </c>
      <c r="O738" s="43">
        <f>VLOOKUP(ws[[#This Row],[hwycov_id]],count[],6,FALSE)</f>
        <v>0</v>
      </c>
      <c r="P738" s="43">
        <v>329</v>
      </c>
      <c r="Q738" s="43" t="str">
        <f>'[2]All Counts'!P738</f>
        <v>Caltran</v>
      </c>
      <c r="S738" s="94">
        <v>29573</v>
      </c>
      <c r="T738" s="17"/>
      <c r="U738" s="17"/>
      <c r="V738" s="17">
        <v>2478</v>
      </c>
      <c r="W738" s="17">
        <v>2686.0783689999998</v>
      </c>
      <c r="X738" s="17"/>
      <c r="Y738" s="17"/>
      <c r="Z738" s="17"/>
      <c r="AA738" s="17"/>
      <c r="AB738" s="17">
        <v>2478</v>
      </c>
      <c r="AC738" s="17">
        <v>2686.0783689999998</v>
      </c>
      <c r="AD738"/>
      <c r="AE738"/>
    </row>
    <row r="739" spans="1:31" x14ac:dyDescent="0.25">
      <c r="A739" s="136">
        <f>'[2]All Counts'!C739</f>
        <v>27</v>
      </c>
      <c r="B739" s="136">
        <f>'[2]All Counts'!D739</f>
        <v>4</v>
      </c>
      <c r="C739" s="136">
        <f>'[2]All Counts'!E739</f>
        <v>27737</v>
      </c>
      <c r="D739" s="136">
        <f>'[2]All Counts'!F739</f>
        <v>1</v>
      </c>
      <c r="E739" s="136">
        <f>'[2]All Counts'!G739</f>
        <v>1</v>
      </c>
      <c r="F739" s="136" t="str">
        <f>'[2]All Counts'!H739</f>
        <v>SR-905 EB</v>
      </c>
      <c r="G739" s="136">
        <f>'[2]All Counts'!I739</f>
        <v>3</v>
      </c>
      <c r="H739" s="136">
        <f>'[2]All Counts'!J739</f>
        <v>0</v>
      </c>
      <c r="I739" s="136" t="str">
        <f>'[2]All Counts'!K739</f>
        <v>CALIENTE</v>
      </c>
      <c r="J739" s="136" t="str">
        <f>'[2]All Counts'!L739</f>
        <v>HERITAGE</v>
      </c>
      <c r="K739" s="136">
        <f>'[2]All Counts'!O739</f>
        <v>7486</v>
      </c>
      <c r="L739" s="57">
        <f>VLOOKUP(ws[[#This Row],[hwycov_id]],readme!D:G,4,FALSE)</f>
        <v>9806.2080079999996</v>
      </c>
      <c r="M739" s="88">
        <f>ws[[#This Row],[flow]]/ws[[#This Row],[count]]-1</f>
        <v>0.30993962169382838</v>
      </c>
      <c r="N739" s="89">
        <f>POWER((ws[[#This Row],[flow]]-ws[[#This Row],[count]]),2)</f>
        <v>5383365.2003873261</v>
      </c>
      <c r="O739" s="43">
        <f>VLOOKUP(ws[[#This Row],[hwycov_id]],count[],6,FALSE)</f>
        <v>0</v>
      </c>
      <c r="P739" s="43">
        <v>485</v>
      </c>
      <c r="Q739" s="43" t="str">
        <f>'[2]All Counts'!P739</f>
        <v>PeMS2016</v>
      </c>
      <c r="S739" s="94">
        <v>29575</v>
      </c>
      <c r="T739" s="17"/>
      <c r="U739" s="17"/>
      <c r="V739" s="17">
        <v>2260</v>
      </c>
      <c r="W739" s="17">
        <v>2686.0783689999998</v>
      </c>
      <c r="X739" s="17"/>
      <c r="Y739" s="17"/>
      <c r="Z739" s="17"/>
      <c r="AA739" s="17"/>
      <c r="AB739" s="17">
        <v>2260</v>
      </c>
      <c r="AC739" s="17">
        <v>2686.0783689999998</v>
      </c>
      <c r="AD739"/>
      <c r="AE739"/>
    </row>
    <row r="740" spans="1:31" x14ac:dyDescent="0.25">
      <c r="A740" s="136">
        <f>'[2]All Counts'!C740</f>
        <v>27</v>
      </c>
      <c r="B740" s="136">
        <f>'[2]All Counts'!D740</f>
        <v>4</v>
      </c>
      <c r="C740" s="136">
        <f>'[2]All Counts'!E740</f>
        <v>27720</v>
      </c>
      <c r="D740" s="136">
        <f>'[2]All Counts'!F740</f>
        <v>1</v>
      </c>
      <c r="E740" s="136">
        <f>'[2]All Counts'!G740</f>
        <v>1</v>
      </c>
      <c r="F740" s="136" t="str">
        <f>'[2]All Counts'!H740</f>
        <v>SR-905 EB</v>
      </c>
      <c r="G740" s="136">
        <f>'[2]All Counts'!I740</f>
        <v>8</v>
      </c>
      <c r="H740" s="136">
        <f>'[2]All Counts'!J740</f>
        <v>0</v>
      </c>
      <c r="I740" s="136" t="str">
        <f>'[2]All Counts'!K740</f>
        <v>BRITANNIA</v>
      </c>
      <c r="J740" s="136" t="str">
        <f>'[2]All Counts'!L740</f>
        <v>LA MEDIA</v>
      </c>
      <c r="K740" s="136">
        <f>'[2]All Counts'!O740</f>
        <v>7398</v>
      </c>
      <c r="L740" s="57">
        <f>VLOOKUP(ws[[#This Row],[hwycov_id]],readme!D:G,4,FALSE)</f>
        <v>9694.3769530000009</v>
      </c>
      <c r="M740" s="88">
        <f>ws[[#This Row],[flow]]/ws[[#This Row],[count]]-1</f>
        <v>0.31040510313598291</v>
      </c>
      <c r="N740" s="89">
        <f>POWER((ws[[#This Row],[flow]]-ws[[#This Row],[count]]),2)</f>
        <v>5273347.1102695679</v>
      </c>
      <c r="O740" s="43">
        <f>VLOOKUP(ws[[#This Row],[hwycov_id]],count[],6,FALSE)</f>
        <v>0</v>
      </c>
      <c r="P740" s="43">
        <v>483</v>
      </c>
      <c r="Q740" s="43" t="str">
        <f>'[2]All Counts'!P740</f>
        <v>PeMS2016</v>
      </c>
      <c r="S740" s="94">
        <v>29577</v>
      </c>
      <c r="T740" s="17"/>
      <c r="U740" s="17"/>
      <c r="V740" s="17">
        <v>2152</v>
      </c>
      <c r="W740" s="17">
        <v>2686.0783689999998</v>
      </c>
      <c r="X740" s="17"/>
      <c r="Y740" s="17"/>
      <c r="Z740" s="17"/>
      <c r="AA740" s="17"/>
      <c r="AB740" s="17">
        <v>2152</v>
      </c>
      <c r="AC740" s="17">
        <v>2686.0783689999998</v>
      </c>
      <c r="AD740"/>
      <c r="AE740"/>
    </row>
    <row r="741" spans="1:31" x14ac:dyDescent="0.25">
      <c r="A741" s="136">
        <f>'[2]All Counts'!C741</f>
        <v>27</v>
      </c>
      <c r="B741" s="136">
        <f>'[2]All Counts'!D741</f>
        <v>4</v>
      </c>
      <c r="C741" s="136">
        <f>'[2]All Counts'!E741</f>
        <v>9953</v>
      </c>
      <c r="D741" s="136">
        <f>'[2]All Counts'!F741</f>
        <v>1</v>
      </c>
      <c r="E741" s="136">
        <f>'[2]All Counts'!G741</f>
        <v>1</v>
      </c>
      <c r="F741" s="136" t="str">
        <f>'[2]All Counts'!H741</f>
        <v>SR-905 EB</v>
      </c>
      <c r="G741" s="136">
        <f>'[2]All Counts'!I741</f>
        <v>10</v>
      </c>
      <c r="H741" s="136">
        <f>'[2]All Counts'!J741</f>
        <v>0</v>
      </c>
      <c r="I741" s="136" t="str">
        <f>'[2]All Counts'!K741</f>
        <v>LA MEDIA</v>
      </c>
      <c r="J741" s="136" t="str">
        <f>'[2]All Counts'!L741</f>
        <v>SR-125 NB</v>
      </c>
      <c r="K741" s="136">
        <f>'[2]All Counts'!O741</f>
        <v>5920</v>
      </c>
      <c r="L741" s="57">
        <f>VLOOKUP(ws[[#This Row],[hwycov_id]],readme!D:G,4,FALSE)</f>
        <v>8493.9511719999991</v>
      </c>
      <c r="M741" s="88">
        <f>ws[[#This Row],[flow]]/ws[[#This Row],[count]]-1</f>
        <v>0.43478904932432427</v>
      </c>
      <c r="N741" s="89">
        <f>POWER((ws[[#This Row],[flow]]-ws[[#This Row],[count]]),2)</f>
        <v>6625224.6358401692</v>
      </c>
      <c r="O741" s="43">
        <f>VLOOKUP(ws[[#This Row],[hwycov_id]],count[],6,FALSE)</f>
        <v>0</v>
      </c>
      <c r="P741" s="43">
        <v>484</v>
      </c>
      <c r="Q741" s="43" t="str">
        <f>'[2]All Counts'!P741</f>
        <v>PeMS2016</v>
      </c>
      <c r="S741" s="94">
        <v>29587</v>
      </c>
      <c r="T741" s="17"/>
      <c r="U741" s="17"/>
      <c r="V741" s="17">
        <v>2055</v>
      </c>
      <c r="W741" s="17">
        <v>2686.0783689999998</v>
      </c>
      <c r="X741" s="17"/>
      <c r="Y741" s="17"/>
      <c r="Z741" s="17"/>
      <c r="AA741" s="17"/>
      <c r="AB741" s="17">
        <v>2055</v>
      </c>
      <c r="AC741" s="17">
        <v>2686.0783689999998</v>
      </c>
      <c r="AD741"/>
      <c r="AE741"/>
    </row>
    <row r="742" spans="1:31" x14ac:dyDescent="0.25">
      <c r="A742" s="136">
        <f>'[2]All Counts'!C742</f>
        <v>28</v>
      </c>
      <c r="B742" s="136">
        <f>'[2]All Counts'!D742</f>
        <v>4</v>
      </c>
      <c r="C742" s="136">
        <f>'[2]All Counts'!E742</f>
        <v>15859</v>
      </c>
      <c r="D742" s="136">
        <f>'[2]All Counts'!F742</f>
        <v>1</v>
      </c>
      <c r="E742" s="136">
        <f>'[2]All Counts'!G742</f>
        <v>1</v>
      </c>
      <c r="F742" s="136" t="str">
        <f>'[2]All Counts'!H742</f>
        <v>SR-94 EB</v>
      </c>
      <c r="G742" s="136">
        <f>'[2]All Counts'!I742</f>
        <v>4</v>
      </c>
      <c r="H742" s="136">
        <f>'[2]All Counts'!J742</f>
        <v>0</v>
      </c>
      <c r="I742" s="136" t="str">
        <f>'[2]All Counts'!K742</f>
        <v>I-5 SB</v>
      </c>
      <c r="J742" s="136" t="str">
        <f>'[2]All Counts'!L742</f>
        <v>25TH</v>
      </c>
      <c r="K742" s="136">
        <f>'[2]All Counts'!O742</f>
        <v>21430</v>
      </c>
      <c r="L742" s="57">
        <f>VLOOKUP(ws[[#This Row],[hwycov_id]],readme!D:G,4,FALSE)</f>
        <v>24066.369140999999</v>
      </c>
      <c r="M742" s="88">
        <f>ws[[#This Row],[flow]]/ws[[#This Row],[count]]-1</f>
        <v>0.12302235842277187</v>
      </c>
      <c r="N742" s="89">
        <f>POWER((ws[[#This Row],[flow]]-ws[[#This Row],[count]]),2)</f>
        <v>6950442.2476170734</v>
      </c>
      <c r="O742" s="43">
        <f>VLOOKUP(ws[[#This Row],[hwycov_id]],count[],6,FALSE)</f>
        <v>0</v>
      </c>
      <c r="P742" s="43">
        <v>482</v>
      </c>
      <c r="Q742" s="43" t="str">
        <f>'[2]All Counts'!P742</f>
        <v>PeMS2016</v>
      </c>
      <c r="S742" s="94">
        <v>29756</v>
      </c>
      <c r="T742" s="17">
        <v>17069</v>
      </c>
      <c r="U742" s="17">
        <v>18601.316406000002</v>
      </c>
      <c r="V742" s="17"/>
      <c r="W742" s="17"/>
      <c r="X742" s="17"/>
      <c r="Y742" s="17"/>
      <c r="Z742" s="17"/>
      <c r="AA742" s="17"/>
      <c r="AB742" s="17">
        <v>17069</v>
      </c>
      <c r="AC742" s="17">
        <v>18601.316406000002</v>
      </c>
      <c r="AD742"/>
      <c r="AE742"/>
    </row>
    <row r="743" spans="1:31" x14ac:dyDescent="0.25">
      <c r="A743" s="136">
        <f>'[2]All Counts'!C743</f>
        <v>28</v>
      </c>
      <c r="B743" s="136">
        <f>'[2]All Counts'!D743</f>
        <v>4</v>
      </c>
      <c r="C743" s="136">
        <f>'[2]All Counts'!E743</f>
        <v>15855</v>
      </c>
      <c r="D743" s="136">
        <f>'[2]All Counts'!F743</f>
        <v>1</v>
      </c>
      <c r="E743" s="136">
        <f>'[2]All Counts'!G743</f>
        <v>1</v>
      </c>
      <c r="F743" s="136" t="str">
        <f>'[2]All Counts'!H743</f>
        <v>SR-94 EB</v>
      </c>
      <c r="G743" s="136">
        <f>'[2]All Counts'!I743</f>
        <v>6</v>
      </c>
      <c r="H743" s="136">
        <f>'[2]All Counts'!J743</f>
        <v>0</v>
      </c>
      <c r="I743" s="136" t="str">
        <f>'[2]All Counts'!K743</f>
        <v>28TH</v>
      </c>
      <c r="J743" s="136" t="str">
        <f>'[2]All Counts'!L743</f>
        <v>28TH</v>
      </c>
      <c r="K743" s="136">
        <f>'[2]All Counts'!O743</f>
        <v>23078</v>
      </c>
      <c r="L743" s="57">
        <f>VLOOKUP(ws[[#This Row],[hwycov_id]],readme!D:G,4,FALSE)</f>
        <v>25083.037109000001</v>
      </c>
      <c r="M743" s="88">
        <f>ws[[#This Row],[flow]]/ws[[#This Row],[count]]-1</f>
        <v>8.6880886948609071E-2</v>
      </c>
      <c r="N743" s="89">
        <f>POWER((ws[[#This Row],[flow]]-ws[[#This Row],[count]]),2)</f>
        <v>4020173.8084670808</v>
      </c>
      <c r="O743" s="43">
        <f>VLOOKUP(ws[[#This Row],[hwycov_id]],count[],6,FALSE)</f>
        <v>0</v>
      </c>
      <c r="P743" s="43">
        <v>265</v>
      </c>
      <c r="Q743" s="43" t="str">
        <f>'[2]All Counts'!P743</f>
        <v>PeMS2016</v>
      </c>
      <c r="S743" s="94">
        <v>30080</v>
      </c>
      <c r="T743" s="17"/>
      <c r="U743" s="17"/>
      <c r="V743" s="17"/>
      <c r="W743" s="17"/>
      <c r="X743" s="17">
        <v>16167</v>
      </c>
      <c r="Y743" s="17">
        <v>20594.105468999998</v>
      </c>
      <c r="Z743" s="17"/>
      <c r="AA743" s="17"/>
      <c r="AB743" s="17">
        <v>16167</v>
      </c>
      <c r="AC743" s="17">
        <v>20594.105468999998</v>
      </c>
      <c r="AD743"/>
      <c r="AE743"/>
    </row>
    <row r="744" spans="1:31" x14ac:dyDescent="0.25">
      <c r="A744" s="136">
        <f>'[2]All Counts'!C744</f>
        <v>28</v>
      </c>
      <c r="B744" s="136">
        <f>'[2]All Counts'!D744</f>
        <v>4</v>
      </c>
      <c r="C744" s="136">
        <f>'[2]All Counts'!E744</f>
        <v>31212</v>
      </c>
      <c r="D744" s="136">
        <f>'[2]All Counts'!F744</f>
        <v>1</v>
      </c>
      <c r="E744" s="136">
        <f>'[2]All Counts'!G744</f>
        <v>1</v>
      </c>
      <c r="F744" s="136" t="str">
        <f>'[2]All Counts'!H744</f>
        <v>SR-94 EB</v>
      </c>
      <c r="G744" s="136">
        <f>'[2]All Counts'!I744</f>
        <v>7</v>
      </c>
      <c r="H744" s="136">
        <f>'[2]All Counts'!J744</f>
        <v>0</v>
      </c>
      <c r="I744" s="136" t="str">
        <f>'[2]All Counts'!K744</f>
        <v>28TH</v>
      </c>
      <c r="J744" s="136" t="str">
        <f>'[2]All Counts'!L744</f>
        <v>32ND</v>
      </c>
      <c r="K744" s="136">
        <f>'[2]All Counts'!O744</f>
        <v>25356</v>
      </c>
      <c r="L744" s="57">
        <f>VLOOKUP(ws[[#This Row],[hwycov_id]],readme!D:G,4,FALSE)</f>
        <v>26780.556640999999</v>
      </c>
      <c r="M744" s="88">
        <f>ws[[#This Row],[flow]]/ws[[#This Row],[count]]-1</f>
        <v>5.6182230675185352E-2</v>
      </c>
      <c r="N744" s="89">
        <f>POWER((ws[[#This Row],[flow]]-ws[[#This Row],[count]]),2)</f>
        <v>2029361.6234172008</v>
      </c>
      <c r="O744" s="43">
        <f>VLOOKUP(ws[[#This Row],[hwycov_id]],count[],6,FALSE)</f>
        <v>0</v>
      </c>
      <c r="P744" s="43">
        <v>40</v>
      </c>
      <c r="Q744" s="43" t="str">
        <f>'[2]All Counts'!P744</f>
        <v>PeMS2016</v>
      </c>
      <c r="S744" s="94">
        <v>30776</v>
      </c>
      <c r="T744" s="17"/>
      <c r="U744" s="17"/>
      <c r="V744" s="17">
        <v>18486</v>
      </c>
      <c r="W744" s="17">
        <v>21332.662109000001</v>
      </c>
      <c r="X744" s="17"/>
      <c r="Y744" s="17"/>
      <c r="Z744" s="17"/>
      <c r="AA744" s="17"/>
      <c r="AB744" s="17">
        <v>18486</v>
      </c>
      <c r="AC744" s="17">
        <v>21332.662109000001</v>
      </c>
      <c r="AD744"/>
      <c r="AE744"/>
    </row>
    <row r="745" spans="1:31" x14ac:dyDescent="0.25">
      <c r="A745" s="136">
        <f>'[2]All Counts'!C745</f>
        <v>28</v>
      </c>
      <c r="B745" s="136">
        <f>'[2]All Counts'!D745</f>
        <v>4</v>
      </c>
      <c r="C745" s="136">
        <f>'[2]All Counts'!E745</f>
        <v>15853</v>
      </c>
      <c r="D745" s="136">
        <f>'[2]All Counts'!F745</f>
        <v>1</v>
      </c>
      <c r="E745" s="136">
        <f>'[2]All Counts'!G745</f>
        <v>1</v>
      </c>
      <c r="F745" s="136" t="str">
        <f>'[2]All Counts'!H745</f>
        <v>SR-94 EB</v>
      </c>
      <c r="G745" s="136">
        <f>'[2]All Counts'!I745</f>
        <v>8</v>
      </c>
      <c r="H745" s="136">
        <f>'[2]All Counts'!J745</f>
        <v>0</v>
      </c>
      <c r="I745" s="136" t="str">
        <f>'[2]All Counts'!K745</f>
        <v>28TH</v>
      </c>
      <c r="J745" s="136" t="str">
        <f>'[2]All Counts'!L745</f>
        <v>32ND</v>
      </c>
      <c r="K745" s="136">
        <f>'[2]All Counts'!O745</f>
        <v>25413</v>
      </c>
      <c r="L745" s="57">
        <f>VLOOKUP(ws[[#This Row],[hwycov_id]],readme!D:G,4,FALSE)</f>
        <v>26780.556640999999</v>
      </c>
      <c r="M745" s="88">
        <f>ws[[#This Row],[flow]]/ws[[#This Row],[count]]-1</f>
        <v>5.3813270412780723E-2</v>
      </c>
      <c r="N745" s="89">
        <f>POWER((ws[[#This Row],[flow]]-ws[[#This Row],[count]]),2)</f>
        <v>1870211.1663432007</v>
      </c>
      <c r="O745" s="43">
        <f>VLOOKUP(ws[[#This Row],[hwycov_id]],count[],6,FALSE)</f>
        <v>0</v>
      </c>
      <c r="P745" s="43">
        <v>522</v>
      </c>
      <c r="Q745" s="43" t="str">
        <f>'[2]All Counts'!P745</f>
        <v>PeMS2016</v>
      </c>
      <c r="S745" s="94">
        <v>30782</v>
      </c>
      <c r="T745" s="17"/>
      <c r="U745" s="17"/>
      <c r="V745" s="17">
        <v>5332</v>
      </c>
      <c r="W745" s="17">
        <v>5855.5986329999996</v>
      </c>
      <c r="X745" s="17"/>
      <c r="Y745" s="17"/>
      <c r="Z745" s="17"/>
      <c r="AA745" s="17"/>
      <c r="AB745" s="17">
        <v>5332</v>
      </c>
      <c r="AC745" s="17">
        <v>5855.5986329999996</v>
      </c>
      <c r="AD745"/>
      <c r="AE745"/>
    </row>
    <row r="746" spans="1:31" x14ac:dyDescent="0.25">
      <c r="A746" s="136">
        <f>'[2]All Counts'!C746</f>
        <v>28</v>
      </c>
      <c r="B746" s="136">
        <f>'[2]All Counts'!D746</f>
        <v>4</v>
      </c>
      <c r="C746" s="136">
        <f>'[2]All Counts'!E746</f>
        <v>29052</v>
      </c>
      <c r="D746" s="136">
        <f>'[2]All Counts'!F746</f>
        <v>1</v>
      </c>
      <c r="E746" s="136">
        <f>'[2]All Counts'!G746</f>
        <v>1</v>
      </c>
      <c r="F746" s="136" t="str">
        <f>'[2]All Counts'!H746</f>
        <v>SR-94 EB</v>
      </c>
      <c r="G746" s="136">
        <f>'[2]All Counts'!I746</f>
        <v>12</v>
      </c>
      <c r="H746" s="136">
        <f>'[2]All Counts'!J746</f>
        <v>0</v>
      </c>
      <c r="I746" s="136" t="str">
        <f>'[2]All Counts'!K746</f>
        <v>SR-15 NB</v>
      </c>
      <c r="J746" s="136" t="str">
        <f>'[2]All Counts'!L746</f>
        <v>SR-15 SB</v>
      </c>
      <c r="K746" s="136">
        <f>'[2]All Counts'!O746</f>
        <v>20068</v>
      </c>
      <c r="L746" s="57">
        <f>VLOOKUP(ws[[#This Row],[hwycov_id]],readme!D:G,4,FALSE)</f>
        <v>20736.330077999999</v>
      </c>
      <c r="M746" s="88">
        <f>ws[[#This Row],[flow]]/ws[[#This Row],[count]]-1</f>
        <v>3.3303272772573278E-2</v>
      </c>
      <c r="N746" s="89">
        <f>POWER((ws[[#This Row],[flow]]-ws[[#This Row],[count]]),2)</f>
        <v>446665.09315948479</v>
      </c>
      <c r="O746" s="43">
        <f>VLOOKUP(ws[[#This Row],[hwycov_id]],count[],6,FALSE)</f>
        <v>0</v>
      </c>
      <c r="P746" s="43">
        <v>657</v>
      </c>
      <c r="Q746" s="43" t="str">
        <f>'[2]All Counts'!P746</f>
        <v>PeMS2016</v>
      </c>
      <c r="S746" s="94">
        <v>30792</v>
      </c>
      <c r="T746" s="17"/>
      <c r="U746" s="17"/>
      <c r="V746" s="17"/>
      <c r="W746" s="17"/>
      <c r="X746" s="17"/>
      <c r="Y746" s="17"/>
      <c r="Z746" s="17">
        <v>12855</v>
      </c>
      <c r="AA746" s="17">
        <v>17839.464843999998</v>
      </c>
      <c r="AB746" s="17">
        <v>12855</v>
      </c>
      <c r="AC746" s="17">
        <v>17839.464843999998</v>
      </c>
      <c r="AD746"/>
      <c r="AE746"/>
    </row>
    <row r="747" spans="1:31" x14ac:dyDescent="0.25">
      <c r="A747" s="136">
        <f>'[2]All Counts'!C747</f>
        <v>28</v>
      </c>
      <c r="B747" s="136">
        <f>'[2]All Counts'!D747</f>
        <v>4</v>
      </c>
      <c r="C747" s="136">
        <f>'[2]All Counts'!E747</f>
        <v>29047</v>
      </c>
      <c r="D747" s="136">
        <f>'[2]All Counts'!F747</f>
        <v>1</v>
      </c>
      <c r="E747" s="136">
        <f>'[2]All Counts'!G747</f>
        <v>1</v>
      </c>
      <c r="F747" s="136" t="str">
        <f>'[2]All Counts'!H747</f>
        <v>SR-94 EB</v>
      </c>
      <c r="G747" s="136">
        <f>'[2]All Counts'!I747</f>
        <v>14</v>
      </c>
      <c r="H747" s="136">
        <f>'[2]All Counts'!J747</f>
        <v>0</v>
      </c>
      <c r="I747" s="136" t="str">
        <f>'[2]All Counts'!K747</f>
        <v>I-805 SB</v>
      </c>
      <c r="J747" s="136" t="str">
        <f>'[2]All Counts'!L747</f>
        <v>I-805 NB</v>
      </c>
      <c r="K747" s="136">
        <f>'[2]All Counts'!O747</f>
        <v>17407</v>
      </c>
      <c r="L747" s="57">
        <f>VLOOKUP(ws[[#This Row],[hwycov_id]],readme!D:G,4,FALSE)</f>
        <v>19735.253906000002</v>
      </c>
      <c r="M747" s="88">
        <f>ws[[#This Row],[flow]]/ws[[#This Row],[count]]-1</f>
        <v>0.13375388671224231</v>
      </c>
      <c r="N747" s="89">
        <f>POWER((ws[[#This Row],[flow]]-ws[[#This Row],[count]]),2)</f>
        <v>5420766.250804265</v>
      </c>
      <c r="O747" s="43">
        <f>VLOOKUP(ws[[#This Row],[hwycov_id]],count[],6,FALSE)</f>
        <v>0</v>
      </c>
      <c r="P747" s="43">
        <v>732</v>
      </c>
      <c r="Q747" s="43" t="str">
        <f>'[2]All Counts'!P747</f>
        <v>PeMS2016</v>
      </c>
      <c r="S747" s="94">
        <v>30813</v>
      </c>
      <c r="T747" s="17">
        <v>21648</v>
      </c>
      <c r="U747" s="17">
        <v>20985.71875</v>
      </c>
      <c r="V747" s="17"/>
      <c r="W747" s="17"/>
      <c r="X747" s="17"/>
      <c r="Y747" s="17"/>
      <c r="Z747" s="17"/>
      <c r="AA747" s="17"/>
      <c r="AB747" s="17">
        <v>21648</v>
      </c>
      <c r="AC747" s="17">
        <v>20985.71875</v>
      </c>
      <c r="AD747"/>
      <c r="AE747"/>
    </row>
    <row r="748" spans="1:31" x14ac:dyDescent="0.25">
      <c r="A748" s="136">
        <f>'[2]All Counts'!C748</f>
        <v>28</v>
      </c>
      <c r="B748" s="136">
        <f>'[2]All Counts'!D748</f>
        <v>4</v>
      </c>
      <c r="C748" s="136">
        <f>'[2]All Counts'!E748</f>
        <v>29039</v>
      </c>
      <c r="D748" s="136">
        <f>'[2]All Counts'!F748</f>
        <v>1</v>
      </c>
      <c r="E748" s="136">
        <f>'[2]All Counts'!G748</f>
        <v>1</v>
      </c>
      <c r="F748" s="136" t="str">
        <f>'[2]All Counts'!H748</f>
        <v>SR-94 EB</v>
      </c>
      <c r="G748" s="136">
        <f>'[2]All Counts'!I748</f>
        <v>16</v>
      </c>
      <c r="H748" s="136">
        <f>'[2]All Counts'!J748</f>
        <v>0</v>
      </c>
      <c r="I748" s="136" t="str">
        <f>'[2]All Counts'!K748</f>
        <v>47TH</v>
      </c>
      <c r="J748" s="136" t="str">
        <f>'[2]All Counts'!L748</f>
        <v>EUCLID</v>
      </c>
      <c r="K748" s="136">
        <f>'[2]All Counts'!O748</f>
        <v>29831</v>
      </c>
      <c r="L748" s="57">
        <f>VLOOKUP(ws[[#This Row],[hwycov_id]],readme!D:G,4,FALSE)</f>
        <v>32788.738280999998</v>
      </c>
      <c r="M748" s="88">
        <f>ws[[#This Row],[flow]]/ws[[#This Row],[count]]-1</f>
        <v>9.9149820019442725E-2</v>
      </c>
      <c r="N748" s="89">
        <f>POWER((ws[[#This Row],[flow]]-ws[[#This Row],[count]]),2)</f>
        <v>8748215.7388928235</v>
      </c>
      <c r="O748" s="43">
        <f>VLOOKUP(ws[[#This Row],[hwycov_id]],count[],6,FALSE)</f>
        <v>0</v>
      </c>
      <c r="P748" s="43">
        <v>271</v>
      </c>
      <c r="Q748" s="43" t="str">
        <f>'[2]All Counts'!P748</f>
        <v>PeMS2016</v>
      </c>
      <c r="S748" s="94">
        <v>30816</v>
      </c>
      <c r="T748" s="17"/>
      <c r="U748" s="17"/>
      <c r="V748" s="17">
        <v>27665</v>
      </c>
      <c r="W748" s="17">
        <v>26810.771484000001</v>
      </c>
      <c r="X748" s="17"/>
      <c r="Y748" s="17"/>
      <c r="Z748" s="17"/>
      <c r="AA748" s="17"/>
      <c r="AB748" s="17">
        <v>27665</v>
      </c>
      <c r="AC748" s="17">
        <v>26810.771484000001</v>
      </c>
      <c r="AD748"/>
      <c r="AE748"/>
    </row>
    <row r="749" spans="1:31" x14ac:dyDescent="0.25">
      <c r="A749" s="136">
        <f>'[2]All Counts'!C749</f>
        <v>28</v>
      </c>
      <c r="B749" s="136">
        <f>'[2]All Counts'!D749</f>
        <v>4</v>
      </c>
      <c r="C749" s="136">
        <f>'[2]All Counts'!E749</f>
        <v>29035</v>
      </c>
      <c r="D749" s="136">
        <f>'[2]All Counts'!F749</f>
        <v>1</v>
      </c>
      <c r="E749" s="136">
        <f>'[2]All Counts'!G749</f>
        <v>1</v>
      </c>
      <c r="F749" s="136" t="str">
        <f>'[2]All Counts'!H749</f>
        <v>SR-94 EB</v>
      </c>
      <c r="G749" s="136">
        <f>'[2]All Counts'!I749</f>
        <v>17</v>
      </c>
      <c r="H749" s="136">
        <f>'[2]All Counts'!J749</f>
        <v>0</v>
      </c>
      <c r="I749" s="136" t="str">
        <f>'[2]All Counts'!K749</f>
        <v>EUCLID</v>
      </c>
      <c r="J749" s="136" t="str">
        <f>'[2]All Counts'!L749</f>
        <v>EUCLID</v>
      </c>
      <c r="K749" s="136">
        <f>'[2]All Counts'!O749</f>
        <v>26851</v>
      </c>
      <c r="L749" s="57">
        <f>VLOOKUP(ws[[#This Row],[hwycov_id]],readme!D:G,4,FALSE)</f>
        <v>28426.685547000001</v>
      </c>
      <c r="M749" s="88">
        <f>ws[[#This Row],[flow]]/ws[[#This Row],[count]]-1</f>
        <v>5.8682564783434588E-2</v>
      </c>
      <c r="N749" s="89">
        <f>POWER((ws[[#This Row],[flow]]-ws[[#This Row],[count]]),2)</f>
        <v>2482784.9430246921</v>
      </c>
      <c r="O749" s="43">
        <f>VLOOKUP(ws[[#This Row],[hwycov_id]],count[],6,FALSE)</f>
        <v>0</v>
      </c>
      <c r="P749" s="43">
        <v>535</v>
      </c>
      <c r="Q749" s="43" t="str">
        <f>'[2]All Counts'!P749</f>
        <v>PeMS2016</v>
      </c>
      <c r="S749" s="94">
        <v>30862</v>
      </c>
      <c r="T749" s="17">
        <v>16768</v>
      </c>
      <c r="U749" s="17">
        <v>26549.888672000001</v>
      </c>
      <c r="V749" s="17"/>
      <c r="W749" s="17"/>
      <c r="X749" s="17"/>
      <c r="Y749" s="17"/>
      <c r="Z749" s="17"/>
      <c r="AA749" s="17"/>
      <c r="AB749" s="17">
        <v>16768</v>
      </c>
      <c r="AC749" s="17">
        <v>26549.888672000001</v>
      </c>
      <c r="AD749"/>
      <c r="AE749"/>
    </row>
    <row r="750" spans="1:31" x14ac:dyDescent="0.25">
      <c r="A750" s="136">
        <f>'[2]All Counts'!C750</f>
        <v>28</v>
      </c>
      <c r="B750" s="136">
        <f>'[2]All Counts'!D750</f>
        <v>4</v>
      </c>
      <c r="C750" s="136">
        <f>'[2]All Counts'!E750</f>
        <v>29027</v>
      </c>
      <c r="D750" s="136">
        <f>'[2]All Counts'!F750</f>
        <v>1</v>
      </c>
      <c r="E750" s="136">
        <f>'[2]All Counts'!G750</f>
        <v>1</v>
      </c>
      <c r="F750" s="136" t="str">
        <f>'[2]All Counts'!H750</f>
        <v>SR-94 EB</v>
      </c>
      <c r="G750" s="136">
        <f>'[2]All Counts'!I750</f>
        <v>18</v>
      </c>
      <c r="H750" s="136">
        <f>'[2]All Counts'!J750</f>
        <v>0</v>
      </c>
      <c r="I750" s="136" t="str">
        <f>'[2]All Counts'!K750</f>
        <v>EUCLID</v>
      </c>
      <c r="J750" s="136" t="str">
        <f>'[2]All Counts'!L750</f>
        <v>KELTON</v>
      </c>
      <c r="K750" s="136">
        <f>'[2]All Counts'!O750</f>
        <v>27704</v>
      </c>
      <c r="L750" s="57">
        <f>VLOOKUP(ws[[#This Row],[hwycov_id]],readme!D:G,4,FALSE)</f>
        <v>29407.886718999998</v>
      </c>
      <c r="M750" s="88">
        <f>ws[[#This Row],[flow]]/ws[[#This Row],[count]]-1</f>
        <v>6.1503274581287792E-2</v>
      </c>
      <c r="N750" s="89">
        <f>POWER((ws[[#This Row],[flow]]-ws[[#This Row],[count]]),2)</f>
        <v>2903229.9511845792</v>
      </c>
      <c r="O750" s="43">
        <f>VLOOKUP(ws[[#This Row],[hwycov_id]],count[],6,FALSE)</f>
        <v>0</v>
      </c>
      <c r="P750" s="43">
        <v>261</v>
      </c>
      <c r="Q750" s="43" t="str">
        <f>'[2]All Counts'!P750</f>
        <v>Caltran</v>
      </c>
      <c r="S750" s="94">
        <v>30864</v>
      </c>
      <c r="T750" s="17">
        <v>22881</v>
      </c>
      <c r="U750" s="17">
        <v>23477.322265999999</v>
      </c>
      <c r="V750" s="17"/>
      <c r="W750" s="17"/>
      <c r="X750" s="17"/>
      <c r="Y750" s="17"/>
      <c r="Z750" s="17"/>
      <c r="AA750" s="17"/>
      <c r="AB750" s="17">
        <v>22881</v>
      </c>
      <c r="AC750" s="17">
        <v>23477.322265999999</v>
      </c>
      <c r="AD750"/>
      <c r="AE750"/>
    </row>
    <row r="751" spans="1:31" x14ac:dyDescent="0.25">
      <c r="A751" s="136">
        <f>'[2]All Counts'!C751</f>
        <v>28</v>
      </c>
      <c r="B751" s="136">
        <f>'[2]All Counts'!D751</f>
        <v>4</v>
      </c>
      <c r="C751" s="136">
        <f>'[2]All Counts'!E751</f>
        <v>29023</v>
      </c>
      <c r="D751" s="136">
        <f>'[2]All Counts'!F751</f>
        <v>1</v>
      </c>
      <c r="E751" s="136">
        <f>'[2]All Counts'!G751</f>
        <v>1</v>
      </c>
      <c r="F751" s="136" t="str">
        <f>'[2]All Counts'!H751</f>
        <v>SR-94 EB</v>
      </c>
      <c r="G751" s="136">
        <f>'[2]All Counts'!I751</f>
        <v>19</v>
      </c>
      <c r="H751" s="136">
        <f>'[2]All Counts'!J751</f>
        <v>0</v>
      </c>
      <c r="I751" s="136" t="str">
        <f>'[2]All Counts'!K751</f>
        <v>KELTON</v>
      </c>
      <c r="J751" s="136" t="str">
        <f>'[2]All Counts'!L751</f>
        <v>KELTON</v>
      </c>
      <c r="K751" s="136">
        <f>'[2]All Counts'!O751</f>
        <v>27341</v>
      </c>
      <c r="L751" s="57">
        <f>VLOOKUP(ws[[#This Row],[hwycov_id]],readme!D:G,4,FALSE)</f>
        <v>27589.865234000001</v>
      </c>
      <c r="M751" s="88">
        <f>ws[[#This Row],[flow]]/ws[[#This Row],[count]]-1</f>
        <v>9.1022725576972441E-3</v>
      </c>
      <c r="N751" s="89">
        <f>POWER((ws[[#This Row],[flow]]-ws[[#This Row],[count]]),2)</f>
        <v>61933.904693875149</v>
      </c>
      <c r="O751" s="43">
        <f>VLOOKUP(ws[[#This Row],[hwycov_id]],count[],6,FALSE)</f>
        <v>0</v>
      </c>
      <c r="P751" s="43">
        <v>266</v>
      </c>
      <c r="Q751" s="43" t="str">
        <f>'[2]All Counts'!P751</f>
        <v>PeMS2016</v>
      </c>
      <c r="S751" s="94">
        <v>31171</v>
      </c>
      <c r="T751" s="17">
        <v>13499</v>
      </c>
      <c r="U751" s="17">
        <v>13115.177734000001</v>
      </c>
      <c r="V751" s="17"/>
      <c r="W751" s="17"/>
      <c r="X751" s="17"/>
      <c r="Y751" s="17"/>
      <c r="Z751" s="17"/>
      <c r="AA751" s="17"/>
      <c r="AB751" s="17">
        <v>13499</v>
      </c>
      <c r="AC751" s="17">
        <v>13115.177734000001</v>
      </c>
      <c r="AD751"/>
      <c r="AE751"/>
    </row>
    <row r="752" spans="1:31" x14ac:dyDescent="0.25">
      <c r="A752" s="136">
        <f>'[2]All Counts'!C752</f>
        <v>28</v>
      </c>
      <c r="B752" s="136">
        <f>'[2]All Counts'!D752</f>
        <v>4</v>
      </c>
      <c r="C752" s="136">
        <f>'[2]All Counts'!E752</f>
        <v>29025</v>
      </c>
      <c r="D752" s="136">
        <f>'[2]All Counts'!F752</f>
        <v>1</v>
      </c>
      <c r="E752" s="136">
        <f>'[2]All Counts'!G752</f>
        <v>1</v>
      </c>
      <c r="F752" s="136" t="str">
        <f>'[2]All Counts'!H752</f>
        <v>SR-94 EB</v>
      </c>
      <c r="G752" s="136">
        <f>'[2]All Counts'!I752</f>
        <v>21</v>
      </c>
      <c r="H752" s="136">
        <f>'[2]All Counts'!J752</f>
        <v>1</v>
      </c>
      <c r="I752" s="136" t="str">
        <f>'[2]All Counts'!K752</f>
        <v>FEDERAL</v>
      </c>
      <c r="J752" s="136" t="str">
        <f>'[2]All Counts'!L752</f>
        <v>COLLEGE GROVE</v>
      </c>
      <c r="K752" s="136">
        <f>'[2]All Counts'!O752</f>
        <v>21170</v>
      </c>
      <c r="L752" s="57">
        <f>VLOOKUP(ws[[#This Row],[hwycov_id]],readme!D:G,4,FALSE)</f>
        <v>24804.322265999999</v>
      </c>
      <c r="M752" s="88">
        <f>ws[[#This Row],[flow]]/ws[[#This Row],[count]]-1</f>
        <v>0.17167322938119978</v>
      </c>
      <c r="N752" s="89">
        <f>POWER((ws[[#This Row],[flow]]-ws[[#This Row],[count]]),2)</f>
        <v>13208298.333143368</v>
      </c>
      <c r="O752" s="43">
        <f>VLOOKUP(ws[[#This Row],[hwycov_id]],count[],6,FALSE)</f>
        <v>0</v>
      </c>
      <c r="P752" s="43">
        <v>125</v>
      </c>
      <c r="Q752" s="43" t="str">
        <f>'[2]All Counts'!P752</f>
        <v>PeMS2016</v>
      </c>
      <c r="S752" s="94">
        <v>31184</v>
      </c>
      <c r="T752" s="17"/>
      <c r="U752" s="17"/>
      <c r="V752" s="17">
        <v>21898</v>
      </c>
      <c r="W752" s="17">
        <v>21091.041015999999</v>
      </c>
      <c r="X752" s="17"/>
      <c r="Y752" s="17"/>
      <c r="Z752" s="17"/>
      <c r="AA752" s="17"/>
      <c r="AB752" s="17">
        <v>21898</v>
      </c>
      <c r="AC752" s="17">
        <v>21091.041015999999</v>
      </c>
      <c r="AD752"/>
      <c r="AE752"/>
    </row>
    <row r="753" spans="1:31" x14ac:dyDescent="0.25">
      <c r="A753" s="136">
        <f>'[2]All Counts'!C753</f>
        <v>28</v>
      </c>
      <c r="B753" s="136">
        <f>'[2]All Counts'!D753</f>
        <v>4</v>
      </c>
      <c r="C753" s="136">
        <f>'[2]All Counts'!E753</f>
        <v>27993</v>
      </c>
      <c r="D753" s="136">
        <f>'[2]All Counts'!F753</f>
        <v>1</v>
      </c>
      <c r="E753" s="136">
        <f>'[2]All Counts'!G753</f>
        <v>1</v>
      </c>
      <c r="F753" s="136" t="str">
        <f>'[2]All Counts'!H753</f>
        <v>SR-94 EB</v>
      </c>
      <c r="G753" s="136">
        <f>'[2]All Counts'!I753</f>
        <v>23</v>
      </c>
      <c r="H753" s="136">
        <f>'[2]All Counts'!J753</f>
        <v>0</v>
      </c>
      <c r="I753" s="136" t="str">
        <f>'[2]All Counts'!K753</f>
        <v>MASSACHUSETTS</v>
      </c>
      <c r="J753" s="136" t="str">
        <f>'[2]All Counts'!L753</f>
        <v>MASSACHUSETTS</v>
      </c>
      <c r="K753" s="136">
        <f>'[2]All Counts'!O753</f>
        <v>18924</v>
      </c>
      <c r="L753" s="57">
        <f>VLOOKUP(ws[[#This Row],[hwycov_id]],readme!D:G,4,FALSE)</f>
        <v>19294.236327999999</v>
      </c>
      <c r="M753" s="88">
        <f>ws[[#This Row],[flow]]/ws[[#This Row],[count]]-1</f>
        <v>1.9564380046501739E-2</v>
      </c>
      <c r="N753" s="89">
        <f>POWER((ws[[#This Row],[flow]]-ws[[#This Row],[count]]),2)</f>
        <v>137074.93857092288</v>
      </c>
      <c r="O753" s="43">
        <f>VLOOKUP(ws[[#This Row],[hwycov_id]],count[],6,FALSE)</f>
        <v>0</v>
      </c>
      <c r="P753" s="43">
        <v>668</v>
      </c>
      <c r="Q753" s="43" t="str">
        <f>'[2]All Counts'!P753</f>
        <v>PeMS2016</v>
      </c>
      <c r="S753" s="94">
        <v>31193</v>
      </c>
      <c r="T753" s="17"/>
      <c r="U753" s="17"/>
      <c r="V753" s="17">
        <v>12404</v>
      </c>
      <c r="W753" s="17">
        <v>12606.211914</v>
      </c>
      <c r="X753" s="17"/>
      <c r="Y753" s="17"/>
      <c r="Z753" s="17"/>
      <c r="AA753" s="17"/>
      <c r="AB753" s="17">
        <v>12404</v>
      </c>
      <c r="AC753" s="17">
        <v>12606.211914</v>
      </c>
      <c r="AD753"/>
      <c r="AE753"/>
    </row>
    <row r="754" spans="1:31" x14ac:dyDescent="0.25">
      <c r="A754" s="136">
        <f>'[2]All Counts'!C754</f>
        <v>28</v>
      </c>
      <c r="B754" s="136">
        <f>'[2]All Counts'!D754</f>
        <v>4</v>
      </c>
      <c r="C754" s="136">
        <f>'[2]All Counts'!E754</f>
        <v>28002</v>
      </c>
      <c r="D754" s="136">
        <f>'[2]All Counts'!F754</f>
        <v>1</v>
      </c>
      <c r="E754" s="136">
        <f>'[2]All Counts'!G754</f>
        <v>1</v>
      </c>
      <c r="F754" s="136" t="str">
        <f>'[2]All Counts'!H754</f>
        <v>SR-94 EB</v>
      </c>
      <c r="G754" s="136">
        <f>'[2]All Counts'!I754</f>
        <v>24</v>
      </c>
      <c r="H754" s="136">
        <f>'[2]All Counts'!J754</f>
        <v>0</v>
      </c>
      <c r="I754" s="136" t="str">
        <f>'[2]All Counts'!K754</f>
        <v>WAITE</v>
      </c>
      <c r="J754" s="136" t="str">
        <f>'[2]All Counts'!L754</f>
        <v>LEMON GROVE</v>
      </c>
      <c r="K754" s="136">
        <f>'[2]All Counts'!O754</f>
        <v>21485</v>
      </c>
      <c r="L754" s="57">
        <f>VLOOKUP(ws[[#This Row],[hwycov_id]],readme!D:G,4,FALSE)</f>
        <v>22162.855468999998</v>
      </c>
      <c r="M754" s="88">
        <f>ws[[#This Row],[flow]]/ws[[#This Row],[count]]-1</f>
        <v>3.1550173097509848E-2</v>
      </c>
      <c r="N754" s="89">
        <f>POWER((ws[[#This Row],[flow]]-ws[[#This Row],[count]]),2)</f>
        <v>459488.03685320762</v>
      </c>
      <c r="O754" s="43">
        <f>VLOOKUP(ws[[#This Row],[hwycov_id]],count[],6,FALSE)</f>
        <v>0</v>
      </c>
      <c r="P754" s="43">
        <v>428</v>
      </c>
      <c r="Q754" s="43" t="str">
        <f>'[2]All Counts'!P754</f>
        <v>Caltran</v>
      </c>
      <c r="S754" s="94">
        <v>31198</v>
      </c>
      <c r="T754" s="17">
        <v>21359</v>
      </c>
      <c r="U754" s="17">
        <v>24508.279297000001</v>
      </c>
      <c r="V754" s="17"/>
      <c r="W754" s="17"/>
      <c r="X754" s="17"/>
      <c r="Y754" s="17"/>
      <c r="Z754" s="17"/>
      <c r="AA754" s="17"/>
      <c r="AB754" s="17">
        <v>21359</v>
      </c>
      <c r="AC754" s="17">
        <v>24508.279297000001</v>
      </c>
      <c r="AD754"/>
      <c r="AE754"/>
    </row>
    <row r="755" spans="1:31" x14ac:dyDescent="0.25">
      <c r="A755" s="136">
        <f>'[2]All Counts'!C755</f>
        <v>28</v>
      </c>
      <c r="B755" s="136">
        <f>'[2]All Counts'!D755</f>
        <v>4</v>
      </c>
      <c r="C755" s="136">
        <f>'[2]All Counts'!E755</f>
        <v>10252</v>
      </c>
      <c r="D755" s="136">
        <f>'[2]All Counts'!F755</f>
        <v>1</v>
      </c>
      <c r="E755" s="136">
        <f>'[2]All Counts'!G755</f>
        <v>1</v>
      </c>
      <c r="F755" s="136" t="str">
        <f>'[2]All Counts'!H755</f>
        <v>SR-94 EB</v>
      </c>
      <c r="G755" s="136">
        <f>'[2]All Counts'!I755</f>
        <v>25</v>
      </c>
      <c r="H755" s="136">
        <f>'[2]All Counts'!J755</f>
        <v>0</v>
      </c>
      <c r="I755" s="136" t="str">
        <f>'[2]All Counts'!K755</f>
        <v>LEMON GROVE</v>
      </c>
      <c r="J755" s="136" t="str">
        <f>'[2]All Counts'!L755</f>
        <v>LEMON GROVE</v>
      </c>
      <c r="K755" s="136">
        <f>'[2]All Counts'!O755</f>
        <v>20208</v>
      </c>
      <c r="L755" s="57">
        <f>VLOOKUP(ws[[#This Row],[hwycov_id]],readme!D:G,4,FALSE)</f>
        <v>19733.259765999999</v>
      </c>
      <c r="M755" s="88">
        <f>ws[[#This Row],[flow]]/ws[[#This Row],[count]]-1</f>
        <v>-2.3492687747426855E-2</v>
      </c>
      <c r="N755" s="89">
        <f>POWER((ws[[#This Row],[flow]]-ws[[#This Row],[count]]),2)</f>
        <v>225378.2897783755</v>
      </c>
      <c r="O755" s="43">
        <f>VLOOKUP(ws[[#This Row],[hwycov_id]],count[],6,FALSE)</f>
        <v>0</v>
      </c>
      <c r="P755" s="43">
        <v>175</v>
      </c>
      <c r="Q755" s="43" t="str">
        <f>'[2]All Counts'!P755</f>
        <v>PeMS2016</v>
      </c>
      <c r="S755" s="94">
        <v>31204</v>
      </c>
      <c r="T755" s="17"/>
      <c r="U755" s="17"/>
      <c r="V755" s="17">
        <v>5672</v>
      </c>
      <c r="W755" s="17">
        <v>3941.8483890000002</v>
      </c>
      <c r="X755" s="17"/>
      <c r="Y755" s="17"/>
      <c r="Z755" s="17"/>
      <c r="AA755" s="17"/>
      <c r="AB755" s="17">
        <v>5672</v>
      </c>
      <c r="AC755" s="17">
        <v>3941.8483890000002</v>
      </c>
      <c r="AD755"/>
      <c r="AE755"/>
    </row>
    <row r="756" spans="1:31" x14ac:dyDescent="0.25">
      <c r="A756" s="136">
        <f>'[2]All Counts'!C756</f>
        <v>28</v>
      </c>
      <c r="B756" s="136">
        <f>'[2]All Counts'!D756</f>
        <v>4</v>
      </c>
      <c r="C756" s="136">
        <f>'[2]All Counts'!E756</f>
        <v>28012</v>
      </c>
      <c r="D756" s="136">
        <f>'[2]All Counts'!F756</f>
        <v>1</v>
      </c>
      <c r="E756" s="136">
        <f>'[2]All Counts'!G756</f>
        <v>1</v>
      </c>
      <c r="F756" s="136" t="str">
        <f>'[2]All Counts'!H756</f>
        <v>SR-94 EB</v>
      </c>
      <c r="G756" s="136">
        <f>'[2]All Counts'!I756</f>
        <v>26</v>
      </c>
      <c r="H756" s="136">
        <f>'[2]All Counts'!J756</f>
        <v>0</v>
      </c>
      <c r="I756" s="136" t="str">
        <f>'[2]All Counts'!K756</f>
        <v>LEMON GROVE</v>
      </c>
      <c r="J756" s="136" t="str">
        <f>'[2]All Counts'!L756</f>
        <v>GROVE</v>
      </c>
      <c r="K756" s="136">
        <f>'[2]All Counts'!O756</f>
        <v>21715</v>
      </c>
      <c r="L756" s="57">
        <f>VLOOKUP(ws[[#This Row],[hwycov_id]],readme!D:G,4,FALSE)</f>
        <v>21784.257812</v>
      </c>
      <c r="M756" s="88">
        <f>ws[[#This Row],[flow]]/ws[[#This Row],[count]]-1</f>
        <v>3.189399585539876E-3</v>
      </c>
      <c r="N756" s="89">
        <f>POWER((ws[[#This Row],[flow]]-ws[[#This Row],[count]]),2)</f>
        <v>4796.6445230273202</v>
      </c>
      <c r="O756" s="43">
        <f>VLOOKUP(ws[[#This Row],[hwycov_id]],count[],6,FALSE)</f>
        <v>0</v>
      </c>
      <c r="P756" s="43">
        <v>414</v>
      </c>
      <c r="Q756" s="43" t="str">
        <f>'[2]All Counts'!P756</f>
        <v>Caltran</v>
      </c>
      <c r="S756" s="94">
        <v>31205</v>
      </c>
      <c r="T756" s="17">
        <v>28835</v>
      </c>
      <c r="U756" s="17">
        <v>33523.140625</v>
      </c>
      <c r="V756" s="17"/>
      <c r="W756" s="17"/>
      <c r="X756" s="17"/>
      <c r="Y756" s="17"/>
      <c r="Z756" s="17"/>
      <c r="AA756" s="17"/>
      <c r="AB756" s="17">
        <v>28835</v>
      </c>
      <c r="AC756" s="17">
        <v>33523.140625</v>
      </c>
      <c r="AD756"/>
      <c r="AE756"/>
    </row>
    <row r="757" spans="1:31" x14ac:dyDescent="0.25">
      <c r="A757" s="136">
        <f>'[2]All Counts'!C757</f>
        <v>28</v>
      </c>
      <c r="B757" s="136">
        <f>'[2]All Counts'!D757</f>
        <v>4</v>
      </c>
      <c r="C757" s="136">
        <f>'[2]All Counts'!E757</f>
        <v>10159</v>
      </c>
      <c r="D757" s="136">
        <f>'[2]All Counts'!F757</f>
        <v>1</v>
      </c>
      <c r="E757" s="136">
        <f>'[2]All Counts'!G757</f>
        <v>1</v>
      </c>
      <c r="F757" s="136" t="str">
        <f>'[2]All Counts'!H757</f>
        <v>SR-94 EB</v>
      </c>
      <c r="G757" s="136">
        <f>'[2]All Counts'!I757</f>
        <v>29</v>
      </c>
      <c r="H757" s="136">
        <f>'[2]All Counts'!J757</f>
        <v>0</v>
      </c>
      <c r="I757" s="136" t="str">
        <f>'[2]All Counts'!K757</f>
        <v>SR-125 NB</v>
      </c>
      <c r="J757" s="136" t="str">
        <f>'[2]All Counts'!L757</f>
        <v>SPRING</v>
      </c>
      <c r="K757" s="136">
        <f>'[2]All Counts'!O757</f>
        <v>8226</v>
      </c>
      <c r="L757" s="57">
        <f>VLOOKUP(ws[[#This Row],[hwycov_id]],readme!D:G,4,FALSE)</f>
        <v>10117.319336</v>
      </c>
      <c r="M757" s="88">
        <f>ws[[#This Row],[flow]]/ws[[#This Row],[count]]-1</f>
        <v>0.22991968587405798</v>
      </c>
      <c r="N757" s="89">
        <f>POWER((ws[[#This Row],[flow]]-ws[[#This Row],[count]]),2)</f>
        <v>3577088.8307274827</v>
      </c>
      <c r="O757" s="43">
        <f>VLOOKUP(ws[[#This Row],[hwycov_id]],count[],6,FALSE)</f>
        <v>0</v>
      </c>
      <c r="P757" s="43">
        <v>369</v>
      </c>
      <c r="Q757" s="43" t="str">
        <f>'[2]All Counts'!P757</f>
        <v>PeMS2016</v>
      </c>
      <c r="S757" s="94">
        <v>31206</v>
      </c>
      <c r="T757" s="17">
        <v>29783</v>
      </c>
      <c r="U757" s="17">
        <v>33736.074219000002</v>
      </c>
      <c r="V757" s="17"/>
      <c r="W757" s="17"/>
      <c r="X757" s="17"/>
      <c r="Y757" s="17"/>
      <c r="Z757" s="17"/>
      <c r="AA757" s="17"/>
      <c r="AB757" s="17">
        <v>29783</v>
      </c>
      <c r="AC757" s="17">
        <v>33736.074219000002</v>
      </c>
      <c r="AD757"/>
      <c r="AE757"/>
    </row>
    <row r="758" spans="1:31" x14ac:dyDescent="0.25">
      <c r="A758" s="136">
        <f>'[2]All Counts'!C758</f>
        <v>28</v>
      </c>
      <c r="B758" s="136">
        <f>'[2]All Counts'!D758</f>
        <v>4</v>
      </c>
      <c r="C758" s="136">
        <f>'[2]All Counts'!E758</f>
        <v>28623</v>
      </c>
      <c r="D758" s="136">
        <f>'[2]All Counts'!F758</f>
        <v>1</v>
      </c>
      <c r="E758" s="136">
        <f>'[2]All Counts'!G758</f>
        <v>1</v>
      </c>
      <c r="F758" s="136" t="str">
        <f>'[2]All Counts'!H758</f>
        <v>SR-94 EB</v>
      </c>
      <c r="G758" s="136">
        <f>'[2]All Counts'!I758</f>
        <v>9</v>
      </c>
      <c r="H758" s="136">
        <f>'[2]All Counts'!J758</f>
        <v>0</v>
      </c>
      <c r="I758" s="136" t="str">
        <f>'[2]All Counts'!K758</f>
        <v>AVOCADO</v>
      </c>
      <c r="J758" s="136" t="str">
        <f>'[2]All Counts'!L758</f>
        <v>CAMPO</v>
      </c>
      <c r="K758" s="136">
        <f>'[2]All Counts'!O758</f>
        <v>8655</v>
      </c>
      <c r="L758" s="57">
        <f>VLOOKUP(ws[[#This Row],[hwycov_id]],readme!D:G,4,FALSE)</f>
        <v>7749.8647460000002</v>
      </c>
      <c r="M758" s="88">
        <f>ws[[#This Row],[flow]]/ws[[#This Row],[count]]-1</f>
        <v>-0.10457946320046219</v>
      </c>
      <c r="N758" s="89">
        <f>POWER((ws[[#This Row],[flow]]-ws[[#This Row],[count]]),2)</f>
        <v>819269.82803364412</v>
      </c>
      <c r="O758" s="43">
        <f>VLOOKUP(ws[[#This Row],[hwycov_id]],count[],6,FALSE)</f>
        <v>0</v>
      </c>
      <c r="P758" s="43">
        <v>374</v>
      </c>
      <c r="Q758" s="43" t="str">
        <f>'[2]All Counts'!P758</f>
        <v>Caltran</v>
      </c>
      <c r="S758" s="94">
        <v>31207</v>
      </c>
      <c r="T758" s="17"/>
      <c r="U758" s="17"/>
      <c r="V758" s="17">
        <v>21409</v>
      </c>
      <c r="W758" s="17">
        <v>22075.931640999999</v>
      </c>
      <c r="X758" s="17"/>
      <c r="Y758" s="17"/>
      <c r="Z758" s="17"/>
      <c r="AA758" s="17"/>
      <c r="AB758" s="17">
        <v>21409</v>
      </c>
      <c r="AC758" s="17">
        <v>22075.931640999999</v>
      </c>
      <c r="AD758"/>
      <c r="AE758"/>
    </row>
    <row r="759" spans="1:31" x14ac:dyDescent="0.25">
      <c r="A759" s="136"/>
      <c r="B759" s="136"/>
      <c r="C759" s="136"/>
      <c r="D759" s="136"/>
      <c r="E759" s="136"/>
      <c r="F759" s="136"/>
      <c r="G759" s="136"/>
      <c r="H759" s="136"/>
      <c r="I759" s="136"/>
      <c r="J759" s="136"/>
      <c r="K759" s="136"/>
      <c r="M759" s="88"/>
      <c r="N759" s="89"/>
      <c r="S759" s="94">
        <v>31208</v>
      </c>
      <c r="T759" s="17"/>
      <c r="U759" s="17"/>
      <c r="V759" s="17">
        <v>21420</v>
      </c>
      <c r="W759" s="17">
        <v>19453.318359000001</v>
      </c>
      <c r="X759" s="17"/>
      <c r="Y759" s="17"/>
      <c r="Z759" s="17"/>
      <c r="AA759" s="17"/>
      <c r="AB759" s="17">
        <v>21420</v>
      </c>
      <c r="AC759" s="17">
        <v>19453.318359000001</v>
      </c>
      <c r="AD759"/>
      <c r="AE759"/>
    </row>
    <row r="760" spans="1:31" x14ac:dyDescent="0.25">
      <c r="A760" s="136"/>
      <c r="B760" s="136"/>
      <c r="C760" s="136"/>
      <c r="D760" s="136"/>
      <c r="E760" s="136"/>
      <c r="F760" s="136"/>
      <c r="G760" s="136"/>
      <c r="H760" s="136"/>
      <c r="I760" s="136"/>
      <c r="J760" s="136"/>
      <c r="K760" s="136"/>
      <c r="M760" s="88"/>
      <c r="N760" s="89"/>
      <c r="S760" s="94">
        <v>31212</v>
      </c>
      <c r="T760" s="17"/>
      <c r="U760" s="17"/>
      <c r="V760" s="17"/>
      <c r="W760" s="17"/>
      <c r="X760" s="17"/>
      <c r="Y760" s="17"/>
      <c r="Z760" s="17">
        <v>25356</v>
      </c>
      <c r="AA760" s="17">
        <v>26780.556640999999</v>
      </c>
      <c r="AB760" s="17">
        <v>25356</v>
      </c>
      <c r="AC760" s="17">
        <v>26780.556640999999</v>
      </c>
      <c r="AD760"/>
      <c r="AE760"/>
    </row>
    <row r="761" spans="1:31" x14ac:dyDescent="0.25">
      <c r="A761" s="136"/>
      <c r="B761" s="136"/>
      <c r="C761" s="136"/>
      <c r="D761" s="136"/>
      <c r="E761" s="136"/>
      <c r="F761" s="136"/>
      <c r="G761" s="136"/>
      <c r="H761" s="136"/>
      <c r="I761" s="136"/>
      <c r="J761" s="136"/>
      <c r="K761" s="136"/>
      <c r="M761" s="88"/>
      <c r="N761" s="89"/>
      <c r="S761" s="94" t="s">
        <v>268</v>
      </c>
      <c r="T761" s="17">
        <v>4278814</v>
      </c>
      <c r="U761" s="17">
        <v>5262418.5970450053</v>
      </c>
      <c r="V761" s="17">
        <v>4171684</v>
      </c>
      <c r="W761" s="17">
        <v>4497288.8011540016</v>
      </c>
      <c r="X761" s="17">
        <v>1866917</v>
      </c>
      <c r="Y761" s="17">
        <v>1923186.9079570002</v>
      </c>
      <c r="Z761" s="17">
        <v>2010627</v>
      </c>
      <c r="AA761" s="17">
        <v>2176581.8934339993</v>
      </c>
      <c r="AB761" s="17">
        <v>12328042</v>
      </c>
      <c r="AC761" s="17">
        <v>13859476.199590009</v>
      </c>
      <c r="AD761"/>
      <c r="AE761"/>
    </row>
    <row r="762" spans="1:31" x14ac:dyDescent="0.25">
      <c r="A762" s="266"/>
      <c r="B762" s="267"/>
      <c r="C762" s="266"/>
      <c r="D762" s="266"/>
      <c r="E762" s="266"/>
      <c r="F762" s="266"/>
      <c r="G762" s="266"/>
      <c r="H762" s="266"/>
      <c r="I762" s="266"/>
      <c r="J762" s="266"/>
      <c r="K762" s="268"/>
      <c r="L762" s="269"/>
      <c r="M762" s="270"/>
      <c r="N762" s="271"/>
      <c r="O762" s="266"/>
      <c r="P762" s="272"/>
      <c r="Q762" s="266"/>
      <c r="S762"/>
      <c r="T762"/>
      <c r="U762"/>
      <c r="V762"/>
      <c r="W762"/>
      <c r="X762"/>
      <c r="Y762"/>
      <c r="Z762"/>
      <c r="AA762"/>
      <c r="AB762"/>
      <c r="AC762"/>
      <c r="AD762"/>
      <c r="AE762"/>
    </row>
    <row r="763" spans="1:31" x14ac:dyDescent="0.25">
      <c r="A763" s="136"/>
      <c r="B763" s="136"/>
      <c r="C763" s="136"/>
      <c r="D763" s="136"/>
      <c r="E763" s="136"/>
      <c r="F763" s="136"/>
      <c r="G763" s="136"/>
      <c r="H763" s="136"/>
      <c r="I763" s="136"/>
      <c r="J763" s="136"/>
      <c r="K763" s="136"/>
      <c r="M763" s="88"/>
      <c r="N763" s="89"/>
      <c r="S763"/>
      <c r="T763"/>
      <c r="U763"/>
      <c r="V763"/>
      <c r="W763"/>
      <c r="X763"/>
      <c r="Y763"/>
      <c r="Z763"/>
      <c r="AA763"/>
      <c r="AB763"/>
      <c r="AC763"/>
      <c r="AD763"/>
      <c r="AE763"/>
    </row>
    <row r="764" spans="1:31" x14ac:dyDescent="0.25">
      <c r="A764" s="136"/>
      <c r="B764" s="136"/>
      <c r="C764" s="136"/>
      <c r="D764" s="136"/>
      <c r="E764" s="136"/>
      <c r="F764" s="136"/>
      <c r="G764" s="136"/>
      <c r="H764" s="136"/>
      <c r="I764" s="136"/>
      <c r="J764" s="136"/>
      <c r="K764" s="136"/>
      <c r="M764" s="88"/>
      <c r="N764" s="89"/>
      <c r="S764"/>
      <c r="T764"/>
      <c r="U764"/>
      <c r="V764"/>
      <c r="W764"/>
      <c r="X764"/>
      <c r="Y764"/>
      <c r="Z764"/>
      <c r="AA764"/>
      <c r="AB764"/>
      <c r="AC764"/>
    </row>
    <row r="765" spans="1:31" x14ac:dyDescent="0.25">
      <c r="A765" s="136"/>
      <c r="B765" s="136"/>
      <c r="C765" s="136"/>
      <c r="D765" s="136"/>
      <c r="E765" s="136"/>
      <c r="F765" s="136"/>
      <c r="G765" s="136"/>
      <c r="H765" s="136"/>
      <c r="I765" s="136"/>
      <c r="J765" s="136"/>
      <c r="K765" s="136"/>
      <c r="M765" s="88"/>
      <c r="N765" s="89"/>
    </row>
    <row r="766" spans="1:31" x14ac:dyDescent="0.25">
      <c r="A766" s="136"/>
      <c r="B766" s="136"/>
      <c r="C766" s="136"/>
      <c r="D766" s="136"/>
      <c r="E766" s="136"/>
      <c r="F766" s="136"/>
      <c r="G766" s="136"/>
      <c r="H766" s="136"/>
      <c r="I766" s="136"/>
      <c r="J766" s="136"/>
      <c r="K766" s="136"/>
      <c r="M766" s="88"/>
      <c r="N766" s="89"/>
    </row>
    <row r="767" spans="1:31" x14ac:dyDescent="0.25">
      <c r="A767" s="136"/>
      <c r="B767" s="136"/>
      <c r="C767" s="136"/>
      <c r="D767" s="136"/>
      <c r="E767" s="136"/>
      <c r="F767" s="136"/>
      <c r="G767" s="136"/>
      <c r="H767" s="136"/>
      <c r="I767" s="136"/>
      <c r="J767" s="136"/>
      <c r="K767" s="136"/>
      <c r="M767" s="88"/>
      <c r="N767" s="89"/>
    </row>
    <row r="768" spans="1:31" x14ac:dyDescent="0.25">
      <c r="A768" s="136"/>
      <c r="B768" s="136"/>
      <c r="C768" s="136"/>
      <c r="D768" s="136"/>
      <c r="E768" s="136"/>
      <c r="F768" s="136"/>
      <c r="G768" s="136"/>
      <c r="H768" s="136"/>
      <c r="I768" s="136"/>
      <c r="J768" s="136"/>
      <c r="K768" s="136"/>
      <c r="M768" s="88"/>
      <c r="N768" s="89"/>
    </row>
    <row r="769" spans="1:14" x14ac:dyDescent="0.25">
      <c r="A769" s="136"/>
      <c r="B769" s="136"/>
      <c r="C769" s="136"/>
      <c r="D769" s="136"/>
      <c r="E769" s="136"/>
      <c r="F769" s="136"/>
      <c r="G769" s="136"/>
      <c r="H769" s="136"/>
      <c r="I769" s="136"/>
      <c r="J769" s="136"/>
      <c r="K769" s="136"/>
      <c r="M769" s="88"/>
      <c r="N769" s="89"/>
    </row>
    <row r="770" spans="1:14" x14ac:dyDescent="0.25">
      <c r="A770" s="136"/>
      <c r="B770" s="136"/>
      <c r="C770" s="136"/>
      <c r="D770" s="136"/>
      <c r="E770" s="136"/>
      <c r="F770" s="136"/>
      <c r="G770" s="136"/>
      <c r="H770" s="136"/>
      <c r="I770" s="136"/>
      <c r="J770" s="136"/>
      <c r="K770" s="136"/>
      <c r="M770" s="88"/>
      <c r="N770" s="89"/>
    </row>
    <row r="771" spans="1:14" x14ac:dyDescent="0.25">
      <c r="A771" s="136"/>
      <c r="B771" s="136"/>
      <c r="C771" s="136"/>
      <c r="D771" s="136"/>
      <c r="E771" s="136"/>
      <c r="F771" s="136"/>
      <c r="G771" s="136"/>
      <c r="H771" s="136"/>
      <c r="I771" s="136"/>
      <c r="J771" s="136"/>
      <c r="K771" s="136"/>
      <c r="M771" s="88"/>
      <c r="N771" s="89"/>
    </row>
    <row r="772" spans="1:14" x14ac:dyDescent="0.25">
      <c r="A772" s="136"/>
      <c r="B772" s="136"/>
      <c r="C772" s="136"/>
      <c r="D772" s="136"/>
      <c r="E772" s="136"/>
      <c r="F772" s="136"/>
      <c r="G772" s="136"/>
      <c r="H772" s="136"/>
      <c r="I772" s="136"/>
      <c r="J772" s="136"/>
      <c r="K772" s="136"/>
      <c r="M772" s="88"/>
      <c r="N772" s="89"/>
    </row>
    <row r="773" spans="1:14" x14ac:dyDescent="0.25">
      <c r="A773" s="136"/>
      <c r="B773" s="136"/>
      <c r="C773" s="136"/>
      <c r="D773" s="136"/>
      <c r="E773" s="136"/>
      <c r="F773" s="136"/>
      <c r="G773" s="136"/>
      <c r="H773" s="136"/>
      <c r="I773" s="136"/>
      <c r="J773" s="136"/>
      <c r="K773" s="136"/>
      <c r="M773" s="88"/>
      <c r="N773" s="89"/>
    </row>
    <row r="774" spans="1:14" x14ac:dyDescent="0.25">
      <c r="A774" s="136"/>
      <c r="B774" s="136"/>
      <c r="C774" s="136"/>
      <c r="D774" s="136"/>
      <c r="E774" s="136"/>
      <c r="F774" s="136"/>
      <c r="G774" s="136"/>
      <c r="H774" s="136"/>
      <c r="I774" s="136"/>
      <c r="J774" s="136"/>
      <c r="K774" s="136"/>
      <c r="M774" s="88"/>
      <c r="N774" s="89"/>
    </row>
    <row r="775" spans="1:14" x14ac:dyDescent="0.25">
      <c r="A775" s="136"/>
      <c r="B775" s="136"/>
      <c r="C775" s="136"/>
      <c r="D775" s="136"/>
      <c r="E775" s="136"/>
      <c r="F775" s="136"/>
      <c r="G775" s="136"/>
      <c r="H775" s="136"/>
      <c r="I775" s="136"/>
      <c r="J775" s="136"/>
      <c r="K775" s="136"/>
      <c r="M775" s="88"/>
      <c r="N775" s="89"/>
    </row>
    <row r="776" spans="1:14" x14ac:dyDescent="0.25">
      <c r="A776" s="136"/>
      <c r="B776" s="136"/>
      <c r="C776" s="136"/>
      <c r="D776" s="136"/>
      <c r="E776" s="136"/>
      <c r="F776" s="136"/>
      <c r="G776" s="136"/>
      <c r="H776" s="136"/>
      <c r="I776" s="136"/>
      <c r="J776" s="136"/>
      <c r="K776" s="136"/>
      <c r="M776" s="88"/>
      <c r="N776" s="89"/>
    </row>
    <row r="777" spans="1:14" x14ac:dyDescent="0.25">
      <c r="A777" s="136"/>
      <c r="B777" s="136"/>
      <c r="C777" s="136"/>
      <c r="D777" s="136"/>
      <c r="E777" s="136"/>
      <c r="F777" s="136"/>
      <c r="G777" s="136"/>
      <c r="H777" s="136"/>
      <c r="I777" s="136"/>
      <c r="J777" s="136"/>
      <c r="K777" s="136"/>
      <c r="M777" s="88"/>
      <c r="N777" s="89"/>
    </row>
    <row r="778" spans="1:14" x14ac:dyDescent="0.25">
      <c r="A778" s="136"/>
      <c r="B778" s="136"/>
      <c r="C778" s="136"/>
      <c r="D778" s="136"/>
      <c r="E778" s="136"/>
      <c r="F778" s="136"/>
      <c r="G778" s="136"/>
      <c r="H778" s="136"/>
      <c r="I778" s="136"/>
      <c r="J778" s="136"/>
      <c r="K778" s="136"/>
      <c r="M778" s="88"/>
      <c r="N778" s="89"/>
    </row>
    <row r="779" spans="1:14" x14ac:dyDescent="0.25">
      <c r="A779" s="136"/>
      <c r="B779" s="136"/>
      <c r="C779" s="136"/>
      <c r="D779" s="136"/>
      <c r="E779" s="136"/>
      <c r="F779" s="136"/>
      <c r="G779" s="136"/>
      <c r="H779" s="136"/>
      <c r="I779" s="136"/>
      <c r="J779" s="136"/>
      <c r="K779" s="136"/>
      <c r="M779" s="88"/>
      <c r="N779" s="89"/>
    </row>
    <row r="780" spans="1:14" x14ac:dyDescent="0.25">
      <c r="A780" s="136"/>
      <c r="B780" s="136"/>
      <c r="C780" s="136"/>
      <c r="D780" s="136"/>
      <c r="E780" s="136"/>
      <c r="F780" s="136"/>
      <c r="G780" s="136"/>
      <c r="H780" s="136"/>
      <c r="I780" s="136"/>
      <c r="J780" s="136"/>
      <c r="K780" s="136"/>
      <c r="M780" s="88"/>
      <c r="N780" s="89"/>
    </row>
    <row r="781" spans="1:14" x14ac:dyDescent="0.25">
      <c r="A781" s="136"/>
      <c r="B781" s="136"/>
      <c r="C781" s="136"/>
      <c r="D781" s="136"/>
      <c r="E781" s="136"/>
      <c r="F781" s="136"/>
      <c r="G781" s="136"/>
      <c r="H781" s="136"/>
      <c r="I781" s="136"/>
      <c r="J781" s="136"/>
      <c r="K781" s="136"/>
      <c r="M781" s="88"/>
      <c r="N781" s="89"/>
    </row>
    <row r="782" spans="1:14" x14ac:dyDescent="0.25">
      <c r="A782" s="136"/>
      <c r="B782" s="136"/>
      <c r="C782" s="136"/>
      <c r="D782" s="136"/>
      <c r="E782" s="136"/>
      <c r="F782" s="136"/>
      <c r="G782" s="136"/>
      <c r="H782" s="136"/>
      <c r="I782" s="136"/>
      <c r="J782" s="136"/>
      <c r="K782" s="136"/>
      <c r="M782" s="88"/>
      <c r="N782" s="89"/>
    </row>
    <row r="783" spans="1:14" x14ac:dyDescent="0.25">
      <c r="A783" s="136"/>
      <c r="B783" s="136"/>
      <c r="C783" s="136"/>
      <c r="D783" s="136"/>
      <c r="E783" s="136"/>
      <c r="F783" s="136"/>
      <c r="G783" s="136"/>
      <c r="H783" s="136"/>
      <c r="I783" s="136"/>
      <c r="J783" s="136"/>
      <c r="K783" s="136"/>
      <c r="M783" s="88"/>
      <c r="N783" s="89"/>
    </row>
    <row r="784" spans="1:14" x14ac:dyDescent="0.25">
      <c r="A784" s="136"/>
      <c r="B784" s="136"/>
      <c r="C784" s="136"/>
      <c r="D784" s="136"/>
      <c r="E784" s="136"/>
      <c r="F784" s="136"/>
      <c r="G784" s="136"/>
      <c r="H784" s="136"/>
      <c r="I784" s="136"/>
      <c r="J784" s="136"/>
      <c r="K784" s="136"/>
      <c r="M784" s="88"/>
      <c r="N784" s="89"/>
    </row>
    <row r="785" spans="1:17" x14ac:dyDescent="0.25">
      <c r="A785" s="136"/>
      <c r="B785" s="136"/>
      <c r="C785" s="136"/>
      <c r="D785" s="136"/>
      <c r="E785" s="136"/>
      <c r="F785" s="136"/>
      <c r="G785" s="136"/>
      <c r="H785" s="136"/>
      <c r="I785" s="136"/>
      <c r="J785" s="136"/>
      <c r="K785" s="136"/>
      <c r="M785" s="88"/>
      <c r="N785" s="89"/>
    </row>
    <row r="786" spans="1:17" x14ac:dyDescent="0.25">
      <c r="A786" s="136"/>
      <c r="B786" s="136"/>
      <c r="C786" s="136"/>
      <c r="D786" s="136"/>
      <c r="E786" s="136"/>
      <c r="F786" s="136"/>
      <c r="G786" s="136"/>
      <c r="H786" s="136"/>
      <c r="I786" s="136"/>
      <c r="J786" s="136"/>
      <c r="K786" s="136"/>
      <c r="M786" s="88"/>
      <c r="N786" s="89"/>
    </row>
    <row r="787" spans="1:17" x14ac:dyDescent="0.25">
      <c r="A787" s="136"/>
      <c r="B787" s="136"/>
      <c r="C787" s="136"/>
      <c r="D787" s="136"/>
      <c r="E787" s="136"/>
      <c r="F787" s="136"/>
      <c r="G787" s="136"/>
      <c r="H787" s="136"/>
      <c r="I787" s="136"/>
      <c r="J787" s="136"/>
      <c r="K787" s="136"/>
      <c r="M787" s="88"/>
      <c r="N787" s="89"/>
    </row>
    <row r="788" spans="1:17" x14ac:dyDescent="0.25">
      <c r="A788" s="136"/>
      <c r="B788" s="136"/>
      <c r="C788" s="136"/>
      <c r="D788" s="136"/>
      <c r="E788" s="136"/>
      <c r="F788" s="136"/>
      <c r="G788" s="136"/>
      <c r="H788" s="136"/>
      <c r="I788" s="136"/>
      <c r="J788" s="136"/>
      <c r="K788" s="136"/>
      <c r="M788" s="88"/>
      <c r="N788" s="89"/>
    </row>
    <row r="789" spans="1:17" x14ac:dyDescent="0.25">
      <c r="A789" s="136"/>
      <c r="B789" s="136"/>
      <c r="C789" s="136"/>
      <c r="D789" s="136"/>
      <c r="E789" s="136"/>
      <c r="F789" s="136"/>
      <c r="G789" s="136"/>
      <c r="H789" s="136"/>
      <c r="I789" s="136"/>
      <c r="J789" s="136"/>
      <c r="K789" s="136"/>
      <c r="M789" s="88"/>
      <c r="N789" s="89"/>
    </row>
    <row r="790" spans="1:17" x14ac:dyDescent="0.25">
      <c r="A790" s="136"/>
      <c r="B790" s="136"/>
      <c r="C790" s="136"/>
      <c r="D790" s="136"/>
      <c r="E790" s="136"/>
      <c r="F790" s="136"/>
      <c r="G790" s="136"/>
      <c r="H790" s="136"/>
      <c r="I790" s="136"/>
      <c r="J790" s="136"/>
      <c r="K790" s="136"/>
      <c r="M790" s="88"/>
      <c r="N790" s="89"/>
    </row>
    <row r="791" spans="1:17" x14ac:dyDescent="0.25">
      <c r="A791" s="136"/>
      <c r="B791" s="136"/>
      <c r="C791" s="136"/>
      <c r="D791" s="136"/>
      <c r="E791" s="136"/>
      <c r="F791" s="136"/>
      <c r="G791" s="136"/>
      <c r="H791" s="136"/>
      <c r="I791" s="136"/>
      <c r="J791" s="136"/>
      <c r="K791" s="136"/>
      <c r="M791" s="88"/>
      <c r="N791" s="89"/>
    </row>
    <row r="792" spans="1:17" x14ac:dyDescent="0.25">
      <c r="A792" s="136"/>
      <c r="B792" s="136"/>
      <c r="C792" s="136"/>
      <c r="D792" s="136"/>
      <c r="E792" s="136"/>
      <c r="F792" s="136"/>
      <c r="G792" s="136"/>
      <c r="H792" s="136"/>
      <c r="I792" s="136"/>
      <c r="J792" s="136"/>
      <c r="K792" s="136"/>
      <c r="M792" s="88"/>
      <c r="N792" s="89"/>
    </row>
    <row r="793" spans="1:17" x14ac:dyDescent="0.25">
      <c r="A793" s="136"/>
      <c r="B793" s="136"/>
      <c r="C793" s="136"/>
      <c r="D793" s="136"/>
      <c r="E793" s="136"/>
      <c r="F793" s="136"/>
      <c r="G793" s="136"/>
      <c r="H793" s="136"/>
      <c r="I793" s="136"/>
      <c r="J793" s="136"/>
      <c r="K793" s="136"/>
      <c r="M793" s="88"/>
      <c r="N793" s="89"/>
    </row>
    <row r="794" spans="1:17" x14ac:dyDescent="0.25">
      <c r="A794" s="136"/>
      <c r="B794" s="136"/>
      <c r="C794" s="136"/>
      <c r="D794" s="136"/>
      <c r="E794" s="136"/>
      <c r="F794" s="136"/>
      <c r="G794" s="136"/>
      <c r="H794" s="136"/>
      <c r="I794" s="136"/>
      <c r="J794" s="136"/>
      <c r="K794" s="136"/>
      <c r="M794" s="88"/>
      <c r="N794" s="89"/>
    </row>
    <row r="795" spans="1:17" x14ac:dyDescent="0.25">
      <c r="A795" s="136"/>
      <c r="B795" s="136"/>
      <c r="C795" s="136"/>
      <c r="D795" s="136"/>
      <c r="E795" s="136"/>
      <c r="F795" s="136"/>
      <c r="G795" s="136"/>
      <c r="H795" s="136"/>
      <c r="I795" s="136"/>
      <c r="J795" s="136"/>
      <c r="K795" s="136"/>
      <c r="M795" s="88"/>
      <c r="N795" s="89"/>
    </row>
    <row r="796" spans="1:17" x14ac:dyDescent="0.25">
      <c r="A796" s="136"/>
      <c r="B796" s="136"/>
      <c r="C796" s="136"/>
      <c r="D796" s="136"/>
      <c r="E796" s="136"/>
      <c r="F796" s="136"/>
      <c r="G796" s="136"/>
      <c r="H796" s="136"/>
      <c r="I796" s="136"/>
      <c r="J796" s="136"/>
      <c r="K796" s="136"/>
      <c r="M796" s="88"/>
      <c r="N796" s="89"/>
    </row>
    <row r="797" spans="1:17" x14ac:dyDescent="0.25">
      <c r="A797" s="136"/>
      <c r="B797" s="136"/>
      <c r="C797" s="136"/>
      <c r="D797" s="136"/>
      <c r="E797" s="136"/>
      <c r="F797" s="136"/>
      <c r="G797" s="136"/>
      <c r="H797" s="136"/>
      <c r="I797" s="136"/>
      <c r="J797" s="136"/>
      <c r="K797" s="136"/>
      <c r="M797" s="88"/>
      <c r="N797" s="89"/>
    </row>
    <row r="798" spans="1:17" x14ac:dyDescent="0.25">
      <c r="A798" s="136"/>
      <c r="B798" s="136"/>
      <c r="C798" s="136"/>
      <c r="D798" s="136"/>
      <c r="E798" s="136"/>
      <c r="F798" s="136"/>
      <c r="G798" s="136"/>
      <c r="H798" s="136"/>
      <c r="I798" s="136"/>
      <c r="J798" s="136"/>
      <c r="K798" s="136"/>
      <c r="M798" s="88"/>
      <c r="N798" s="89"/>
    </row>
    <row r="799" spans="1:17" x14ac:dyDescent="0.25">
      <c r="A799" s="209"/>
      <c r="B799" s="210"/>
      <c r="C799" s="209"/>
      <c r="D799" s="209"/>
      <c r="E799" s="209"/>
      <c r="F799" s="209"/>
      <c r="G799" s="209"/>
      <c r="H799" s="209"/>
      <c r="I799" s="209"/>
      <c r="J799" s="209"/>
      <c r="K799" s="211"/>
      <c r="L799" s="212"/>
      <c r="M799" s="213"/>
      <c r="N799" s="214"/>
      <c r="O799" s="209"/>
      <c r="P799" s="215"/>
      <c r="Q799" s="209"/>
    </row>
    <row r="800" spans="1:17" x14ac:dyDescent="0.25">
      <c r="A800" s="209"/>
      <c r="B800" s="210"/>
      <c r="C800" s="209"/>
      <c r="D800" s="209"/>
      <c r="E800" s="209"/>
      <c r="F800" s="209"/>
      <c r="G800" s="209"/>
      <c r="H800" s="209"/>
      <c r="I800" s="209"/>
      <c r="J800" s="209"/>
      <c r="K800" s="211"/>
      <c r="L800" s="212"/>
      <c r="M800" s="213"/>
      <c r="N800" s="214"/>
      <c r="O800" s="209"/>
      <c r="P800" s="215"/>
      <c r="Q800" s="209"/>
    </row>
    <row r="801" spans="1:17" x14ac:dyDescent="0.25">
      <c r="A801" s="209"/>
      <c r="B801" s="210"/>
      <c r="C801" s="209"/>
      <c r="D801" s="209"/>
      <c r="E801" s="209"/>
      <c r="F801" s="209"/>
      <c r="G801" s="209"/>
      <c r="H801" s="209"/>
      <c r="I801" s="209"/>
      <c r="J801" s="209"/>
      <c r="K801" s="211"/>
      <c r="L801" s="212"/>
      <c r="M801" s="213"/>
      <c r="N801" s="214"/>
      <c r="O801" s="209"/>
      <c r="P801" s="215"/>
      <c r="Q801" s="209"/>
    </row>
    <row r="802" spans="1:17" x14ac:dyDescent="0.25">
      <c r="A802" s="209"/>
      <c r="B802" s="210"/>
      <c r="C802" s="209"/>
      <c r="D802" s="209"/>
      <c r="E802" s="209"/>
      <c r="F802" s="209"/>
      <c r="G802" s="209"/>
      <c r="H802" s="209"/>
      <c r="I802" s="209"/>
      <c r="J802" s="209"/>
      <c r="K802" s="211"/>
      <c r="L802" s="212"/>
      <c r="M802" s="213"/>
      <c r="N802" s="214"/>
      <c r="O802" s="209"/>
      <c r="P802" s="215"/>
      <c r="Q802" s="209"/>
    </row>
    <row r="803" spans="1:17" x14ac:dyDescent="0.25">
      <c r="A803" s="209"/>
      <c r="B803" s="210"/>
      <c r="C803" s="209"/>
      <c r="D803" s="209"/>
      <c r="E803" s="209"/>
      <c r="F803" s="209"/>
      <c r="G803" s="209"/>
      <c r="H803" s="209"/>
      <c r="I803" s="209"/>
      <c r="J803" s="209"/>
      <c r="K803" s="211"/>
      <c r="L803" s="212"/>
      <c r="M803" s="213"/>
      <c r="N803" s="214"/>
      <c r="O803" s="209"/>
      <c r="P803" s="215"/>
      <c r="Q803" s="209"/>
    </row>
    <row r="804" spans="1:17" x14ac:dyDescent="0.25">
      <c r="A804" s="209"/>
      <c r="B804" s="210"/>
      <c r="C804" s="209"/>
      <c r="D804" s="209"/>
      <c r="E804" s="209"/>
      <c r="F804" s="209"/>
      <c r="G804" s="209"/>
      <c r="H804" s="209"/>
      <c r="I804" s="209"/>
      <c r="J804" s="209"/>
      <c r="K804" s="211"/>
      <c r="L804" s="212"/>
      <c r="M804" s="213"/>
      <c r="N804" s="214"/>
      <c r="O804" s="209"/>
      <c r="P804" s="215"/>
      <c r="Q804" s="209"/>
    </row>
    <row r="805" spans="1:17" x14ac:dyDescent="0.25">
      <c r="A805" s="209"/>
      <c r="B805" s="210"/>
      <c r="C805" s="209"/>
      <c r="D805" s="209"/>
      <c r="E805" s="209"/>
      <c r="F805" s="209"/>
      <c r="G805" s="209"/>
      <c r="H805" s="209"/>
      <c r="I805" s="209"/>
      <c r="J805" s="209"/>
      <c r="K805" s="211"/>
      <c r="L805" s="212"/>
      <c r="M805" s="213"/>
      <c r="N805" s="214"/>
      <c r="O805" s="209"/>
      <c r="P805" s="215"/>
      <c r="Q805" s="209"/>
    </row>
    <row r="806" spans="1:17" x14ac:dyDescent="0.25">
      <c r="A806" s="209"/>
      <c r="B806" s="210"/>
      <c r="C806" s="209"/>
      <c r="D806" s="209"/>
      <c r="E806" s="209"/>
      <c r="F806" s="209"/>
      <c r="G806" s="209"/>
      <c r="H806" s="209"/>
      <c r="I806" s="209"/>
      <c r="J806" s="209"/>
      <c r="K806" s="211"/>
      <c r="L806" s="212"/>
      <c r="M806" s="213"/>
      <c r="N806" s="214"/>
      <c r="O806" s="209"/>
      <c r="P806" s="215"/>
      <c r="Q806" s="209"/>
    </row>
    <row r="807" spans="1:17" x14ac:dyDescent="0.25">
      <c r="A807" s="209"/>
      <c r="B807" s="210"/>
      <c r="C807" s="209"/>
      <c r="D807" s="209"/>
      <c r="E807" s="209"/>
      <c r="F807" s="209"/>
      <c r="G807" s="209"/>
      <c r="H807" s="209"/>
      <c r="I807" s="209"/>
      <c r="J807" s="209"/>
      <c r="K807" s="211"/>
      <c r="L807" s="212"/>
      <c r="M807" s="213"/>
      <c r="N807" s="214"/>
      <c r="O807" s="209"/>
      <c r="P807" s="215"/>
      <c r="Q807" s="209"/>
    </row>
    <row r="808" spans="1:17" x14ac:dyDescent="0.25">
      <c r="A808" s="209"/>
      <c r="B808" s="210"/>
      <c r="C808" s="209"/>
      <c r="D808" s="209"/>
      <c r="E808" s="209"/>
      <c r="F808" s="209"/>
      <c r="G808" s="209"/>
      <c r="H808" s="209"/>
      <c r="I808" s="209"/>
      <c r="J808" s="209"/>
      <c r="K808" s="211"/>
      <c r="L808" s="212"/>
      <c r="M808" s="213"/>
      <c r="N808" s="214"/>
      <c r="O808" s="209"/>
      <c r="P808" s="215"/>
      <c r="Q808" s="209"/>
    </row>
    <row r="809" spans="1:17" x14ac:dyDescent="0.25">
      <c r="A809" s="209"/>
      <c r="B809" s="210"/>
      <c r="C809" s="209"/>
      <c r="D809" s="209"/>
      <c r="E809" s="209"/>
      <c r="F809" s="209"/>
      <c r="G809" s="209"/>
      <c r="H809" s="209"/>
      <c r="I809" s="209"/>
      <c r="J809" s="209"/>
      <c r="K809" s="211"/>
      <c r="L809" s="212"/>
      <c r="M809" s="213"/>
      <c r="N809" s="214"/>
      <c r="O809" s="209"/>
      <c r="P809" s="215"/>
      <c r="Q809" s="209"/>
    </row>
    <row r="810" spans="1:17" x14ac:dyDescent="0.25">
      <c r="A810" s="209"/>
      <c r="B810" s="210"/>
      <c r="C810" s="209"/>
      <c r="D810" s="209"/>
      <c r="E810" s="209"/>
      <c r="F810" s="209"/>
      <c r="G810" s="209"/>
      <c r="H810" s="209"/>
      <c r="I810" s="209"/>
      <c r="J810" s="209"/>
      <c r="K810" s="211"/>
      <c r="L810" s="212"/>
      <c r="M810" s="213"/>
      <c r="N810" s="214"/>
      <c r="O810" s="209"/>
      <c r="P810" s="215"/>
      <c r="Q810" s="209"/>
    </row>
    <row r="811" spans="1:17" x14ac:dyDescent="0.25">
      <c r="A811" s="209"/>
      <c r="B811" s="210"/>
      <c r="C811" s="209"/>
      <c r="D811" s="209"/>
      <c r="E811" s="209"/>
      <c r="F811" s="209"/>
      <c r="G811" s="209"/>
      <c r="H811" s="209"/>
      <c r="I811" s="209"/>
      <c r="J811" s="209"/>
      <c r="K811" s="211"/>
      <c r="L811" s="212"/>
      <c r="M811" s="213"/>
      <c r="N811" s="214"/>
      <c r="O811" s="209"/>
      <c r="P811" s="215"/>
      <c r="Q811" s="209"/>
    </row>
    <row r="812" spans="1:17" x14ac:dyDescent="0.25">
      <c r="A812" s="209"/>
      <c r="B812" s="210"/>
      <c r="C812" s="209"/>
      <c r="D812" s="209"/>
      <c r="E812" s="209"/>
      <c r="F812" s="209"/>
      <c r="G812" s="209"/>
      <c r="H812" s="209"/>
      <c r="I812" s="209"/>
      <c r="J812" s="209"/>
      <c r="K812" s="211"/>
      <c r="L812" s="212"/>
      <c r="M812" s="213"/>
      <c r="N812" s="214"/>
      <c r="O812" s="209"/>
      <c r="P812" s="215"/>
      <c r="Q812" s="209"/>
    </row>
    <row r="813" spans="1:17" x14ac:dyDescent="0.25">
      <c r="A813" s="209"/>
      <c r="B813" s="210"/>
      <c r="C813" s="209"/>
      <c r="D813" s="209"/>
      <c r="E813" s="209"/>
      <c r="F813" s="209"/>
      <c r="G813" s="209"/>
      <c r="H813" s="209"/>
      <c r="I813" s="209"/>
      <c r="J813" s="209"/>
      <c r="K813" s="211"/>
      <c r="L813" s="212"/>
      <c r="M813" s="213"/>
      <c r="N813" s="214"/>
      <c r="O813" s="209"/>
      <c r="P813" s="215"/>
      <c r="Q813" s="209"/>
    </row>
    <row r="814" spans="1:17" x14ac:dyDescent="0.25">
      <c r="A814" s="209"/>
      <c r="B814" s="210"/>
      <c r="C814" s="209"/>
      <c r="D814" s="209"/>
      <c r="E814" s="209"/>
      <c r="F814" s="209"/>
      <c r="G814" s="209"/>
      <c r="H814" s="209"/>
      <c r="I814" s="209"/>
      <c r="J814" s="209"/>
      <c r="K814" s="211"/>
      <c r="L814" s="212"/>
      <c r="M814" s="213"/>
      <c r="N814" s="214"/>
      <c r="O814" s="209"/>
      <c r="P814" s="215"/>
      <c r="Q814" s="209"/>
    </row>
    <row r="815" spans="1:17" x14ac:dyDescent="0.25">
      <c r="A815" s="209"/>
      <c r="B815" s="210"/>
      <c r="C815" s="209"/>
      <c r="D815" s="209"/>
      <c r="E815" s="209"/>
      <c r="F815" s="209"/>
      <c r="G815" s="209"/>
      <c r="H815" s="209"/>
      <c r="I815" s="209"/>
      <c r="J815" s="209"/>
      <c r="K815" s="211"/>
      <c r="L815" s="212"/>
      <c r="M815" s="213"/>
      <c r="N815" s="214"/>
      <c r="O815" s="209"/>
      <c r="P815" s="215"/>
      <c r="Q815" s="209"/>
    </row>
    <row r="816" spans="1:17" x14ac:dyDescent="0.25">
      <c r="A816" s="209"/>
      <c r="B816" s="210"/>
      <c r="C816" s="209"/>
      <c r="D816" s="209"/>
      <c r="E816" s="209"/>
      <c r="F816" s="209"/>
      <c r="G816" s="209"/>
      <c r="H816" s="209"/>
      <c r="I816" s="209"/>
      <c r="J816" s="209"/>
      <c r="K816" s="211"/>
      <c r="L816" s="212"/>
      <c r="M816" s="213"/>
      <c r="N816" s="214"/>
      <c r="O816" s="209"/>
      <c r="P816" s="215"/>
      <c r="Q816" s="209"/>
    </row>
    <row r="817" spans="1:17" x14ac:dyDescent="0.25">
      <c r="A817" s="209"/>
      <c r="B817" s="210"/>
      <c r="C817" s="209"/>
      <c r="D817" s="209"/>
      <c r="E817" s="209"/>
      <c r="F817" s="209"/>
      <c r="G817" s="209"/>
      <c r="H817" s="209"/>
      <c r="I817" s="209"/>
      <c r="J817" s="209"/>
      <c r="K817" s="211"/>
      <c r="L817" s="212"/>
      <c r="M817" s="213"/>
      <c r="N817" s="214"/>
      <c r="O817" s="209"/>
      <c r="P817" s="215"/>
      <c r="Q817" s="209"/>
    </row>
    <row r="818" spans="1:17" x14ac:dyDescent="0.25">
      <c r="A818" s="209"/>
      <c r="B818" s="210"/>
      <c r="C818" s="209"/>
      <c r="D818" s="209"/>
      <c r="E818" s="209"/>
      <c r="F818" s="209"/>
      <c r="G818" s="209"/>
      <c r="H818" s="209"/>
      <c r="I818" s="209"/>
      <c r="J818" s="209"/>
      <c r="K818" s="211"/>
      <c r="L818" s="212"/>
      <c r="M818" s="213"/>
      <c r="N818" s="214"/>
      <c r="O818" s="209"/>
      <c r="P818" s="215"/>
      <c r="Q818" s="209"/>
    </row>
    <row r="819" spans="1:17" x14ac:dyDescent="0.25">
      <c r="A819" s="209"/>
      <c r="B819" s="210"/>
      <c r="C819" s="209"/>
      <c r="D819" s="209"/>
      <c r="E819" s="209"/>
      <c r="F819" s="209"/>
      <c r="G819" s="209"/>
      <c r="H819" s="209"/>
      <c r="I819" s="209"/>
      <c r="J819" s="209"/>
      <c r="K819" s="211"/>
      <c r="L819" s="212"/>
      <c r="M819" s="213"/>
      <c r="N819" s="214"/>
      <c r="O819" s="209"/>
      <c r="P819" s="215"/>
      <c r="Q819" s="209"/>
    </row>
    <row r="820" spans="1:17" x14ac:dyDescent="0.25">
      <c r="A820" s="209"/>
      <c r="B820" s="210"/>
      <c r="C820" s="209"/>
      <c r="D820" s="209"/>
      <c r="E820" s="209"/>
      <c r="F820" s="209"/>
      <c r="G820" s="209"/>
      <c r="H820" s="209"/>
      <c r="I820" s="209"/>
      <c r="J820" s="209"/>
      <c r="K820" s="211"/>
      <c r="L820" s="212"/>
      <c r="M820" s="213"/>
      <c r="N820" s="214"/>
      <c r="O820" s="209"/>
      <c r="P820" s="215"/>
      <c r="Q820" s="209"/>
    </row>
    <row r="821" spans="1:17" x14ac:dyDescent="0.25">
      <c r="A821" s="209"/>
      <c r="B821" s="210"/>
      <c r="C821" s="209"/>
      <c r="D821" s="209"/>
      <c r="E821" s="209"/>
      <c r="F821" s="209"/>
      <c r="G821" s="209"/>
      <c r="H821" s="209"/>
      <c r="I821" s="209"/>
      <c r="J821" s="209"/>
      <c r="K821" s="211"/>
      <c r="L821" s="212"/>
      <c r="M821" s="213"/>
      <c r="N821" s="214"/>
      <c r="O821" s="209"/>
      <c r="P821" s="215"/>
      <c r="Q821" s="209"/>
    </row>
    <row r="822" spans="1:17" x14ac:dyDescent="0.25">
      <c r="A822" s="209"/>
      <c r="B822" s="210"/>
      <c r="C822" s="209"/>
      <c r="D822" s="209"/>
      <c r="E822" s="209"/>
      <c r="F822" s="209"/>
      <c r="G822" s="209"/>
      <c r="H822" s="209"/>
      <c r="I822" s="209"/>
      <c r="J822" s="209"/>
      <c r="K822" s="211"/>
      <c r="L822" s="212"/>
      <c r="M822" s="213"/>
      <c r="N822" s="214"/>
      <c r="O822" s="209"/>
      <c r="P822" s="215"/>
      <c r="Q822" s="209"/>
    </row>
    <row r="823" spans="1:17" x14ac:dyDescent="0.25">
      <c r="A823" s="209"/>
      <c r="B823" s="210"/>
      <c r="C823" s="209"/>
      <c r="D823" s="209"/>
      <c r="E823" s="209"/>
      <c r="F823" s="209"/>
      <c r="G823" s="209"/>
      <c r="H823" s="209"/>
      <c r="I823" s="209"/>
      <c r="J823" s="209"/>
      <c r="K823" s="211"/>
      <c r="L823" s="212"/>
      <c r="M823" s="213"/>
      <c r="N823" s="214"/>
      <c r="O823" s="209"/>
      <c r="P823" s="215"/>
      <c r="Q823" s="209"/>
    </row>
    <row r="824" spans="1:17" x14ac:dyDescent="0.25">
      <c r="A824" s="209"/>
      <c r="B824" s="210"/>
      <c r="C824" s="209"/>
      <c r="D824" s="209"/>
      <c r="E824" s="209"/>
      <c r="F824" s="209"/>
      <c r="G824" s="209"/>
      <c r="H824" s="209"/>
      <c r="I824" s="209"/>
      <c r="J824" s="209"/>
      <c r="K824" s="211"/>
      <c r="L824" s="212"/>
      <c r="M824" s="213"/>
      <c r="N824" s="214"/>
      <c r="O824" s="209"/>
      <c r="P824" s="215"/>
      <c r="Q824" s="209"/>
    </row>
    <row r="825" spans="1:17" x14ac:dyDescent="0.25">
      <c r="A825" s="209"/>
      <c r="B825" s="210"/>
      <c r="C825" s="209"/>
      <c r="D825" s="209"/>
      <c r="E825" s="209"/>
      <c r="F825" s="209"/>
      <c r="G825" s="209"/>
      <c r="H825" s="209"/>
      <c r="I825" s="209"/>
      <c r="J825" s="209"/>
      <c r="K825" s="211"/>
      <c r="L825" s="212"/>
      <c r="M825" s="213"/>
      <c r="N825" s="214"/>
      <c r="O825" s="209"/>
      <c r="P825" s="215"/>
      <c r="Q825" s="209"/>
    </row>
    <row r="826" spans="1:17" x14ac:dyDescent="0.25">
      <c r="A826" s="209"/>
      <c r="B826" s="210"/>
      <c r="C826" s="209"/>
      <c r="D826" s="209"/>
      <c r="E826" s="209"/>
      <c r="F826" s="209"/>
      <c r="G826" s="209"/>
      <c r="H826" s="209"/>
      <c r="I826" s="209"/>
      <c r="J826" s="209"/>
      <c r="K826" s="211"/>
      <c r="L826" s="212"/>
      <c r="M826" s="213"/>
      <c r="N826" s="214"/>
      <c r="O826" s="209"/>
      <c r="P826" s="215"/>
      <c r="Q826" s="209"/>
    </row>
    <row r="827" spans="1:17" x14ac:dyDescent="0.25">
      <c r="A827" s="209"/>
      <c r="B827" s="210"/>
      <c r="C827" s="209"/>
      <c r="D827" s="209"/>
      <c r="E827" s="209"/>
      <c r="F827" s="209"/>
      <c r="G827" s="209"/>
      <c r="H827" s="209"/>
      <c r="I827" s="209"/>
      <c r="J827" s="209"/>
      <c r="K827" s="211"/>
      <c r="L827" s="212"/>
      <c r="M827" s="213"/>
      <c r="N827" s="214"/>
      <c r="O827" s="209"/>
      <c r="P827" s="215"/>
      <c r="Q827" s="209"/>
    </row>
    <row r="828" spans="1:17" x14ac:dyDescent="0.25">
      <c r="A828" s="209"/>
      <c r="B828" s="210"/>
      <c r="C828" s="209"/>
      <c r="D828" s="209"/>
      <c r="E828" s="209"/>
      <c r="F828" s="209"/>
      <c r="G828" s="209"/>
      <c r="H828" s="209"/>
      <c r="I828" s="209"/>
      <c r="J828" s="209"/>
      <c r="K828" s="211"/>
      <c r="L828" s="212"/>
      <c r="M828" s="213"/>
      <c r="N828" s="214"/>
      <c r="O828" s="209"/>
      <c r="P828" s="215"/>
      <c r="Q828" s="209"/>
    </row>
    <row r="829" spans="1:17" x14ac:dyDescent="0.25">
      <c r="A829" s="209"/>
      <c r="B829" s="210"/>
      <c r="C829" s="209"/>
      <c r="D829" s="209"/>
      <c r="E829" s="209"/>
      <c r="F829" s="209"/>
      <c r="G829" s="209"/>
      <c r="H829" s="209"/>
      <c r="I829" s="209"/>
      <c r="J829" s="209"/>
      <c r="K829" s="211"/>
      <c r="L829" s="212"/>
      <c r="M829" s="213"/>
      <c r="N829" s="214"/>
      <c r="O829" s="209"/>
      <c r="P829" s="215"/>
      <c r="Q829" s="209"/>
    </row>
    <row r="830" spans="1:17" x14ac:dyDescent="0.25">
      <c r="A830" s="209"/>
      <c r="B830" s="210"/>
      <c r="C830" s="209"/>
      <c r="D830" s="209"/>
      <c r="E830" s="209"/>
      <c r="F830" s="209"/>
      <c r="G830" s="209"/>
      <c r="H830" s="209"/>
      <c r="I830" s="209"/>
      <c r="J830" s="209"/>
      <c r="K830" s="211"/>
      <c r="L830" s="212"/>
      <c r="M830" s="213"/>
      <c r="N830" s="214"/>
      <c r="O830" s="209"/>
      <c r="P830" s="215"/>
      <c r="Q830" s="209"/>
    </row>
    <row r="831" spans="1:17" x14ac:dyDescent="0.25">
      <c r="A831" s="209"/>
      <c r="B831" s="210"/>
      <c r="C831" s="209"/>
      <c r="D831" s="209"/>
      <c r="E831" s="209"/>
      <c r="F831" s="209"/>
      <c r="G831" s="209"/>
      <c r="H831" s="209"/>
      <c r="I831" s="209"/>
      <c r="J831" s="209"/>
      <c r="K831" s="211"/>
      <c r="L831" s="212"/>
      <c r="M831" s="213"/>
      <c r="N831" s="214"/>
      <c r="O831" s="209"/>
      <c r="P831" s="215"/>
      <c r="Q831" s="209"/>
    </row>
    <row r="832" spans="1:17" x14ac:dyDescent="0.25">
      <c r="A832" s="209"/>
      <c r="B832" s="210"/>
      <c r="C832" s="209"/>
      <c r="D832" s="209"/>
      <c r="E832" s="209"/>
      <c r="F832" s="209"/>
      <c r="G832" s="209"/>
      <c r="H832" s="209"/>
      <c r="I832" s="209"/>
      <c r="J832" s="209"/>
      <c r="K832" s="211"/>
      <c r="L832" s="212"/>
      <c r="M832" s="213"/>
      <c r="N832" s="214"/>
      <c r="O832" s="209"/>
      <c r="P832" s="215"/>
      <c r="Q832" s="209"/>
    </row>
    <row r="833" spans="1:17" x14ac:dyDescent="0.25">
      <c r="A833" s="209"/>
      <c r="B833" s="210"/>
      <c r="C833" s="209"/>
      <c r="D833" s="209"/>
      <c r="E833" s="209"/>
      <c r="F833" s="209"/>
      <c r="G833" s="209"/>
      <c r="H833" s="209"/>
      <c r="I833" s="209"/>
      <c r="J833" s="209"/>
      <c r="K833" s="211"/>
      <c r="L833" s="212"/>
      <c r="M833" s="213"/>
      <c r="N833" s="214"/>
      <c r="O833" s="209"/>
      <c r="P833" s="215"/>
      <c r="Q833" s="209"/>
    </row>
    <row r="834" spans="1:17" x14ac:dyDescent="0.25">
      <c r="A834" s="209"/>
      <c r="B834" s="210"/>
      <c r="C834" s="209"/>
      <c r="D834" s="209"/>
      <c r="E834" s="209"/>
      <c r="F834" s="209"/>
      <c r="G834" s="209"/>
      <c r="H834" s="209"/>
      <c r="I834" s="209"/>
      <c r="J834" s="209"/>
      <c r="K834" s="211"/>
      <c r="L834" s="212"/>
      <c r="M834" s="213"/>
      <c r="N834" s="214"/>
      <c r="O834" s="209"/>
      <c r="P834" s="215"/>
      <c r="Q834" s="209"/>
    </row>
    <row r="835" spans="1:17" x14ac:dyDescent="0.25">
      <c r="A835" s="209"/>
      <c r="B835" s="210"/>
      <c r="C835" s="209"/>
      <c r="D835" s="209"/>
      <c r="E835" s="209"/>
      <c r="F835" s="209"/>
      <c r="G835" s="209"/>
      <c r="H835" s="209"/>
      <c r="I835" s="209"/>
      <c r="J835" s="209"/>
      <c r="K835" s="211"/>
      <c r="L835" s="212"/>
      <c r="M835" s="213"/>
      <c r="N835" s="214"/>
      <c r="O835" s="209"/>
      <c r="P835" s="215"/>
      <c r="Q835" s="209"/>
    </row>
    <row r="836" spans="1:17" x14ac:dyDescent="0.25">
      <c r="A836" s="209"/>
      <c r="B836" s="210"/>
      <c r="C836" s="209"/>
      <c r="D836" s="209"/>
      <c r="E836" s="209"/>
      <c r="F836" s="209"/>
      <c r="G836" s="209"/>
      <c r="H836" s="209"/>
      <c r="I836" s="209"/>
      <c r="J836" s="209"/>
      <c r="K836" s="211"/>
      <c r="L836" s="212"/>
      <c r="M836" s="213"/>
      <c r="N836" s="214"/>
      <c r="O836" s="209"/>
      <c r="P836" s="215"/>
      <c r="Q836" s="209"/>
    </row>
    <row r="837" spans="1:17" x14ac:dyDescent="0.25">
      <c r="A837" s="209"/>
      <c r="B837" s="210"/>
      <c r="C837" s="209"/>
      <c r="D837" s="209"/>
      <c r="E837" s="209"/>
      <c r="F837" s="209"/>
      <c r="G837" s="209"/>
      <c r="H837" s="209"/>
      <c r="I837" s="209"/>
      <c r="J837" s="209"/>
      <c r="K837" s="211"/>
      <c r="L837" s="212"/>
      <c r="M837" s="213"/>
      <c r="N837" s="214"/>
      <c r="O837" s="209"/>
      <c r="P837" s="215"/>
      <c r="Q837" s="209"/>
    </row>
    <row r="838" spans="1:17" x14ac:dyDescent="0.25">
      <c r="A838" s="209"/>
      <c r="B838" s="210"/>
      <c r="C838" s="209"/>
      <c r="D838" s="209"/>
      <c r="E838" s="209"/>
      <c r="F838" s="209"/>
      <c r="G838" s="209"/>
      <c r="H838" s="209"/>
      <c r="I838" s="209"/>
      <c r="J838" s="209"/>
      <c r="K838" s="211"/>
      <c r="L838" s="212"/>
      <c r="M838" s="213"/>
      <c r="N838" s="214"/>
      <c r="O838" s="209"/>
      <c r="P838" s="215"/>
      <c r="Q838" s="209"/>
    </row>
    <row r="839" spans="1:17" x14ac:dyDescent="0.25">
      <c r="A839" s="209"/>
      <c r="B839" s="210"/>
      <c r="C839" s="209"/>
      <c r="D839" s="209"/>
      <c r="E839" s="209"/>
      <c r="F839" s="209"/>
      <c r="G839" s="209"/>
      <c r="H839" s="209"/>
      <c r="I839" s="209"/>
      <c r="J839" s="209"/>
      <c r="K839" s="211"/>
      <c r="L839" s="212"/>
      <c r="M839" s="213"/>
      <c r="N839" s="214"/>
      <c r="O839" s="209"/>
      <c r="P839" s="215"/>
      <c r="Q839" s="209"/>
    </row>
    <row r="840" spans="1:17" x14ac:dyDescent="0.25">
      <c r="A840" s="209"/>
      <c r="B840" s="210"/>
      <c r="C840" s="209"/>
      <c r="D840" s="209"/>
      <c r="E840" s="209"/>
      <c r="F840" s="209"/>
      <c r="G840" s="209"/>
      <c r="H840" s="209"/>
      <c r="I840" s="209"/>
      <c r="J840" s="209"/>
      <c r="K840" s="211"/>
      <c r="L840" s="212"/>
      <c r="M840" s="213"/>
      <c r="N840" s="214"/>
      <c r="O840" s="209"/>
      <c r="P840" s="215"/>
      <c r="Q840" s="209"/>
    </row>
    <row r="841" spans="1:17" x14ac:dyDescent="0.25">
      <c r="A841" s="209"/>
      <c r="B841" s="210"/>
      <c r="C841" s="209"/>
      <c r="D841" s="209"/>
      <c r="E841" s="209"/>
      <c r="F841" s="209"/>
      <c r="G841" s="209"/>
      <c r="H841" s="209"/>
      <c r="I841" s="209"/>
      <c r="J841" s="209"/>
      <c r="K841" s="211"/>
      <c r="L841" s="212"/>
      <c r="M841" s="213"/>
      <c r="N841" s="214"/>
      <c r="O841" s="209"/>
      <c r="P841" s="215"/>
      <c r="Q841" s="209"/>
    </row>
    <row r="842" spans="1:17" x14ac:dyDescent="0.25">
      <c r="A842" s="209"/>
      <c r="B842" s="210"/>
      <c r="C842" s="209"/>
      <c r="D842" s="209"/>
      <c r="E842" s="209"/>
      <c r="F842" s="209"/>
      <c r="G842" s="209"/>
      <c r="H842" s="209"/>
      <c r="I842" s="209"/>
      <c r="J842" s="209"/>
      <c r="K842" s="211"/>
      <c r="L842" s="212"/>
      <c r="M842" s="213"/>
      <c r="N842" s="214"/>
      <c r="O842" s="209"/>
      <c r="P842" s="215"/>
      <c r="Q842" s="209"/>
    </row>
    <row r="843" spans="1:17" x14ac:dyDescent="0.25">
      <c r="A843" s="209"/>
      <c r="B843" s="210"/>
      <c r="C843" s="209"/>
      <c r="D843" s="209"/>
      <c r="E843" s="209"/>
      <c r="F843" s="209"/>
      <c r="G843" s="209"/>
      <c r="H843" s="209"/>
      <c r="I843" s="209"/>
      <c r="J843" s="209"/>
      <c r="K843" s="211"/>
      <c r="L843" s="212"/>
      <c r="M843" s="213"/>
      <c r="N843" s="214"/>
      <c r="O843" s="209"/>
      <c r="P843" s="215"/>
      <c r="Q843" s="209"/>
    </row>
    <row r="844" spans="1:17" x14ac:dyDescent="0.25">
      <c r="A844" s="209"/>
      <c r="B844" s="210"/>
      <c r="C844" s="209"/>
      <c r="D844" s="209"/>
      <c r="E844" s="209"/>
      <c r="F844" s="209"/>
      <c r="G844" s="209"/>
      <c r="H844" s="209"/>
      <c r="I844" s="209"/>
      <c r="J844" s="209"/>
      <c r="K844" s="211"/>
      <c r="L844" s="212"/>
      <c r="M844" s="213"/>
      <c r="N844" s="214"/>
      <c r="O844" s="209"/>
      <c r="P844" s="215"/>
      <c r="Q844" s="209"/>
    </row>
    <row r="845" spans="1:17" x14ac:dyDescent="0.25">
      <c r="A845" s="209"/>
      <c r="B845" s="210"/>
      <c r="C845" s="209"/>
      <c r="D845" s="209"/>
      <c r="E845" s="209"/>
      <c r="F845" s="209"/>
      <c r="G845" s="209"/>
      <c r="H845" s="209"/>
      <c r="I845" s="209"/>
      <c r="J845" s="209"/>
      <c r="K845" s="211"/>
      <c r="L845" s="212"/>
      <c r="M845" s="213"/>
      <c r="N845" s="214"/>
      <c r="O845" s="209"/>
      <c r="P845" s="215"/>
      <c r="Q845" s="209"/>
    </row>
    <row r="846" spans="1:17" x14ac:dyDescent="0.25">
      <c r="A846" s="209"/>
      <c r="B846" s="210"/>
      <c r="C846" s="209"/>
      <c r="D846" s="209"/>
      <c r="E846" s="209"/>
      <c r="F846" s="209"/>
      <c r="G846" s="209"/>
      <c r="H846" s="209"/>
      <c r="I846" s="209"/>
      <c r="J846" s="209"/>
      <c r="K846" s="211"/>
      <c r="L846" s="212"/>
      <c r="M846" s="213"/>
      <c r="N846" s="214"/>
      <c r="O846" s="209"/>
      <c r="P846" s="215"/>
      <c r="Q846" s="209"/>
    </row>
    <row r="847" spans="1:17" x14ac:dyDescent="0.25">
      <c r="A847" s="209"/>
      <c r="B847" s="210"/>
      <c r="C847" s="209"/>
      <c r="D847" s="209"/>
      <c r="E847" s="209"/>
      <c r="F847" s="209"/>
      <c r="G847" s="209"/>
      <c r="H847" s="209"/>
      <c r="I847" s="209"/>
      <c r="J847" s="209"/>
      <c r="K847" s="211"/>
      <c r="L847" s="212"/>
      <c r="M847" s="213"/>
      <c r="N847" s="214"/>
      <c r="O847" s="209"/>
      <c r="P847" s="215"/>
      <c r="Q847" s="209"/>
    </row>
    <row r="848" spans="1:17" x14ac:dyDescent="0.25">
      <c r="A848" s="209"/>
      <c r="B848" s="210"/>
      <c r="C848" s="209"/>
      <c r="D848" s="209"/>
      <c r="E848" s="209"/>
      <c r="F848" s="209"/>
      <c r="G848" s="209"/>
      <c r="H848" s="209"/>
      <c r="I848" s="209"/>
      <c r="J848" s="209"/>
      <c r="K848" s="211"/>
      <c r="L848" s="212"/>
      <c r="M848" s="213"/>
      <c r="N848" s="214"/>
      <c r="O848" s="209"/>
      <c r="P848" s="215"/>
      <c r="Q848" s="209"/>
    </row>
    <row r="849" spans="1:17" x14ac:dyDescent="0.25">
      <c r="A849" s="209"/>
      <c r="B849" s="210"/>
      <c r="C849" s="209"/>
      <c r="D849" s="209"/>
      <c r="E849" s="209"/>
      <c r="F849" s="209"/>
      <c r="G849" s="209"/>
      <c r="H849" s="209"/>
      <c r="I849" s="209"/>
      <c r="J849" s="209"/>
      <c r="K849" s="211"/>
      <c r="L849" s="212"/>
      <c r="M849" s="213"/>
      <c r="N849" s="214"/>
      <c r="O849" s="209"/>
      <c r="P849" s="215"/>
      <c r="Q849" s="209"/>
    </row>
    <row r="850" spans="1:17" x14ac:dyDescent="0.25">
      <c r="A850" s="209"/>
      <c r="B850" s="210"/>
      <c r="C850" s="209"/>
      <c r="D850" s="209"/>
      <c r="E850" s="209"/>
      <c r="F850" s="209"/>
      <c r="G850" s="209"/>
      <c r="H850" s="209"/>
      <c r="I850" s="209"/>
      <c r="J850" s="209"/>
      <c r="K850" s="211"/>
      <c r="L850" s="212"/>
      <c r="M850" s="213"/>
      <c r="N850" s="214"/>
      <c r="O850" s="209"/>
      <c r="P850" s="215"/>
      <c r="Q850" s="209"/>
    </row>
    <row r="851" spans="1:17" x14ac:dyDescent="0.25">
      <c r="A851" s="209"/>
      <c r="B851" s="210"/>
      <c r="C851" s="209"/>
      <c r="D851" s="209"/>
      <c r="E851" s="209"/>
      <c r="F851" s="209"/>
      <c r="G851" s="209"/>
      <c r="H851" s="209"/>
      <c r="I851" s="209"/>
      <c r="J851" s="209"/>
      <c r="K851" s="211"/>
      <c r="L851" s="212"/>
      <c r="M851" s="213"/>
      <c r="N851" s="214"/>
      <c r="O851" s="209"/>
      <c r="P851" s="215"/>
      <c r="Q851" s="209"/>
    </row>
    <row r="852" spans="1:17" x14ac:dyDescent="0.25">
      <c r="A852" s="209"/>
      <c r="B852" s="210"/>
      <c r="C852" s="209"/>
      <c r="D852" s="209"/>
      <c r="E852" s="209"/>
      <c r="F852" s="209"/>
      <c r="G852" s="209"/>
      <c r="H852" s="209"/>
      <c r="I852" s="209"/>
      <c r="J852" s="209"/>
      <c r="K852" s="211"/>
      <c r="L852" s="212"/>
      <c r="M852" s="213"/>
      <c r="N852" s="214"/>
      <c r="O852" s="209"/>
      <c r="P852" s="215"/>
      <c r="Q852" s="209"/>
    </row>
    <row r="853" spans="1:17" x14ac:dyDescent="0.25">
      <c r="A853" s="209"/>
      <c r="B853" s="210"/>
      <c r="C853" s="209"/>
      <c r="D853" s="209"/>
      <c r="E853" s="209"/>
      <c r="F853" s="209"/>
      <c r="G853" s="209"/>
      <c r="H853" s="209"/>
      <c r="I853" s="209"/>
      <c r="J853" s="209"/>
      <c r="K853" s="211"/>
      <c r="L853" s="212"/>
      <c r="M853" s="213"/>
      <c r="N853" s="214"/>
      <c r="O853" s="209"/>
      <c r="P853" s="215"/>
      <c r="Q853" s="209"/>
    </row>
    <row r="854" spans="1:17" x14ac:dyDescent="0.25">
      <c r="A854" s="209"/>
      <c r="B854" s="210"/>
      <c r="C854" s="209"/>
      <c r="D854" s="209"/>
      <c r="E854" s="209"/>
      <c r="F854" s="209"/>
      <c r="G854" s="209"/>
      <c r="H854" s="209"/>
      <c r="I854" s="209"/>
      <c r="J854" s="209"/>
      <c r="K854" s="211"/>
      <c r="L854" s="212"/>
      <c r="M854" s="213"/>
      <c r="N854" s="214"/>
      <c r="O854" s="209"/>
      <c r="P854" s="215"/>
      <c r="Q854" s="209"/>
    </row>
    <row r="855" spans="1:17" x14ac:dyDescent="0.25">
      <c r="A855" s="209"/>
      <c r="B855" s="210"/>
      <c r="C855" s="209"/>
      <c r="D855" s="209"/>
      <c r="E855" s="209"/>
      <c r="F855" s="209"/>
      <c r="G855" s="209"/>
      <c r="H855" s="209"/>
      <c r="I855" s="209"/>
      <c r="J855" s="209"/>
      <c r="K855" s="211"/>
      <c r="L855" s="212"/>
      <c r="M855" s="213"/>
      <c r="N855" s="214"/>
      <c r="O855" s="209"/>
      <c r="P855" s="215"/>
      <c r="Q855" s="209"/>
    </row>
    <row r="856" spans="1:17" x14ac:dyDescent="0.25">
      <c r="A856" s="209"/>
      <c r="B856" s="210"/>
      <c r="C856" s="209"/>
      <c r="D856" s="209"/>
      <c r="E856" s="209"/>
      <c r="F856" s="209"/>
      <c r="G856" s="209"/>
      <c r="H856" s="209"/>
      <c r="I856" s="209"/>
      <c r="J856" s="209"/>
      <c r="K856" s="211"/>
      <c r="L856" s="212"/>
      <c r="M856" s="213"/>
      <c r="N856" s="214"/>
      <c r="O856" s="209"/>
      <c r="P856" s="215"/>
      <c r="Q856" s="209"/>
    </row>
    <row r="857" spans="1:17" x14ac:dyDescent="0.25">
      <c r="A857" s="209"/>
      <c r="B857" s="210"/>
      <c r="C857" s="209"/>
      <c r="D857" s="209"/>
      <c r="E857" s="209"/>
      <c r="F857" s="209"/>
      <c r="G857" s="209"/>
      <c r="H857" s="209"/>
      <c r="I857" s="209"/>
      <c r="J857" s="209"/>
      <c r="K857" s="211"/>
      <c r="L857" s="212"/>
      <c r="M857" s="213"/>
      <c r="N857" s="214"/>
      <c r="O857" s="209"/>
      <c r="P857" s="215"/>
      <c r="Q857" s="209"/>
    </row>
    <row r="858" spans="1:17" x14ac:dyDescent="0.25">
      <c r="A858" s="209"/>
      <c r="B858" s="210"/>
      <c r="C858" s="209"/>
      <c r="D858" s="209"/>
      <c r="E858" s="209"/>
      <c r="F858" s="209"/>
      <c r="G858" s="209"/>
      <c r="H858" s="209"/>
      <c r="I858" s="209"/>
      <c r="J858" s="209"/>
      <c r="K858" s="211"/>
      <c r="L858" s="212"/>
      <c r="M858" s="213"/>
      <c r="N858" s="214"/>
      <c r="O858" s="209"/>
      <c r="P858" s="215"/>
      <c r="Q858" s="209"/>
    </row>
    <row r="859" spans="1:17" x14ac:dyDescent="0.25">
      <c r="A859" s="209"/>
      <c r="B859" s="210"/>
      <c r="C859" s="209"/>
      <c r="D859" s="209"/>
      <c r="E859" s="209"/>
      <c r="F859" s="209"/>
      <c r="G859" s="209"/>
      <c r="H859" s="209"/>
      <c r="I859" s="209"/>
      <c r="J859" s="209"/>
      <c r="K859" s="211"/>
      <c r="L859" s="212"/>
      <c r="M859" s="213"/>
      <c r="N859" s="214"/>
      <c r="O859" s="209"/>
      <c r="P859" s="215"/>
      <c r="Q859" s="209"/>
    </row>
    <row r="860" spans="1:17" x14ac:dyDescent="0.25">
      <c r="A860" s="209"/>
      <c r="B860" s="210"/>
      <c r="C860" s="209"/>
      <c r="D860" s="209"/>
      <c r="E860" s="209"/>
      <c r="F860" s="209"/>
      <c r="G860" s="209"/>
      <c r="H860" s="209"/>
      <c r="I860" s="209"/>
      <c r="J860" s="209"/>
      <c r="K860" s="211"/>
      <c r="L860" s="212"/>
      <c r="M860" s="213"/>
      <c r="N860" s="214"/>
      <c r="O860" s="209"/>
      <c r="P860" s="215"/>
      <c r="Q860" s="209"/>
    </row>
    <row r="861" spans="1:17" x14ac:dyDescent="0.25">
      <c r="A861" s="209"/>
      <c r="B861" s="210"/>
      <c r="C861" s="209"/>
      <c r="D861" s="209"/>
      <c r="E861" s="209"/>
      <c r="F861" s="209"/>
      <c r="G861" s="209"/>
      <c r="H861" s="209"/>
      <c r="I861" s="209"/>
      <c r="J861" s="209"/>
      <c r="K861" s="211"/>
      <c r="L861" s="212"/>
      <c r="M861" s="213"/>
      <c r="N861" s="214"/>
      <c r="O861" s="209"/>
      <c r="P861" s="215"/>
      <c r="Q861" s="209"/>
    </row>
    <row r="862" spans="1:17" x14ac:dyDescent="0.25">
      <c r="A862" s="209"/>
      <c r="B862" s="210"/>
      <c r="C862" s="209"/>
      <c r="D862" s="209"/>
      <c r="E862" s="209"/>
      <c r="F862" s="209"/>
      <c r="G862" s="209"/>
      <c r="H862" s="209"/>
      <c r="I862" s="209"/>
      <c r="J862" s="209"/>
      <c r="K862" s="211"/>
      <c r="L862" s="212"/>
      <c r="M862" s="213"/>
      <c r="N862" s="214"/>
      <c r="O862" s="209"/>
      <c r="P862" s="215"/>
      <c r="Q862" s="209"/>
    </row>
    <row r="863" spans="1:17" x14ac:dyDescent="0.25">
      <c r="A863" s="209"/>
      <c r="B863" s="210"/>
      <c r="C863" s="209"/>
      <c r="D863" s="209"/>
      <c r="E863" s="209"/>
      <c r="F863" s="209"/>
      <c r="G863" s="209"/>
      <c r="H863" s="209"/>
      <c r="I863" s="209"/>
      <c r="J863" s="209"/>
      <c r="K863" s="211"/>
      <c r="L863" s="212"/>
      <c r="M863" s="213"/>
      <c r="N863" s="214"/>
      <c r="O863" s="209"/>
      <c r="P863" s="215"/>
      <c r="Q863" s="209"/>
    </row>
    <row r="864" spans="1:17" x14ac:dyDescent="0.25">
      <c r="A864" s="209"/>
      <c r="B864" s="210"/>
      <c r="C864" s="209"/>
      <c r="D864" s="209"/>
      <c r="E864" s="209"/>
      <c r="F864" s="209"/>
      <c r="G864" s="209"/>
      <c r="H864" s="209"/>
      <c r="I864" s="209"/>
      <c r="J864" s="209"/>
      <c r="K864" s="211"/>
      <c r="L864" s="212"/>
      <c r="M864" s="213"/>
      <c r="N864" s="214"/>
      <c r="O864" s="209"/>
      <c r="P864" s="215"/>
      <c r="Q864" s="209"/>
    </row>
    <row r="865" spans="1:17" x14ac:dyDescent="0.25">
      <c r="A865" s="209"/>
      <c r="B865" s="210"/>
      <c r="C865" s="209"/>
      <c r="D865" s="209"/>
      <c r="E865" s="209"/>
      <c r="F865" s="209"/>
      <c r="G865" s="209"/>
      <c r="H865" s="209"/>
      <c r="I865" s="209"/>
      <c r="J865" s="209"/>
      <c r="K865" s="211"/>
      <c r="L865" s="212"/>
      <c r="M865" s="213"/>
      <c r="N865" s="214"/>
      <c r="O865" s="209"/>
      <c r="P865" s="215"/>
      <c r="Q865" s="209"/>
    </row>
    <row r="866" spans="1:17" x14ac:dyDescent="0.25">
      <c r="A866" s="209"/>
      <c r="B866" s="210"/>
      <c r="C866" s="209"/>
      <c r="D866" s="209"/>
      <c r="E866" s="209"/>
      <c r="F866" s="209"/>
      <c r="G866" s="209"/>
      <c r="H866" s="209"/>
      <c r="I866" s="209"/>
      <c r="J866" s="209"/>
      <c r="K866" s="211"/>
      <c r="L866" s="212"/>
      <c r="M866" s="213"/>
      <c r="N866" s="214"/>
      <c r="O866" s="209"/>
      <c r="P866" s="215"/>
      <c r="Q866" s="209"/>
    </row>
    <row r="867" spans="1:17" x14ac:dyDescent="0.25">
      <c r="A867" s="209"/>
      <c r="B867" s="210"/>
      <c r="C867" s="209"/>
      <c r="D867" s="209"/>
      <c r="E867" s="209"/>
      <c r="F867" s="209"/>
      <c r="G867" s="209"/>
      <c r="H867" s="209"/>
      <c r="I867" s="209"/>
      <c r="J867" s="209"/>
      <c r="K867" s="211"/>
      <c r="L867" s="212"/>
      <c r="M867" s="213"/>
      <c r="N867" s="214"/>
      <c r="O867" s="209"/>
      <c r="P867" s="215"/>
      <c r="Q867" s="209"/>
    </row>
    <row r="868" spans="1:17" x14ac:dyDescent="0.25">
      <c r="A868" s="209"/>
      <c r="B868" s="210"/>
      <c r="C868" s="209"/>
      <c r="D868" s="209"/>
      <c r="E868" s="209"/>
      <c r="F868" s="209"/>
      <c r="G868" s="209"/>
      <c r="H868" s="209"/>
      <c r="I868" s="209"/>
      <c r="J868" s="209"/>
      <c r="K868" s="211"/>
      <c r="L868" s="212"/>
      <c r="M868" s="213"/>
      <c r="N868" s="214"/>
      <c r="O868" s="209"/>
      <c r="P868" s="215"/>
      <c r="Q868" s="209"/>
    </row>
    <row r="869" spans="1:17" x14ac:dyDescent="0.25">
      <c r="A869" s="209"/>
      <c r="B869" s="210"/>
      <c r="C869" s="209"/>
      <c r="D869" s="209"/>
      <c r="E869" s="209"/>
      <c r="F869" s="209"/>
      <c r="G869" s="209"/>
      <c r="H869" s="209"/>
      <c r="I869" s="209"/>
      <c r="J869" s="209"/>
      <c r="K869" s="211"/>
      <c r="L869" s="212"/>
      <c r="M869" s="213"/>
      <c r="N869" s="214"/>
      <c r="O869" s="209"/>
      <c r="P869" s="215"/>
      <c r="Q869" s="209"/>
    </row>
    <row r="870" spans="1:17" x14ac:dyDescent="0.25">
      <c r="A870" s="209"/>
      <c r="B870" s="210"/>
      <c r="C870" s="209"/>
      <c r="D870" s="209"/>
      <c r="E870" s="209"/>
      <c r="F870" s="209"/>
      <c r="G870" s="209"/>
      <c r="H870" s="209"/>
      <c r="I870" s="209"/>
      <c r="J870" s="209"/>
      <c r="K870" s="211"/>
      <c r="L870" s="212"/>
      <c r="M870" s="213"/>
      <c r="N870" s="214"/>
      <c r="O870" s="209"/>
      <c r="P870" s="215"/>
      <c r="Q870" s="209"/>
    </row>
    <row r="871" spans="1:17" x14ac:dyDescent="0.25">
      <c r="A871" s="209"/>
      <c r="B871" s="210"/>
      <c r="C871" s="209"/>
      <c r="D871" s="209"/>
      <c r="E871" s="209"/>
      <c r="F871" s="209"/>
      <c r="G871" s="209"/>
      <c r="H871" s="209"/>
      <c r="I871" s="209"/>
      <c r="J871" s="209"/>
      <c r="K871" s="211"/>
      <c r="L871" s="212"/>
      <c r="M871" s="213"/>
      <c r="N871" s="214"/>
      <c r="O871" s="209"/>
      <c r="P871" s="215"/>
      <c r="Q871" s="209"/>
    </row>
    <row r="872" spans="1:17" x14ac:dyDescent="0.25">
      <c r="A872" s="209"/>
      <c r="B872" s="210"/>
      <c r="C872" s="209"/>
      <c r="D872" s="209"/>
      <c r="E872" s="209"/>
      <c r="F872" s="209"/>
      <c r="G872" s="209"/>
      <c r="H872" s="209"/>
      <c r="I872" s="209"/>
      <c r="J872" s="209"/>
      <c r="K872" s="211"/>
      <c r="L872" s="212"/>
      <c r="M872" s="213"/>
      <c r="N872" s="214"/>
      <c r="O872" s="209"/>
      <c r="P872" s="215"/>
      <c r="Q872" s="209"/>
    </row>
    <row r="873" spans="1:17" x14ac:dyDescent="0.25">
      <c r="A873" s="209"/>
      <c r="B873" s="210"/>
      <c r="C873" s="209"/>
      <c r="D873" s="209"/>
      <c r="E873" s="209"/>
      <c r="F873" s="209"/>
      <c r="G873" s="209"/>
      <c r="H873" s="209"/>
      <c r="I873" s="209"/>
      <c r="J873" s="209"/>
      <c r="K873" s="211"/>
      <c r="L873" s="212"/>
      <c r="M873" s="213"/>
      <c r="N873" s="214"/>
      <c r="O873" s="209"/>
      <c r="P873" s="215"/>
      <c r="Q873" s="209"/>
    </row>
    <row r="874" spans="1:17" x14ac:dyDescent="0.25">
      <c r="A874" s="209"/>
      <c r="B874" s="210"/>
      <c r="C874" s="209"/>
      <c r="D874" s="209"/>
      <c r="E874" s="209"/>
      <c r="F874" s="209"/>
      <c r="G874" s="209"/>
      <c r="H874" s="209"/>
      <c r="I874" s="209"/>
      <c r="J874" s="209"/>
      <c r="K874" s="211"/>
      <c r="L874" s="212"/>
      <c r="M874" s="213"/>
      <c r="N874" s="214"/>
      <c r="O874" s="209"/>
      <c r="P874" s="215"/>
      <c r="Q874" s="209"/>
    </row>
    <row r="875" spans="1:17" x14ac:dyDescent="0.25">
      <c r="A875" s="209"/>
      <c r="B875" s="210"/>
      <c r="C875" s="209"/>
      <c r="D875" s="209"/>
      <c r="E875" s="209"/>
      <c r="F875" s="209"/>
      <c r="G875" s="209"/>
      <c r="H875" s="209"/>
      <c r="I875" s="209"/>
      <c r="J875" s="209"/>
      <c r="K875" s="211"/>
      <c r="L875" s="212"/>
      <c r="M875" s="213"/>
      <c r="N875" s="214"/>
      <c r="O875" s="209"/>
      <c r="P875" s="215"/>
      <c r="Q875" s="209"/>
    </row>
    <row r="876" spans="1:17" x14ac:dyDescent="0.25">
      <c r="A876" s="209"/>
      <c r="B876" s="210"/>
      <c r="C876" s="209"/>
      <c r="D876" s="209"/>
      <c r="E876" s="209"/>
      <c r="F876" s="209"/>
      <c r="G876" s="209"/>
      <c r="H876" s="209"/>
      <c r="I876" s="209"/>
      <c r="J876" s="209"/>
      <c r="K876" s="211"/>
      <c r="L876" s="212"/>
      <c r="M876" s="213"/>
      <c r="N876" s="214"/>
      <c r="O876" s="209"/>
      <c r="P876" s="215"/>
      <c r="Q876" s="209"/>
    </row>
    <row r="877" spans="1:17" x14ac:dyDescent="0.25">
      <c r="A877" s="209"/>
      <c r="B877" s="210"/>
      <c r="C877" s="209"/>
      <c r="D877" s="209"/>
      <c r="E877" s="209"/>
      <c r="F877" s="209"/>
      <c r="G877" s="209"/>
      <c r="H877" s="209"/>
      <c r="I877" s="209"/>
      <c r="J877" s="209"/>
      <c r="K877" s="211"/>
      <c r="L877" s="212"/>
      <c r="M877" s="213"/>
      <c r="N877" s="214"/>
      <c r="O877" s="209"/>
      <c r="P877" s="215"/>
      <c r="Q877" s="209"/>
    </row>
    <row r="878" spans="1:17" x14ac:dyDescent="0.25">
      <c r="A878" s="209"/>
      <c r="B878" s="210"/>
      <c r="C878" s="209"/>
      <c r="D878" s="209"/>
      <c r="E878" s="209"/>
      <c r="F878" s="209"/>
      <c r="G878" s="209"/>
      <c r="H878" s="209"/>
      <c r="I878" s="209"/>
      <c r="J878" s="209"/>
      <c r="K878" s="211"/>
      <c r="L878" s="212"/>
      <c r="M878" s="213"/>
      <c r="N878" s="214"/>
      <c r="O878" s="209"/>
      <c r="P878" s="215"/>
      <c r="Q878" s="209"/>
    </row>
    <row r="879" spans="1:17" x14ac:dyDescent="0.25">
      <c r="A879" s="209"/>
      <c r="B879" s="210"/>
      <c r="C879" s="209"/>
      <c r="D879" s="209"/>
      <c r="E879" s="209"/>
      <c r="F879" s="209"/>
      <c r="G879" s="209"/>
      <c r="H879" s="209"/>
      <c r="I879" s="209"/>
      <c r="J879" s="209"/>
      <c r="K879" s="211"/>
      <c r="L879" s="212"/>
      <c r="M879" s="213"/>
      <c r="N879" s="214"/>
      <c r="O879" s="209"/>
      <c r="P879" s="215"/>
      <c r="Q879" s="209"/>
    </row>
    <row r="880" spans="1:17" x14ac:dyDescent="0.25">
      <c r="A880" s="209"/>
      <c r="B880" s="210"/>
      <c r="C880" s="209"/>
      <c r="D880" s="209"/>
      <c r="E880" s="209"/>
      <c r="F880" s="209"/>
      <c r="G880" s="209"/>
      <c r="H880" s="209"/>
      <c r="I880" s="209"/>
      <c r="J880" s="209"/>
      <c r="K880" s="211"/>
      <c r="L880" s="212"/>
      <c r="M880" s="213"/>
      <c r="N880" s="214"/>
      <c r="O880" s="209"/>
      <c r="P880" s="215"/>
      <c r="Q880" s="209"/>
    </row>
    <row r="881" spans="1:17" x14ac:dyDescent="0.25">
      <c r="A881" s="209"/>
      <c r="B881" s="210"/>
      <c r="C881" s="209"/>
      <c r="D881" s="209"/>
      <c r="E881" s="209"/>
      <c r="F881" s="209"/>
      <c r="G881" s="209"/>
      <c r="H881" s="209"/>
      <c r="I881" s="209"/>
      <c r="J881" s="209"/>
      <c r="K881" s="211"/>
      <c r="L881" s="212"/>
      <c r="M881" s="213"/>
      <c r="N881" s="214"/>
      <c r="O881" s="209"/>
      <c r="P881" s="215"/>
      <c r="Q881" s="209"/>
    </row>
    <row r="882" spans="1:17" x14ac:dyDescent="0.25">
      <c r="A882" s="209"/>
      <c r="B882" s="210"/>
      <c r="C882" s="209"/>
      <c r="D882" s="209"/>
      <c r="E882" s="209"/>
      <c r="F882" s="209"/>
      <c r="G882" s="209"/>
      <c r="H882" s="209"/>
      <c r="I882" s="209"/>
      <c r="J882" s="209"/>
      <c r="K882" s="211"/>
      <c r="L882" s="212"/>
      <c r="M882" s="213"/>
      <c r="N882" s="214"/>
      <c r="O882" s="209"/>
      <c r="P882" s="215"/>
      <c r="Q882" s="209"/>
    </row>
    <row r="883" spans="1:17" x14ac:dyDescent="0.25">
      <c r="A883" s="209"/>
      <c r="B883" s="210"/>
      <c r="C883" s="209"/>
      <c r="D883" s="209"/>
      <c r="E883" s="209"/>
      <c r="F883" s="209"/>
      <c r="G883" s="209"/>
      <c r="H883" s="209"/>
      <c r="I883" s="209"/>
      <c r="J883" s="209"/>
      <c r="K883" s="211"/>
      <c r="L883" s="212"/>
      <c r="M883" s="213"/>
      <c r="N883" s="214"/>
      <c r="O883" s="209"/>
      <c r="P883" s="215"/>
      <c r="Q883" s="209"/>
    </row>
    <row r="884" spans="1:17" x14ac:dyDescent="0.25">
      <c r="A884" s="209"/>
      <c r="B884" s="210"/>
      <c r="C884" s="209"/>
      <c r="D884" s="209"/>
      <c r="E884" s="209"/>
      <c r="F884" s="209"/>
      <c r="G884" s="209"/>
      <c r="H884" s="209"/>
      <c r="I884" s="209"/>
      <c r="J884" s="209"/>
      <c r="K884" s="211"/>
      <c r="L884" s="212"/>
      <c r="M884" s="213"/>
      <c r="N884" s="214"/>
      <c r="O884" s="209"/>
      <c r="P884" s="215"/>
      <c r="Q884" s="209"/>
    </row>
    <row r="885" spans="1:17" x14ac:dyDescent="0.25">
      <c r="A885" s="209"/>
      <c r="B885" s="210"/>
      <c r="C885" s="209"/>
      <c r="D885" s="209"/>
      <c r="E885" s="209"/>
      <c r="F885" s="209"/>
      <c r="G885" s="209"/>
      <c r="H885" s="209"/>
      <c r="I885" s="209"/>
      <c r="J885" s="209"/>
      <c r="K885" s="211"/>
      <c r="L885" s="212"/>
      <c r="M885" s="213"/>
      <c r="N885" s="214"/>
      <c r="O885" s="209"/>
      <c r="P885" s="215"/>
      <c r="Q885" s="209"/>
    </row>
    <row r="886" spans="1:17" x14ac:dyDescent="0.25">
      <c r="A886" s="209"/>
      <c r="B886" s="210"/>
      <c r="C886" s="209"/>
      <c r="D886" s="209"/>
      <c r="E886" s="209"/>
      <c r="F886" s="209"/>
      <c r="G886" s="209"/>
      <c r="H886" s="209"/>
      <c r="I886" s="209"/>
      <c r="J886" s="209"/>
      <c r="K886" s="211"/>
      <c r="L886" s="212"/>
      <c r="M886" s="213"/>
      <c r="N886" s="214"/>
      <c r="O886" s="209"/>
      <c r="P886" s="215"/>
      <c r="Q886" s="209"/>
    </row>
    <row r="887" spans="1:17" x14ac:dyDescent="0.25">
      <c r="A887" s="209"/>
      <c r="B887" s="210"/>
      <c r="C887" s="209"/>
      <c r="D887" s="209"/>
      <c r="E887" s="209"/>
      <c r="F887" s="209"/>
      <c r="G887" s="209"/>
      <c r="H887" s="209"/>
      <c r="I887" s="209"/>
      <c r="J887" s="209"/>
      <c r="K887" s="211"/>
      <c r="L887" s="212"/>
      <c r="M887" s="213"/>
      <c r="N887" s="214"/>
      <c r="O887" s="209"/>
      <c r="P887" s="215"/>
      <c r="Q887" s="209"/>
    </row>
    <row r="888" spans="1:17" x14ac:dyDescent="0.25">
      <c r="A888" s="209"/>
      <c r="B888" s="210"/>
      <c r="C888" s="209"/>
      <c r="D888" s="209"/>
      <c r="E888" s="209"/>
      <c r="F888" s="209"/>
      <c r="G888" s="209"/>
      <c r="H888" s="209"/>
      <c r="I888" s="209"/>
      <c r="J888" s="209"/>
      <c r="K888" s="211"/>
      <c r="L888" s="212"/>
      <c r="M888" s="213"/>
      <c r="N888" s="214"/>
      <c r="O888" s="209"/>
      <c r="P888" s="215"/>
      <c r="Q888" s="209"/>
    </row>
    <row r="889" spans="1:17" x14ac:dyDescent="0.25">
      <c r="A889" s="209"/>
      <c r="B889" s="210"/>
      <c r="C889" s="209"/>
      <c r="D889" s="209"/>
      <c r="E889" s="209"/>
      <c r="F889" s="209"/>
      <c r="G889" s="209"/>
      <c r="H889" s="209"/>
      <c r="I889" s="209"/>
      <c r="J889" s="209"/>
      <c r="K889" s="211"/>
      <c r="L889" s="212"/>
      <c r="M889" s="213"/>
      <c r="N889" s="214"/>
      <c r="O889" s="209"/>
      <c r="P889" s="215"/>
      <c r="Q889" s="209"/>
    </row>
    <row r="890" spans="1:17" x14ac:dyDescent="0.25">
      <c r="A890" s="209"/>
      <c r="B890" s="210"/>
      <c r="C890" s="209"/>
      <c r="D890" s="209"/>
      <c r="E890" s="209"/>
      <c r="F890" s="209"/>
      <c r="G890" s="209"/>
      <c r="H890" s="209"/>
      <c r="I890" s="209"/>
      <c r="J890" s="209"/>
      <c r="K890" s="211"/>
      <c r="L890" s="212"/>
      <c r="M890" s="213"/>
      <c r="N890" s="214"/>
      <c r="O890" s="209"/>
      <c r="P890" s="215"/>
      <c r="Q890" s="209"/>
    </row>
    <row r="891" spans="1:17" x14ac:dyDescent="0.25">
      <c r="A891" s="209"/>
      <c r="B891" s="210"/>
      <c r="C891" s="209"/>
      <c r="D891" s="209"/>
      <c r="E891" s="209"/>
      <c r="F891" s="209"/>
      <c r="G891" s="209"/>
      <c r="H891" s="209"/>
      <c r="I891" s="209"/>
      <c r="J891" s="209"/>
      <c r="K891" s="211"/>
      <c r="L891" s="212"/>
      <c r="M891" s="213"/>
      <c r="N891" s="214"/>
      <c r="O891" s="209"/>
      <c r="P891" s="215"/>
      <c r="Q891" s="209"/>
    </row>
    <row r="892" spans="1:17" x14ac:dyDescent="0.25">
      <c r="A892" s="209"/>
      <c r="B892" s="210"/>
      <c r="C892" s="209"/>
      <c r="D892" s="209"/>
      <c r="E892" s="209"/>
      <c r="F892" s="209"/>
      <c r="G892" s="209"/>
      <c r="H892" s="209"/>
      <c r="I892" s="209"/>
      <c r="J892" s="209"/>
      <c r="K892" s="211"/>
      <c r="L892" s="212"/>
      <c r="M892" s="213"/>
      <c r="N892" s="214"/>
      <c r="O892" s="209"/>
      <c r="P892" s="215"/>
      <c r="Q892" s="209"/>
    </row>
    <row r="893" spans="1:17" x14ac:dyDescent="0.25">
      <c r="A893" s="209"/>
      <c r="B893" s="210"/>
      <c r="C893" s="209"/>
      <c r="D893" s="209"/>
      <c r="E893" s="209"/>
      <c r="F893" s="209"/>
      <c r="G893" s="209"/>
      <c r="H893" s="209"/>
      <c r="I893" s="209"/>
      <c r="J893" s="209"/>
      <c r="K893" s="211"/>
      <c r="L893" s="212"/>
      <c r="M893" s="213"/>
      <c r="N893" s="214"/>
      <c r="O893" s="209"/>
      <c r="P893" s="215"/>
      <c r="Q893" s="209"/>
    </row>
    <row r="894" spans="1:17" x14ac:dyDescent="0.25">
      <c r="A894" s="209"/>
      <c r="B894" s="210"/>
      <c r="C894" s="209"/>
      <c r="D894" s="209"/>
      <c r="E894" s="209"/>
      <c r="F894" s="209"/>
      <c r="G894" s="209"/>
      <c r="H894" s="209"/>
      <c r="I894" s="209"/>
      <c r="J894" s="209"/>
      <c r="K894" s="211"/>
      <c r="L894" s="212"/>
      <c r="M894" s="213"/>
      <c r="N894" s="214"/>
      <c r="O894" s="209"/>
      <c r="P894" s="215"/>
      <c r="Q894" s="209"/>
    </row>
    <row r="895" spans="1:17" x14ac:dyDescent="0.25">
      <c r="A895" s="209"/>
      <c r="B895" s="210"/>
      <c r="C895" s="209"/>
      <c r="D895" s="209"/>
      <c r="E895" s="209"/>
      <c r="F895" s="209"/>
      <c r="G895" s="209"/>
      <c r="H895" s="209"/>
      <c r="I895" s="209"/>
      <c r="J895" s="209"/>
      <c r="K895" s="211"/>
      <c r="L895" s="212"/>
      <c r="M895" s="213"/>
      <c r="N895" s="214"/>
      <c r="O895" s="209"/>
      <c r="P895" s="215"/>
      <c r="Q895" s="209"/>
    </row>
    <row r="896" spans="1:17" x14ac:dyDescent="0.25">
      <c r="A896" s="209"/>
      <c r="B896" s="210"/>
      <c r="C896" s="209"/>
      <c r="D896" s="209"/>
      <c r="E896" s="209"/>
      <c r="F896" s="209"/>
      <c r="G896" s="209"/>
      <c r="H896" s="209"/>
      <c r="I896" s="209"/>
      <c r="J896" s="209"/>
      <c r="K896" s="211"/>
      <c r="L896" s="212"/>
      <c r="M896" s="213"/>
      <c r="N896" s="214"/>
      <c r="O896" s="209"/>
      <c r="P896" s="215"/>
      <c r="Q896" s="209"/>
    </row>
    <row r="897" spans="1:17" x14ac:dyDescent="0.25">
      <c r="A897" s="209"/>
      <c r="B897" s="210"/>
      <c r="C897" s="209"/>
      <c r="D897" s="209"/>
      <c r="E897" s="209"/>
      <c r="F897" s="209"/>
      <c r="G897" s="209"/>
      <c r="H897" s="209"/>
      <c r="I897" s="209"/>
      <c r="J897" s="209"/>
      <c r="K897" s="211"/>
      <c r="L897" s="212"/>
      <c r="M897" s="213"/>
      <c r="N897" s="214"/>
      <c r="O897" s="209"/>
      <c r="P897" s="215"/>
      <c r="Q897" s="209"/>
    </row>
    <row r="898" spans="1:17" x14ac:dyDescent="0.25">
      <c r="A898" s="209"/>
      <c r="B898" s="210"/>
      <c r="C898" s="209"/>
      <c r="D898" s="209"/>
      <c r="E898" s="209"/>
      <c r="F898" s="209"/>
      <c r="G898" s="209"/>
      <c r="H898" s="209"/>
      <c r="I898" s="209"/>
      <c r="J898" s="209"/>
      <c r="K898" s="211"/>
      <c r="L898" s="212"/>
      <c r="M898" s="213"/>
      <c r="N898" s="214"/>
      <c r="O898" s="209"/>
      <c r="P898" s="215"/>
      <c r="Q898" s="209"/>
    </row>
    <row r="899" spans="1:17" x14ac:dyDescent="0.25">
      <c r="A899" s="209"/>
      <c r="B899" s="210"/>
      <c r="C899" s="209"/>
      <c r="D899" s="209"/>
      <c r="E899" s="209"/>
      <c r="F899" s="209"/>
      <c r="G899" s="209"/>
      <c r="H899" s="209"/>
      <c r="I899" s="209"/>
      <c r="J899" s="209"/>
      <c r="K899" s="211"/>
      <c r="L899" s="212"/>
      <c r="M899" s="213"/>
      <c r="N899" s="214"/>
      <c r="O899" s="209"/>
      <c r="P899" s="215"/>
      <c r="Q899" s="209"/>
    </row>
    <row r="900" spans="1:17" x14ac:dyDescent="0.25">
      <c r="A900" s="209"/>
      <c r="B900" s="210"/>
      <c r="C900" s="209"/>
      <c r="D900" s="209"/>
      <c r="E900" s="209"/>
      <c r="F900" s="209"/>
      <c r="G900" s="209"/>
      <c r="H900" s="209"/>
      <c r="I900" s="209"/>
      <c r="J900" s="209"/>
      <c r="K900" s="211"/>
      <c r="L900" s="212"/>
      <c r="M900" s="213"/>
      <c r="N900" s="214"/>
      <c r="O900" s="209"/>
      <c r="P900" s="215"/>
      <c r="Q900" s="209"/>
    </row>
    <row r="901" spans="1:17" x14ac:dyDescent="0.25">
      <c r="A901" s="209"/>
      <c r="B901" s="210"/>
      <c r="C901" s="209"/>
      <c r="D901" s="209"/>
      <c r="E901" s="209"/>
      <c r="F901" s="209"/>
      <c r="G901" s="209"/>
      <c r="H901" s="209"/>
      <c r="I901" s="209"/>
      <c r="J901" s="209"/>
      <c r="K901" s="211"/>
      <c r="L901" s="212"/>
      <c r="M901" s="213"/>
      <c r="N901" s="214"/>
      <c r="O901" s="209"/>
      <c r="P901" s="215"/>
      <c r="Q901" s="209"/>
    </row>
    <row r="902" spans="1:17" x14ac:dyDescent="0.25">
      <c r="A902" s="209"/>
      <c r="B902" s="210"/>
      <c r="C902" s="209"/>
      <c r="D902" s="209"/>
      <c r="E902" s="209"/>
      <c r="F902" s="209"/>
      <c r="G902" s="209"/>
      <c r="H902" s="209"/>
      <c r="I902" s="209"/>
      <c r="J902" s="209"/>
      <c r="K902" s="211"/>
      <c r="L902" s="212"/>
      <c r="M902" s="213"/>
      <c r="N902" s="214"/>
      <c r="O902" s="209"/>
      <c r="P902" s="215"/>
      <c r="Q902" s="209"/>
    </row>
    <row r="903" spans="1:17" x14ac:dyDescent="0.25">
      <c r="A903" s="209"/>
      <c r="B903" s="210"/>
      <c r="C903" s="209"/>
      <c r="D903" s="209"/>
      <c r="E903" s="209"/>
      <c r="F903" s="209"/>
      <c r="G903" s="209"/>
      <c r="H903" s="209"/>
      <c r="I903" s="209"/>
      <c r="J903" s="209"/>
      <c r="K903" s="211"/>
      <c r="L903" s="212"/>
      <c r="M903" s="213"/>
      <c r="N903" s="214"/>
      <c r="O903" s="209"/>
      <c r="P903" s="215"/>
      <c r="Q903" s="209"/>
    </row>
    <row r="904" spans="1:17" x14ac:dyDescent="0.25">
      <c r="A904" s="209"/>
      <c r="B904" s="210"/>
      <c r="C904" s="209"/>
      <c r="D904" s="209"/>
      <c r="E904" s="209"/>
      <c r="F904" s="209"/>
      <c r="G904" s="209"/>
      <c r="H904" s="209"/>
      <c r="I904" s="209"/>
      <c r="J904" s="209"/>
      <c r="K904" s="211"/>
      <c r="L904" s="212"/>
      <c r="M904" s="213"/>
      <c r="N904" s="214"/>
      <c r="O904" s="209"/>
      <c r="P904" s="215"/>
      <c r="Q904" s="209"/>
    </row>
    <row r="905" spans="1:17" x14ac:dyDescent="0.25">
      <c r="A905" s="209"/>
      <c r="B905" s="210"/>
      <c r="C905" s="209"/>
      <c r="D905" s="209"/>
      <c r="E905" s="209"/>
      <c r="F905" s="209"/>
      <c r="G905" s="209"/>
      <c r="H905" s="209"/>
      <c r="I905" s="209"/>
      <c r="J905" s="209"/>
      <c r="K905" s="211"/>
      <c r="L905" s="212"/>
      <c r="M905" s="213"/>
      <c r="N905" s="214"/>
      <c r="O905" s="209"/>
      <c r="P905" s="215"/>
      <c r="Q905" s="209"/>
    </row>
    <row r="906" spans="1:17" x14ac:dyDescent="0.25">
      <c r="A906" s="209"/>
      <c r="B906" s="210"/>
      <c r="C906" s="209"/>
      <c r="D906" s="209"/>
      <c r="E906" s="209"/>
      <c r="F906" s="209"/>
      <c r="G906" s="209"/>
      <c r="H906" s="209"/>
      <c r="I906" s="209"/>
      <c r="J906" s="209"/>
      <c r="K906" s="211"/>
      <c r="L906" s="212"/>
      <c r="M906" s="213"/>
      <c r="N906" s="214"/>
      <c r="O906" s="209"/>
      <c r="P906" s="215"/>
      <c r="Q906" s="209"/>
    </row>
    <row r="907" spans="1:17" x14ac:dyDescent="0.25">
      <c r="A907" s="209"/>
      <c r="B907" s="210"/>
      <c r="C907" s="209"/>
      <c r="D907" s="209"/>
      <c r="E907" s="209"/>
      <c r="F907" s="209"/>
      <c r="G907" s="209"/>
      <c r="H907" s="209"/>
      <c r="I907" s="209"/>
      <c r="J907" s="209"/>
      <c r="K907" s="211"/>
      <c r="L907" s="212"/>
      <c r="M907" s="213"/>
      <c r="N907" s="214"/>
      <c r="O907" s="209"/>
      <c r="P907" s="215"/>
      <c r="Q907" s="209"/>
    </row>
    <row r="908" spans="1:17" x14ac:dyDescent="0.25">
      <c r="A908" s="209"/>
      <c r="B908" s="210"/>
      <c r="C908" s="209"/>
      <c r="D908" s="209"/>
      <c r="E908" s="209"/>
      <c r="F908" s="209"/>
      <c r="G908" s="209"/>
      <c r="H908" s="209"/>
      <c r="I908" s="209"/>
      <c r="J908" s="209"/>
      <c r="K908" s="211"/>
      <c r="L908" s="212"/>
      <c r="M908" s="213"/>
      <c r="N908" s="214"/>
      <c r="O908" s="209"/>
      <c r="P908" s="215"/>
      <c r="Q908" s="209"/>
    </row>
    <row r="909" spans="1:17" x14ac:dyDescent="0.25">
      <c r="A909" s="209"/>
      <c r="B909" s="210"/>
      <c r="C909" s="209"/>
      <c r="D909" s="209"/>
      <c r="E909" s="209"/>
      <c r="F909" s="209"/>
      <c r="G909" s="209"/>
      <c r="H909" s="209"/>
      <c r="I909" s="209"/>
      <c r="J909" s="209"/>
      <c r="K909" s="211"/>
      <c r="L909" s="212"/>
      <c r="M909" s="213"/>
      <c r="N909" s="214"/>
      <c r="O909" s="209"/>
      <c r="P909" s="215"/>
      <c r="Q909" s="209"/>
    </row>
    <row r="910" spans="1:17" x14ac:dyDescent="0.25">
      <c r="A910" s="209"/>
      <c r="B910" s="210"/>
      <c r="C910" s="209"/>
      <c r="D910" s="209"/>
      <c r="E910" s="209"/>
      <c r="F910" s="209"/>
      <c r="G910" s="209"/>
      <c r="H910" s="209"/>
      <c r="I910" s="209"/>
      <c r="J910" s="209"/>
      <c r="K910" s="211"/>
      <c r="L910" s="212"/>
      <c r="M910" s="213"/>
      <c r="N910" s="214"/>
      <c r="O910" s="209"/>
      <c r="P910" s="215"/>
      <c r="Q910" s="209"/>
    </row>
    <row r="911" spans="1:17" x14ac:dyDescent="0.25">
      <c r="A911" s="209"/>
      <c r="B911" s="210"/>
      <c r="C911" s="209"/>
      <c r="D911" s="209"/>
      <c r="E911" s="209"/>
      <c r="F911" s="209"/>
      <c r="G911" s="209"/>
      <c r="H911" s="209"/>
      <c r="I911" s="209"/>
      <c r="J911" s="209"/>
      <c r="K911" s="211"/>
      <c r="L911" s="212"/>
      <c r="M911" s="213"/>
      <c r="N911" s="214"/>
      <c r="O911" s="209"/>
      <c r="P911" s="215"/>
      <c r="Q911" s="209"/>
    </row>
    <row r="912" spans="1:17" x14ac:dyDescent="0.25">
      <c r="A912" s="209"/>
      <c r="B912" s="210"/>
      <c r="C912" s="209"/>
      <c r="D912" s="209"/>
      <c r="E912" s="209"/>
      <c r="F912" s="209"/>
      <c r="G912" s="209"/>
      <c r="H912" s="209"/>
      <c r="I912" s="209"/>
      <c r="J912" s="209"/>
      <c r="K912" s="211"/>
      <c r="L912" s="212"/>
      <c r="M912" s="213"/>
      <c r="N912" s="214"/>
      <c r="O912" s="209"/>
      <c r="P912" s="215"/>
      <c r="Q912" s="209"/>
    </row>
    <row r="913" spans="1:17" x14ac:dyDescent="0.25">
      <c r="A913" s="209"/>
      <c r="B913" s="210"/>
      <c r="C913" s="209"/>
      <c r="D913" s="209"/>
      <c r="E913" s="209"/>
      <c r="F913" s="209"/>
      <c r="G913" s="209"/>
      <c r="H913" s="209"/>
      <c r="I913" s="209"/>
      <c r="J913" s="209"/>
      <c r="K913" s="211"/>
      <c r="L913" s="212"/>
      <c r="M913" s="213"/>
      <c r="N913" s="214"/>
      <c r="O913" s="209"/>
      <c r="P913" s="215"/>
      <c r="Q913" s="209"/>
    </row>
    <row r="914" spans="1:17" x14ac:dyDescent="0.25">
      <c r="A914" s="209"/>
      <c r="B914" s="210"/>
      <c r="C914" s="209"/>
      <c r="D914" s="209"/>
      <c r="E914" s="209"/>
      <c r="F914" s="209"/>
      <c r="G914" s="209"/>
      <c r="H914" s="209"/>
      <c r="I914" s="209"/>
      <c r="J914" s="209"/>
      <c r="K914" s="211"/>
      <c r="L914" s="212"/>
      <c r="M914" s="213"/>
      <c r="N914" s="214"/>
      <c r="O914" s="209"/>
      <c r="P914" s="215"/>
      <c r="Q914" s="209"/>
    </row>
  </sheetData>
  <sortState ref="A2:N435">
    <sortCondition ref="B2:B435"/>
    <sortCondition ref="A2:A435"/>
  </sortState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4"/>
    <col min="9" max="9" width="9.140625" style="9"/>
    <col min="10" max="10" width="0" hidden="1" customWidth="1"/>
  </cols>
  <sheetData>
    <row r="1" spans="1:13" x14ac:dyDescent="0.25">
      <c r="A1" s="73" t="s">
        <v>104</v>
      </c>
      <c r="B1" s="74" t="s">
        <v>53</v>
      </c>
      <c r="C1" s="74" t="s">
        <v>118</v>
      </c>
      <c r="D1" s="74" t="s">
        <v>51</v>
      </c>
      <c r="E1" s="74" t="s">
        <v>130</v>
      </c>
      <c r="F1" s="74" t="s">
        <v>131</v>
      </c>
      <c r="G1" s="75" t="s">
        <v>134</v>
      </c>
      <c r="H1" s="75" t="s">
        <v>17</v>
      </c>
      <c r="I1" s="76" t="s">
        <v>50</v>
      </c>
    </row>
    <row r="2" spans="1:13" x14ac:dyDescent="0.25">
      <c r="A2" s="56">
        <v>1</v>
      </c>
      <c r="B2" s="46">
        <v>27195</v>
      </c>
      <c r="C2" s="46">
        <v>1</v>
      </c>
      <c r="D2" s="46" t="str">
        <f>IFERROR(VLOOKUP($B2,worksheet!$C$2:$K$432,4,FALSE),0)</f>
        <v>I-15 NB</v>
      </c>
      <c r="E2" s="46" t="str">
        <f>IFERROR(VLOOKUP($B2,worksheet!$C$2:$K$432,7,FALSE),0)</f>
        <v>MISSION</v>
      </c>
      <c r="F2" s="46" t="str">
        <f>IFERROR(VLOOKUP($B2,worksheet!$C$2:$K$432,8,FALSE),0)</f>
        <v>RAINBOW VALLEY WEST</v>
      </c>
      <c r="G2" s="117">
        <f>IFERROR(VLOOKUP($B2,count!$A$2:$D$914,2,FALSE),0)</f>
        <v>67337</v>
      </c>
      <c r="H2" s="117">
        <f>IFERROR(VLOOKUP(B2,#REF!,3,FALSE),0)</f>
        <v>0</v>
      </c>
      <c r="I2" s="58">
        <f>IF(G2="","",H2/G2-1)</f>
        <v>-1</v>
      </c>
      <c r="J2" t="e">
        <f>VLOOKUP(B2,count!#REF!,5,FALSE)</f>
        <v>#REF!</v>
      </c>
      <c r="L2" s="6"/>
      <c r="M2" s="6"/>
    </row>
    <row r="3" spans="1:13" x14ac:dyDescent="0.25">
      <c r="A3" s="56">
        <v>1</v>
      </c>
      <c r="B3" s="46">
        <v>27196</v>
      </c>
      <c r="C3" s="46">
        <v>3</v>
      </c>
      <c r="D3" s="46" t="str">
        <f>IFERROR(VLOOKUP($B3,worksheet!$C$2:$K$432,4,FALSE),0)</f>
        <v>I-15 SB</v>
      </c>
      <c r="E3" s="46" t="str">
        <f>IFERROR(VLOOKUP($B3,worksheet!$C$2:$K$432,7,FALSE),0)</f>
        <v>RAINBOW VALLEY WEST</v>
      </c>
      <c r="F3" s="46" t="str">
        <f>IFERROR(VLOOKUP($B3,worksheet!$C$2:$K$432,8,FALSE),0)</f>
        <v>MISSION</v>
      </c>
      <c r="G3" s="117">
        <f>IFERROR(VLOOKUP($B3,count!$A$2:$D$914,2,FALSE),0)</f>
        <v>59677</v>
      </c>
      <c r="H3" s="117">
        <f>IFERROR(VLOOKUP(B3,#REF!,3,FALSE),0)</f>
        <v>0</v>
      </c>
      <c r="I3" s="58">
        <f t="shared" ref="I3:I25" si="0">IF(G3="","",H3/G3-1)</f>
        <v>-1</v>
      </c>
      <c r="J3" s="136" t="e">
        <f>VLOOKUP(B3,count!#REF!,5,FALSE)</f>
        <v>#REF!</v>
      </c>
      <c r="L3" s="6"/>
      <c r="M3" s="6"/>
    </row>
    <row r="4" spans="1:13" x14ac:dyDescent="0.25">
      <c r="A4" s="56">
        <v>2</v>
      </c>
      <c r="B4" s="46">
        <v>27597</v>
      </c>
      <c r="C4" s="46">
        <v>1</v>
      </c>
      <c r="D4" s="46" t="str">
        <f>IFERROR(VLOOKUP($B4,worksheet!$C$2:$K$432,4,FALSE),0)</f>
        <v>I-5 NB</v>
      </c>
      <c r="E4" s="46" t="str">
        <f>IFERROR(VLOOKUP($B4,worksheet!$C$2:$K$432,7,FALSE),0)</f>
        <v>VANDEGRIFT</v>
      </c>
      <c r="F4" s="46" t="str">
        <f>IFERROR(VLOOKUP($B4,worksheet!$C$2:$K$432,8,FALSE),0)</f>
        <v>LAS PULGAS</v>
      </c>
      <c r="G4" s="117">
        <f>IFERROR(VLOOKUP($B4,count!$A$2:$D$914,2,FALSE),0)</f>
        <v>63067</v>
      </c>
      <c r="H4" s="117">
        <f>IFERROR(VLOOKUP(B4,#REF!,3,FALSE),0)</f>
        <v>0</v>
      </c>
      <c r="I4" s="58">
        <f t="shared" si="0"/>
        <v>-1</v>
      </c>
      <c r="J4" s="136" t="e">
        <f>VLOOKUP(B4,count!#REF!,5,FALSE)</f>
        <v>#REF!</v>
      </c>
      <c r="L4" s="6"/>
      <c r="M4" s="6"/>
    </row>
    <row r="5" spans="1:13" x14ac:dyDescent="0.25">
      <c r="A5" s="56">
        <v>2</v>
      </c>
      <c r="B5" s="46">
        <v>27598</v>
      </c>
      <c r="C5" s="46">
        <v>3</v>
      </c>
      <c r="D5" s="46">
        <f>IFERROR(VLOOKUP($B5,worksheet!$C$2:$K$432,4,FALSE),0)</f>
        <v>0</v>
      </c>
      <c r="E5" s="46">
        <f>IFERROR(VLOOKUP($B5,worksheet!$C$2:$K$432,7,FALSE),0)</f>
        <v>0</v>
      </c>
      <c r="F5" s="46">
        <f>IFERROR(VLOOKUP($B5,worksheet!$C$2:$K$432,8,FALSE),0)</f>
        <v>0</v>
      </c>
      <c r="G5" s="117">
        <f>IFERROR(VLOOKUP($B5,count!$A$2:$D$914,2,FALSE),0)</f>
        <v>54384</v>
      </c>
      <c r="H5" s="117">
        <f>IFERROR(VLOOKUP(B5,#REF!,3,FALSE),0)</f>
        <v>0</v>
      </c>
      <c r="I5" s="58">
        <f t="shared" si="0"/>
        <v>-1</v>
      </c>
      <c r="J5" s="136" t="e">
        <f>VLOOKUP(B5,count!#REF!,5,FALSE)</f>
        <v>#REF!</v>
      </c>
      <c r="L5" s="6"/>
      <c r="M5" s="6"/>
    </row>
    <row r="6" spans="1:13" x14ac:dyDescent="0.25">
      <c r="A6" s="56">
        <v>3</v>
      </c>
      <c r="B6" s="46">
        <v>12929</v>
      </c>
      <c r="C6" s="46">
        <v>1</v>
      </c>
      <c r="D6" s="46" t="str">
        <f>IFERROR(VLOOKUP($B6,worksheet!$C$2:$K$432,4,FALSE),0)</f>
        <v>I-15 NB</v>
      </c>
      <c r="E6" s="46" t="str">
        <f>IFERROR(VLOOKUP($B6,worksheet!$C$2:$K$432,7,FALSE),0)</f>
        <v>09TH</v>
      </c>
      <c r="F6" s="46" t="str">
        <f>IFERROR(VLOOKUP($B6,worksheet!$C$2:$K$432,8,FALSE),0)</f>
        <v>VALLEY</v>
      </c>
      <c r="G6" s="117">
        <f>IFERROR(VLOOKUP($B6,count!$A$2:$D$914,2,FALSE),0)</f>
        <v>86241</v>
      </c>
      <c r="H6" s="117">
        <f>IFERROR(VLOOKUP(B6,#REF!,3,FALSE),0)</f>
        <v>0</v>
      </c>
      <c r="I6" s="58">
        <f t="shared" si="0"/>
        <v>-1</v>
      </c>
      <c r="J6" s="136" t="e">
        <f>VLOOKUP(B6,count!#REF!,5,FALSE)</f>
        <v>#REF!</v>
      </c>
      <c r="L6" s="6"/>
      <c r="M6" s="6"/>
    </row>
    <row r="7" spans="1:13" x14ac:dyDescent="0.25">
      <c r="A7" s="56">
        <v>3</v>
      </c>
      <c r="B7" s="46">
        <v>12943</v>
      </c>
      <c r="C7" s="46">
        <v>3</v>
      </c>
      <c r="D7" s="46" t="str">
        <f>IFERROR(VLOOKUP($B7,worksheet!$C$2:$K$432,4,FALSE),0)</f>
        <v>I-15 SB</v>
      </c>
      <c r="E7" s="46" t="str">
        <f>IFERROR(VLOOKUP($B7,worksheet!$C$2:$K$432,7,FALSE),0)</f>
        <v>VALLEY</v>
      </c>
      <c r="F7" s="46" t="str">
        <f>IFERROR(VLOOKUP($B7,worksheet!$C$2:$K$432,8,FALSE),0)</f>
        <v>09TH</v>
      </c>
      <c r="G7" s="117">
        <f>IFERROR(VLOOKUP($B7,count!$A$2:$D$914,2,FALSE),0)</f>
        <v>95765</v>
      </c>
      <c r="H7" s="117">
        <f>IFERROR(VLOOKUP(B7,#REF!,3,FALSE),0)</f>
        <v>0</v>
      </c>
      <c r="I7" s="58">
        <f t="shared" si="0"/>
        <v>-1</v>
      </c>
      <c r="J7" s="136" t="e">
        <f>VLOOKUP(B7,count!#REF!,5,FALSE)</f>
        <v>#REF!</v>
      </c>
      <c r="L7" s="6"/>
      <c r="M7" s="6"/>
    </row>
    <row r="8" spans="1:13" x14ac:dyDescent="0.25">
      <c r="A8" s="158">
        <v>4</v>
      </c>
      <c r="B8" s="159">
        <v>14647</v>
      </c>
      <c r="C8" s="159">
        <v>1</v>
      </c>
      <c r="D8" s="159">
        <f>IFERROR(VLOOKUP($B8,worksheet!$C$2:$K$432,4,FALSE),0)</f>
        <v>0</v>
      </c>
      <c r="E8" s="159">
        <f>IFERROR(VLOOKUP($B8,worksheet!$C$2:$K$432,7,FALSE),0)</f>
        <v>0</v>
      </c>
      <c r="F8" s="159">
        <f>IFERROR(VLOOKUP($B8,worksheet!$C$2:$K$432,8,FALSE),0)</f>
        <v>0</v>
      </c>
      <c r="G8" s="160"/>
      <c r="H8" s="160"/>
      <c r="I8" s="161" t="str">
        <f t="shared" si="0"/>
        <v/>
      </c>
      <c r="J8" s="136" t="e">
        <f>VLOOKUP(B8,count!#REF!,5,FALSE)</f>
        <v>#REF!</v>
      </c>
      <c r="L8" s="6"/>
      <c r="M8" s="6"/>
    </row>
    <row r="9" spans="1:13" x14ac:dyDescent="0.25">
      <c r="A9" s="56">
        <v>4</v>
      </c>
      <c r="B9" s="46">
        <v>14644</v>
      </c>
      <c r="C9" s="46">
        <v>3</v>
      </c>
      <c r="D9" s="46">
        <f>IFERROR(VLOOKUP($B9,worksheet!$C$2:$K$432,4,FALSE),0)</f>
        <v>0</v>
      </c>
      <c r="E9" s="46">
        <f>IFERROR(VLOOKUP($B9,worksheet!$C$2:$K$432,7,FALSE),0)</f>
        <v>0</v>
      </c>
      <c r="F9" s="46">
        <f>IFERROR(VLOOKUP($B9,worksheet!$C$2:$K$432,8,FALSE),0)</f>
        <v>0</v>
      </c>
      <c r="G9" s="117">
        <f>IFERROR(VLOOKUP($B9,count!$A$2:$D$914,2,FALSE),0)</f>
        <v>153552</v>
      </c>
      <c r="H9" s="57">
        <f>IFERROR(VLOOKUP(B9,#REF!,3,FALSE),0)</f>
        <v>0</v>
      </c>
      <c r="I9" s="58">
        <f t="shared" si="0"/>
        <v>-1</v>
      </c>
      <c r="J9" s="136" t="e">
        <f>VLOOKUP(B9,count!#REF!,5,FALSE)</f>
        <v>#REF!</v>
      </c>
      <c r="L9" s="6"/>
      <c r="M9" s="6"/>
    </row>
    <row r="10" spans="1:13" x14ac:dyDescent="0.25">
      <c r="A10" s="56">
        <v>5</v>
      </c>
      <c r="B10" s="46">
        <v>14262</v>
      </c>
      <c r="C10" s="46">
        <v>1</v>
      </c>
      <c r="D10" s="46" t="str">
        <f>IFERROR(VLOOKUP($B10,worksheet!$C$2:$K$432,4,FALSE),0)</f>
        <v>I-5 NB</v>
      </c>
      <c r="E10" s="46" t="str">
        <f>IFERROR(VLOOKUP($B10,worksheet!$C$2:$K$432,7,FALSE),0)</f>
        <v>I-805 NB</v>
      </c>
      <c r="F10" s="46">
        <f>IFERROR(VLOOKUP($B10,worksheet!$C$2:$K$432,8,FALSE),0)</f>
        <v>0</v>
      </c>
      <c r="G10" s="117">
        <f>IFERROR(VLOOKUP($B10,count!$A$2:$D$914,2,FALSE),0)</f>
        <v>100409</v>
      </c>
      <c r="H10" s="57">
        <f>IFERROR(VLOOKUP(B10,#REF!,3,FALSE),0)</f>
        <v>0</v>
      </c>
      <c r="I10" s="58">
        <f t="shared" si="0"/>
        <v>-1</v>
      </c>
      <c r="J10" s="136" t="e">
        <f>VLOOKUP(B10,count!#REF!,5,FALSE)</f>
        <v>#REF!</v>
      </c>
      <c r="L10" s="6"/>
      <c r="M10" s="6"/>
    </row>
    <row r="11" spans="1:13" x14ac:dyDescent="0.25">
      <c r="A11" s="56">
        <v>5</v>
      </c>
      <c r="B11" s="46">
        <v>30776</v>
      </c>
      <c r="C11" s="46">
        <v>3</v>
      </c>
      <c r="D11" s="46">
        <f>IFERROR(VLOOKUP($B11,worksheet!$C$2:$K$432,4,FALSE),0)</f>
        <v>0</v>
      </c>
      <c r="E11" s="46">
        <f>IFERROR(VLOOKUP($B11,worksheet!$C$2:$K$432,7,FALSE),0)</f>
        <v>0</v>
      </c>
      <c r="F11" s="46">
        <f>IFERROR(VLOOKUP($B11,worksheet!$C$2:$K$432,8,FALSE),0)</f>
        <v>0</v>
      </c>
      <c r="G11" s="117">
        <f>IFERROR(VLOOKUP($B11,count!$A$2:$D$914,2,FALSE),0)</f>
        <v>102978</v>
      </c>
      <c r="H11" s="117">
        <f>IFERROR(VLOOKUP(B11,#REF!,3,FALSE),0)</f>
        <v>0</v>
      </c>
      <c r="I11" s="58">
        <f t="shared" si="0"/>
        <v>-1</v>
      </c>
      <c r="J11" s="136" t="e">
        <f>VLOOKUP(B11,count!#REF!,5,FALSE)</f>
        <v>#REF!</v>
      </c>
      <c r="L11" s="6"/>
      <c r="M11" s="6"/>
    </row>
    <row r="12" spans="1:13" x14ac:dyDescent="0.25">
      <c r="A12" s="56">
        <v>6</v>
      </c>
      <c r="B12" s="46">
        <v>8896</v>
      </c>
      <c r="C12" s="46">
        <v>1</v>
      </c>
      <c r="D12" s="46" t="str">
        <f>IFERROR(VLOOKUP($B12,worksheet!$C$2:$K$432,4,FALSE),0)</f>
        <v>I-5 NB</v>
      </c>
      <c r="E12" s="46" t="str">
        <f>IFERROR(VLOOKUP($B12,worksheet!$C$2:$K$432,7,FALSE),0)</f>
        <v>SORRENTO VALLEY</v>
      </c>
      <c r="F12" s="46" t="str">
        <f>IFERROR(VLOOKUP($B12,worksheet!$C$2:$K$432,8,FALSE),0)</f>
        <v>I-805 NB</v>
      </c>
      <c r="G12" s="117">
        <f>IFERROR(VLOOKUP($B12,count!$A$2:$D$914,2,FALSE),0)</f>
        <v>77611</v>
      </c>
      <c r="H12" s="117">
        <f>IFERROR(VLOOKUP(B12,#REF!,3,FALSE),0)</f>
        <v>0</v>
      </c>
      <c r="I12" s="58">
        <f t="shared" si="0"/>
        <v>-1</v>
      </c>
      <c r="J12" s="136" t="e">
        <f>VLOOKUP(B12,count!#REF!,5,FALSE)</f>
        <v>#REF!</v>
      </c>
      <c r="L12" s="6"/>
      <c r="M12" s="6"/>
    </row>
    <row r="13" spans="1:13" x14ac:dyDescent="0.25">
      <c r="A13" s="56">
        <v>6</v>
      </c>
      <c r="B13" s="46">
        <v>14263</v>
      </c>
      <c r="C13" s="46">
        <v>3</v>
      </c>
      <c r="D13" s="46">
        <f>IFERROR(VLOOKUP($B13,worksheet!$C$2:$K$432,4,FALSE),0)</f>
        <v>0</v>
      </c>
      <c r="E13" s="46">
        <f>IFERROR(VLOOKUP($B13,worksheet!$C$2:$K$432,7,FALSE),0)</f>
        <v>0</v>
      </c>
      <c r="F13" s="46">
        <f>IFERROR(VLOOKUP($B13,worksheet!$C$2:$K$432,8,FALSE),0)</f>
        <v>0</v>
      </c>
      <c r="G13" s="117">
        <f>IFERROR(VLOOKUP($B13,count!$A$2:$D$914,2,FALSE),0)</f>
        <v>72660</v>
      </c>
      <c r="H13" s="117">
        <f>IFERROR(VLOOKUP(B13,#REF!,3,FALSE),0)</f>
        <v>0</v>
      </c>
      <c r="I13" s="58">
        <f t="shared" si="0"/>
        <v>-1</v>
      </c>
      <c r="J13" s="136" t="e">
        <f>VLOOKUP(B13,count!#REF!,5,FALSE)</f>
        <v>#REF!</v>
      </c>
      <c r="L13" s="6"/>
      <c r="M13" s="6"/>
    </row>
    <row r="14" spans="1:13" x14ac:dyDescent="0.25">
      <c r="A14" s="56">
        <v>8</v>
      </c>
      <c r="B14" s="46">
        <v>574</v>
      </c>
      <c r="C14" s="46">
        <v>1</v>
      </c>
      <c r="D14" s="46" t="str">
        <f>IFERROR(VLOOKUP($B14,worksheet!$C$2:$K$432,4,FALSE),0)</f>
        <v>I-15 NB</v>
      </c>
      <c r="E14" s="46" t="str">
        <f>IFERROR(VLOOKUP($B14,worksheet!$C$2:$K$432,7,FALSE),0)</f>
        <v>SR-163 NB</v>
      </c>
      <c r="F14" s="46" t="str">
        <f>IFERROR(VLOOKUP($B14,worksheet!$C$2:$K$432,8,FALSE),0)</f>
        <v>MIRAMAR WAY</v>
      </c>
      <c r="G14" s="117">
        <f>IFERROR(VLOOKUP($B14,count!$A$2:$D$914,2,FALSE),0)</f>
        <v>161762</v>
      </c>
      <c r="H14" s="117">
        <f>IFERROR(VLOOKUP(B14,#REF!,3,FALSE),0)</f>
        <v>0</v>
      </c>
      <c r="I14" s="58">
        <f t="shared" si="0"/>
        <v>-1</v>
      </c>
      <c r="J14" s="136" t="e">
        <f>VLOOKUP(B14,count!#REF!,5,FALSE)</f>
        <v>#REF!</v>
      </c>
      <c r="L14" s="6"/>
      <c r="M14" s="6"/>
    </row>
    <row r="15" spans="1:13" x14ac:dyDescent="0.25">
      <c r="A15" s="56">
        <v>8</v>
      </c>
      <c r="B15" s="46">
        <v>14419</v>
      </c>
      <c r="C15" s="46">
        <v>3</v>
      </c>
      <c r="D15" s="46">
        <f>IFERROR(VLOOKUP($B15,worksheet!$C$2:$K$432,4,FALSE),0)</f>
        <v>0</v>
      </c>
      <c r="E15" s="46">
        <f>IFERROR(VLOOKUP($B15,worksheet!$C$2:$K$432,7,FALSE),0)</f>
        <v>0</v>
      </c>
      <c r="F15" s="46">
        <f>IFERROR(VLOOKUP($B15,worksheet!$C$2:$K$432,8,FALSE),0)</f>
        <v>0</v>
      </c>
      <c r="G15" s="117">
        <f>IFERROR(VLOOKUP($B15,count!$A$2:$D$914,2,FALSE),0)</f>
        <v>138713</v>
      </c>
      <c r="H15" s="117">
        <f>IFERROR(VLOOKUP(B15,#REF!,3,FALSE),0)</f>
        <v>0</v>
      </c>
      <c r="I15" s="58">
        <f t="shared" si="0"/>
        <v>-1</v>
      </c>
      <c r="J15" s="136" t="e">
        <f>VLOOKUP(B15,count!#REF!,5,FALSE)</f>
        <v>#REF!</v>
      </c>
      <c r="L15" s="6"/>
      <c r="M15" s="6"/>
    </row>
    <row r="16" spans="1:13" x14ac:dyDescent="0.25">
      <c r="A16" s="56">
        <v>9</v>
      </c>
      <c r="B16" s="46">
        <v>15238</v>
      </c>
      <c r="C16" s="46">
        <v>2</v>
      </c>
      <c r="D16" s="46" t="str">
        <f>IFERROR(VLOOKUP($B16,worksheet!$C$2:$K$432,4,FALSE),0)</f>
        <v>SR-52 WB</v>
      </c>
      <c r="E16" s="46" t="str">
        <f>IFERROR(VLOOKUP($B16,worksheet!$C$2:$K$432,7,FALSE),0)</f>
        <v>MAST</v>
      </c>
      <c r="F16" s="46" t="str">
        <f>IFERROR(VLOOKUP($B16,worksheet!$C$2:$K$432,8,FALSE),0)</f>
        <v>SANTO</v>
      </c>
      <c r="G16" s="117">
        <f>IFERROR(VLOOKUP($B16,count!$A$2:$D$914,2,FALSE),0)</f>
        <v>52580</v>
      </c>
      <c r="H16" s="117">
        <f>IFERROR(VLOOKUP(B16,#REF!,3,FALSE),0)</f>
        <v>0</v>
      </c>
      <c r="I16" s="58">
        <f t="shared" si="0"/>
        <v>-1</v>
      </c>
      <c r="J16" s="136" t="e">
        <f>VLOOKUP(B16,count!#REF!,5,FALSE)</f>
        <v>#REF!</v>
      </c>
      <c r="L16" s="6"/>
      <c r="M16" s="6"/>
    </row>
    <row r="17" spans="1:13" x14ac:dyDescent="0.25">
      <c r="A17" s="56">
        <v>9</v>
      </c>
      <c r="B17" s="46">
        <v>7375</v>
      </c>
      <c r="C17" s="46">
        <v>4</v>
      </c>
      <c r="D17" s="46">
        <f>IFERROR(VLOOKUP($B17,worksheet!$C$2:$K$432,4,FALSE),0)</f>
        <v>0</v>
      </c>
      <c r="E17" s="46">
        <f>IFERROR(VLOOKUP($B17,worksheet!$C$2:$K$432,7,FALSE),0)</f>
        <v>0</v>
      </c>
      <c r="F17" s="46">
        <f>IFERROR(VLOOKUP($B17,worksheet!$C$2:$K$432,8,FALSE),0)</f>
        <v>0</v>
      </c>
      <c r="G17" s="117">
        <f>IFERROR(VLOOKUP($B17,count!$A$2:$D$914,2,FALSE),0)</f>
        <v>51626</v>
      </c>
      <c r="H17" s="117">
        <f>IFERROR(VLOOKUP(B17,#REF!,3,FALSE),0)</f>
        <v>0</v>
      </c>
      <c r="I17" s="58">
        <f t="shared" si="0"/>
        <v>-1</v>
      </c>
      <c r="J17" s="136" t="e">
        <f>VLOOKUP(B17,count!#REF!,5,FALSE)</f>
        <v>#REF!</v>
      </c>
      <c r="L17" s="6"/>
      <c r="M17" s="6"/>
    </row>
    <row r="18" spans="1:13" x14ac:dyDescent="0.25">
      <c r="A18" s="56">
        <v>10</v>
      </c>
      <c r="B18" s="46">
        <v>11106</v>
      </c>
      <c r="C18" s="46">
        <v>2</v>
      </c>
      <c r="D18" s="46" t="str">
        <f>IFERROR(VLOOKUP($B18,worksheet!$C$2:$K$432,4,FALSE),0)</f>
        <v>SR-52 WB</v>
      </c>
      <c r="E18" s="46" t="str">
        <f>IFERROR(VLOOKUP($B18,worksheet!$C$2:$K$432,7,FALSE),0)</f>
        <v>CONVOY</v>
      </c>
      <c r="F18" s="46" t="str">
        <f>IFERROR(VLOOKUP($B18,worksheet!$C$2:$K$432,8,FALSE),0)</f>
        <v>CONVOY</v>
      </c>
      <c r="G18" s="117">
        <f>IFERROR(VLOOKUP($B18,count!$A$2:$D$914,2,FALSE),0)</f>
        <v>59604</v>
      </c>
      <c r="H18" s="117">
        <f>IFERROR(VLOOKUP(B18,#REF!,3,FALSE),0)</f>
        <v>0</v>
      </c>
      <c r="I18" s="58">
        <f t="shared" si="0"/>
        <v>-1</v>
      </c>
      <c r="J18" s="136" t="e">
        <f>VLOOKUP(B18,count!#REF!,5,FALSE)</f>
        <v>#REF!</v>
      </c>
      <c r="L18" s="6"/>
      <c r="M18" s="6"/>
    </row>
    <row r="19" spans="1:13" x14ac:dyDescent="0.25">
      <c r="A19" s="56">
        <v>10</v>
      </c>
      <c r="B19" s="46">
        <v>7430</v>
      </c>
      <c r="C19" s="46">
        <v>4</v>
      </c>
      <c r="D19" s="46">
        <f>IFERROR(VLOOKUP($B19,worksheet!$C$2:$K$432,4,FALSE),0)</f>
        <v>0</v>
      </c>
      <c r="E19" s="46">
        <f>IFERROR(VLOOKUP($B19,worksheet!$C$2:$K$432,7,FALSE),0)</f>
        <v>0</v>
      </c>
      <c r="F19" s="46">
        <f>IFERROR(VLOOKUP($B19,worksheet!$C$2:$K$432,8,FALSE),0)</f>
        <v>0</v>
      </c>
      <c r="G19" s="117">
        <f>IFERROR(VLOOKUP($B19,count!$A$2:$D$914,2,FALSE),0)</f>
        <v>57059</v>
      </c>
      <c r="H19" s="117">
        <f>IFERROR(VLOOKUP(B19,#REF!,3,FALSE),0)</f>
        <v>0</v>
      </c>
      <c r="I19" s="58">
        <f t="shared" si="0"/>
        <v>-1</v>
      </c>
      <c r="J19" s="136" t="e">
        <f>VLOOKUP(B19,count!#REF!,5,FALSE)</f>
        <v>#REF!</v>
      </c>
      <c r="L19" s="6"/>
      <c r="M19" s="6"/>
    </row>
    <row r="20" spans="1:13" x14ac:dyDescent="0.25">
      <c r="A20" s="56">
        <v>11</v>
      </c>
      <c r="B20" s="46">
        <v>26707</v>
      </c>
      <c r="C20" s="46">
        <v>1</v>
      </c>
      <c r="D20" s="46">
        <f>IFERROR(VLOOKUP($B20,worksheet!$C$2:$K$432,4,FALSE),0)</f>
        <v>0</v>
      </c>
      <c r="E20" s="46">
        <f>IFERROR(VLOOKUP($B20,worksheet!$C$2:$K$432,7,FALSE),0)</f>
        <v>0</v>
      </c>
      <c r="F20" s="46">
        <f>IFERROR(VLOOKUP($B20,worksheet!$C$2:$K$432,8,FALSE),0)</f>
        <v>0</v>
      </c>
      <c r="G20" s="117">
        <f>IFERROR(VLOOKUP($B20,count!$A$2:$D$914,2,FALSE),0)</f>
        <v>0</v>
      </c>
      <c r="H20" s="117">
        <f>IFERROR(VLOOKUP(B20,#REF!,3,FALSE),0)</f>
        <v>0</v>
      </c>
      <c r="I20" s="58"/>
      <c r="J20" s="136" t="e">
        <f>VLOOKUP(B20,count!#REF!,5,FALSE)</f>
        <v>#REF!</v>
      </c>
      <c r="L20" s="6"/>
      <c r="M20" s="6"/>
    </row>
    <row r="21" spans="1:13" x14ac:dyDescent="0.25">
      <c r="A21" s="56">
        <v>11</v>
      </c>
      <c r="B21" s="46">
        <v>8793</v>
      </c>
      <c r="C21" s="46">
        <v>3</v>
      </c>
      <c r="D21" s="46">
        <f>IFERROR(VLOOKUP($B21,worksheet!$C$2:$K$432,4,FALSE),0)</f>
        <v>0</v>
      </c>
      <c r="E21" s="46">
        <f>IFERROR(VLOOKUP($B21,worksheet!$C$2:$K$432,7,FALSE),0)</f>
        <v>0</v>
      </c>
      <c r="F21" s="46">
        <f>IFERROR(VLOOKUP($B21,worksheet!$C$2:$K$432,8,FALSE),0)</f>
        <v>0</v>
      </c>
      <c r="G21" s="117">
        <f>IFERROR(VLOOKUP($B21,count!$A$2:$D$914,2,FALSE),0)</f>
        <v>0</v>
      </c>
      <c r="H21" s="117">
        <f>IFERROR(VLOOKUP(B21,#REF!,3,FALSE),0)</f>
        <v>0</v>
      </c>
      <c r="I21" s="58"/>
      <c r="J21" s="136" t="e">
        <f>VLOOKUP(B21,count!#REF!,5,FALSE)</f>
        <v>#REF!</v>
      </c>
      <c r="L21" s="6"/>
      <c r="M21" s="6"/>
    </row>
    <row r="22" spans="1:13" x14ac:dyDescent="0.25">
      <c r="A22" s="56">
        <v>12</v>
      </c>
      <c r="B22" s="46">
        <v>686</v>
      </c>
      <c r="C22" s="46">
        <v>1</v>
      </c>
      <c r="D22" s="46" t="str">
        <f>IFERROR(VLOOKUP($B22,worksheet!$C$2:$K$432,4,FALSE),0)</f>
        <v>I-805 NB</v>
      </c>
      <c r="E22" s="46" t="str">
        <f>IFERROR(VLOOKUP($B22,worksheet!$C$2:$K$432,7,FALSE),0)</f>
        <v>EAST SAN YSIDRO</v>
      </c>
      <c r="F22" s="46" t="str">
        <f>IFERROR(VLOOKUP($B22,worksheet!$C$2:$K$432,8,FALSE),0)</f>
        <v>SR-905 EB</v>
      </c>
      <c r="G22" s="117">
        <f>IFERROR(VLOOKUP($B22,count!$A$2:$D$914,2,FALSE),0)</f>
        <v>34407</v>
      </c>
      <c r="H22" s="117">
        <f>IFERROR(VLOOKUP(B22,#REF!,3,FALSE),0)</f>
        <v>0</v>
      </c>
      <c r="I22" s="58">
        <f t="shared" si="0"/>
        <v>-1</v>
      </c>
      <c r="J22" s="136" t="e">
        <f>VLOOKUP(B22,count!#REF!,5,FALSE)</f>
        <v>#REF!</v>
      </c>
      <c r="L22" s="6"/>
      <c r="M22" s="6"/>
    </row>
    <row r="23" spans="1:13" x14ac:dyDescent="0.25">
      <c r="A23" s="56">
        <v>12</v>
      </c>
      <c r="B23" s="46">
        <v>857</v>
      </c>
      <c r="C23" s="46">
        <v>3</v>
      </c>
      <c r="D23" s="46">
        <f>IFERROR(VLOOKUP($B23,worksheet!$C$2:$K$432,4,FALSE),0)</f>
        <v>0</v>
      </c>
      <c r="E23" s="46">
        <f>IFERROR(VLOOKUP($B23,worksheet!$C$2:$K$432,7,FALSE),0)</f>
        <v>0</v>
      </c>
      <c r="F23" s="46">
        <f>IFERROR(VLOOKUP($B23,worksheet!$C$2:$K$432,8,FALSE),0)</f>
        <v>0</v>
      </c>
      <c r="G23" s="117">
        <f>IFERROR(VLOOKUP($B23,count!$A$2:$D$914,2,FALSE),0)</f>
        <v>44431</v>
      </c>
      <c r="H23" s="117">
        <f>IFERROR(VLOOKUP(B23,#REF!,3,FALSE),0)</f>
        <v>0</v>
      </c>
      <c r="I23" s="58">
        <f t="shared" si="0"/>
        <v>-1</v>
      </c>
      <c r="J23" s="136" t="e">
        <f>VLOOKUP(B23,count!#REF!,5,FALSE)</f>
        <v>#REF!</v>
      </c>
      <c r="L23" s="6"/>
      <c r="M23" s="6"/>
    </row>
    <row r="24" spans="1:13" x14ac:dyDescent="0.25">
      <c r="A24" s="56">
        <v>13</v>
      </c>
      <c r="B24" s="46">
        <v>27694</v>
      </c>
      <c r="C24" s="46">
        <v>1</v>
      </c>
      <c r="D24" s="46" t="str">
        <f>IFERROR(VLOOKUP($B24,worksheet!$C$2:$K$432,4,FALSE),0)</f>
        <v>I-5 NB</v>
      </c>
      <c r="E24" s="46" t="str">
        <f>IFERROR(VLOOKUP($B24,worksheet!$C$2:$K$432,7,FALSE),0)</f>
        <v>I-805 NB</v>
      </c>
      <c r="F24" s="46" t="str">
        <f>IFERROR(VLOOKUP($B24,worksheet!$C$2:$K$432,8,FALSE),0)</f>
        <v>VIA DE SAN YSIDRO</v>
      </c>
      <c r="G24" s="117">
        <f>IFERROR(VLOOKUP($B24,count!$A$2:$D$914,2,FALSE),0)</f>
        <v>21018</v>
      </c>
      <c r="H24" s="117">
        <f>IFERROR(VLOOKUP(B24,#REF!,3,FALSE),0)</f>
        <v>0</v>
      </c>
      <c r="I24" s="58">
        <f t="shared" si="0"/>
        <v>-1</v>
      </c>
      <c r="J24" s="136" t="e">
        <f>VLOOKUP(B24,count!#REF!,5,FALSE)</f>
        <v>#REF!</v>
      </c>
      <c r="L24" s="6"/>
      <c r="M24" s="6"/>
    </row>
    <row r="25" spans="1:13" ht="15.75" thickBot="1" x14ac:dyDescent="0.3">
      <c r="A25" s="162">
        <v>13</v>
      </c>
      <c r="B25" s="163">
        <v>27155</v>
      </c>
      <c r="C25" s="163">
        <v>3</v>
      </c>
      <c r="D25" s="163">
        <f>IFERROR(VLOOKUP($B25,worksheet!$C$2:$K$432,4,FALSE),0)</f>
        <v>0</v>
      </c>
      <c r="E25" s="163">
        <f>IFERROR(VLOOKUP($B25,worksheet!$C$2:$K$432,7,FALSE),0)</f>
        <v>0</v>
      </c>
      <c r="F25" s="163">
        <f>IFERROR(VLOOKUP($B25,worksheet!$C$2:$K$432,8,FALSE),0)</f>
        <v>0</v>
      </c>
      <c r="G25" s="164"/>
      <c r="H25" s="165"/>
      <c r="I25" s="166" t="str">
        <f t="shared" si="0"/>
        <v/>
      </c>
      <c r="J25" s="136" t="e">
        <f>VLOOKUP(B25,count!#REF!,5,FALSE)</f>
        <v>#REF!</v>
      </c>
      <c r="L25" s="6"/>
      <c r="M25" s="6"/>
    </row>
  </sheetData>
  <conditionalFormatting sqref="I2:I17 I20:I24">
    <cfRule type="cellIs" dxfId="696" priority="13" operator="lessThan">
      <formula>-0.1</formula>
    </cfRule>
    <cfRule type="cellIs" dxfId="695" priority="14" operator="greaterThan">
      <formula>0.1</formula>
    </cfRule>
    <cfRule type="cellIs" dxfId="694" priority="17" operator="lessThan">
      <formula>-0.2</formula>
    </cfRule>
    <cfRule type="cellIs" dxfId="693" priority="18" operator="greaterThan">
      <formula>0.2</formula>
    </cfRule>
  </conditionalFormatting>
  <conditionalFormatting sqref="I2:I17 I20:I24">
    <cfRule type="cellIs" dxfId="692" priority="15" operator="lessThan">
      <formula>-0.15</formula>
    </cfRule>
    <cfRule type="cellIs" dxfId="691" priority="16" operator="greaterThan">
      <formula>0.15</formula>
    </cfRule>
  </conditionalFormatting>
  <conditionalFormatting sqref="I18:I19">
    <cfRule type="cellIs" dxfId="690" priority="7" operator="lessThan">
      <formula>-0.1</formula>
    </cfRule>
    <cfRule type="cellIs" dxfId="689" priority="8" operator="greaterThan">
      <formula>0.1</formula>
    </cfRule>
    <cfRule type="cellIs" dxfId="688" priority="11" operator="lessThan">
      <formula>-0.2</formula>
    </cfRule>
    <cfRule type="cellIs" dxfId="687" priority="12" operator="greaterThan">
      <formula>0.2</formula>
    </cfRule>
  </conditionalFormatting>
  <conditionalFormatting sqref="I18:I19">
    <cfRule type="cellIs" dxfId="686" priority="9" operator="lessThan">
      <formula>-0.15</formula>
    </cfRule>
    <cfRule type="cellIs" dxfId="685" priority="10" operator="greaterThan">
      <formula>0.15</formula>
    </cfRule>
  </conditionalFormatting>
  <conditionalFormatting sqref="I25">
    <cfRule type="cellIs" dxfId="684" priority="1" operator="lessThan">
      <formula>-0.1</formula>
    </cfRule>
    <cfRule type="cellIs" dxfId="683" priority="2" operator="greaterThan">
      <formula>0.1</formula>
    </cfRule>
    <cfRule type="cellIs" dxfId="682" priority="5" operator="lessThan">
      <formula>-0.2</formula>
    </cfRule>
    <cfRule type="cellIs" dxfId="681" priority="6" operator="greaterThan">
      <formula>0.2</formula>
    </cfRule>
  </conditionalFormatting>
  <conditionalFormatting sqref="I25">
    <cfRule type="cellIs" dxfId="680" priority="3" operator="lessThan">
      <formula>-0.15</formula>
    </cfRule>
    <cfRule type="cellIs" dxfId="679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workbookViewId="0">
      <selection activeCell="P30" sqref="P30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133" t="s">
        <v>156</v>
      </c>
      <c r="B1" s="135" t="s">
        <v>157</v>
      </c>
      <c r="C1" s="135" t="s">
        <v>158</v>
      </c>
      <c r="D1" s="135" t="s">
        <v>159</v>
      </c>
      <c r="E1" s="135" t="s">
        <v>160</v>
      </c>
      <c r="F1" s="135" t="s">
        <v>121</v>
      </c>
      <c r="G1" s="140" t="s">
        <v>173</v>
      </c>
      <c r="H1" s="141" t="s">
        <v>134</v>
      </c>
      <c r="I1" s="137" t="s">
        <v>174</v>
      </c>
      <c r="J1" s="138" t="s">
        <v>17</v>
      </c>
      <c r="K1" s="139" t="s">
        <v>50</v>
      </c>
      <c r="L1" s="139" t="s">
        <v>175</v>
      </c>
      <c r="M1" s="137" t="s">
        <v>176</v>
      </c>
      <c r="N1" s="137" t="s">
        <v>122</v>
      </c>
      <c r="O1" s="137" t="s">
        <v>177</v>
      </c>
      <c r="P1" s="137" t="s">
        <v>243</v>
      </c>
    </row>
    <row r="2" spans="1:16" x14ac:dyDescent="0.25">
      <c r="A2" s="142">
        <v>748</v>
      </c>
      <c r="B2" s="143" t="s">
        <v>7</v>
      </c>
      <c r="C2" s="143" t="s">
        <v>8</v>
      </c>
      <c r="D2" s="143" t="s">
        <v>41</v>
      </c>
      <c r="E2" s="143" t="s">
        <v>161</v>
      </c>
      <c r="F2" s="143">
        <v>1</v>
      </c>
      <c r="G2" s="144">
        <v>0.40239200000000003</v>
      </c>
      <c r="H2" s="142">
        <v>67534</v>
      </c>
      <c r="I2" s="143" t="s">
        <v>181</v>
      </c>
      <c r="J2" s="145">
        <v>92709.898436999996</v>
      </c>
      <c r="K2" s="146">
        <v>0.37278849819400001</v>
      </c>
      <c r="L2" s="146">
        <v>0.37278849819400001</v>
      </c>
      <c r="M2" s="143" t="s">
        <v>182</v>
      </c>
      <c r="N2" s="143">
        <v>16</v>
      </c>
      <c r="O2" s="143" t="s">
        <v>183</v>
      </c>
      <c r="P2" s="147">
        <f t="shared" ref="P2:P21" si="0">FIND("REMOVE",O2)</f>
        <v>1</v>
      </c>
    </row>
    <row r="3" spans="1:16" x14ac:dyDescent="0.25">
      <c r="A3" s="142">
        <v>3419</v>
      </c>
      <c r="B3" s="143" t="s">
        <v>164</v>
      </c>
      <c r="C3" s="147"/>
      <c r="D3" s="147"/>
      <c r="E3" s="143" t="s">
        <v>163</v>
      </c>
      <c r="F3" s="143">
        <v>1</v>
      </c>
      <c r="G3" s="144">
        <v>0.31432300000000002</v>
      </c>
      <c r="H3" s="142">
        <v>44056</v>
      </c>
      <c r="I3" s="143" t="s">
        <v>181</v>
      </c>
      <c r="J3" s="145">
        <v>21690.309265</v>
      </c>
      <c r="K3" s="146">
        <v>-0.50766503393399998</v>
      </c>
      <c r="L3" s="146">
        <v>0.50766503393399998</v>
      </c>
      <c r="M3" s="143" t="s">
        <v>187</v>
      </c>
      <c r="N3" s="143">
        <v>30</v>
      </c>
      <c r="O3" s="143" t="s">
        <v>188</v>
      </c>
      <c r="P3" s="147">
        <f t="shared" si="0"/>
        <v>1</v>
      </c>
    </row>
    <row r="4" spans="1:16" x14ac:dyDescent="0.25">
      <c r="A4" s="142">
        <v>7636</v>
      </c>
      <c r="B4" s="143" t="s">
        <v>0</v>
      </c>
      <c r="C4" s="143" t="s">
        <v>42</v>
      </c>
      <c r="D4" s="143" t="s">
        <v>46</v>
      </c>
      <c r="E4" s="143" t="s">
        <v>165</v>
      </c>
      <c r="F4" s="143">
        <v>1</v>
      </c>
      <c r="G4" s="144">
        <v>0.17438000000000001</v>
      </c>
      <c r="H4" s="142">
        <v>48692</v>
      </c>
      <c r="I4" s="143" t="s">
        <v>178</v>
      </c>
      <c r="J4" s="145">
        <v>23761.594024000002</v>
      </c>
      <c r="K4" s="146">
        <v>-0.51200209430700006</v>
      </c>
      <c r="L4" s="146">
        <v>0.51200209430700006</v>
      </c>
      <c r="M4" s="143" t="s">
        <v>189</v>
      </c>
      <c r="N4" s="143">
        <v>0</v>
      </c>
      <c r="O4" s="143" t="s">
        <v>190</v>
      </c>
      <c r="P4" s="147">
        <f t="shared" si="0"/>
        <v>1</v>
      </c>
    </row>
    <row r="5" spans="1:16" x14ac:dyDescent="0.25">
      <c r="A5" s="142">
        <v>11100</v>
      </c>
      <c r="B5" s="143" t="s">
        <v>13</v>
      </c>
      <c r="C5" s="143" t="s">
        <v>7</v>
      </c>
      <c r="D5" s="143" t="s">
        <v>7</v>
      </c>
      <c r="E5" s="143" t="s">
        <v>166</v>
      </c>
      <c r="F5" s="143">
        <v>1</v>
      </c>
      <c r="G5" s="144">
        <v>0.67438900000000002</v>
      </c>
      <c r="H5" s="142">
        <v>39243</v>
      </c>
      <c r="I5" s="143" t="s">
        <v>181</v>
      </c>
      <c r="J5" s="145">
        <v>25262.415039</v>
      </c>
      <c r="K5" s="146">
        <v>-0.356256783656</v>
      </c>
      <c r="L5" s="146">
        <v>0.356256783656</v>
      </c>
      <c r="M5" s="143" t="s">
        <v>191</v>
      </c>
      <c r="N5" s="143">
        <v>4</v>
      </c>
      <c r="O5" s="143" t="s">
        <v>192</v>
      </c>
      <c r="P5" s="147">
        <f t="shared" si="0"/>
        <v>1</v>
      </c>
    </row>
    <row r="6" spans="1:16" x14ac:dyDescent="0.25">
      <c r="A6" s="142">
        <v>14515</v>
      </c>
      <c r="B6" s="143" t="s">
        <v>2</v>
      </c>
      <c r="C6" s="143" t="s">
        <v>28</v>
      </c>
      <c r="D6" s="143" t="s">
        <v>49</v>
      </c>
      <c r="E6" s="143" t="s">
        <v>167</v>
      </c>
      <c r="F6" s="143">
        <v>1</v>
      </c>
      <c r="G6" s="144">
        <v>0.165854</v>
      </c>
      <c r="H6" s="142">
        <v>78498</v>
      </c>
      <c r="I6" s="143" t="s">
        <v>181</v>
      </c>
      <c r="J6" s="145">
        <v>114411.86279299999</v>
      </c>
      <c r="K6" s="146">
        <v>0.45751309323799999</v>
      </c>
      <c r="L6" s="146">
        <v>0.45751309323799999</v>
      </c>
      <c r="M6" s="143" t="s">
        <v>193</v>
      </c>
      <c r="N6" s="143">
        <v>6</v>
      </c>
      <c r="O6" s="143" t="s">
        <v>194</v>
      </c>
      <c r="P6" s="147">
        <f t="shared" si="0"/>
        <v>1</v>
      </c>
    </row>
    <row r="7" spans="1:16" x14ac:dyDescent="0.25">
      <c r="A7" s="142">
        <v>14647</v>
      </c>
      <c r="B7" s="143" t="s">
        <v>45</v>
      </c>
      <c r="C7" s="143" t="s">
        <v>1</v>
      </c>
      <c r="D7" s="143" t="s">
        <v>11</v>
      </c>
      <c r="E7" s="143" t="s">
        <v>168</v>
      </c>
      <c r="F7" s="143">
        <v>1</v>
      </c>
      <c r="G7" s="144">
        <v>0.52996200000000004</v>
      </c>
      <c r="H7" s="142">
        <v>154335</v>
      </c>
      <c r="I7" s="143" t="s">
        <v>195</v>
      </c>
      <c r="J7" s="145">
        <v>105915.541992</v>
      </c>
      <c r="K7" s="146">
        <v>-0.31372960124400001</v>
      </c>
      <c r="L7" s="146">
        <v>0.31372960124400001</v>
      </c>
      <c r="M7" s="143" t="s">
        <v>196</v>
      </c>
      <c r="N7" s="143">
        <v>20</v>
      </c>
      <c r="O7" s="143" t="s">
        <v>197</v>
      </c>
      <c r="P7" s="147">
        <f t="shared" si="0"/>
        <v>1</v>
      </c>
    </row>
    <row r="8" spans="1:16" x14ac:dyDescent="0.25">
      <c r="A8" s="142">
        <v>15187</v>
      </c>
      <c r="B8" s="143" t="s">
        <v>45</v>
      </c>
      <c r="C8" s="143" t="s">
        <v>12</v>
      </c>
      <c r="D8" s="143" t="s">
        <v>5</v>
      </c>
      <c r="E8" s="143" t="s">
        <v>168</v>
      </c>
      <c r="F8" s="143">
        <v>1</v>
      </c>
      <c r="G8" s="144">
        <v>0.71371399999999996</v>
      </c>
      <c r="H8" s="142">
        <v>125504</v>
      </c>
      <c r="I8" s="143" t="s">
        <v>195</v>
      </c>
      <c r="J8" s="145">
        <v>81239.765625999993</v>
      </c>
      <c r="K8" s="146">
        <v>-0.35269182156700002</v>
      </c>
      <c r="L8" s="146">
        <v>0.35269182156700002</v>
      </c>
      <c r="M8" s="143" t="s">
        <v>199</v>
      </c>
      <c r="N8" s="143">
        <v>12</v>
      </c>
      <c r="O8" s="143" t="s">
        <v>200</v>
      </c>
      <c r="P8" s="147">
        <f t="shared" si="0"/>
        <v>1</v>
      </c>
    </row>
    <row r="9" spans="1:16" x14ac:dyDescent="0.25">
      <c r="A9" s="142">
        <v>16167</v>
      </c>
      <c r="B9" s="143" t="s">
        <v>45</v>
      </c>
      <c r="C9" s="143" t="s">
        <v>5</v>
      </c>
      <c r="D9" s="143" t="s">
        <v>6</v>
      </c>
      <c r="E9" s="143" t="s">
        <v>168</v>
      </c>
      <c r="F9" s="143">
        <v>1</v>
      </c>
      <c r="G9" s="144">
        <v>0.32053199999999998</v>
      </c>
      <c r="H9" s="142">
        <v>98172</v>
      </c>
      <c r="I9" s="143" t="s">
        <v>195</v>
      </c>
      <c r="J9" s="145">
        <v>140275.46630900001</v>
      </c>
      <c r="K9" s="146">
        <v>0.42887448874400003</v>
      </c>
      <c r="L9" s="146">
        <v>0.42887448874400003</v>
      </c>
      <c r="M9" s="143" t="s">
        <v>201</v>
      </c>
      <c r="N9" s="143">
        <v>12</v>
      </c>
      <c r="O9" s="143" t="s">
        <v>197</v>
      </c>
      <c r="P9" s="147">
        <f t="shared" si="0"/>
        <v>1</v>
      </c>
    </row>
    <row r="10" spans="1:16" x14ac:dyDescent="0.25">
      <c r="A10" s="142">
        <v>16564</v>
      </c>
      <c r="B10" s="143" t="s">
        <v>3</v>
      </c>
      <c r="C10" s="143" t="s">
        <v>43</v>
      </c>
      <c r="D10" s="143" t="s">
        <v>43</v>
      </c>
      <c r="E10" s="143" t="s">
        <v>169</v>
      </c>
      <c r="F10" s="143">
        <v>1</v>
      </c>
      <c r="G10" s="144">
        <v>0.52047200000000005</v>
      </c>
      <c r="H10" s="142">
        <v>70899</v>
      </c>
      <c r="I10" s="143" t="s">
        <v>178</v>
      </c>
      <c r="J10" s="145">
        <v>49068.432130000001</v>
      </c>
      <c r="K10" s="146">
        <v>-0.30791080085799999</v>
      </c>
      <c r="L10" s="146">
        <v>0.30791080085799999</v>
      </c>
      <c r="M10" s="143" t="s">
        <v>202</v>
      </c>
      <c r="N10" s="143">
        <v>4</v>
      </c>
      <c r="O10" s="143" t="s">
        <v>203</v>
      </c>
      <c r="P10" s="147">
        <f t="shared" si="0"/>
        <v>1</v>
      </c>
    </row>
    <row r="11" spans="1:16" x14ac:dyDescent="0.25">
      <c r="A11" s="142">
        <v>20600</v>
      </c>
      <c r="B11" s="143" t="s">
        <v>15</v>
      </c>
      <c r="C11" s="143" t="s">
        <v>2</v>
      </c>
      <c r="D11" s="143" t="s">
        <v>32</v>
      </c>
      <c r="E11" s="143" t="s">
        <v>163</v>
      </c>
      <c r="F11" s="143">
        <v>1</v>
      </c>
      <c r="G11" s="144">
        <v>0.41339300000000001</v>
      </c>
      <c r="H11" s="142">
        <v>84230</v>
      </c>
      <c r="I11" s="143" t="s">
        <v>181</v>
      </c>
      <c r="J11" s="145">
        <v>58708.962646</v>
      </c>
      <c r="K11" s="146">
        <v>-0.30299225162100002</v>
      </c>
      <c r="L11" s="146">
        <v>0.30299225162100002</v>
      </c>
      <c r="M11" s="143" t="s">
        <v>204</v>
      </c>
      <c r="N11" s="143">
        <v>19</v>
      </c>
      <c r="O11" s="143" t="s">
        <v>205</v>
      </c>
      <c r="P11" s="147">
        <f t="shared" si="0"/>
        <v>1</v>
      </c>
    </row>
    <row r="12" spans="1:16" x14ac:dyDescent="0.25">
      <c r="A12" s="142">
        <v>20706</v>
      </c>
      <c r="B12" s="143" t="s">
        <v>23</v>
      </c>
      <c r="C12" s="143" t="s">
        <v>31</v>
      </c>
      <c r="D12" s="143" t="s">
        <v>30</v>
      </c>
      <c r="E12" s="143" t="s">
        <v>163</v>
      </c>
      <c r="F12" s="143">
        <v>1</v>
      </c>
      <c r="G12" s="144">
        <v>0.27687400000000001</v>
      </c>
      <c r="H12" s="142">
        <v>59326</v>
      </c>
      <c r="I12" s="143" t="s">
        <v>181</v>
      </c>
      <c r="J12" s="145">
        <v>80420.864501999997</v>
      </c>
      <c r="K12" s="146">
        <v>0.355575371709</v>
      </c>
      <c r="L12" s="146">
        <v>0.355575371709</v>
      </c>
      <c r="M12" s="143" t="s">
        <v>206</v>
      </c>
      <c r="N12" s="143">
        <v>15</v>
      </c>
      <c r="O12" s="143" t="s">
        <v>183</v>
      </c>
      <c r="P12" s="147">
        <f t="shared" si="0"/>
        <v>1</v>
      </c>
    </row>
    <row r="13" spans="1:16" x14ac:dyDescent="0.25">
      <c r="A13" s="142">
        <v>21822</v>
      </c>
      <c r="B13" s="143" t="s">
        <v>5</v>
      </c>
      <c r="C13" s="143" t="s">
        <v>14</v>
      </c>
      <c r="D13" s="143" t="s">
        <v>9</v>
      </c>
      <c r="E13" s="143" t="s">
        <v>170</v>
      </c>
      <c r="F13" s="143">
        <v>1</v>
      </c>
      <c r="G13" s="144">
        <v>0.13639899999999999</v>
      </c>
      <c r="H13" s="142">
        <v>95103</v>
      </c>
      <c r="I13" s="143" t="s">
        <v>181</v>
      </c>
      <c r="J13" s="145">
        <v>51845.793212999997</v>
      </c>
      <c r="K13" s="146">
        <v>-0.45484587013</v>
      </c>
      <c r="L13" s="146">
        <v>0.45484587013</v>
      </c>
      <c r="M13" s="143" t="s">
        <v>209</v>
      </c>
      <c r="N13" s="143">
        <v>4</v>
      </c>
      <c r="O13" s="143" t="s">
        <v>210</v>
      </c>
      <c r="P13" s="147">
        <f t="shared" si="0"/>
        <v>1</v>
      </c>
    </row>
    <row r="14" spans="1:16" x14ac:dyDescent="0.25">
      <c r="A14" s="142">
        <v>21850</v>
      </c>
      <c r="B14" s="143" t="s">
        <v>21</v>
      </c>
      <c r="C14" s="143" t="s">
        <v>15</v>
      </c>
      <c r="D14" s="143" t="s">
        <v>151</v>
      </c>
      <c r="E14" s="143" t="s">
        <v>170</v>
      </c>
      <c r="F14" s="143">
        <v>1</v>
      </c>
      <c r="G14" s="144">
        <v>0.65900199999999998</v>
      </c>
      <c r="H14" s="142">
        <v>11201</v>
      </c>
      <c r="I14" s="143" t="s">
        <v>178</v>
      </c>
      <c r="J14" s="145">
        <v>16116.429382</v>
      </c>
      <c r="K14" s="146">
        <v>0.43883844138900002</v>
      </c>
      <c r="L14" s="146">
        <v>0.43883844138900002</v>
      </c>
      <c r="M14" s="143" t="s">
        <v>211</v>
      </c>
      <c r="N14" s="143">
        <v>1</v>
      </c>
      <c r="O14" s="143" t="s">
        <v>212</v>
      </c>
      <c r="P14" s="147">
        <f t="shared" si="0"/>
        <v>1</v>
      </c>
    </row>
    <row r="15" spans="1:16" x14ac:dyDescent="0.25">
      <c r="A15" s="142">
        <v>27155</v>
      </c>
      <c r="B15" s="143" t="s">
        <v>23</v>
      </c>
      <c r="C15" s="143" t="s">
        <v>24</v>
      </c>
      <c r="D15" s="143" t="s">
        <v>155</v>
      </c>
      <c r="E15" s="143" t="s">
        <v>163</v>
      </c>
      <c r="F15" s="143">
        <v>1</v>
      </c>
      <c r="G15" s="144">
        <v>0.37691599999999997</v>
      </c>
      <c r="H15" s="142">
        <v>23144</v>
      </c>
      <c r="I15" s="143" t="s">
        <v>178</v>
      </c>
      <c r="J15" s="145">
        <v>13690.610611</v>
      </c>
      <c r="K15" s="146">
        <v>-0.40845961756799998</v>
      </c>
      <c r="L15" s="146">
        <v>0.40845961756799998</v>
      </c>
      <c r="M15" s="143" t="s">
        <v>213</v>
      </c>
      <c r="N15" s="143">
        <v>1</v>
      </c>
      <c r="O15" s="143" t="s">
        <v>214</v>
      </c>
      <c r="P15" s="147">
        <f t="shared" si="0"/>
        <v>1</v>
      </c>
    </row>
    <row r="16" spans="1:16" x14ac:dyDescent="0.25">
      <c r="A16" s="142">
        <v>27165</v>
      </c>
      <c r="B16" s="143" t="s">
        <v>45</v>
      </c>
      <c r="C16" s="143" t="s">
        <v>16</v>
      </c>
      <c r="D16" s="143" t="s">
        <v>16</v>
      </c>
      <c r="E16" s="143" t="s">
        <v>168</v>
      </c>
      <c r="F16" s="143">
        <v>1</v>
      </c>
      <c r="G16" s="144">
        <v>0.70303199999999999</v>
      </c>
      <c r="H16" s="142">
        <v>74931</v>
      </c>
      <c r="I16" s="143" t="s">
        <v>178</v>
      </c>
      <c r="J16" s="145">
        <v>50829.237304000002</v>
      </c>
      <c r="K16" s="146">
        <v>-0.32165275648300001</v>
      </c>
      <c r="L16" s="146">
        <v>0.32165275648300001</v>
      </c>
      <c r="M16" s="143" t="s">
        <v>215</v>
      </c>
      <c r="N16" s="143">
        <v>33</v>
      </c>
      <c r="O16" s="143" t="s">
        <v>216</v>
      </c>
      <c r="P16" s="147">
        <f t="shared" si="0"/>
        <v>1</v>
      </c>
    </row>
    <row r="17" spans="1:16" x14ac:dyDescent="0.25">
      <c r="A17" s="142">
        <v>27791</v>
      </c>
      <c r="B17" s="143" t="s">
        <v>23</v>
      </c>
      <c r="C17" s="143" t="s">
        <v>10</v>
      </c>
      <c r="D17" s="143" t="s">
        <v>36</v>
      </c>
      <c r="E17" s="143" t="s">
        <v>163</v>
      </c>
      <c r="F17" s="143">
        <v>1</v>
      </c>
      <c r="G17" s="144">
        <v>0.120786</v>
      </c>
      <c r="H17" s="142">
        <v>71305</v>
      </c>
      <c r="I17" s="143" t="s">
        <v>181</v>
      </c>
      <c r="J17" s="145">
        <v>94318.149414</v>
      </c>
      <c r="K17" s="146">
        <v>0.32274243621100002</v>
      </c>
      <c r="L17" s="146">
        <v>0.32274243621100002</v>
      </c>
      <c r="M17" s="143" t="s">
        <v>217</v>
      </c>
      <c r="N17" s="143">
        <v>14</v>
      </c>
      <c r="O17" s="143" t="s">
        <v>183</v>
      </c>
      <c r="P17" s="147">
        <f t="shared" si="0"/>
        <v>1</v>
      </c>
    </row>
    <row r="18" spans="1:16" x14ac:dyDescent="0.25">
      <c r="A18" s="142">
        <v>27887</v>
      </c>
      <c r="B18" s="143" t="s">
        <v>23</v>
      </c>
      <c r="C18" s="143" t="s">
        <v>38</v>
      </c>
      <c r="D18" s="143" t="s">
        <v>38</v>
      </c>
      <c r="E18" s="143" t="s">
        <v>163</v>
      </c>
      <c r="F18" s="143">
        <v>1</v>
      </c>
      <c r="G18" s="144">
        <v>0.43827500000000003</v>
      </c>
      <c r="H18" s="142">
        <v>27766</v>
      </c>
      <c r="I18" s="143" t="s">
        <v>181</v>
      </c>
      <c r="J18" s="145">
        <v>19115.987303999998</v>
      </c>
      <c r="K18" s="146">
        <v>-0.31153254685600001</v>
      </c>
      <c r="L18" s="146">
        <v>0.31153254685600001</v>
      </c>
      <c r="M18" s="143" t="s">
        <v>221</v>
      </c>
      <c r="N18" s="143">
        <v>2</v>
      </c>
      <c r="O18" s="143" t="s">
        <v>222</v>
      </c>
      <c r="P18" s="147">
        <f t="shared" si="0"/>
        <v>1</v>
      </c>
    </row>
    <row r="19" spans="1:16" x14ac:dyDescent="0.25">
      <c r="A19" s="142">
        <v>27928</v>
      </c>
      <c r="B19" s="143" t="s">
        <v>23</v>
      </c>
      <c r="C19" s="143" t="s">
        <v>37</v>
      </c>
      <c r="D19" s="143" t="s">
        <v>37</v>
      </c>
      <c r="E19" s="143" t="s">
        <v>163</v>
      </c>
      <c r="F19" s="143">
        <v>1</v>
      </c>
      <c r="G19" s="144">
        <v>0.35037800000000002</v>
      </c>
      <c r="H19" s="142">
        <v>41046</v>
      </c>
      <c r="I19" s="143" t="s">
        <v>181</v>
      </c>
      <c r="J19" s="145">
        <v>66362.493042000002</v>
      </c>
      <c r="K19" s="146">
        <v>0.61678343911699995</v>
      </c>
      <c r="L19" s="146">
        <v>0.61678343911699995</v>
      </c>
      <c r="M19" s="143" t="s">
        <v>223</v>
      </c>
      <c r="N19" s="143">
        <v>6</v>
      </c>
      <c r="O19" s="143" t="s">
        <v>183</v>
      </c>
      <c r="P19" s="147">
        <f t="shared" si="0"/>
        <v>1</v>
      </c>
    </row>
    <row r="20" spans="1:16" x14ac:dyDescent="0.25">
      <c r="A20" s="142">
        <v>28453</v>
      </c>
      <c r="B20" s="143" t="s">
        <v>14</v>
      </c>
      <c r="C20" s="143" t="s">
        <v>152</v>
      </c>
      <c r="D20" s="143" t="s">
        <v>153</v>
      </c>
      <c r="E20" s="143" t="s">
        <v>167</v>
      </c>
      <c r="F20" s="143">
        <v>1</v>
      </c>
      <c r="G20" s="144">
        <v>1.1466590000000001</v>
      </c>
      <c r="H20" s="142">
        <v>23802</v>
      </c>
      <c r="I20" s="143" t="s">
        <v>178</v>
      </c>
      <c r="J20" s="145">
        <v>35625.268737999999</v>
      </c>
      <c r="K20" s="146">
        <v>0.49673425502099999</v>
      </c>
      <c r="L20" s="146">
        <v>0.49673425502099999</v>
      </c>
      <c r="M20" s="143" t="s">
        <v>224</v>
      </c>
      <c r="N20" s="143">
        <v>1</v>
      </c>
      <c r="O20" s="143" t="s">
        <v>225</v>
      </c>
      <c r="P20" s="147">
        <f t="shared" si="0"/>
        <v>1</v>
      </c>
    </row>
    <row r="21" spans="1:16" x14ac:dyDescent="0.25">
      <c r="A21" s="142">
        <v>31192</v>
      </c>
      <c r="B21" s="143" t="s">
        <v>45</v>
      </c>
      <c r="C21" s="143" t="s">
        <v>3</v>
      </c>
      <c r="D21" s="143" t="s">
        <v>4</v>
      </c>
      <c r="E21" s="143" t="s">
        <v>168</v>
      </c>
      <c r="F21" s="143">
        <v>1</v>
      </c>
      <c r="G21" s="144">
        <v>0.22740199999999999</v>
      </c>
      <c r="H21" s="142">
        <v>62205</v>
      </c>
      <c r="I21" s="143" t="s">
        <v>195</v>
      </c>
      <c r="J21" s="145">
        <v>37015.274659000002</v>
      </c>
      <c r="K21" s="146">
        <v>-0.40494695508400003</v>
      </c>
      <c r="L21" s="146">
        <v>0.40494695508400003</v>
      </c>
      <c r="M21" s="143" t="s">
        <v>236</v>
      </c>
      <c r="N21" s="143">
        <v>31</v>
      </c>
      <c r="O21" s="143" t="s">
        <v>197</v>
      </c>
      <c r="P21" s="147">
        <f t="shared" si="0"/>
        <v>1</v>
      </c>
    </row>
    <row r="22" spans="1:16" x14ac:dyDescent="0.25">
      <c r="A22" s="127">
        <v>29761</v>
      </c>
      <c r="B22" s="127" t="s">
        <v>7</v>
      </c>
      <c r="C22" s="127" t="s">
        <v>25</v>
      </c>
      <c r="D22" s="127" t="s">
        <v>26</v>
      </c>
      <c r="E22" s="127" t="s">
        <v>161</v>
      </c>
      <c r="F22" s="127">
        <v>1</v>
      </c>
      <c r="G22" s="153">
        <v>0.17888399999999999</v>
      </c>
      <c r="H22" s="127">
        <v>46156</v>
      </c>
      <c r="I22" s="127" t="s">
        <v>181</v>
      </c>
      <c r="J22" s="154">
        <v>29421.561157</v>
      </c>
      <c r="K22" s="155">
        <v>-0.36256258867800001</v>
      </c>
      <c r="L22" s="155">
        <v>0.36256258867800001</v>
      </c>
      <c r="M22" s="127" t="s">
        <v>234</v>
      </c>
      <c r="N22" s="127">
        <v>2</v>
      </c>
      <c r="O22" s="127" t="s">
        <v>235</v>
      </c>
      <c r="P22" s="156">
        <v>2</v>
      </c>
    </row>
    <row r="23" spans="1:16" x14ac:dyDescent="0.25">
      <c r="A23" s="127">
        <v>20725</v>
      </c>
      <c r="B23" s="127" t="s">
        <v>2</v>
      </c>
      <c r="C23" s="127" t="s">
        <v>48</v>
      </c>
      <c r="D23" s="127" t="s">
        <v>47</v>
      </c>
      <c r="E23" s="127" t="s">
        <v>167</v>
      </c>
      <c r="F23" s="127">
        <v>1</v>
      </c>
      <c r="G23" s="153">
        <v>0.11776200000000001</v>
      </c>
      <c r="H23" s="127">
        <v>78518</v>
      </c>
      <c r="I23" s="127" t="s">
        <v>181</v>
      </c>
      <c r="J23" s="154">
        <v>45754.065673999998</v>
      </c>
      <c r="K23" s="155">
        <v>-0.41727927769399997</v>
      </c>
      <c r="L23" s="155">
        <v>0.41727927769399997</v>
      </c>
      <c r="M23" s="127" t="s">
        <v>207</v>
      </c>
      <c r="N23" s="127">
        <v>15</v>
      </c>
      <c r="O23" s="127" t="s">
        <v>208</v>
      </c>
      <c r="P23" s="156">
        <v>2</v>
      </c>
    </row>
    <row r="24" spans="1:16" x14ac:dyDescent="0.25">
      <c r="A24" s="132">
        <v>29573</v>
      </c>
      <c r="B24" s="131" t="s">
        <v>172</v>
      </c>
      <c r="C24" s="131" t="s">
        <v>33</v>
      </c>
      <c r="D24" s="131" t="s">
        <v>33</v>
      </c>
      <c r="E24" s="131" t="s">
        <v>163</v>
      </c>
      <c r="F24" s="131">
        <v>1</v>
      </c>
      <c r="G24" s="128">
        <v>0.60030899999999998</v>
      </c>
      <c r="H24" s="132">
        <v>11929</v>
      </c>
      <c r="I24" s="131" t="s">
        <v>181</v>
      </c>
      <c r="J24" s="129">
        <v>23544.226073999998</v>
      </c>
      <c r="K24" s="130">
        <v>0.97369654405200001</v>
      </c>
      <c r="L24" s="130">
        <v>0.97369654405200001</v>
      </c>
      <c r="M24" s="131" t="s">
        <v>230</v>
      </c>
      <c r="N24" s="131">
        <v>33</v>
      </c>
      <c r="O24" s="131" t="s">
        <v>231</v>
      </c>
      <c r="P24" s="157">
        <v>2</v>
      </c>
    </row>
    <row r="25" spans="1:16" x14ac:dyDescent="0.25">
      <c r="A25" s="132">
        <v>29577</v>
      </c>
      <c r="B25" s="131" t="s">
        <v>172</v>
      </c>
      <c r="C25" s="131" t="s">
        <v>34</v>
      </c>
      <c r="D25" s="131" t="s">
        <v>34</v>
      </c>
      <c r="E25" s="131" t="s">
        <v>163</v>
      </c>
      <c r="F25" s="131">
        <v>1</v>
      </c>
      <c r="G25" s="128">
        <v>0.62116199999999999</v>
      </c>
      <c r="H25" s="132">
        <v>9573</v>
      </c>
      <c r="I25" s="131" t="s">
        <v>181</v>
      </c>
      <c r="J25" s="129">
        <v>23544.226073999998</v>
      </c>
      <c r="K25" s="130">
        <v>1.45944072642</v>
      </c>
      <c r="L25" s="130">
        <v>1.45944072642</v>
      </c>
      <c r="M25" s="131" t="s">
        <v>232</v>
      </c>
      <c r="N25" s="131">
        <v>34</v>
      </c>
      <c r="O25" s="131" t="s">
        <v>233</v>
      </c>
      <c r="P25" s="157">
        <v>2</v>
      </c>
    </row>
    <row r="26" spans="1:16" x14ac:dyDescent="0.25">
      <c r="A26" s="132">
        <v>28779</v>
      </c>
      <c r="B26" s="131" t="s">
        <v>162</v>
      </c>
      <c r="C26" s="118"/>
      <c r="D26" s="118"/>
      <c r="E26" s="131" t="s">
        <v>163</v>
      </c>
      <c r="F26" s="131">
        <v>1</v>
      </c>
      <c r="G26" s="128">
        <v>3.1115E-2</v>
      </c>
      <c r="H26" s="132">
        <v>23122</v>
      </c>
      <c r="I26" s="131" t="s">
        <v>181</v>
      </c>
      <c r="J26" s="129">
        <v>7020.7220610000004</v>
      </c>
      <c r="K26" s="130">
        <v>-0.69636181727400004</v>
      </c>
      <c r="L26" s="130">
        <v>0.69636181727400004</v>
      </c>
      <c r="M26" s="131" t="s">
        <v>226</v>
      </c>
      <c r="N26" s="131">
        <v>32</v>
      </c>
      <c r="O26" s="131" t="s">
        <v>227</v>
      </c>
      <c r="P26" s="157">
        <v>2</v>
      </c>
    </row>
    <row r="27" spans="1:16" s="136" customFormat="1" x14ac:dyDescent="0.25">
      <c r="A27" s="178">
        <v>31206</v>
      </c>
      <c r="B27" s="179"/>
      <c r="C27" s="180"/>
      <c r="D27" s="180"/>
      <c r="E27" s="179"/>
      <c r="F27" s="179"/>
      <c r="G27" s="181"/>
      <c r="H27" s="178"/>
      <c r="I27" s="179"/>
      <c r="J27" s="182"/>
      <c r="K27" s="183"/>
      <c r="L27" s="183"/>
      <c r="M27" s="179"/>
      <c r="N27" s="179"/>
      <c r="O27" s="179"/>
      <c r="P27" s="184">
        <v>3</v>
      </c>
    </row>
    <row r="28" spans="1:16" s="136" customFormat="1" x14ac:dyDescent="0.25">
      <c r="A28" s="178">
        <v>31207</v>
      </c>
      <c r="B28" s="179"/>
      <c r="C28" s="180"/>
      <c r="D28" s="180"/>
      <c r="E28" s="179"/>
      <c r="F28" s="179"/>
      <c r="G28" s="181"/>
      <c r="H28" s="178"/>
      <c r="I28" s="179"/>
      <c r="J28" s="182"/>
      <c r="K28" s="183"/>
      <c r="L28" s="183"/>
      <c r="M28" s="179"/>
      <c r="N28" s="179"/>
      <c r="O28" s="179"/>
      <c r="P28" s="184">
        <v>3</v>
      </c>
    </row>
    <row r="29" spans="1:16" s="136" customFormat="1" x14ac:dyDescent="0.25">
      <c r="A29" s="178">
        <v>31212</v>
      </c>
      <c r="B29" s="179"/>
      <c r="C29" s="180"/>
      <c r="D29" s="180"/>
      <c r="E29" s="179"/>
      <c r="F29" s="179"/>
      <c r="G29" s="181"/>
      <c r="H29" s="178"/>
      <c r="I29" s="179"/>
      <c r="J29" s="182"/>
      <c r="K29" s="183"/>
      <c r="L29" s="183"/>
      <c r="M29" s="179"/>
      <c r="N29" s="179"/>
      <c r="O29" s="179"/>
      <c r="P29" s="184">
        <v>3</v>
      </c>
    </row>
    <row r="30" spans="1:16" s="152" customFormat="1" x14ac:dyDescent="0.25">
      <c r="A30" s="148">
        <v>27855</v>
      </c>
      <c r="B30" s="148" t="s">
        <v>25</v>
      </c>
      <c r="C30" s="148" t="s">
        <v>23</v>
      </c>
      <c r="D30" s="148" t="s">
        <v>154</v>
      </c>
      <c r="E30" s="148" t="s">
        <v>171</v>
      </c>
      <c r="F30" s="148">
        <v>1</v>
      </c>
      <c r="G30" s="149">
        <v>0.116105</v>
      </c>
      <c r="H30" s="148">
        <v>29656</v>
      </c>
      <c r="I30" s="148" t="s">
        <v>178</v>
      </c>
      <c r="J30" s="150">
        <v>19803.072387</v>
      </c>
      <c r="K30" s="151">
        <v>-0.33224061279299999</v>
      </c>
      <c r="L30" s="151">
        <v>0.33224061279299999</v>
      </c>
      <c r="M30" s="148" t="s">
        <v>218</v>
      </c>
      <c r="N30" s="148">
        <v>3</v>
      </c>
      <c r="O30" s="148" t="s">
        <v>219</v>
      </c>
      <c r="P30" s="152" t="e">
        <f t="shared" ref="P30:P42" si="1">FIND("REMOVE",O30)</f>
        <v>#VALUE!</v>
      </c>
    </row>
    <row r="31" spans="1:16" s="152" customFormat="1" x14ac:dyDescent="0.25">
      <c r="A31" s="148">
        <v>27856</v>
      </c>
      <c r="B31" s="148" t="s">
        <v>26</v>
      </c>
      <c r="C31" s="148" t="s">
        <v>154</v>
      </c>
      <c r="D31" s="148" t="s">
        <v>15</v>
      </c>
      <c r="E31" s="148" t="s">
        <v>171</v>
      </c>
      <c r="F31" s="148">
        <v>1</v>
      </c>
      <c r="G31" s="149">
        <v>0.19090399999999999</v>
      </c>
      <c r="H31" s="148">
        <v>32272</v>
      </c>
      <c r="I31" s="148" t="s">
        <v>178</v>
      </c>
      <c r="J31" s="150">
        <v>20474.519165000002</v>
      </c>
      <c r="K31" s="151">
        <v>-0.36556398224499997</v>
      </c>
      <c r="L31" s="151">
        <v>0.36556398224499997</v>
      </c>
      <c r="M31" s="148" t="s">
        <v>220</v>
      </c>
      <c r="N31" s="148">
        <v>3</v>
      </c>
      <c r="O31" s="148" t="s">
        <v>219</v>
      </c>
      <c r="P31" s="152" t="e">
        <f t="shared" si="1"/>
        <v>#VALUE!</v>
      </c>
    </row>
    <row r="32" spans="1:16" s="152" customFormat="1" x14ac:dyDescent="0.25">
      <c r="A32" s="148">
        <v>29415</v>
      </c>
      <c r="B32" s="148" t="s">
        <v>18</v>
      </c>
      <c r="C32" s="148" t="s">
        <v>20</v>
      </c>
      <c r="D32" s="148" t="s">
        <v>6</v>
      </c>
      <c r="E32" s="148" t="s">
        <v>168</v>
      </c>
      <c r="F32" s="148">
        <v>1</v>
      </c>
      <c r="G32" s="149">
        <v>1.544343</v>
      </c>
      <c r="H32" s="148">
        <v>59498</v>
      </c>
      <c r="I32" s="148" t="s">
        <v>195</v>
      </c>
      <c r="J32" s="150">
        <v>37624.396240000002</v>
      </c>
      <c r="K32" s="151">
        <v>-0.36763595011599998</v>
      </c>
      <c r="L32" s="151">
        <v>0.36763595011599998</v>
      </c>
      <c r="M32" s="148" t="s">
        <v>228</v>
      </c>
      <c r="N32" s="148">
        <v>11</v>
      </c>
      <c r="O32" s="148" t="s">
        <v>229</v>
      </c>
      <c r="P32" s="152" t="e">
        <f t="shared" si="1"/>
        <v>#VALUE!</v>
      </c>
    </row>
    <row r="33" spans="1:16" s="152" customFormat="1" x14ac:dyDescent="0.25">
      <c r="A33" s="148">
        <v>702</v>
      </c>
      <c r="B33" s="148" t="s">
        <v>7</v>
      </c>
      <c r="C33" s="148" t="s">
        <v>27</v>
      </c>
      <c r="D33" s="148" t="s">
        <v>40</v>
      </c>
      <c r="E33" s="148" t="s">
        <v>161</v>
      </c>
      <c r="F33" s="148">
        <v>1</v>
      </c>
      <c r="G33" s="149">
        <v>0.50182599999999999</v>
      </c>
      <c r="H33" s="148">
        <v>87410</v>
      </c>
      <c r="I33" s="148" t="s">
        <v>178</v>
      </c>
      <c r="J33" s="150">
        <v>57585.091064</v>
      </c>
      <c r="K33" s="151">
        <v>-0.34120705795700002</v>
      </c>
      <c r="L33" s="151">
        <v>0.34120705795700002</v>
      </c>
      <c r="M33" s="148" t="s">
        <v>179</v>
      </c>
      <c r="N33" s="148">
        <v>6</v>
      </c>
      <c r="O33" s="148" t="s">
        <v>180</v>
      </c>
      <c r="P33" s="152" t="e">
        <f t="shared" si="1"/>
        <v>#VALUE!</v>
      </c>
    </row>
    <row r="34" spans="1:16" s="152" customFormat="1" x14ac:dyDescent="0.25">
      <c r="A34" s="148">
        <v>843</v>
      </c>
      <c r="B34" s="148" t="s">
        <v>22</v>
      </c>
      <c r="C34" s="148" t="s">
        <v>40</v>
      </c>
      <c r="D34" s="148" t="s">
        <v>27</v>
      </c>
      <c r="E34" s="148" t="s">
        <v>161</v>
      </c>
      <c r="F34" s="148">
        <v>1</v>
      </c>
      <c r="G34" s="149">
        <v>0.54157299999999997</v>
      </c>
      <c r="H34" s="148">
        <v>85672</v>
      </c>
      <c r="I34" s="148" t="s">
        <v>178</v>
      </c>
      <c r="J34" s="150">
        <v>59851.847654999998</v>
      </c>
      <c r="K34" s="151">
        <v>-0.30138379336299997</v>
      </c>
      <c r="L34" s="151">
        <v>0.30138379336299997</v>
      </c>
      <c r="M34" s="148" t="s">
        <v>184</v>
      </c>
      <c r="N34" s="148">
        <v>5</v>
      </c>
      <c r="O34" s="148" t="s">
        <v>180</v>
      </c>
      <c r="P34" s="152" t="e">
        <f t="shared" si="1"/>
        <v>#VALUE!</v>
      </c>
    </row>
    <row r="35" spans="1:16" x14ac:dyDescent="0.25">
      <c r="A35" s="133">
        <v>1768</v>
      </c>
      <c r="B35" s="135" t="s">
        <v>162</v>
      </c>
      <c r="C35" s="136"/>
      <c r="D35" s="136"/>
      <c r="E35" s="135" t="s">
        <v>163</v>
      </c>
      <c r="F35" s="135">
        <v>0</v>
      </c>
      <c r="G35" s="140">
        <v>0</v>
      </c>
      <c r="H35" s="141">
        <v>0</v>
      </c>
      <c r="I35" s="136"/>
      <c r="J35" s="138">
        <v>7020.7220610000004</v>
      </c>
      <c r="K35" s="139">
        <v>0</v>
      </c>
      <c r="L35" s="139">
        <v>0</v>
      </c>
      <c r="M35" s="137" t="s">
        <v>185</v>
      </c>
      <c r="N35" s="137">
        <v>32</v>
      </c>
      <c r="O35" s="137" t="s">
        <v>186</v>
      </c>
      <c r="P35" s="136" t="e">
        <f t="shared" si="1"/>
        <v>#VALUE!</v>
      </c>
    </row>
    <row r="36" spans="1:16" x14ac:dyDescent="0.25">
      <c r="A36" s="133">
        <v>14949</v>
      </c>
      <c r="B36" s="135" t="s">
        <v>2</v>
      </c>
      <c r="C36" s="135" t="s">
        <v>48</v>
      </c>
      <c r="D36" s="135" t="s">
        <v>47</v>
      </c>
      <c r="E36" s="135" t="s">
        <v>167</v>
      </c>
      <c r="F36" s="135">
        <v>0</v>
      </c>
      <c r="G36" s="140">
        <v>0</v>
      </c>
      <c r="H36" s="141">
        <v>0</v>
      </c>
      <c r="I36" s="136"/>
      <c r="J36" s="138">
        <v>67781.813232999993</v>
      </c>
      <c r="K36" s="139">
        <v>0</v>
      </c>
      <c r="L36" s="139">
        <v>0</v>
      </c>
      <c r="M36" s="137" t="s">
        <v>198</v>
      </c>
      <c r="N36" s="137">
        <v>15</v>
      </c>
      <c r="O36" s="137" t="s">
        <v>186</v>
      </c>
      <c r="P36" s="136" t="e">
        <f t="shared" si="1"/>
        <v>#VALUE!</v>
      </c>
    </row>
    <row r="37" spans="1:16" x14ac:dyDescent="0.25">
      <c r="A37" s="133">
        <v>524</v>
      </c>
      <c r="B37" s="135" t="s">
        <v>18</v>
      </c>
      <c r="C37" s="135" t="s">
        <v>11</v>
      </c>
      <c r="D37" s="135" t="s">
        <v>0</v>
      </c>
      <c r="E37" s="135" t="s">
        <v>168</v>
      </c>
      <c r="F37" s="135">
        <v>0</v>
      </c>
      <c r="G37" s="140">
        <v>0</v>
      </c>
      <c r="H37" s="141">
        <v>0</v>
      </c>
      <c r="I37" s="136"/>
      <c r="J37" s="138">
        <v>22410.838135000002</v>
      </c>
      <c r="K37" s="139">
        <v>0</v>
      </c>
      <c r="L37" s="139">
        <v>0</v>
      </c>
      <c r="M37" s="137" t="s">
        <v>237</v>
      </c>
      <c r="N37" s="137">
        <v>17</v>
      </c>
      <c r="O37" s="137" t="s">
        <v>186</v>
      </c>
      <c r="P37" s="136" t="e">
        <f t="shared" si="1"/>
        <v>#VALUE!</v>
      </c>
    </row>
    <row r="38" spans="1:16" x14ac:dyDescent="0.25">
      <c r="A38" s="133">
        <v>525</v>
      </c>
      <c r="B38" s="135" t="s">
        <v>18</v>
      </c>
      <c r="C38" s="135" t="s">
        <v>44</v>
      </c>
      <c r="D38" s="135" t="s">
        <v>19</v>
      </c>
      <c r="E38" s="135" t="s">
        <v>168</v>
      </c>
      <c r="F38" s="135">
        <v>1</v>
      </c>
      <c r="G38" s="140">
        <v>1.6515390000000001</v>
      </c>
      <c r="H38" s="141">
        <v>41937</v>
      </c>
      <c r="I38" s="137" t="s">
        <v>195</v>
      </c>
      <c r="J38" s="138">
        <v>28807.641112000001</v>
      </c>
      <c r="K38" s="139">
        <v>-0.313073393137</v>
      </c>
      <c r="L38" s="139">
        <v>0.313073393137</v>
      </c>
      <c r="M38" s="137" t="s">
        <v>238</v>
      </c>
      <c r="N38" s="137">
        <v>17</v>
      </c>
      <c r="O38" s="137" t="s">
        <v>186</v>
      </c>
      <c r="P38" s="136" t="e">
        <f t="shared" si="1"/>
        <v>#VALUE!</v>
      </c>
    </row>
    <row r="39" spans="1:16" x14ac:dyDescent="0.25">
      <c r="A39" s="133">
        <v>16096</v>
      </c>
      <c r="B39" s="135" t="s">
        <v>2</v>
      </c>
      <c r="C39" s="135" t="s">
        <v>29</v>
      </c>
      <c r="D39" s="135" t="s">
        <v>29</v>
      </c>
      <c r="E39" s="135" t="s">
        <v>167</v>
      </c>
      <c r="F39" s="135">
        <v>1</v>
      </c>
      <c r="G39" s="140">
        <v>0.848831</v>
      </c>
      <c r="H39" s="141">
        <v>81067</v>
      </c>
      <c r="I39" s="137" t="s">
        <v>181</v>
      </c>
      <c r="J39" s="138">
        <v>74750.030518</v>
      </c>
      <c r="K39" s="139">
        <v>-7.7922822874900002E-2</v>
      </c>
      <c r="L39" s="139">
        <v>7.7922822874900002E-2</v>
      </c>
      <c r="M39" s="137" t="s">
        <v>239</v>
      </c>
      <c r="N39" s="137">
        <v>6</v>
      </c>
      <c r="O39" s="137" t="s">
        <v>186</v>
      </c>
      <c r="P39" s="136" t="e">
        <f t="shared" si="1"/>
        <v>#VALUE!</v>
      </c>
    </row>
    <row r="40" spans="1:16" x14ac:dyDescent="0.25">
      <c r="A40" s="133">
        <v>20709</v>
      </c>
      <c r="B40" s="135" t="s">
        <v>23</v>
      </c>
      <c r="C40" s="135" t="s">
        <v>30</v>
      </c>
      <c r="D40" s="135" t="s">
        <v>35</v>
      </c>
      <c r="E40" s="135" t="s">
        <v>163</v>
      </c>
      <c r="F40" s="135">
        <v>1</v>
      </c>
      <c r="G40" s="140">
        <v>0.180286</v>
      </c>
      <c r="H40" s="141">
        <v>91229</v>
      </c>
      <c r="I40" s="137" t="s">
        <v>181</v>
      </c>
      <c r="J40" s="138">
        <v>88654.864746000007</v>
      </c>
      <c r="K40" s="139">
        <v>-2.8216195003800001E-2</v>
      </c>
      <c r="L40" s="139">
        <v>2.8216195003800001E-2</v>
      </c>
      <c r="M40" s="137" t="s">
        <v>240</v>
      </c>
      <c r="N40" s="137">
        <v>15</v>
      </c>
      <c r="O40" s="137" t="s">
        <v>186</v>
      </c>
      <c r="P40" s="136" t="e">
        <f t="shared" si="1"/>
        <v>#VALUE!</v>
      </c>
    </row>
    <row r="41" spans="1:16" x14ac:dyDescent="0.25">
      <c r="A41" s="133">
        <v>20750</v>
      </c>
      <c r="B41" s="135" t="s">
        <v>7</v>
      </c>
      <c r="C41" s="135" t="s">
        <v>8</v>
      </c>
      <c r="D41" s="135" t="s">
        <v>8</v>
      </c>
      <c r="E41" s="135" t="s">
        <v>161</v>
      </c>
      <c r="F41" s="135">
        <v>1</v>
      </c>
      <c r="G41" s="140">
        <v>0.35076499999999999</v>
      </c>
      <c r="H41" s="141">
        <v>86854</v>
      </c>
      <c r="I41" s="137" t="s">
        <v>181</v>
      </c>
      <c r="J41" s="138">
        <v>82138.691405000005</v>
      </c>
      <c r="K41" s="139">
        <v>-5.4290056819499999E-2</v>
      </c>
      <c r="L41" s="139">
        <v>5.4290056819499999E-2</v>
      </c>
      <c r="M41" s="137" t="s">
        <v>241</v>
      </c>
      <c r="N41" s="137">
        <v>16</v>
      </c>
      <c r="O41" s="137" t="s">
        <v>186</v>
      </c>
      <c r="P41" s="136" t="e">
        <f t="shared" si="1"/>
        <v>#VALUE!</v>
      </c>
    </row>
    <row r="42" spans="1:16" x14ac:dyDescent="0.25">
      <c r="A42" s="133">
        <v>28792</v>
      </c>
      <c r="B42" s="135" t="s">
        <v>164</v>
      </c>
      <c r="C42" s="135" t="s">
        <v>132</v>
      </c>
      <c r="D42" s="134"/>
      <c r="E42" s="135" t="s">
        <v>163</v>
      </c>
      <c r="F42" s="135">
        <v>1</v>
      </c>
      <c r="G42" s="140">
        <v>0.63069500000000001</v>
      </c>
      <c r="H42" s="141">
        <v>43340</v>
      </c>
      <c r="I42" s="137" t="s">
        <v>181</v>
      </c>
      <c r="J42" s="138">
        <v>41348.550049999998</v>
      </c>
      <c r="K42" s="139">
        <v>-4.5949468158699998E-2</v>
      </c>
      <c r="L42" s="139">
        <v>4.5949468158699998E-2</v>
      </c>
      <c r="M42" s="137" t="s">
        <v>242</v>
      </c>
      <c r="N42" s="137">
        <v>31</v>
      </c>
      <c r="O42" s="137" t="s">
        <v>186</v>
      </c>
      <c r="P42" s="136" t="e">
        <f t="shared" si="1"/>
        <v>#VALUE!</v>
      </c>
    </row>
  </sheetData>
  <sortState ref="A30:P42">
    <sortCondition ref="O31:O4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4.9989318521683403E-2"/>
  </sheetPr>
  <dimension ref="A1:F914"/>
  <sheetViews>
    <sheetView showGridLines="0" workbookViewId="0">
      <pane ySplit="1" topLeftCell="A798" activePane="bottomLeft" state="frozen"/>
      <selection activeCell="P30" sqref="P30"/>
      <selection pane="bottomLeft" activeCell="I911" sqref="I911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0" style="136" bestFit="1" customWidth="1"/>
    <col min="6" max="6" width="11.140625" bestFit="1" customWidth="1"/>
  </cols>
  <sheetData>
    <row r="1" spans="1:6" x14ac:dyDescent="0.25">
      <c r="A1" t="s">
        <v>53</v>
      </c>
      <c r="B1" s="4" t="s">
        <v>129</v>
      </c>
      <c r="C1" s="4" t="s">
        <v>127</v>
      </c>
      <c r="D1" s="4" t="s">
        <v>128</v>
      </c>
      <c r="E1" s="137" t="s">
        <v>174</v>
      </c>
      <c r="F1" t="s">
        <v>244</v>
      </c>
    </row>
    <row r="2" spans="1:6" x14ac:dyDescent="0.25">
      <c r="A2" s="136">
        <f>'[2]All Counts'!E2</f>
        <v>9041</v>
      </c>
      <c r="B2" s="136">
        <f>'[2]All Counts'!M2</f>
        <v>32509</v>
      </c>
      <c r="C2" s="136">
        <f>'[2]All Counts'!N2</f>
        <v>6971</v>
      </c>
      <c r="D2" s="136">
        <f>'[2]All Counts'!O2</f>
        <v>6056</v>
      </c>
      <c r="E2" s="136" t="str">
        <f>'[2]All Counts'!P2</f>
        <v>PeMS2016</v>
      </c>
      <c r="F2" s="4"/>
    </row>
    <row r="3" spans="1:6" x14ac:dyDescent="0.25">
      <c r="A3" s="136">
        <f>'[2]All Counts'!E3</f>
        <v>28016</v>
      </c>
      <c r="B3" s="136">
        <f>'[2]All Counts'!M3</f>
        <v>56995</v>
      </c>
      <c r="C3" s="136">
        <f>'[2]All Counts'!N3</f>
        <v>12966</v>
      </c>
      <c r="D3" s="136">
        <f>'[2]All Counts'!O3</f>
        <v>10717</v>
      </c>
      <c r="E3" s="136" t="str">
        <f>'[2]All Counts'!P3</f>
        <v>PeMS2016</v>
      </c>
      <c r="F3" s="137"/>
    </row>
    <row r="4" spans="1:6" x14ac:dyDescent="0.25">
      <c r="A4" s="136">
        <f>'[2]All Counts'!E4</f>
        <v>28011</v>
      </c>
      <c r="B4" s="136">
        <f>'[2]All Counts'!M4</f>
        <v>56995</v>
      </c>
      <c r="C4" s="136">
        <f>'[2]All Counts'!N4</f>
        <v>12966</v>
      </c>
      <c r="D4" s="136">
        <f>'[2]All Counts'!O4</f>
        <v>10717</v>
      </c>
      <c r="E4" s="136" t="str">
        <f>'[2]All Counts'!P4</f>
        <v>PeMS2016</v>
      </c>
      <c r="F4" s="137"/>
    </row>
    <row r="5" spans="1:6" x14ac:dyDescent="0.25">
      <c r="A5" s="136">
        <f>'[2]All Counts'!E5</f>
        <v>28007</v>
      </c>
      <c r="B5" s="136">
        <f>'[2]All Counts'!M5</f>
        <v>70327</v>
      </c>
      <c r="C5" s="136">
        <f>'[2]All Counts'!N5</f>
        <v>17069</v>
      </c>
      <c r="D5" s="136">
        <f>'[2]All Counts'!O5</f>
        <v>12928</v>
      </c>
      <c r="E5" s="136" t="str">
        <f>'[2]All Counts'!P5</f>
        <v>PeMS2016</v>
      </c>
      <c r="F5" s="137"/>
    </row>
    <row r="6" spans="1:6" x14ac:dyDescent="0.25">
      <c r="A6" s="136">
        <f>'[2]All Counts'!E6</f>
        <v>28000</v>
      </c>
      <c r="B6" s="136">
        <f>'[2]All Counts'!M6</f>
        <v>78513</v>
      </c>
      <c r="C6" s="136">
        <f>'[2]All Counts'!N6</f>
        <v>17714</v>
      </c>
      <c r="D6" s="136">
        <f>'[2]All Counts'!O6</f>
        <v>15038</v>
      </c>
      <c r="E6" s="136" t="str">
        <f>'[2]All Counts'!P6</f>
        <v>Caltran</v>
      </c>
      <c r="F6" s="137"/>
    </row>
    <row r="7" spans="1:6" x14ac:dyDescent="0.25">
      <c r="A7" s="136">
        <f>'[2]All Counts'!E7</f>
        <v>27988</v>
      </c>
      <c r="B7" s="136">
        <f>'[2]All Counts'!M7</f>
        <v>77212</v>
      </c>
      <c r="C7" s="136">
        <f>'[2]All Counts'!N7</f>
        <v>18765</v>
      </c>
      <c r="D7" s="136">
        <f>'[2]All Counts'!O7</f>
        <v>14242</v>
      </c>
      <c r="E7" s="136" t="str">
        <f>'[2]All Counts'!P7</f>
        <v>PeMS2016</v>
      </c>
      <c r="F7" s="137"/>
    </row>
    <row r="8" spans="1:6" x14ac:dyDescent="0.25">
      <c r="A8" s="136">
        <f>'[2]All Counts'!E8</f>
        <v>27987</v>
      </c>
      <c r="B8" s="136">
        <f>'[2]All Counts'!M8</f>
        <v>72788</v>
      </c>
      <c r="C8" s="136">
        <f>'[2]All Counts'!N8</f>
        <v>18169</v>
      </c>
      <c r="D8" s="136">
        <f>'[2]All Counts'!O8</f>
        <v>13093</v>
      </c>
      <c r="E8" s="136" t="str">
        <f>'[2]All Counts'!P8</f>
        <v>PeMS2016</v>
      </c>
      <c r="F8" s="137"/>
    </row>
    <row r="9" spans="1:6" x14ac:dyDescent="0.25">
      <c r="A9" s="136">
        <f>'[2]All Counts'!E9</f>
        <v>29016</v>
      </c>
      <c r="B9" s="136">
        <f>'[2]All Counts'!M9</f>
        <v>78697</v>
      </c>
      <c r="C9" s="136">
        <f>'[2]All Counts'!N9</f>
        <v>18276</v>
      </c>
      <c r="D9" s="136">
        <f>'[2]All Counts'!O9</f>
        <v>14371</v>
      </c>
      <c r="E9" s="136" t="str">
        <f>'[2]All Counts'!P9</f>
        <v>PeMS2016</v>
      </c>
      <c r="F9" s="137"/>
    </row>
    <row r="10" spans="1:6" x14ac:dyDescent="0.25">
      <c r="A10" s="136">
        <f>'[2]All Counts'!E10</f>
        <v>29028</v>
      </c>
      <c r="B10" s="136">
        <f>'[2]All Counts'!M10</f>
        <v>86599</v>
      </c>
      <c r="C10" s="136">
        <f>'[2]All Counts'!N10</f>
        <v>20043</v>
      </c>
      <c r="D10" s="136">
        <f>'[2]All Counts'!O10</f>
        <v>15747</v>
      </c>
      <c r="E10" s="136" t="str">
        <f>'[2]All Counts'!P10</f>
        <v>PeMS2016</v>
      </c>
      <c r="F10" s="137"/>
    </row>
    <row r="11" spans="1:6" x14ac:dyDescent="0.25">
      <c r="A11" s="136">
        <f>'[2]All Counts'!E11</f>
        <v>29037</v>
      </c>
      <c r="B11" s="136">
        <f>'[2]All Counts'!M11</f>
        <v>83801</v>
      </c>
      <c r="C11" s="136">
        <f>'[2]All Counts'!N11</f>
        <v>19743</v>
      </c>
      <c r="D11" s="136">
        <f>'[2]All Counts'!O11</f>
        <v>15038</v>
      </c>
      <c r="E11" s="136" t="str">
        <f>'[2]All Counts'!P11</f>
        <v>PeMS2016</v>
      </c>
      <c r="F11" s="137"/>
    </row>
    <row r="12" spans="1:6" x14ac:dyDescent="0.25">
      <c r="A12" s="136">
        <f>'[2]All Counts'!E12</f>
        <v>29041</v>
      </c>
      <c r="B12" s="136">
        <f>'[2]All Counts'!M12</f>
        <v>100179</v>
      </c>
      <c r="C12" s="136">
        <f>'[2]All Counts'!N12</f>
        <v>22543</v>
      </c>
      <c r="D12" s="136">
        <f>'[2]All Counts'!O12</f>
        <v>18588</v>
      </c>
      <c r="E12" s="136" t="str">
        <f>'[2]All Counts'!P12</f>
        <v>PeMS2016</v>
      </c>
      <c r="F12" s="137"/>
    </row>
    <row r="13" spans="1:6" x14ac:dyDescent="0.25">
      <c r="A13" s="136">
        <f>'[2]All Counts'!E13</f>
        <v>29046</v>
      </c>
      <c r="B13" s="136">
        <f>'[2]All Counts'!M13</f>
        <v>58078</v>
      </c>
      <c r="C13" s="136">
        <f>'[2]All Counts'!N13</f>
        <v>16611</v>
      </c>
      <c r="D13" s="136">
        <f>'[2]All Counts'!O13</f>
        <v>9141</v>
      </c>
      <c r="E13" s="136" t="str">
        <f>'[2]All Counts'!P13</f>
        <v>PeMS2016</v>
      </c>
      <c r="F13" s="137"/>
    </row>
    <row r="14" spans="1:6" x14ac:dyDescent="0.25">
      <c r="A14" s="136">
        <f>'[2]All Counts'!E14</f>
        <v>29049</v>
      </c>
      <c r="B14" s="136">
        <f>'[2]All Counts'!M14</f>
        <v>76826</v>
      </c>
      <c r="C14" s="136">
        <f>'[2]All Counts'!N14</f>
        <v>20181</v>
      </c>
      <c r="D14" s="136">
        <f>'[2]All Counts'!O14</f>
        <v>12622</v>
      </c>
      <c r="E14" s="136" t="str">
        <f>'[2]All Counts'!P14</f>
        <v>PeMS2016</v>
      </c>
      <c r="F14" s="137"/>
    </row>
    <row r="15" spans="1:6" x14ac:dyDescent="0.25">
      <c r="A15" s="136">
        <f>'[2]All Counts'!E15</f>
        <v>27614</v>
      </c>
      <c r="B15" s="136">
        <f>'[2]All Counts'!M15</f>
        <v>85967</v>
      </c>
      <c r="C15" s="136">
        <f>'[2]All Counts'!N15</f>
        <v>22168</v>
      </c>
      <c r="D15" s="136">
        <f>'[2]All Counts'!O15</f>
        <v>14485</v>
      </c>
      <c r="E15" s="136" t="str">
        <f>'[2]All Counts'!P15</f>
        <v>PeMS2016</v>
      </c>
      <c r="F15" s="137"/>
    </row>
    <row r="16" spans="1:6" x14ac:dyDescent="0.25">
      <c r="A16" s="136">
        <f>'[2]All Counts'!E16</f>
        <v>29051</v>
      </c>
      <c r="B16" s="136">
        <f>'[2]All Counts'!M16</f>
        <v>69267</v>
      </c>
      <c r="C16" s="136">
        <f>'[2]All Counts'!N16</f>
        <v>18040</v>
      </c>
      <c r="D16" s="136">
        <f>'[2]All Counts'!O16</f>
        <v>11868</v>
      </c>
      <c r="E16" s="136" t="str">
        <f>'[2]All Counts'!P16</f>
        <v>PeMS2016</v>
      </c>
      <c r="F16" s="137"/>
    </row>
    <row r="17" spans="1:6" x14ac:dyDescent="0.25">
      <c r="A17" s="136">
        <f>'[2]All Counts'!E17</f>
        <v>15854</v>
      </c>
      <c r="B17" s="136">
        <f>'[2]All Counts'!M17</f>
        <v>77626</v>
      </c>
      <c r="C17" s="136">
        <f>'[2]All Counts'!N17</f>
        <v>18916</v>
      </c>
      <c r="D17" s="136">
        <f>'[2]All Counts'!O17</f>
        <v>13758</v>
      </c>
      <c r="E17" s="136" t="str">
        <f>'[2]All Counts'!P17</f>
        <v>PeMS2016</v>
      </c>
      <c r="F17" s="137"/>
    </row>
    <row r="18" spans="1:6" x14ac:dyDescent="0.25">
      <c r="A18" s="136">
        <f>'[2]All Counts'!E18</f>
        <v>15856</v>
      </c>
      <c r="B18" s="136">
        <f>'[2]All Counts'!M18</f>
        <v>68770</v>
      </c>
      <c r="C18" s="136">
        <f>'[2]All Counts'!N18</f>
        <v>16495</v>
      </c>
      <c r="D18" s="136">
        <f>'[2]All Counts'!O18</f>
        <v>12035</v>
      </c>
      <c r="E18" s="136" t="str">
        <f>'[2]All Counts'!P18</f>
        <v>PeMS2016</v>
      </c>
      <c r="F18" s="137"/>
    </row>
    <row r="19" spans="1:6" x14ac:dyDescent="0.25">
      <c r="A19" s="136">
        <f>'[2]All Counts'!E19</f>
        <v>15857</v>
      </c>
      <c r="B19" s="136">
        <f>'[2]All Counts'!M19</f>
        <v>68770</v>
      </c>
      <c r="C19" s="136">
        <f>'[2]All Counts'!N19</f>
        <v>16495</v>
      </c>
      <c r="D19" s="136">
        <f>'[2]All Counts'!O19</f>
        <v>12035</v>
      </c>
      <c r="E19" s="136" t="str">
        <f>'[2]All Counts'!P19</f>
        <v>PeMS2016</v>
      </c>
      <c r="F19" s="137"/>
    </row>
    <row r="20" spans="1:6" x14ac:dyDescent="0.25">
      <c r="A20" s="136">
        <f>'[2]All Counts'!E20</f>
        <v>15862</v>
      </c>
      <c r="B20" s="136">
        <f>'[2]All Counts'!M20</f>
        <v>65667</v>
      </c>
      <c r="C20" s="136">
        <f>'[2]All Counts'!N20</f>
        <v>15978</v>
      </c>
      <c r="D20" s="136">
        <f>'[2]All Counts'!O20</f>
        <v>11230</v>
      </c>
      <c r="E20" s="136" t="str">
        <f>'[2]All Counts'!P20</f>
        <v>PeMS2016</v>
      </c>
      <c r="F20" s="137"/>
    </row>
    <row r="21" spans="1:6" x14ac:dyDescent="0.25">
      <c r="A21" s="136">
        <f>'[2]All Counts'!E21</f>
        <v>15863</v>
      </c>
      <c r="B21" s="136">
        <f>'[2]All Counts'!M21</f>
        <v>28853</v>
      </c>
      <c r="C21" s="136">
        <f>'[2]All Counts'!N21</f>
        <v>8388</v>
      </c>
      <c r="D21" s="136">
        <f>'[2]All Counts'!O21</f>
        <v>4738</v>
      </c>
      <c r="E21" s="136" t="str">
        <f>'[2]All Counts'!P21</f>
        <v>PeMS2016</v>
      </c>
      <c r="F21" s="137"/>
    </row>
    <row r="22" spans="1:6" x14ac:dyDescent="0.25">
      <c r="A22" s="136">
        <f>'[2]All Counts'!E22</f>
        <v>10015</v>
      </c>
      <c r="B22" s="136">
        <f>'[2]All Counts'!M22</f>
        <v>21531</v>
      </c>
      <c r="C22" s="136">
        <f>'[2]All Counts'!N22</f>
        <v>3645</v>
      </c>
      <c r="D22" s="136">
        <f>'[2]All Counts'!O22</f>
        <v>3469</v>
      </c>
      <c r="E22" s="136" t="str">
        <f>'[2]All Counts'!P22</f>
        <v>Caltran</v>
      </c>
      <c r="F22" s="137"/>
    </row>
    <row r="23" spans="1:6" x14ac:dyDescent="0.25">
      <c r="A23" s="136">
        <f>'[2]All Counts'!E23</f>
        <v>8185</v>
      </c>
      <c r="B23" s="136">
        <f>'[2]All Counts'!M23</f>
        <v>23716</v>
      </c>
      <c r="C23" s="136">
        <f>'[2]All Counts'!N23</f>
        <v>3497</v>
      </c>
      <c r="D23" s="136">
        <f>'[2]All Counts'!O23</f>
        <v>3809</v>
      </c>
      <c r="E23" s="136" t="str">
        <f>'[2]All Counts'!P23</f>
        <v>PeMS2016</v>
      </c>
      <c r="F23" s="137"/>
    </row>
    <row r="24" spans="1:6" x14ac:dyDescent="0.25">
      <c r="A24" s="136">
        <f>'[2]All Counts'!E24</f>
        <v>10002</v>
      </c>
      <c r="B24" s="136">
        <f>'[2]All Counts'!M24</f>
        <v>30153</v>
      </c>
      <c r="C24" s="136">
        <f>'[2]All Counts'!N24</f>
        <v>4014</v>
      </c>
      <c r="D24" s="136">
        <f>'[2]All Counts'!O24</f>
        <v>6715</v>
      </c>
      <c r="E24" s="136" t="str">
        <f>'[2]All Counts'!P24</f>
        <v>PeMS2016</v>
      </c>
      <c r="F24" s="137"/>
    </row>
    <row r="25" spans="1:6" x14ac:dyDescent="0.25">
      <c r="A25" s="136">
        <f>'[2]All Counts'!E25</f>
        <v>29158</v>
      </c>
      <c r="B25" s="136">
        <f>'[2]All Counts'!M25</f>
        <v>25714</v>
      </c>
      <c r="C25" s="136">
        <f>'[2]All Counts'!N25</f>
        <v>3391</v>
      </c>
      <c r="D25" s="136">
        <f>'[2]All Counts'!O25</f>
        <v>5378</v>
      </c>
      <c r="E25" s="136" t="str">
        <f>'[2]All Counts'!P25</f>
        <v>PeMS2016</v>
      </c>
      <c r="F25" s="137"/>
    </row>
    <row r="26" spans="1:6" x14ac:dyDescent="0.25">
      <c r="A26" s="136">
        <f>'[2]All Counts'!E26</f>
        <v>27724</v>
      </c>
      <c r="B26" s="136">
        <f>'[2]All Counts'!M26</f>
        <v>28713</v>
      </c>
      <c r="C26" s="136">
        <f>'[2]All Counts'!N26</f>
        <v>3796</v>
      </c>
      <c r="D26" s="136">
        <f>'[2]All Counts'!O26</f>
        <v>6293</v>
      </c>
      <c r="E26" s="136" t="str">
        <f>'[2]All Counts'!P26</f>
        <v>PeMS2016</v>
      </c>
      <c r="F26" s="137"/>
    </row>
    <row r="27" spans="1:6" x14ac:dyDescent="0.25">
      <c r="A27" s="136">
        <f>'[2]All Counts'!E27</f>
        <v>27721</v>
      </c>
      <c r="B27" s="136">
        <f>'[2]All Counts'!M27</f>
        <v>37842</v>
      </c>
      <c r="C27" s="136">
        <f>'[2]All Counts'!N27</f>
        <v>4820</v>
      </c>
      <c r="D27" s="136">
        <f>'[2]All Counts'!O27</f>
        <v>8477</v>
      </c>
      <c r="E27" s="136" t="str">
        <f>'[2]All Counts'!P27</f>
        <v>PeMS2016</v>
      </c>
      <c r="F27" s="137"/>
    </row>
    <row r="28" spans="1:6" x14ac:dyDescent="0.25">
      <c r="A28" s="136">
        <f>'[2]All Counts'!E28</f>
        <v>27716</v>
      </c>
      <c r="B28" s="136">
        <f>'[2]All Counts'!M28</f>
        <v>31877</v>
      </c>
      <c r="C28" s="136">
        <f>'[2]All Counts'!N28</f>
        <v>3990</v>
      </c>
      <c r="D28" s="136">
        <f>'[2]All Counts'!O28</f>
        <v>7444</v>
      </c>
      <c r="E28" s="136" t="str">
        <f>'[2]All Counts'!P28</f>
        <v>PeMS2016</v>
      </c>
      <c r="F28" s="137"/>
    </row>
    <row r="29" spans="1:6" x14ac:dyDescent="0.25">
      <c r="A29" s="136">
        <f>'[2]All Counts'!E29</f>
        <v>27719</v>
      </c>
      <c r="B29" s="136">
        <f>'[2]All Counts'!M29</f>
        <v>53469</v>
      </c>
      <c r="C29" s="136">
        <f>'[2]All Counts'!N29</f>
        <v>6403</v>
      </c>
      <c r="D29" s="136">
        <f>'[2]All Counts'!O29</f>
        <v>12493</v>
      </c>
      <c r="E29" s="136" t="str">
        <f>'[2]All Counts'!P29</f>
        <v>PeMS2016</v>
      </c>
      <c r="F29" s="137"/>
    </row>
    <row r="30" spans="1:6" x14ac:dyDescent="0.25">
      <c r="A30" s="136">
        <f>'[2]All Counts'!E30</f>
        <v>27741</v>
      </c>
      <c r="B30" s="136">
        <f>'[2]All Counts'!M30</f>
        <v>39613</v>
      </c>
      <c r="C30" s="136">
        <f>'[2]All Counts'!N30</f>
        <v>4687</v>
      </c>
      <c r="D30" s="136">
        <f>'[2]All Counts'!O30</f>
        <v>9861</v>
      </c>
      <c r="E30" s="136" t="str">
        <f>'[2]All Counts'!P30</f>
        <v>PeMS2016</v>
      </c>
      <c r="F30" s="137"/>
    </row>
    <row r="31" spans="1:6" x14ac:dyDescent="0.25">
      <c r="A31" s="136">
        <f>'[2]All Counts'!E31</f>
        <v>27742</v>
      </c>
      <c r="B31" s="136">
        <f>'[2]All Counts'!M31</f>
        <v>42725</v>
      </c>
      <c r="C31" s="136">
        <f>'[2]All Counts'!N31</f>
        <v>5116</v>
      </c>
      <c r="D31" s="136">
        <f>'[2]All Counts'!O31</f>
        <v>9980</v>
      </c>
      <c r="E31" s="136" t="str">
        <f>'[2]All Counts'!P31</f>
        <v>PeMS2016</v>
      </c>
      <c r="F31" s="137"/>
    </row>
    <row r="32" spans="1:6" x14ac:dyDescent="0.25">
      <c r="A32" s="136">
        <f>'[2]All Counts'!E32</f>
        <v>9904</v>
      </c>
      <c r="B32" s="136">
        <f>'[2]All Counts'!M32</f>
        <v>38339</v>
      </c>
      <c r="C32" s="136">
        <f>'[2]All Counts'!N32</f>
        <v>4516</v>
      </c>
      <c r="D32" s="136">
        <f>'[2]All Counts'!O32</f>
        <v>9515</v>
      </c>
      <c r="E32" s="136" t="str">
        <f>'[2]All Counts'!P32</f>
        <v>PeMS2016</v>
      </c>
      <c r="F32" s="137"/>
    </row>
    <row r="33" spans="1:6" x14ac:dyDescent="0.25">
      <c r="A33" s="136">
        <f>'[2]All Counts'!E33</f>
        <v>23435</v>
      </c>
      <c r="B33" s="136">
        <f>'[2]All Counts'!M33</f>
        <v>17480</v>
      </c>
      <c r="C33" s="136">
        <f>'[2]All Counts'!N33</f>
        <v>2005</v>
      </c>
      <c r="D33" s="136">
        <f>'[2]All Counts'!O33</f>
        <v>4828</v>
      </c>
      <c r="E33" s="136" t="str">
        <f>'[2]All Counts'!P33</f>
        <v>PeMS2016</v>
      </c>
      <c r="F33" s="137"/>
    </row>
    <row r="34" spans="1:6" x14ac:dyDescent="0.25">
      <c r="A34" s="136">
        <f>'[2]All Counts'!E34</f>
        <v>27856</v>
      </c>
      <c r="B34" s="136">
        <f>'[2]All Counts'!M34</f>
        <v>32272</v>
      </c>
      <c r="C34" s="136">
        <f>'[2]All Counts'!N34</f>
        <v>5855</v>
      </c>
      <c r="D34" s="136">
        <f>'[2]All Counts'!O34</f>
        <v>7458</v>
      </c>
      <c r="E34" s="136" t="str">
        <f>'[2]All Counts'!P34</f>
        <v>Caltran</v>
      </c>
      <c r="F34" s="137"/>
    </row>
    <row r="35" spans="1:6" x14ac:dyDescent="0.25">
      <c r="A35" s="136">
        <f>'[2]All Counts'!E35</f>
        <v>12823</v>
      </c>
      <c r="B35" s="136">
        <f>'[2]All Counts'!M35</f>
        <v>39222</v>
      </c>
      <c r="C35" s="136">
        <f>'[2]All Counts'!N35</f>
        <v>7556</v>
      </c>
      <c r="D35" s="136">
        <f>'[2]All Counts'!O35</f>
        <v>8363</v>
      </c>
      <c r="E35" s="136" t="str">
        <f>'[2]All Counts'!P35</f>
        <v>PeMS2016</v>
      </c>
      <c r="F35" s="137"/>
    </row>
    <row r="36" spans="1:6" x14ac:dyDescent="0.25">
      <c r="A36" s="136">
        <f>'[2]All Counts'!E36</f>
        <v>21942</v>
      </c>
      <c r="B36" s="136">
        <f>'[2]All Counts'!M36</f>
        <v>28638</v>
      </c>
      <c r="C36" s="136">
        <f>'[2]All Counts'!N36</f>
        <v>6409</v>
      </c>
      <c r="D36" s="136">
        <f>'[2]All Counts'!O36</f>
        <v>5453</v>
      </c>
      <c r="E36" s="136" t="str">
        <f>'[2]All Counts'!P36</f>
        <v>PeMS2016</v>
      </c>
      <c r="F36" s="137"/>
    </row>
    <row r="37" spans="1:6" x14ac:dyDescent="0.25">
      <c r="A37" s="136">
        <f>'[2]All Counts'!E37</f>
        <v>12837</v>
      </c>
      <c r="B37" s="136">
        <f>'[2]All Counts'!M37</f>
        <v>90467</v>
      </c>
      <c r="C37" s="136">
        <f>'[2]All Counts'!N37</f>
        <v>17790</v>
      </c>
      <c r="D37" s="136">
        <f>'[2]All Counts'!O37</f>
        <v>18328</v>
      </c>
      <c r="E37" s="136" t="str">
        <f>'[2]All Counts'!P37</f>
        <v>PeMS2016</v>
      </c>
      <c r="F37" s="137"/>
    </row>
    <row r="38" spans="1:6" x14ac:dyDescent="0.25">
      <c r="A38" s="136">
        <f>'[2]All Counts'!E38</f>
        <v>8054</v>
      </c>
      <c r="B38" s="136">
        <f>'[2]All Counts'!M38</f>
        <v>76370</v>
      </c>
      <c r="C38" s="136">
        <f>'[2]All Counts'!N38</f>
        <v>15533</v>
      </c>
      <c r="D38" s="136">
        <f>'[2]All Counts'!O38</f>
        <v>15330</v>
      </c>
      <c r="E38" s="136" t="str">
        <f>'[2]All Counts'!P38</f>
        <v>PeMS2016</v>
      </c>
      <c r="F38" s="137"/>
    </row>
    <row r="39" spans="1:6" x14ac:dyDescent="0.25">
      <c r="A39" s="136">
        <f>'[2]All Counts'!E39</f>
        <v>23557</v>
      </c>
      <c r="B39" s="136">
        <f>'[2]All Counts'!M39</f>
        <v>72027</v>
      </c>
      <c r="C39" s="136">
        <f>'[2]All Counts'!N39</f>
        <v>14807</v>
      </c>
      <c r="D39" s="136">
        <f>'[2]All Counts'!O39</f>
        <v>14890</v>
      </c>
      <c r="E39" s="136" t="str">
        <f>'[2]All Counts'!P39</f>
        <v>PeMS2016</v>
      </c>
      <c r="F39" s="137"/>
    </row>
    <row r="40" spans="1:6" x14ac:dyDescent="0.25">
      <c r="A40" s="136">
        <f>'[2]All Counts'!E40</f>
        <v>8056</v>
      </c>
      <c r="B40" s="136">
        <f>'[2]All Counts'!M40</f>
        <v>84102</v>
      </c>
      <c r="C40" s="136">
        <f>'[2]All Counts'!N40</f>
        <v>16457</v>
      </c>
      <c r="D40" s="136">
        <f>'[2]All Counts'!O40</f>
        <v>17628</v>
      </c>
      <c r="E40" s="136" t="str">
        <f>'[2]All Counts'!P40</f>
        <v>PeMS2016</v>
      </c>
      <c r="F40" s="137"/>
    </row>
    <row r="41" spans="1:6" x14ac:dyDescent="0.25">
      <c r="A41" s="136">
        <f>'[2]All Counts'!E41</f>
        <v>30080</v>
      </c>
      <c r="B41" s="136">
        <f>'[2]All Counts'!M41</f>
        <v>77112</v>
      </c>
      <c r="C41" s="136">
        <f>'[2]All Counts'!N41</f>
        <v>15628</v>
      </c>
      <c r="D41" s="136">
        <f>'[2]All Counts'!O41</f>
        <v>16167</v>
      </c>
      <c r="E41" s="136" t="str">
        <f>'[2]All Counts'!P41</f>
        <v>PeMS2016</v>
      </c>
      <c r="F41" s="137"/>
    </row>
    <row r="42" spans="1:6" x14ac:dyDescent="0.25">
      <c r="A42" s="136">
        <f>'[2]All Counts'!E42</f>
        <v>474</v>
      </c>
      <c r="B42" s="136">
        <f>'[2]All Counts'!M42</f>
        <v>71505</v>
      </c>
      <c r="C42" s="136">
        <f>'[2]All Counts'!N42</f>
        <v>14177</v>
      </c>
      <c r="D42" s="136">
        <f>'[2]All Counts'!O42</f>
        <v>15802</v>
      </c>
      <c r="E42" s="136" t="str">
        <f>'[2]All Counts'!P42</f>
        <v>PeMS2016</v>
      </c>
      <c r="F42" s="137"/>
    </row>
    <row r="43" spans="1:6" x14ac:dyDescent="0.25">
      <c r="A43" s="136">
        <f>'[2]All Counts'!E43</f>
        <v>8057</v>
      </c>
      <c r="B43" s="136">
        <f>'[2]All Counts'!M43</f>
        <v>73181</v>
      </c>
      <c r="C43" s="136">
        <f>'[2]All Counts'!N43</f>
        <v>14228</v>
      </c>
      <c r="D43" s="136">
        <f>'[2]All Counts'!O43</f>
        <v>16187</v>
      </c>
      <c r="E43" s="136" t="str">
        <f>'[2]All Counts'!P43</f>
        <v>PeMS2016</v>
      </c>
      <c r="F43" s="137"/>
    </row>
    <row r="44" spans="1:6" x14ac:dyDescent="0.25">
      <c r="A44" s="136">
        <f>'[2]All Counts'!E44</f>
        <v>16430</v>
      </c>
      <c r="B44" s="136">
        <f>'[2]All Counts'!M44</f>
        <v>57701</v>
      </c>
      <c r="C44" s="136">
        <f>'[2]All Counts'!N44</f>
        <v>10658</v>
      </c>
      <c r="D44" s="136">
        <f>'[2]All Counts'!O44</f>
        <v>13498</v>
      </c>
      <c r="E44" s="136" t="str">
        <f>'[2]All Counts'!P44</f>
        <v>PeMS2016</v>
      </c>
      <c r="F44" s="137"/>
    </row>
    <row r="45" spans="1:6" x14ac:dyDescent="0.25">
      <c r="A45" s="136">
        <f>'[2]All Counts'!E45</f>
        <v>16427</v>
      </c>
      <c r="B45" s="136">
        <f>'[2]All Counts'!M45</f>
        <v>75199</v>
      </c>
      <c r="C45" s="136">
        <f>'[2]All Counts'!N45</f>
        <v>12562</v>
      </c>
      <c r="D45" s="136">
        <f>'[2]All Counts'!O45</f>
        <v>18053</v>
      </c>
      <c r="E45" s="136" t="str">
        <f>'[2]All Counts'!P45</f>
        <v>Caltran</v>
      </c>
      <c r="F45" s="137"/>
    </row>
    <row r="46" spans="1:6" x14ac:dyDescent="0.25">
      <c r="A46" s="136">
        <f>'[2]All Counts'!E46</f>
        <v>29183</v>
      </c>
      <c r="B46" s="136">
        <f>'[2]All Counts'!M46</f>
        <v>67026</v>
      </c>
      <c r="C46" s="136">
        <f>'[2]All Counts'!N46</f>
        <v>11639</v>
      </c>
      <c r="D46" s="136">
        <f>'[2]All Counts'!O46</f>
        <v>16131</v>
      </c>
      <c r="E46" s="136" t="str">
        <f>'[2]All Counts'!P46</f>
        <v>PeMS2016</v>
      </c>
      <c r="F46" s="137"/>
    </row>
    <row r="47" spans="1:6" x14ac:dyDescent="0.25">
      <c r="A47" s="136">
        <f>'[2]All Counts'!E47</f>
        <v>3207</v>
      </c>
      <c r="B47" s="136">
        <f>'[2]All Counts'!M47</f>
        <v>75792</v>
      </c>
      <c r="C47" s="136">
        <f>'[2]All Counts'!N47</f>
        <v>13478</v>
      </c>
      <c r="D47" s="136">
        <f>'[2]All Counts'!O47</f>
        <v>17701</v>
      </c>
      <c r="E47" s="136" t="str">
        <f>'[2]All Counts'!P47</f>
        <v>Caltran</v>
      </c>
      <c r="F47" s="137"/>
    </row>
    <row r="48" spans="1:6" x14ac:dyDescent="0.25">
      <c r="A48" s="136">
        <f>'[2]All Counts'!E48</f>
        <v>8839</v>
      </c>
      <c r="B48" s="136">
        <f>'[2]All Counts'!M48</f>
        <v>59377</v>
      </c>
      <c r="C48" s="136">
        <f>'[2]All Counts'!N48</f>
        <v>9591</v>
      </c>
      <c r="D48" s="136">
        <f>'[2]All Counts'!O48</f>
        <v>14936</v>
      </c>
      <c r="E48" s="136" t="str">
        <f>'[2]All Counts'!P48</f>
        <v>PeMS2016</v>
      </c>
      <c r="F48" s="137"/>
    </row>
    <row r="49" spans="1:6" x14ac:dyDescent="0.25">
      <c r="A49" s="136">
        <f>'[2]All Counts'!E49</f>
        <v>8058</v>
      </c>
      <c r="B49" s="136">
        <f>'[2]All Counts'!M49</f>
        <v>69572</v>
      </c>
      <c r="C49" s="136">
        <f>'[2]All Counts'!N49</f>
        <v>10908</v>
      </c>
      <c r="D49" s="136">
        <f>'[2]All Counts'!O49</f>
        <v>17762</v>
      </c>
      <c r="E49" s="136" t="str">
        <f>'[2]All Counts'!P49</f>
        <v>PeMS2016</v>
      </c>
      <c r="F49" s="137"/>
    </row>
    <row r="50" spans="1:6" x14ac:dyDescent="0.25">
      <c r="A50" s="136">
        <f>'[2]All Counts'!E50</f>
        <v>8059</v>
      </c>
      <c r="B50" s="136">
        <f>'[2]All Counts'!M50</f>
        <v>63451</v>
      </c>
      <c r="C50" s="136">
        <f>'[2]All Counts'!N50</f>
        <v>10666</v>
      </c>
      <c r="D50" s="136">
        <f>'[2]All Counts'!O50</f>
        <v>15856</v>
      </c>
      <c r="E50" s="136" t="str">
        <f>'[2]All Counts'!P50</f>
        <v>PeMS2016</v>
      </c>
      <c r="F50" s="137"/>
    </row>
    <row r="51" spans="1:6" x14ac:dyDescent="0.25">
      <c r="A51" s="136">
        <f>'[2]All Counts'!E51</f>
        <v>8834</v>
      </c>
      <c r="B51" s="136">
        <f>'[2]All Counts'!M51</f>
        <v>52703</v>
      </c>
      <c r="C51" s="136">
        <f>'[2]All Counts'!N51</f>
        <v>9637</v>
      </c>
      <c r="D51" s="136">
        <f>'[2]All Counts'!O51</f>
        <v>12472</v>
      </c>
      <c r="E51" s="136" t="str">
        <f>'[2]All Counts'!P51</f>
        <v>PeMS2016</v>
      </c>
      <c r="F51" s="137"/>
    </row>
    <row r="52" spans="1:6" x14ac:dyDescent="0.25">
      <c r="A52" s="136">
        <f>'[2]All Counts'!E52</f>
        <v>27248</v>
      </c>
      <c r="B52" s="136">
        <f>'[2]All Counts'!M52</f>
        <v>52703</v>
      </c>
      <c r="C52" s="136">
        <f>'[2]All Counts'!N52</f>
        <v>9637</v>
      </c>
      <c r="D52" s="136">
        <f>'[2]All Counts'!O52</f>
        <v>12472</v>
      </c>
      <c r="E52" s="136" t="str">
        <f>'[2]All Counts'!P52</f>
        <v>PeMS2016</v>
      </c>
      <c r="F52" s="137"/>
    </row>
    <row r="53" spans="1:6" x14ac:dyDescent="0.25">
      <c r="A53" s="136">
        <f>'[2]All Counts'!E53</f>
        <v>28849</v>
      </c>
      <c r="B53" s="136">
        <f>'[2]All Counts'!M53</f>
        <v>62492</v>
      </c>
      <c r="C53" s="136">
        <f>'[2]All Counts'!N53</f>
        <v>11649</v>
      </c>
      <c r="D53" s="136">
        <f>'[2]All Counts'!O53</f>
        <v>14491</v>
      </c>
      <c r="E53" s="136" t="str">
        <f>'[2]All Counts'!P53</f>
        <v>PeMS2016</v>
      </c>
      <c r="F53" s="137"/>
    </row>
    <row r="54" spans="1:6" x14ac:dyDescent="0.25">
      <c r="A54" s="136">
        <f>'[2]All Counts'!E54</f>
        <v>16564</v>
      </c>
      <c r="B54" s="136">
        <f>'[2]All Counts'!M54</f>
        <v>57525</v>
      </c>
      <c r="C54" s="136">
        <f>'[2]All Counts'!N54</f>
        <v>11463</v>
      </c>
      <c r="D54" s="136">
        <f>'[2]All Counts'!O54</f>
        <v>12863</v>
      </c>
      <c r="E54" s="136" t="str">
        <f>'[2]All Counts'!P54</f>
        <v>PeMS2016</v>
      </c>
      <c r="F54" s="137"/>
    </row>
    <row r="55" spans="1:6" x14ac:dyDescent="0.25">
      <c r="A55" s="136">
        <f>'[2]All Counts'!E55</f>
        <v>12578</v>
      </c>
      <c r="B55" s="136">
        <f>'[2]All Counts'!M55</f>
        <v>54623</v>
      </c>
      <c r="C55" s="136">
        <f>'[2]All Counts'!N55</f>
        <v>10997</v>
      </c>
      <c r="D55" s="136">
        <f>'[2]All Counts'!O55</f>
        <v>11913</v>
      </c>
      <c r="E55" s="136" t="str">
        <f>'[2]All Counts'!P55</f>
        <v>PeMS2016</v>
      </c>
      <c r="F55" s="137"/>
    </row>
    <row r="56" spans="1:6" x14ac:dyDescent="0.25">
      <c r="A56" s="136">
        <f>'[2]All Counts'!E56</f>
        <v>12579</v>
      </c>
      <c r="B56" s="136">
        <f>'[2]All Counts'!M56</f>
        <v>62787</v>
      </c>
      <c r="C56" s="136">
        <f>'[2]All Counts'!N56</f>
        <v>12303</v>
      </c>
      <c r="D56" s="136">
        <f>'[2]All Counts'!O56</f>
        <v>13748</v>
      </c>
      <c r="E56" s="136" t="str">
        <f>'[2]All Counts'!P56</f>
        <v>PeMS2016</v>
      </c>
      <c r="F56" s="137"/>
    </row>
    <row r="57" spans="1:6" x14ac:dyDescent="0.25">
      <c r="A57" s="136">
        <f>'[2]All Counts'!E57</f>
        <v>12571</v>
      </c>
      <c r="B57" s="136">
        <f>'[2]All Counts'!M57</f>
        <v>71153</v>
      </c>
      <c r="C57" s="136">
        <f>'[2]All Counts'!N57</f>
        <v>13662</v>
      </c>
      <c r="D57" s="136">
        <f>'[2]All Counts'!O57</f>
        <v>15506</v>
      </c>
      <c r="E57" s="136" t="str">
        <f>'[2]All Counts'!P57</f>
        <v>Caltran</v>
      </c>
      <c r="F57" s="137"/>
    </row>
    <row r="58" spans="1:6" x14ac:dyDescent="0.25">
      <c r="A58" s="136">
        <f>'[2]All Counts'!E58</f>
        <v>28540</v>
      </c>
      <c r="B58" s="136">
        <f>'[2]All Counts'!M58</f>
        <v>55363</v>
      </c>
      <c r="C58" s="136">
        <f>'[2]All Counts'!N58</f>
        <v>11802</v>
      </c>
      <c r="D58" s="136">
        <f>'[2]All Counts'!O58</f>
        <v>11514</v>
      </c>
      <c r="E58" s="136" t="str">
        <f>'[2]All Counts'!P58</f>
        <v>PeMS2016</v>
      </c>
      <c r="F58" s="137"/>
    </row>
    <row r="59" spans="1:6" x14ac:dyDescent="0.25">
      <c r="A59" s="136">
        <f>'[2]All Counts'!E59</f>
        <v>27543</v>
      </c>
      <c r="B59" s="136">
        <f>'[2]All Counts'!M59</f>
        <v>65262</v>
      </c>
      <c r="C59" s="136">
        <f>'[2]All Counts'!N59</f>
        <v>13178</v>
      </c>
      <c r="D59" s="136">
        <f>'[2]All Counts'!O59</f>
        <v>13713</v>
      </c>
      <c r="E59" s="136" t="str">
        <f>'[2]All Counts'!P59</f>
        <v>Caltran</v>
      </c>
      <c r="F59" s="137"/>
    </row>
    <row r="60" spans="1:6" x14ac:dyDescent="0.25">
      <c r="A60" s="136">
        <f>'[2]All Counts'!E60</f>
        <v>28534</v>
      </c>
      <c r="B60" s="136">
        <f>'[2]All Counts'!M60</f>
        <v>57358</v>
      </c>
      <c r="C60" s="136">
        <f>'[2]All Counts'!N60</f>
        <v>11968</v>
      </c>
      <c r="D60" s="136">
        <f>'[2]All Counts'!O60</f>
        <v>11696</v>
      </c>
      <c r="E60" s="136" t="str">
        <f>'[2]All Counts'!P60</f>
        <v>PeMS2016</v>
      </c>
      <c r="F60" s="137"/>
    </row>
    <row r="61" spans="1:6" x14ac:dyDescent="0.25">
      <c r="A61" s="136">
        <f>'[2]All Counts'!E61</f>
        <v>12547</v>
      </c>
      <c r="B61" s="136">
        <f>'[2]All Counts'!M61</f>
        <v>53689</v>
      </c>
      <c r="C61" s="136">
        <f>'[2]All Counts'!N61</f>
        <v>10312</v>
      </c>
      <c r="D61" s="136">
        <f>'[2]All Counts'!O61</f>
        <v>11402</v>
      </c>
      <c r="E61" s="136" t="str">
        <f>'[2]All Counts'!P61</f>
        <v>PeMS2016</v>
      </c>
      <c r="F61" s="137"/>
    </row>
    <row r="62" spans="1:6" x14ac:dyDescent="0.25">
      <c r="A62" s="136">
        <f>'[2]All Counts'!E62</f>
        <v>14232</v>
      </c>
      <c r="B62" s="136">
        <f>'[2]All Counts'!M62</f>
        <v>42674</v>
      </c>
      <c r="C62" s="136">
        <f>'[2]All Counts'!N62</f>
        <v>10052</v>
      </c>
      <c r="D62" s="136">
        <f>'[2]All Counts'!O62</f>
        <v>7304</v>
      </c>
      <c r="E62" s="136" t="str">
        <f>'[2]All Counts'!P62</f>
        <v>Caltran</v>
      </c>
      <c r="F62" s="137"/>
    </row>
    <row r="63" spans="1:6" x14ac:dyDescent="0.25">
      <c r="A63" s="136">
        <f>'[2]All Counts'!E63</f>
        <v>13046</v>
      </c>
      <c r="B63" s="136">
        <f>'[2]All Counts'!M63</f>
        <v>56222</v>
      </c>
      <c r="C63" s="136">
        <f>'[2]All Counts'!N63</f>
        <v>9861</v>
      </c>
      <c r="D63" s="136">
        <f>'[2]All Counts'!O63</f>
        <v>13046</v>
      </c>
      <c r="E63" s="136" t="str">
        <f>'[2]All Counts'!P63</f>
        <v>Caltran</v>
      </c>
      <c r="F63" s="137"/>
    </row>
    <row r="64" spans="1:6" x14ac:dyDescent="0.25">
      <c r="A64" s="136">
        <f>'[2]All Counts'!E64</f>
        <v>13037</v>
      </c>
      <c r="B64" s="136">
        <f>'[2]All Counts'!M64</f>
        <v>53712</v>
      </c>
      <c r="C64" s="136">
        <f>'[2]All Counts'!N64</f>
        <v>9314</v>
      </c>
      <c r="D64" s="136">
        <f>'[2]All Counts'!O64</f>
        <v>11690</v>
      </c>
      <c r="E64" s="136" t="str">
        <f>'[2]All Counts'!P64</f>
        <v>Caltran</v>
      </c>
      <c r="F64" s="137"/>
    </row>
    <row r="65" spans="1:6" x14ac:dyDescent="0.25">
      <c r="A65" s="136">
        <f>'[2]All Counts'!E65</f>
        <v>9036</v>
      </c>
      <c r="B65" s="136">
        <f>'[2]All Counts'!M65</f>
        <v>37734</v>
      </c>
      <c r="C65" s="136">
        <f>'[2]All Counts'!N65</f>
        <v>5614</v>
      </c>
      <c r="D65" s="136">
        <f>'[2]All Counts'!O65</f>
        <v>10194</v>
      </c>
      <c r="E65" s="136" t="str">
        <f>'[2]All Counts'!P65</f>
        <v>Caltran</v>
      </c>
      <c r="F65" s="137"/>
    </row>
    <row r="66" spans="1:6" x14ac:dyDescent="0.25">
      <c r="A66" s="136">
        <f>'[2]All Counts'!E66</f>
        <v>7664</v>
      </c>
      <c r="B66" s="136">
        <f>'[2]All Counts'!M66</f>
        <v>37337</v>
      </c>
      <c r="C66" s="136">
        <f>'[2]All Counts'!N66</f>
        <v>8876</v>
      </c>
      <c r="D66" s="136">
        <f>'[2]All Counts'!O66</f>
        <v>8295</v>
      </c>
      <c r="E66" s="136" t="str">
        <f>'[2]All Counts'!P66</f>
        <v>PeMS2016</v>
      </c>
      <c r="F66" s="137"/>
    </row>
    <row r="67" spans="1:6" x14ac:dyDescent="0.25">
      <c r="A67" s="136">
        <f>'[2]All Counts'!E67</f>
        <v>7665</v>
      </c>
      <c r="B67" s="136">
        <f>'[2]All Counts'!M67</f>
        <v>32510</v>
      </c>
      <c r="C67" s="136">
        <f>'[2]All Counts'!N67</f>
        <v>8184</v>
      </c>
      <c r="D67" s="136">
        <f>'[2]All Counts'!O67</f>
        <v>6773</v>
      </c>
      <c r="E67" s="136" t="str">
        <f>'[2]All Counts'!P67</f>
        <v>PeMS2016</v>
      </c>
      <c r="F67" s="137"/>
    </row>
    <row r="68" spans="1:6" x14ac:dyDescent="0.25">
      <c r="A68" s="136">
        <f>'[2]All Counts'!E68</f>
        <v>11382</v>
      </c>
      <c r="B68" s="136">
        <f>'[2]All Counts'!M68</f>
        <v>39215</v>
      </c>
      <c r="C68" s="136">
        <f>'[2]All Counts'!N68</f>
        <v>9586</v>
      </c>
      <c r="D68" s="136">
        <f>'[2]All Counts'!O68</f>
        <v>8306</v>
      </c>
      <c r="E68" s="136" t="str">
        <f>'[2]All Counts'!P68</f>
        <v>Caltran</v>
      </c>
      <c r="F68" s="137"/>
    </row>
    <row r="69" spans="1:6" x14ac:dyDescent="0.25">
      <c r="A69" s="136">
        <f>'[2]All Counts'!E69</f>
        <v>16354</v>
      </c>
      <c r="B69" s="136">
        <f>'[2]All Counts'!M69</f>
        <v>30319</v>
      </c>
      <c r="C69" s="136">
        <f>'[2]All Counts'!N69</f>
        <v>8437</v>
      </c>
      <c r="D69" s="136">
        <f>'[2]All Counts'!O69</f>
        <v>5505</v>
      </c>
      <c r="E69" s="136" t="str">
        <f>'[2]All Counts'!P69</f>
        <v>PeMS2016</v>
      </c>
      <c r="F69" s="137"/>
    </row>
    <row r="70" spans="1:6" x14ac:dyDescent="0.25">
      <c r="A70" s="136">
        <f>'[2]All Counts'!E70</f>
        <v>16352</v>
      </c>
      <c r="B70" s="136">
        <f>'[2]All Counts'!M70</f>
        <v>39527</v>
      </c>
      <c r="C70" s="136">
        <f>'[2]All Counts'!N70</f>
        <v>10942</v>
      </c>
      <c r="D70" s="136">
        <f>'[2]All Counts'!O70</f>
        <v>7385</v>
      </c>
      <c r="E70" s="136" t="str">
        <f>'[2]All Counts'!P70</f>
        <v>Caltran</v>
      </c>
      <c r="F70" s="137"/>
    </row>
    <row r="71" spans="1:6" x14ac:dyDescent="0.25">
      <c r="A71" s="136">
        <f>'[2]All Counts'!E71</f>
        <v>29171</v>
      </c>
      <c r="B71" s="136">
        <f>'[2]All Counts'!M71</f>
        <v>30212</v>
      </c>
      <c r="C71" s="136">
        <f>'[2]All Counts'!N71</f>
        <v>9056</v>
      </c>
      <c r="D71" s="136">
        <f>'[2]All Counts'!O71</f>
        <v>4831</v>
      </c>
      <c r="E71" s="136" t="str">
        <f>'[2]All Counts'!P71</f>
        <v>PeMS2016</v>
      </c>
      <c r="F71" s="137"/>
    </row>
    <row r="72" spans="1:6" x14ac:dyDescent="0.25">
      <c r="A72" s="136">
        <f>'[2]All Counts'!E72</f>
        <v>29172</v>
      </c>
      <c r="B72" s="136">
        <f>'[2]All Counts'!M72</f>
        <v>30345</v>
      </c>
      <c r="C72" s="136">
        <f>'[2]All Counts'!N72</f>
        <v>9058</v>
      </c>
      <c r="D72" s="136">
        <f>'[2]All Counts'!O72</f>
        <v>4856</v>
      </c>
      <c r="E72" s="136" t="str">
        <f>'[2]All Counts'!P72</f>
        <v>PeMS2016</v>
      </c>
      <c r="F72" s="137"/>
    </row>
    <row r="73" spans="1:6" x14ac:dyDescent="0.25">
      <c r="A73" s="136">
        <f>'[2]All Counts'!E73</f>
        <v>16351</v>
      </c>
      <c r="B73" s="136">
        <f>'[2]All Counts'!M73</f>
        <v>36142</v>
      </c>
      <c r="C73" s="136">
        <f>'[2]All Counts'!N73</f>
        <v>10406</v>
      </c>
      <c r="D73" s="136">
        <f>'[2]All Counts'!O73</f>
        <v>5806</v>
      </c>
      <c r="E73" s="136" t="str">
        <f>'[2]All Counts'!P73</f>
        <v>PeMS2016</v>
      </c>
      <c r="F73" s="137"/>
    </row>
    <row r="74" spans="1:6" x14ac:dyDescent="0.25">
      <c r="A74" s="136">
        <f>'[2]All Counts'!E74</f>
        <v>16358</v>
      </c>
      <c r="B74" s="136">
        <f>'[2]All Counts'!M74</f>
        <v>32989</v>
      </c>
      <c r="C74" s="136">
        <f>'[2]All Counts'!N74</f>
        <v>9685</v>
      </c>
      <c r="D74" s="136">
        <f>'[2]All Counts'!O74</f>
        <v>5188</v>
      </c>
      <c r="E74" s="136" t="str">
        <f>'[2]All Counts'!P74</f>
        <v>Caltran</v>
      </c>
      <c r="F74" s="137"/>
    </row>
    <row r="75" spans="1:6" x14ac:dyDescent="0.25">
      <c r="A75" s="136">
        <f>'[2]All Counts'!E75</f>
        <v>16359</v>
      </c>
      <c r="B75" s="136">
        <f>'[2]All Counts'!M75</f>
        <v>35767</v>
      </c>
      <c r="C75" s="136">
        <f>'[2]All Counts'!N75</f>
        <v>8574</v>
      </c>
      <c r="D75" s="136">
        <f>'[2]All Counts'!O75</f>
        <v>5917</v>
      </c>
      <c r="E75" s="136" t="str">
        <f>'[2]All Counts'!P75</f>
        <v>PeMS2016</v>
      </c>
      <c r="F75" s="137"/>
    </row>
    <row r="76" spans="1:6" x14ac:dyDescent="0.25">
      <c r="A76" s="136">
        <f>'[2]All Counts'!E76</f>
        <v>16357</v>
      </c>
      <c r="B76" s="136">
        <f>'[2]All Counts'!M76</f>
        <v>37504</v>
      </c>
      <c r="C76" s="136">
        <f>'[2]All Counts'!N76</f>
        <v>10930</v>
      </c>
      <c r="D76" s="136">
        <f>'[2]All Counts'!O76</f>
        <v>5886</v>
      </c>
      <c r="E76" s="136" t="str">
        <f>'[2]All Counts'!P76</f>
        <v>Caltran</v>
      </c>
      <c r="F76" s="137"/>
    </row>
    <row r="77" spans="1:6" x14ac:dyDescent="0.25">
      <c r="A77" s="136">
        <f>'[2]All Counts'!E77</f>
        <v>29167</v>
      </c>
      <c r="B77" s="136">
        <f>'[2]All Counts'!M77</f>
        <v>36023</v>
      </c>
      <c r="C77" s="136">
        <f>'[2]All Counts'!N77</f>
        <v>11038</v>
      </c>
      <c r="D77" s="136">
        <f>'[2]All Counts'!O77</f>
        <v>5024</v>
      </c>
      <c r="E77" s="136" t="str">
        <f>'[2]All Counts'!P77</f>
        <v>PeMS2016</v>
      </c>
      <c r="F77" s="137"/>
    </row>
    <row r="78" spans="1:6" x14ac:dyDescent="0.25">
      <c r="A78" s="136">
        <f>'[2]All Counts'!E78</f>
        <v>8647</v>
      </c>
      <c r="B78" s="136">
        <f>'[2]All Counts'!M78</f>
        <v>43256</v>
      </c>
      <c r="C78" s="136">
        <f>'[2]All Counts'!N78</f>
        <v>12651</v>
      </c>
      <c r="D78" s="136">
        <f>'[2]All Counts'!O78</f>
        <v>6492</v>
      </c>
      <c r="E78" s="136" t="str">
        <f>'[2]All Counts'!P78</f>
        <v>Caltran</v>
      </c>
      <c r="F78" s="137"/>
    </row>
    <row r="79" spans="1:6" x14ac:dyDescent="0.25">
      <c r="A79" s="136">
        <f>'[2]All Counts'!E79</f>
        <v>457</v>
      </c>
      <c r="B79" s="136">
        <f>'[2]All Counts'!M79</f>
        <v>40336</v>
      </c>
      <c r="C79" s="136">
        <f>'[2]All Counts'!N79</f>
        <v>12181</v>
      </c>
      <c r="D79" s="136">
        <f>'[2]All Counts'!O79</f>
        <v>5669</v>
      </c>
      <c r="E79" s="136" t="str">
        <f>'[2]All Counts'!P79</f>
        <v>PeMS2016</v>
      </c>
      <c r="F79" s="137"/>
    </row>
    <row r="80" spans="1:6" x14ac:dyDescent="0.25">
      <c r="A80" s="136">
        <f>'[2]All Counts'!E80</f>
        <v>7666</v>
      </c>
      <c r="B80" s="136">
        <f>'[2]All Counts'!M80</f>
        <v>46982</v>
      </c>
      <c r="C80" s="136">
        <f>'[2]All Counts'!N80</f>
        <v>13609</v>
      </c>
      <c r="D80" s="136">
        <f>'[2]All Counts'!O80</f>
        <v>7326</v>
      </c>
      <c r="E80" s="136" t="str">
        <f>'[2]All Counts'!P80</f>
        <v>Caltran</v>
      </c>
      <c r="F80" s="137"/>
    </row>
    <row r="81" spans="1:6" x14ac:dyDescent="0.25">
      <c r="A81" s="136">
        <f>'[2]All Counts'!E81</f>
        <v>14176</v>
      </c>
      <c r="B81" s="136">
        <f>'[2]All Counts'!M81</f>
        <v>57418</v>
      </c>
      <c r="C81" s="136">
        <f>'[2]All Counts'!N81</f>
        <v>11971</v>
      </c>
      <c r="D81" s="136">
        <f>'[2]All Counts'!O81</f>
        <v>13806</v>
      </c>
      <c r="E81" s="136" t="str">
        <f>'[2]All Counts'!P81</f>
        <v>Caltran</v>
      </c>
      <c r="F81" s="137"/>
    </row>
    <row r="82" spans="1:6" x14ac:dyDescent="0.25">
      <c r="A82" s="136">
        <f>'[2]All Counts'!E82</f>
        <v>14155</v>
      </c>
      <c r="B82" s="136">
        <f>'[2]All Counts'!M82</f>
        <v>53861</v>
      </c>
      <c r="C82" s="136">
        <f>'[2]All Counts'!N82</f>
        <v>12017</v>
      </c>
      <c r="D82" s="136">
        <f>'[2]All Counts'!O82</f>
        <v>12547</v>
      </c>
      <c r="E82" s="136" t="str">
        <f>'[2]All Counts'!P82</f>
        <v>PeMS2016</v>
      </c>
      <c r="F82" s="137"/>
    </row>
    <row r="83" spans="1:6" x14ac:dyDescent="0.25">
      <c r="A83" s="136">
        <f>'[2]All Counts'!E83</f>
        <v>14144</v>
      </c>
      <c r="B83" s="136">
        <f>'[2]All Counts'!M83</f>
        <v>60968</v>
      </c>
      <c r="C83" s="136">
        <f>'[2]All Counts'!N83</f>
        <v>13799</v>
      </c>
      <c r="D83" s="136">
        <f>'[2]All Counts'!O83</f>
        <v>13595</v>
      </c>
      <c r="E83" s="136" t="str">
        <f>'[2]All Counts'!P83</f>
        <v>PeMS2016</v>
      </c>
      <c r="F83" s="137"/>
    </row>
    <row r="84" spans="1:6" x14ac:dyDescent="0.25">
      <c r="A84" s="136">
        <f>'[2]All Counts'!E84</f>
        <v>14142</v>
      </c>
      <c r="B84" s="136">
        <f>'[2]All Counts'!M84</f>
        <v>68659</v>
      </c>
      <c r="C84" s="136">
        <f>'[2]All Counts'!N84</f>
        <v>14959</v>
      </c>
      <c r="D84" s="136">
        <f>'[2]All Counts'!O84</f>
        <v>15144</v>
      </c>
      <c r="E84" s="136" t="str">
        <f>'[2]All Counts'!P84</f>
        <v>Caltran</v>
      </c>
      <c r="F84" s="137"/>
    </row>
    <row r="85" spans="1:6" x14ac:dyDescent="0.25">
      <c r="A85" s="136">
        <f>'[2]All Counts'!E85</f>
        <v>28675</v>
      </c>
      <c r="B85" s="136">
        <f>'[2]All Counts'!M85</f>
        <v>64676</v>
      </c>
      <c r="C85" s="136">
        <f>'[2]All Counts'!N85</f>
        <v>15022</v>
      </c>
      <c r="D85" s="136">
        <f>'[2]All Counts'!O85</f>
        <v>13756</v>
      </c>
      <c r="E85" s="136" t="str">
        <f>'[2]All Counts'!P85</f>
        <v>PeMS2016</v>
      </c>
      <c r="F85" s="137"/>
    </row>
    <row r="86" spans="1:6" x14ac:dyDescent="0.25">
      <c r="A86" s="136">
        <f>'[2]All Counts'!E86</f>
        <v>28677</v>
      </c>
      <c r="B86" s="136">
        <f>'[2]All Counts'!M86</f>
        <v>73385</v>
      </c>
      <c r="C86" s="136">
        <f>'[2]All Counts'!N86</f>
        <v>16443</v>
      </c>
      <c r="D86" s="136">
        <f>'[2]All Counts'!O86</f>
        <v>15465</v>
      </c>
      <c r="E86" s="136" t="str">
        <f>'[2]All Counts'!P86</f>
        <v>Caltran</v>
      </c>
      <c r="F86" s="137"/>
    </row>
    <row r="87" spans="1:6" x14ac:dyDescent="0.25">
      <c r="A87" s="136">
        <f>'[2]All Counts'!E87</f>
        <v>27956</v>
      </c>
      <c r="B87" s="136">
        <f>'[2]All Counts'!M87</f>
        <v>54044</v>
      </c>
      <c r="C87" s="136">
        <f>'[2]All Counts'!N87</f>
        <v>11281</v>
      </c>
      <c r="D87" s="136">
        <f>'[2]All Counts'!O87</f>
        <v>10619</v>
      </c>
      <c r="E87" s="136" t="str">
        <f>'[2]All Counts'!P87</f>
        <v>Caltran</v>
      </c>
      <c r="F87" s="137"/>
    </row>
    <row r="88" spans="1:6" x14ac:dyDescent="0.25">
      <c r="A88" s="136">
        <f>'[2]All Counts'!E88</f>
        <v>27223</v>
      </c>
      <c r="B88" s="136">
        <f>'[2]All Counts'!M88</f>
        <v>40655</v>
      </c>
      <c r="C88" s="136">
        <f>'[2]All Counts'!N88</f>
        <v>8288</v>
      </c>
      <c r="D88" s="136">
        <f>'[2]All Counts'!O88</f>
        <v>8170</v>
      </c>
      <c r="E88" s="136" t="str">
        <f>'[2]All Counts'!P88</f>
        <v>Caltran</v>
      </c>
      <c r="F88" s="137"/>
    </row>
    <row r="89" spans="1:6" x14ac:dyDescent="0.25">
      <c r="A89" s="136">
        <f>'[2]All Counts'!E89</f>
        <v>27241</v>
      </c>
      <c r="B89" s="136">
        <f>'[2]All Counts'!M89</f>
        <v>41819</v>
      </c>
      <c r="C89" s="136">
        <f>'[2]All Counts'!N89</f>
        <v>8132</v>
      </c>
      <c r="D89" s="136">
        <f>'[2]All Counts'!O89</f>
        <v>8710</v>
      </c>
      <c r="E89" s="136" t="str">
        <f>'[2]All Counts'!P89</f>
        <v>Caltran</v>
      </c>
      <c r="F89" s="137"/>
    </row>
    <row r="90" spans="1:6" x14ac:dyDescent="0.25">
      <c r="A90" s="136">
        <f>'[2]All Counts'!E90</f>
        <v>15277</v>
      </c>
      <c r="B90" s="136">
        <f>'[2]All Counts'!M90</f>
        <v>44548</v>
      </c>
      <c r="C90" s="136">
        <f>'[2]All Counts'!N90</f>
        <v>10661</v>
      </c>
      <c r="D90" s="136">
        <f>'[2]All Counts'!O90</f>
        <v>7448</v>
      </c>
      <c r="E90" s="136" t="str">
        <f>'[2]All Counts'!P90</f>
        <v>Caltran</v>
      </c>
      <c r="F90" s="137"/>
    </row>
    <row r="91" spans="1:6" x14ac:dyDescent="0.25">
      <c r="A91" s="136">
        <f>'[2]All Counts'!E91</f>
        <v>11123</v>
      </c>
      <c r="B91" s="136">
        <f>'[2]All Counts'!M91</f>
        <v>44181</v>
      </c>
      <c r="C91" s="136">
        <f>'[2]All Counts'!N91</f>
        <v>10763</v>
      </c>
      <c r="D91" s="136">
        <f>'[2]All Counts'!O91</f>
        <v>7477</v>
      </c>
      <c r="E91" s="136" t="str">
        <f>'[2]All Counts'!P91</f>
        <v>Caltran</v>
      </c>
      <c r="F91" s="137"/>
    </row>
    <row r="92" spans="1:6" x14ac:dyDescent="0.25">
      <c r="A92" s="136">
        <f>'[2]All Counts'!E92</f>
        <v>7501</v>
      </c>
      <c r="B92" s="136">
        <f>'[2]All Counts'!M92</f>
        <v>41779</v>
      </c>
      <c r="C92" s="136">
        <f>'[2]All Counts'!N92</f>
        <v>10735</v>
      </c>
      <c r="D92" s="136">
        <f>'[2]All Counts'!O92</f>
        <v>6513</v>
      </c>
      <c r="E92" s="136" t="str">
        <f>'[2]All Counts'!P92</f>
        <v>PeMS2016</v>
      </c>
      <c r="F92" s="137"/>
    </row>
    <row r="93" spans="1:6" x14ac:dyDescent="0.25">
      <c r="A93" s="136">
        <f>'[2]All Counts'!E93</f>
        <v>15238</v>
      </c>
      <c r="B93" s="136">
        <f>'[2]All Counts'!M93</f>
        <v>52580</v>
      </c>
      <c r="C93" s="136">
        <f>'[2]All Counts'!N93</f>
        <v>15914</v>
      </c>
      <c r="D93" s="136">
        <f>'[2]All Counts'!O93</f>
        <v>7702</v>
      </c>
      <c r="E93" s="136" t="str">
        <f>'[2]All Counts'!P93</f>
        <v>Caltran</v>
      </c>
      <c r="F93" s="137"/>
    </row>
    <row r="94" spans="1:6" x14ac:dyDescent="0.25">
      <c r="A94" s="136">
        <f>'[2]All Counts'!E94</f>
        <v>8103</v>
      </c>
      <c r="B94" s="136">
        <f>'[2]All Counts'!M94</f>
        <v>52138</v>
      </c>
      <c r="C94" s="136">
        <f>'[2]All Counts'!N94</f>
        <v>15817</v>
      </c>
      <c r="D94" s="136">
        <f>'[2]All Counts'!O94</f>
        <v>7547</v>
      </c>
      <c r="E94" s="136" t="str">
        <f>'[2]All Counts'!P94</f>
        <v>Caltran</v>
      </c>
      <c r="F94" s="137"/>
    </row>
    <row r="95" spans="1:6" x14ac:dyDescent="0.25">
      <c r="A95" s="136">
        <f>'[2]All Counts'!E95</f>
        <v>25938</v>
      </c>
      <c r="B95" s="136">
        <f>'[2]All Counts'!M95</f>
        <v>55889</v>
      </c>
      <c r="C95" s="136">
        <f>'[2]All Counts'!N95</f>
        <v>17092</v>
      </c>
      <c r="D95" s="136">
        <f>'[2]All Counts'!O95</f>
        <v>7928</v>
      </c>
      <c r="E95" s="136" t="str">
        <f>'[2]All Counts'!P95</f>
        <v>Caltran</v>
      </c>
      <c r="F95" s="137"/>
    </row>
    <row r="96" spans="1:6" x14ac:dyDescent="0.25">
      <c r="A96" s="136">
        <f>'[2]All Counts'!E96</f>
        <v>9029</v>
      </c>
      <c r="B96" s="136">
        <f>'[2]All Counts'!M96</f>
        <v>55839</v>
      </c>
      <c r="C96" s="136">
        <f>'[2]All Counts'!N96</f>
        <v>17051</v>
      </c>
      <c r="D96" s="136">
        <f>'[2]All Counts'!O96</f>
        <v>8018</v>
      </c>
      <c r="E96" s="136" t="str">
        <f>'[2]All Counts'!P96</f>
        <v>PeMS2016</v>
      </c>
      <c r="F96" s="137"/>
    </row>
    <row r="97" spans="1:6" x14ac:dyDescent="0.25">
      <c r="A97" s="136">
        <f>'[2]All Counts'!E97</f>
        <v>23867</v>
      </c>
      <c r="B97" s="136">
        <f>'[2]All Counts'!M97</f>
        <v>44323</v>
      </c>
      <c r="C97" s="136">
        <f>'[2]All Counts'!N97</f>
        <v>14513</v>
      </c>
      <c r="D97" s="136">
        <f>'[2]All Counts'!O97</f>
        <v>6082</v>
      </c>
      <c r="E97" s="136" t="str">
        <f>'[2]All Counts'!P97</f>
        <v>PeMS2016</v>
      </c>
      <c r="F97" s="137"/>
    </row>
    <row r="98" spans="1:6" x14ac:dyDescent="0.25">
      <c r="A98" s="136">
        <f>'[2]All Counts'!E98</f>
        <v>24091</v>
      </c>
      <c r="B98" s="136">
        <f>'[2]All Counts'!M98</f>
        <v>56148</v>
      </c>
      <c r="C98" s="136">
        <f>'[2]All Counts'!N98</f>
        <v>14126</v>
      </c>
      <c r="D98" s="136">
        <f>'[2]All Counts'!O98</f>
        <v>11348</v>
      </c>
      <c r="E98" s="136" t="str">
        <f>'[2]All Counts'!P98</f>
        <v>Caltran</v>
      </c>
      <c r="F98" s="137"/>
    </row>
    <row r="99" spans="1:6" x14ac:dyDescent="0.25">
      <c r="A99" s="136">
        <f>'[2]All Counts'!E99</f>
        <v>11106</v>
      </c>
      <c r="B99" s="136">
        <f>'[2]All Counts'!M99</f>
        <v>59604</v>
      </c>
      <c r="C99" s="136">
        <f>'[2]All Counts'!N99</f>
        <v>15594</v>
      </c>
      <c r="D99" s="136">
        <f>'[2]All Counts'!O99</f>
        <v>11783</v>
      </c>
      <c r="E99" s="136" t="str">
        <f>'[2]All Counts'!P99</f>
        <v>Caltran</v>
      </c>
      <c r="F99" s="137"/>
    </row>
    <row r="100" spans="1:6" x14ac:dyDescent="0.25">
      <c r="A100" s="136">
        <f>'[2]All Counts'!E100</f>
        <v>11102</v>
      </c>
      <c r="B100" s="136">
        <f>'[2]All Counts'!M100</f>
        <v>66386</v>
      </c>
      <c r="C100" s="136">
        <f>'[2]All Counts'!N100</f>
        <v>15778</v>
      </c>
      <c r="D100" s="136">
        <f>'[2]All Counts'!O100</f>
        <v>14191</v>
      </c>
      <c r="E100" s="136" t="str">
        <f>'[2]All Counts'!P100</f>
        <v>PeMS2016</v>
      </c>
      <c r="F100" s="137"/>
    </row>
    <row r="101" spans="1:6" x14ac:dyDescent="0.25">
      <c r="A101" s="136">
        <f>'[2]All Counts'!E101</f>
        <v>11100</v>
      </c>
      <c r="B101" s="136">
        <f>'[2]All Counts'!M101</f>
        <v>26878</v>
      </c>
      <c r="C101" s="136">
        <f>'[2]All Counts'!N101</f>
        <v>6405</v>
      </c>
      <c r="D101" s="136">
        <f>'[2]All Counts'!O101</f>
        <v>6954</v>
      </c>
      <c r="E101" s="136" t="str">
        <f>'[2]All Counts'!P101</f>
        <v>PeMS2016</v>
      </c>
      <c r="F101" s="137"/>
    </row>
    <row r="102" spans="1:6" x14ac:dyDescent="0.25">
      <c r="A102" s="136">
        <f>'[2]All Counts'!E102</f>
        <v>15157</v>
      </c>
      <c r="B102" s="136">
        <f>'[2]All Counts'!M102</f>
        <v>44593</v>
      </c>
      <c r="C102" s="136">
        <f>'[2]All Counts'!N102</f>
        <v>8856</v>
      </c>
      <c r="D102" s="136">
        <f>'[2]All Counts'!O102</f>
        <v>10718</v>
      </c>
      <c r="E102" s="136" t="str">
        <f>'[2]All Counts'!P102</f>
        <v>PeMS2016</v>
      </c>
      <c r="F102" s="137"/>
    </row>
    <row r="103" spans="1:6" x14ac:dyDescent="0.25">
      <c r="A103" s="136">
        <f>'[2]All Counts'!E103</f>
        <v>28868</v>
      </c>
      <c r="B103" s="136">
        <f>'[2]All Counts'!M103</f>
        <v>37175</v>
      </c>
      <c r="C103" s="136">
        <f>'[2]All Counts'!N103</f>
        <v>6949</v>
      </c>
      <c r="D103" s="136">
        <f>'[2]All Counts'!O103</f>
        <v>9018</v>
      </c>
      <c r="E103" s="136" t="str">
        <f>'[2]All Counts'!P103</f>
        <v>PeMS2016</v>
      </c>
      <c r="F103" s="137"/>
    </row>
    <row r="104" spans="1:6" x14ac:dyDescent="0.25">
      <c r="A104" s="136">
        <f>'[2]All Counts'!E104</f>
        <v>28280</v>
      </c>
      <c r="B104" s="136">
        <f>'[2]All Counts'!M104</f>
        <v>43400</v>
      </c>
      <c r="C104" s="136">
        <f>'[2]All Counts'!N104</f>
        <v>8627</v>
      </c>
      <c r="D104" s="136">
        <f>'[2]All Counts'!O104</f>
        <v>10361</v>
      </c>
      <c r="E104" s="136" t="str">
        <f>'[2]All Counts'!P104</f>
        <v>PeMS2016</v>
      </c>
      <c r="F104" s="137"/>
    </row>
    <row r="105" spans="1:6" x14ac:dyDescent="0.25">
      <c r="A105" s="136">
        <f>'[2]All Counts'!E105</f>
        <v>28279</v>
      </c>
      <c r="B105" s="136">
        <f>'[2]All Counts'!M105</f>
        <v>36501</v>
      </c>
      <c r="C105" s="136">
        <f>'[2]All Counts'!N105</f>
        <v>7608</v>
      </c>
      <c r="D105" s="136">
        <f>'[2]All Counts'!O105</f>
        <v>7981</v>
      </c>
      <c r="E105" s="136" t="str">
        <f>'[2]All Counts'!P105</f>
        <v>PeMS2016</v>
      </c>
      <c r="F105" s="137"/>
    </row>
    <row r="106" spans="1:6" x14ac:dyDescent="0.25">
      <c r="A106" s="136">
        <f>'[2]All Counts'!E106</f>
        <v>13438</v>
      </c>
      <c r="B106" s="136">
        <f>'[2]All Counts'!M106</f>
        <v>55871</v>
      </c>
      <c r="C106" s="136">
        <f>'[2]All Counts'!N106</f>
        <v>11398</v>
      </c>
      <c r="D106" s="136">
        <f>'[2]All Counts'!O106</f>
        <v>11594</v>
      </c>
      <c r="E106" s="136" t="str">
        <f>'[2]All Counts'!P106</f>
        <v>PeMS2016</v>
      </c>
      <c r="F106" s="137"/>
    </row>
    <row r="107" spans="1:6" x14ac:dyDescent="0.25">
      <c r="A107" s="136">
        <f>'[2]All Counts'!E107</f>
        <v>16046</v>
      </c>
      <c r="B107" s="136">
        <f>'[2]All Counts'!M107</f>
        <v>56453</v>
      </c>
      <c r="C107" s="136">
        <f>'[2]All Counts'!N107</f>
        <v>10851</v>
      </c>
      <c r="D107" s="136">
        <f>'[2]All Counts'!O107</f>
        <v>13015</v>
      </c>
      <c r="E107" s="136" t="str">
        <f>'[2]All Counts'!P107</f>
        <v>PeMS2016</v>
      </c>
      <c r="F107" s="137"/>
    </row>
    <row r="108" spans="1:6" x14ac:dyDescent="0.25">
      <c r="A108" s="136">
        <f>'[2]All Counts'!E108</f>
        <v>16038</v>
      </c>
      <c r="B108" s="136">
        <f>'[2]All Counts'!M108</f>
        <v>93311</v>
      </c>
      <c r="C108" s="136">
        <f>'[2]All Counts'!N108</f>
        <v>17754</v>
      </c>
      <c r="D108" s="136">
        <f>'[2]All Counts'!O108</f>
        <v>22459</v>
      </c>
      <c r="E108" s="136" t="str">
        <f>'[2]All Counts'!P108</f>
        <v>PeMS2016</v>
      </c>
      <c r="F108" s="137"/>
    </row>
    <row r="109" spans="1:6" x14ac:dyDescent="0.25">
      <c r="A109" s="136">
        <f>'[2]All Counts'!E109</f>
        <v>15714</v>
      </c>
      <c r="B109" s="136">
        <f>'[2]All Counts'!M109</f>
        <v>103793</v>
      </c>
      <c r="C109" s="136">
        <f>'[2]All Counts'!N109</f>
        <v>21846</v>
      </c>
      <c r="D109" s="136">
        <f>'[2]All Counts'!O109</f>
        <v>23080</v>
      </c>
      <c r="E109" s="136" t="str">
        <f>'[2]All Counts'!P109</f>
        <v>PeMS2016</v>
      </c>
      <c r="F109" s="137"/>
    </row>
    <row r="110" spans="1:6" x14ac:dyDescent="0.25">
      <c r="A110" s="136">
        <f>'[2]All Counts'!E110</f>
        <v>15690</v>
      </c>
      <c r="B110" s="136">
        <f>'[2]All Counts'!M110</f>
        <v>65122</v>
      </c>
      <c r="C110" s="136">
        <f>'[2]All Counts'!N110</f>
        <v>14816</v>
      </c>
      <c r="D110" s="136">
        <f>'[2]All Counts'!O110</f>
        <v>15413</v>
      </c>
      <c r="E110" s="136" t="str">
        <f>'[2]All Counts'!P110</f>
        <v>PeMS2016</v>
      </c>
      <c r="F110" s="137"/>
    </row>
    <row r="111" spans="1:6" x14ac:dyDescent="0.25">
      <c r="A111" s="136">
        <f>'[2]All Counts'!E111</f>
        <v>8821</v>
      </c>
      <c r="B111" s="136">
        <f>'[2]All Counts'!M111</f>
        <v>80552</v>
      </c>
      <c r="C111" s="136">
        <f>'[2]All Counts'!N111</f>
        <v>16929</v>
      </c>
      <c r="D111" s="136">
        <f>'[2]All Counts'!O111</f>
        <v>20409</v>
      </c>
      <c r="E111" s="136" t="str">
        <f>'[2]All Counts'!P111</f>
        <v>PeMS2016</v>
      </c>
      <c r="F111" s="137"/>
    </row>
    <row r="112" spans="1:6" x14ac:dyDescent="0.25">
      <c r="A112" s="136">
        <f>'[2]All Counts'!E112</f>
        <v>8825</v>
      </c>
      <c r="B112" s="136">
        <f>'[2]All Counts'!M112</f>
        <v>73380</v>
      </c>
      <c r="C112" s="136">
        <f>'[2]All Counts'!N112</f>
        <v>14765</v>
      </c>
      <c r="D112" s="136">
        <f>'[2]All Counts'!O112</f>
        <v>19583</v>
      </c>
      <c r="E112" s="136" t="str">
        <f>'[2]All Counts'!P112</f>
        <v>PeMS2016</v>
      </c>
      <c r="F112" s="137"/>
    </row>
    <row r="113" spans="1:6" x14ac:dyDescent="0.25">
      <c r="A113" s="136">
        <f>'[2]All Counts'!E113</f>
        <v>15317</v>
      </c>
      <c r="B113" s="136">
        <f>'[2]All Counts'!M113</f>
        <v>74450</v>
      </c>
      <c r="C113" s="136">
        <f>'[2]All Counts'!N113</f>
        <v>13337</v>
      </c>
      <c r="D113" s="136">
        <f>'[2]All Counts'!O113</f>
        <v>21001</v>
      </c>
      <c r="E113" s="136" t="str">
        <f>'[2]All Counts'!P113</f>
        <v>PeMS2016</v>
      </c>
      <c r="F113" s="137"/>
    </row>
    <row r="114" spans="1:6" x14ac:dyDescent="0.25">
      <c r="A114" s="136">
        <f>'[2]All Counts'!E114</f>
        <v>15206</v>
      </c>
      <c r="B114" s="136">
        <f>'[2]All Counts'!M114</f>
        <v>64571</v>
      </c>
      <c r="C114" s="136">
        <f>'[2]All Counts'!N114</f>
        <v>10880</v>
      </c>
      <c r="D114" s="136">
        <f>'[2]All Counts'!O114</f>
        <v>19955</v>
      </c>
      <c r="E114" s="136" t="str">
        <f>'[2]All Counts'!P114</f>
        <v>PeMS2016</v>
      </c>
      <c r="F114" s="137"/>
    </row>
    <row r="115" spans="1:6" x14ac:dyDescent="0.25">
      <c r="A115" s="136">
        <f>'[2]All Counts'!E115</f>
        <v>11483</v>
      </c>
      <c r="B115" s="136">
        <f>'[2]All Counts'!M115</f>
        <v>62798</v>
      </c>
      <c r="C115" s="136">
        <f>'[2]All Counts'!N115</f>
        <v>10159</v>
      </c>
      <c r="D115" s="136">
        <f>'[2]All Counts'!O115</f>
        <v>19486</v>
      </c>
      <c r="E115" s="136" t="str">
        <f>'[2]All Counts'!P115</f>
        <v>Caltran</v>
      </c>
      <c r="F115" s="137"/>
    </row>
    <row r="116" spans="1:6" x14ac:dyDescent="0.25">
      <c r="A116" s="136">
        <f>'[2]All Counts'!E116</f>
        <v>9483</v>
      </c>
      <c r="B116" s="136">
        <f>'[2]All Counts'!M116</f>
        <v>4818</v>
      </c>
      <c r="C116" s="136">
        <f>'[2]All Counts'!N116</f>
        <v>500</v>
      </c>
      <c r="D116" s="136">
        <f>'[2]All Counts'!O116</f>
        <v>1769</v>
      </c>
      <c r="E116" s="136" t="str">
        <f>'[2]All Counts'!P116</f>
        <v>SANDAG</v>
      </c>
      <c r="F116" s="137"/>
    </row>
    <row r="117" spans="1:6" x14ac:dyDescent="0.25">
      <c r="A117" s="136">
        <f>'[2]All Counts'!E117</f>
        <v>9509</v>
      </c>
      <c r="B117" s="136">
        <f>'[2]All Counts'!M117</f>
        <v>6412</v>
      </c>
      <c r="C117" s="136">
        <f>'[2]All Counts'!N117</f>
        <v>1379</v>
      </c>
      <c r="D117" s="136">
        <f>'[2]All Counts'!O117</f>
        <v>1877</v>
      </c>
      <c r="E117" s="136" t="str">
        <f>'[2]All Counts'!P117</f>
        <v>SANDAG</v>
      </c>
      <c r="F117" s="137"/>
    </row>
    <row r="118" spans="1:6" x14ac:dyDescent="0.25">
      <c r="A118" s="136">
        <f>'[2]All Counts'!E118</f>
        <v>9519</v>
      </c>
      <c r="B118" s="136">
        <f>'[2]All Counts'!M118</f>
        <v>10237</v>
      </c>
      <c r="C118" s="136">
        <f>'[2]All Counts'!N118</f>
        <v>2982</v>
      </c>
      <c r="D118" s="136">
        <f>'[2]All Counts'!O118</f>
        <v>2321</v>
      </c>
      <c r="E118" s="136" t="str">
        <f>'[2]All Counts'!P118</f>
        <v>SANDAG</v>
      </c>
      <c r="F118" s="137"/>
    </row>
    <row r="119" spans="1:6" x14ac:dyDescent="0.25">
      <c r="A119" s="136">
        <f>'[2]All Counts'!E119</f>
        <v>9143</v>
      </c>
      <c r="B119" s="136">
        <f>'[2]All Counts'!M119</f>
        <v>14591</v>
      </c>
      <c r="C119" s="136">
        <f>'[2]All Counts'!N119</f>
        <v>4445</v>
      </c>
      <c r="D119" s="136">
        <f>'[2]All Counts'!O119</f>
        <v>3009</v>
      </c>
      <c r="E119" s="136" t="str">
        <f>'[2]All Counts'!P119</f>
        <v>SANDAG</v>
      </c>
      <c r="F119" s="137"/>
    </row>
    <row r="120" spans="1:6" x14ac:dyDescent="0.25">
      <c r="A120" s="136">
        <f>'[2]All Counts'!E120</f>
        <v>10255</v>
      </c>
      <c r="B120" s="136">
        <f>'[2]All Counts'!M120</f>
        <v>17200</v>
      </c>
      <c r="C120" s="136">
        <f>'[2]All Counts'!N120</f>
        <v>5567</v>
      </c>
      <c r="D120" s="136">
        <f>'[2]All Counts'!O120</f>
        <v>3276</v>
      </c>
      <c r="E120" s="136" t="str">
        <f>'[2]All Counts'!P120</f>
        <v>SANDAG</v>
      </c>
      <c r="F120" s="137"/>
    </row>
    <row r="121" spans="1:6" x14ac:dyDescent="0.25">
      <c r="A121" s="136">
        <f>'[2]All Counts'!E121</f>
        <v>10257</v>
      </c>
      <c r="B121" s="136">
        <f>'[2]All Counts'!M121</f>
        <v>19075</v>
      </c>
      <c r="C121" s="136">
        <f>'[2]All Counts'!N121</f>
        <v>6304</v>
      </c>
      <c r="D121" s="136">
        <f>'[2]All Counts'!O121</f>
        <v>3565</v>
      </c>
      <c r="E121" s="136" t="str">
        <f>'[2]All Counts'!P121</f>
        <v>SANDAG</v>
      </c>
      <c r="F121" s="137"/>
    </row>
    <row r="122" spans="1:6" x14ac:dyDescent="0.25">
      <c r="A122" s="136">
        <f>'[2]All Counts'!E122</f>
        <v>7190</v>
      </c>
      <c r="B122" s="136">
        <f>'[2]All Counts'!M122</f>
        <v>55161</v>
      </c>
      <c r="C122" s="136">
        <f>'[2]All Counts'!N122</f>
        <v>11107</v>
      </c>
      <c r="D122" s="136">
        <f>'[2]All Counts'!O122</f>
        <v>12679</v>
      </c>
      <c r="E122" s="136" t="str">
        <f>'[2]All Counts'!P122</f>
        <v>Caltran</v>
      </c>
      <c r="F122" s="137"/>
    </row>
    <row r="123" spans="1:6" x14ac:dyDescent="0.25">
      <c r="A123" s="136">
        <f>'[2]All Counts'!E123</f>
        <v>7215</v>
      </c>
      <c r="B123" s="136">
        <f>'[2]All Counts'!M123</f>
        <v>47179</v>
      </c>
      <c r="C123" s="136">
        <f>'[2]All Counts'!N123</f>
        <v>10884</v>
      </c>
      <c r="D123" s="136">
        <f>'[2]All Counts'!O123</f>
        <v>10284</v>
      </c>
      <c r="E123" s="136" t="str">
        <f>'[2]All Counts'!P123</f>
        <v>PeMS2016</v>
      </c>
      <c r="F123" s="137"/>
    </row>
    <row r="124" spans="1:6" x14ac:dyDescent="0.25">
      <c r="A124" s="136">
        <f>'[2]All Counts'!E124</f>
        <v>7222</v>
      </c>
      <c r="B124" s="136">
        <f>'[2]All Counts'!M124</f>
        <v>49064</v>
      </c>
      <c r="C124" s="136">
        <f>'[2]All Counts'!N124</f>
        <v>11960</v>
      </c>
      <c r="D124" s="136">
        <f>'[2]All Counts'!O124</f>
        <v>10208</v>
      </c>
      <c r="E124" s="136" t="str">
        <f>'[2]All Counts'!P124</f>
        <v>PeMS2016</v>
      </c>
      <c r="F124" s="137"/>
    </row>
    <row r="125" spans="1:6" x14ac:dyDescent="0.25">
      <c r="A125" s="136">
        <f>'[2]All Counts'!E125</f>
        <v>10793</v>
      </c>
      <c r="B125" s="136">
        <f>'[2]All Counts'!M125</f>
        <v>54401</v>
      </c>
      <c r="C125" s="136">
        <f>'[2]All Counts'!N125</f>
        <v>12604</v>
      </c>
      <c r="D125" s="136">
        <f>'[2]All Counts'!O125</f>
        <v>11072</v>
      </c>
      <c r="E125" s="136" t="str">
        <f>'[2]All Counts'!P125</f>
        <v>PeMS2016</v>
      </c>
      <c r="F125" s="137"/>
    </row>
    <row r="126" spans="1:6" x14ac:dyDescent="0.25">
      <c r="A126" s="136">
        <f>'[2]All Counts'!E126</f>
        <v>31171</v>
      </c>
      <c r="B126" s="136">
        <f>'[2]All Counts'!M126</f>
        <v>67253</v>
      </c>
      <c r="C126" s="136">
        <f>'[2]All Counts'!N126</f>
        <v>15874</v>
      </c>
      <c r="D126" s="136">
        <f>'[2]All Counts'!O126</f>
        <v>13499</v>
      </c>
      <c r="E126" s="136" t="str">
        <f>'[2]All Counts'!P126</f>
        <v>PeMS2016</v>
      </c>
      <c r="F126" s="137"/>
    </row>
    <row r="127" spans="1:6" x14ac:dyDescent="0.25">
      <c r="A127" s="136">
        <f>'[2]All Counts'!E127</f>
        <v>10158</v>
      </c>
      <c r="B127" s="136">
        <f>'[2]All Counts'!M127</f>
        <v>68140</v>
      </c>
      <c r="C127" s="136">
        <f>'[2]All Counts'!N127</f>
        <v>12627</v>
      </c>
      <c r="D127" s="136">
        <f>'[2]All Counts'!O127</f>
        <v>15151</v>
      </c>
      <c r="E127" s="136" t="str">
        <f>'[2]All Counts'!P127</f>
        <v>PeMS2016</v>
      </c>
      <c r="F127" s="137"/>
    </row>
    <row r="128" spans="1:6" x14ac:dyDescent="0.25">
      <c r="A128" s="136">
        <f>'[2]All Counts'!E128</f>
        <v>11296</v>
      </c>
      <c r="B128" s="136">
        <f>'[2]All Counts'!M128</f>
        <v>91937</v>
      </c>
      <c r="C128" s="136">
        <f>'[2]All Counts'!N128</f>
        <v>18472</v>
      </c>
      <c r="D128" s="136">
        <f>'[2]All Counts'!O128</f>
        <v>20112</v>
      </c>
      <c r="E128" s="136" t="str">
        <f>'[2]All Counts'!P128</f>
        <v>Caltran</v>
      </c>
      <c r="F128" s="137"/>
    </row>
    <row r="129" spans="1:6" x14ac:dyDescent="0.25">
      <c r="A129" s="136">
        <f>'[2]All Counts'!E129</f>
        <v>11291</v>
      </c>
      <c r="B129" s="136">
        <f>'[2]All Counts'!M129</f>
        <v>40172</v>
      </c>
      <c r="C129" s="136">
        <f>'[2]All Counts'!N129</f>
        <v>9112</v>
      </c>
      <c r="D129" s="136">
        <f>'[2]All Counts'!O129</f>
        <v>8272</v>
      </c>
      <c r="E129" s="136" t="str">
        <f>'[2]All Counts'!P129</f>
        <v>PeMS2016</v>
      </c>
      <c r="F129" s="137"/>
    </row>
    <row r="130" spans="1:6" x14ac:dyDescent="0.25">
      <c r="A130" s="136">
        <f>'[2]All Counts'!E130</f>
        <v>28939</v>
      </c>
      <c r="B130" s="136">
        <f>'[2]All Counts'!M130</f>
        <v>40704</v>
      </c>
      <c r="C130" s="136">
        <f>'[2]All Counts'!N130</f>
        <v>9332</v>
      </c>
      <c r="D130" s="136">
        <f>'[2]All Counts'!O130</f>
        <v>9161</v>
      </c>
      <c r="E130" s="136" t="str">
        <f>'[2]All Counts'!P130</f>
        <v>PeMS2016</v>
      </c>
      <c r="F130" s="137"/>
    </row>
    <row r="131" spans="1:6" x14ac:dyDescent="0.25">
      <c r="A131" s="136">
        <f>'[2]All Counts'!E131</f>
        <v>28940</v>
      </c>
      <c r="B131" s="136">
        <f>'[2]All Counts'!M131</f>
        <v>50320</v>
      </c>
      <c r="C131" s="136">
        <f>'[2]All Counts'!N131</f>
        <v>11077</v>
      </c>
      <c r="D131" s="136">
        <f>'[2]All Counts'!O131</f>
        <v>11629</v>
      </c>
      <c r="E131" s="136" t="str">
        <f>'[2]All Counts'!P131</f>
        <v>PeMS2016</v>
      </c>
      <c r="F131" s="137"/>
    </row>
    <row r="132" spans="1:6" x14ac:dyDescent="0.25">
      <c r="A132" s="136">
        <f>'[2]All Counts'!E132</f>
        <v>28945</v>
      </c>
      <c r="B132" s="136">
        <f>'[2]All Counts'!M132</f>
        <v>30546</v>
      </c>
      <c r="C132" s="136">
        <f>'[2]All Counts'!N132</f>
        <v>6859</v>
      </c>
      <c r="D132" s="136">
        <f>'[2]All Counts'!O132</f>
        <v>6963</v>
      </c>
      <c r="E132" s="136" t="str">
        <f>'[2]All Counts'!P132</f>
        <v>PeMS2016</v>
      </c>
      <c r="F132" s="137"/>
    </row>
    <row r="133" spans="1:6" x14ac:dyDescent="0.25">
      <c r="A133" s="136">
        <f>'[2]All Counts'!E133</f>
        <v>28948</v>
      </c>
      <c r="B133" s="136">
        <f>'[2]All Counts'!M133</f>
        <v>30397</v>
      </c>
      <c r="C133" s="136">
        <f>'[2]All Counts'!N133</f>
        <v>7061</v>
      </c>
      <c r="D133" s="136">
        <f>'[2]All Counts'!O133</f>
        <v>6914</v>
      </c>
      <c r="E133" s="136" t="str">
        <f>'[2]All Counts'!P133</f>
        <v>PeMS2016</v>
      </c>
      <c r="F133" s="137"/>
    </row>
    <row r="134" spans="1:6" x14ac:dyDescent="0.25">
      <c r="A134" s="136">
        <f>'[2]All Counts'!E134</f>
        <v>28924</v>
      </c>
      <c r="B134" s="136">
        <f>'[2]All Counts'!M134</f>
        <v>38996</v>
      </c>
      <c r="C134" s="136">
        <f>'[2]All Counts'!N134</f>
        <v>8118</v>
      </c>
      <c r="D134" s="136">
        <f>'[2]All Counts'!O134</f>
        <v>8862</v>
      </c>
      <c r="E134" s="136" t="str">
        <f>'[2]All Counts'!P134</f>
        <v>Caltran</v>
      </c>
      <c r="F134" s="137"/>
    </row>
    <row r="135" spans="1:6" x14ac:dyDescent="0.25">
      <c r="A135" s="136">
        <f>'[2]All Counts'!E135</f>
        <v>28923</v>
      </c>
      <c r="B135" s="136">
        <f>'[2]All Counts'!M135</f>
        <v>14192</v>
      </c>
      <c r="C135" s="136">
        <f>'[2]All Counts'!N135</f>
        <v>2822</v>
      </c>
      <c r="D135" s="136">
        <f>'[2]All Counts'!O135</f>
        <v>3622</v>
      </c>
      <c r="E135" s="136" t="str">
        <f>'[2]All Counts'!P135</f>
        <v>PeMS2016</v>
      </c>
      <c r="F135" s="137"/>
    </row>
    <row r="136" spans="1:6" x14ac:dyDescent="0.25">
      <c r="A136" s="136">
        <f>'[2]All Counts'!E136</f>
        <v>685</v>
      </c>
      <c r="B136" s="136">
        <f>'[2]All Counts'!M136</f>
        <v>19230</v>
      </c>
      <c r="C136" s="136">
        <f>'[2]All Counts'!N136</f>
        <v>2855</v>
      </c>
      <c r="D136" s="136">
        <f>'[2]All Counts'!O136</f>
        <v>3303</v>
      </c>
      <c r="E136" s="136" t="str">
        <f>'[2]All Counts'!P136</f>
        <v>PeMS2016</v>
      </c>
      <c r="F136" s="137"/>
    </row>
    <row r="137" spans="1:6" x14ac:dyDescent="0.25">
      <c r="A137" s="136">
        <f>'[2]All Counts'!E137</f>
        <v>686</v>
      </c>
      <c r="B137" s="136">
        <f>'[2]All Counts'!M137</f>
        <v>34407</v>
      </c>
      <c r="C137" s="136">
        <f>'[2]All Counts'!N137</f>
        <v>5009</v>
      </c>
      <c r="D137" s="136">
        <f>'[2]All Counts'!O137</f>
        <v>6647</v>
      </c>
      <c r="E137" s="136" t="str">
        <f>'[2]All Counts'!P137</f>
        <v>PeMS2016</v>
      </c>
      <c r="F137" s="137"/>
    </row>
    <row r="138" spans="1:6" x14ac:dyDescent="0.25">
      <c r="A138" s="136">
        <f>'[2]All Counts'!E138</f>
        <v>687</v>
      </c>
      <c r="B138" s="136">
        <f>'[2]All Counts'!M138</f>
        <v>45996</v>
      </c>
      <c r="C138" s="136">
        <f>'[2]All Counts'!N138</f>
        <v>7539</v>
      </c>
      <c r="D138" s="136">
        <f>'[2]All Counts'!O138</f>
        <v>10163</v>
      </c>
      <c r="E138" s="136" t="str">
        <f>'[2]All Counts'!P138</f>
        <v>PeMS2016</v>
      </c>
      <c r="F138" s="137"/>
    </row>
    <row r="139" spans="1:6" x14ac:dyDescent="0.25">
      <c r="A139" s="136">
        <f>'[2]All Counts'!E139</f>
        <v>688</v>
      </c>
      <c r="B139" s="136">
        <f>'[2]All Counts'!M139</f>
        <v>69020</v>
      </c>
      <c r="C139" s="136">
        <f>'[2]All Counts'!N139</f>
        <v>10337</v>
      </c>
      <c r="D139" s="136">
        <f>'[2]All Counts'!O139</f>
        <v>15546</v>
      </c>
      <c r="E139" s="136" t="str">
        <f>'[2]All Counts'!P139</f>
        <v>PeMS2016</v>
      </c>
      <c r="F139" s="137"/>
    </row>
    <row r="140" spans="1:6" x14ac:dyDescent="0.25">
      <c r="A140" s="136">
        <f>'[2]All Counts'!E140</f>
        <v>689</v>
      </c>
      <c r="B140" s="136">
        <f>'[2]All Counts'!M140</f>
        <v>55376</v>
      </c>
      <c r="C140" s="136">
        <f>'[2]All Counts'!N140</f>
        <v>8352</v>
      </c>
      <c r="D140" s="136">
        <f>'[2]All Counts'!O140</f>
        <v>12495</v>
      </c>
      <c r="E140" s="136" t="str">
        <f>'[2]All Counts'!P140</f>
        <v>PeMS2016</v>
      </c>
      <c r="F140" s="137"/>
    </row>
    <row r="141" spans="1:6" x14ac:dyDescent="0.25">
      <c r="A141" s="136">
        <f>'[2]All Counts'!E141</f>
        <v>16183</v>
      </c>
      <c r="B141" s="136">
        <f>'[2]All Counts'!M141</f>
        <v>72820</v>
      </c>
      <c r="C141" s="136">
        <f>'[2]All Counts'!N141</f>
        <v>11982</v>
      </c>
      <c r="D141" s="136">
        <f>'[2]All Counts'!O141</f>
        <v>16031</v>
      </c>
      <c r="E141" s="136" t="str">
        <f>'[2]All Counts'!P141</f>
        <v>PeMS2016</v>
      </c>
      <c r="F141" s="137"/>
    </row>
    <row r="142" spans="1:6" x14ac:dyDescent="0.25">
      <c r="A142" s="136">
        <f>'[2]All Counts'!E142</f>
        <v>699</v>
      </c>
      <c r="B142" s="136">
        <f>'[2]All Counts'!M142</f>
        <v>70589</v>
      </c>
      <c r="C142" s="136">
        <f>'[2]All Counts'!N142</f>
        <v>11823</v>
      </c>
      <c r="D142" s="136">
        <f>'[2]All Counts'!O142</f>
        <v>15375</v>
      </c>
      <c r="E142" s="136" t="str">
        <f>'[2]All Counts'!P142</f>
        <v>PeMS2016</v>
      </c>
      <c r="F142" s="137"/>
    </row>
    <row r="143" spans="1:6" x14ac:dyDescent="0.25">
      <c r="A143" s="136">
        <f>'[2]All Counts'!E143</f>
        <v>702</v>
      </c>
      <c r="B143" s="136">
        <f>'[2]All Counts'!M143</f>
        <v>84734</v>
      </c>
      <c r="C143" s="136">
        <f>'[2]All Counts'!N143</f>
        <v>15535</v>
      </c>
      <c r="D143" s="136">
        <f>'[2]All Counts'!O143</f>
        <v>17130</v>
      </c>
      <c r="E143" s="136" t="str">
        <f>'[2]All Counts'!P143</f>
        <v>PeMS2016</v>
      </c>
      <c r="F143" s="137"/>
    </row>
    <row r="144" spans="1:6" x14ac:dyDescent="0.25">
      <c r="A144" s="136">
        <f>'[2]All Counts'!E144</f>
        <v>22146</v>
      </c>
      <c r="B144" s="136">
        <f>'[2]All Counts'!M144</f>
        <v>71063</v>
      </c>
      <c r="C144" s="136">
        <f>'[2]All Counts'!N144</f>
        <v>14855</v>
      </c>
      <c r="D144" s="136">
        <f>'[2]All Counts'!O144</f>
        <v>13565</v>
      </c>
      <c r="E144" s="136" t="str">
        <f>'[2]All Counts'!P144</f>
        <v>PeMS2016</v>
      </c>
      <c r="F144" s="137"/>
    </row>
    <row r="145" spans="1:6" x14ac:dyDescent="0.25">
      <c r="A145" s="136">
        <f>'[2]All Counts'!E145</f>
        <v>705</v>
      </c>
      <c r="B145" s="136">
        <f>'[2]All Counts'!M145</f>
        <v>112336</v>
      </c>
      <c r="C145" s="136">
        <f>'[2]All Counts'!N145</f>
        <v>21991</v>
      </c>
      <c r="D145" s="136">
        <f>'[2]All Counts'!O145</f>
        <v>21748</v>
      </c>
      <c r="E145" s="136" t="str">
        <f>'[2]All Counts'!P145</f>
        <v>PeMS2016</v>
      </c>
      <c r="F145" s="137"/>
    </row>
    <row r="146" spans="1:6" x14ac:dyDescent="0.25">
      <c r="A146" s="136">
        <f>'[2]All Counts'!E146</f>
        <v>706</v>
      </c>
      <c r="B146" s="136">
        <f>'[2]All Counts'!M146</f>
        <v>125375</v>
      </c>
      <c r="C146" s="136">
        <f>'[2]All Counts'!N146</f>
        <v>24907</v>
      </c>
      <c r="D146" s="136">
        <f>'[2]All Counts'!O146</f>
        <v>24359</v>
      </c>
      <c r="E146" s="136" t="str">
        <f>'[2]All Counts'!P146</f>
        <v>Caltran</v>
      </c>
      <c r="F146" s="137"/>
    </row>
    <row r="147" spans="1:6" x14ac:dyDescent="0.25">
      <c r="A147" s="136">
        <f>'[2]All Counts'!E147</f>
        <v>708</v>
      </c>
      <c r="B147" s="136">
        <f>'[2]All Counts'!M147</f>
        <v>69228</v>
      </c>
      <c r="C147" s="136">
        <f>'[2]All Counts'!N147</f>
        <v>12504</v>
      </c>
      <c r="D147" s="136">
        <f>'[2]All Counts'!O147</f>
        <v>13364</v>
      </c>
      <c r="E147" s="136" t="str">
        <f>'[2]All Counts'!P147</f>
        <v>PeMS2016</v>
      </c>
      <c r="F147" s="137"/>
    </row>
    <row r="148" spans="1:6" x14ac:dyDescent="0.25">
      <c r="A148" s="136">
        <f>'[2]All Counts'!E148</f>
        <v>20741</v>
      </c>
      <c r="B148" s="136">
        <f>'[2]All Counts'!M148</f>
        <v>98590</v>
      </c>
      <c r="C148" s="136">
        <f>'[2]All Counts'!N148</f>
        <v>17558</v>
      </c>
      <c r="D148" s="136">
        <f>'[2]All Counts'!O148</f>
        <v>19548</v>
      </c>
      <c r="E148" s="136" t="str">
        <f>'[2]All Counts'!P148</f>
        <v>PeMS2016</v>
      </c>
      <c r="F148" s="137"/>
    </row>
    <row r="149" spans="1:6" x14ac:dyDescent="0.25">
      <c r="A149" s="136">
        <f>'[2]All Counts'!E149</f>
        <v>20743</v>
      </c>
      <c r="B149" s="136">
        <f>'[2]All Counts'!M149</f>
        <v>91644</v>
      </c>
      <c r="C149" s="136">
        <f>'[2]All Counts'!N149</f>
        <v>17223</v>
      </c>
      <c r="D149" s="136">
        <f>'[2]All Counts'!O149</f>
        <v>17603</v>
      </c>
      <c r="E149" s="136" t="str">
        <f>'[2]All Counts'!P149</f>
        <v>PeMS2016</v>
      </c>
      <c r="F149" s="137"/>
    </row>
    <row r="150" spans="1:6" x14ac:dyDescent="0.25">
      <c r="A150" s="136">
        <f>'[2]All Counts'!E150</f>
        <v>716</v>
      </c>
      <c r="B150" s="136">
        <f>'[2]All Counts'!M150</f>
        <v>125971</v>
      </c>
      <c r="C150" s="136">
        <f>'[2]All Counts'!N150</f>
        <v>26565</v>
      </c>
      <c r="D150" s="136">
        <f>'[2]All Counts'!O150</f>
        <v>23486</v>
      </c>
      <c r="E150" s="136" t="str">
        <f>'[2]All Counts'!P150</f>
        <v>Caltran</v>
      </c>
      <c r="F150" s="137"/>
    </row>
    <row r="151" spans="1:6" x14ac:dyDescent="0.25">
      <c r="A151" s="136">
        <f>'[2]All Counts'!E151</f>
        <v>717</v>
      </c>
      <c r="B151" s="136">
        <f>'[2]All Counts'!M151</f>
        <v>104989</v>
      </c>
      <c r="C151" s="136">
        <f>'[2]All Counts'!N151</f>
        <v>18695</v>
      </c>
      <c r="D151" s="136">
        <f>'[2]All Counts'!O151</f>
        <v>20143</v>
      </c>
      <c r="E151" s="136" t="str">
        <f>'[2]All Counts'!P151</f>
        <v>PeMS2016</v>
      </c>
      <c r="F151" s="137"/>
    </row>
    <row r="152" spans="1:6" x14ac:dyDescent="0.25">
      <c r="A152" s="136">
        <f>'[2]All Counts'!E152</f>
        <v>20747</v>
      </c>
      <c r="B152" s="136">
        <f>'[2]All Counts'!M152</f>
        <v>77722</v>
      </c>
      <c r="C152" s="136">
        <f>'[2]All Counts'!N152</f>
        <v>15014</v>
      </c>
      <c r="D152" s="136">
        <f>'[2]All Counts'!O152</f>
        <v>14457</v>
      </c>
      <c r="E152" s="136" t="str">
        <f>'[2]All Counts'!P152</f>
        <v>PeMS2016</v>
      </c>
      <c r="F152" s="137"/>
    </row>
    <row r="153" spans="1:6" x14ac:dyDescent="0.25">
      <c r="A153" s="136">
        <f>'[2]All Counts'!E153</f>
        <v>726</v>
      </c>
      <c r="B153" s="136">
        <f>'[2]All Counts'!M153</f>
        <v>97203</v>
      </c>
      <c r="C153" s="136">
        <f>'[2]All Counts'!N153</f>
        <v>17481</v>
      </c>
      <c r="D153" s="136">
        <f>'[2]All Counts'!O153</f>
        <v>18438</v>
      </c>
      <c r="E153" s="136" t="str">
        <f>'[2]All Counts'!P153</f>
        <v>PeMS2016</v>
      </c>
      <c r="F153" s="137"/>
    </row>
    <row r="154" spans="1:6" x14ac:dyDescent="0.25">
      <c r="A154" s="136">
        <f>'[2]All Counts'!E154</f>
        <v>728</v>
      </c>
      <c r="B154" s="136">
        <f>'[2]All Counts'!M154</f>
        <v>117680</v>
      </c>
      <c r="C154" s="136">
        <f>'[2]All Counts'!N154</f>
        <v>22768</v>
      </c>
      <c r="D154" s="136">
        <f>'[2]All Counts'!O154</f>
        <v>22257</v>
      </c>
      <c r="E154" s="136" t="str">
        <f>'[2]All Counts'!P154</f>
        <v>Caltran</v>
      </c>
      <c r="F154" s="137"/>
    </row>
    <row r="155" spans="1:6" x14ac:dyDescent="0.25">
      <c r="A155" s="136">
        <f>'[2]All Counts'!E155</f>
        <v>3206</v>
      </c>
      <c r="B155" s="136">
        <f>'[2]All Counts'!M155</f>
        <v>91163</v>
      </c>
      <c r="C155" s="136">
        <f>'[2]All Counts'!N155</f>
        <v>18145</v>
      </c>
      <c r="D155" s="136">
        <f>'[2]All Counts'!O155</f>
        <v>16682</v>
      </c>
      <c r="E155" s="136" t="str">
        <f>'[2]All Counts'!P155</f>
        <v>PeMS2016</v>
      </c>
      <c r="F155" s="137"/>
    </row>
    <row r="156" spans="1:6" x14ac:dyDescent="0.25">
      <c r="A156" s="136">
        <f>'[2]All Counts'!E156</f>
        <v>733</v>
      </c>
      <c r="B156" s="136">
        <f>'[2]All Counts'!M156</f>
        <v>89463</v>
      </c>
      <c r="C156" s="136">
        <f>'[2]All Counts'!N156</f>
        <v>17637</v>
      </c>
      <c r="D156" s="136">
        <f>'[2]All Counts'!O156</f>
        <v>16337</v>
      </c>
      <c r="E156" s="136" t="str">
        <f>'[2]All Counts'!P156</f>
        <v>PeMS2016</v>
      </c>
      <c r="F156" s="137"/>
    </row>
    <row r="157" spans="1:6" x14ac:dyDescent="0.25">
      <c r="A157" s="136">
        <f>'[2]All Counts'!E157</f>
        <v>20749</v>
      </c>
      <c r="B157" s="136">
        <f>'[2]All Counts'!M157</f>
        <v>124792</v>
      </c>
      <c r="C157" s="136">
        <f>'[2]All Counts'!N157</f>
        <v>25233</v>
      </c>
      <c r="D157" s="136">
        <f>'[2]All Counts'!O157</f>
        <v>22990</v>
      </c>
      <c r="E157" s="136" t="str">
        <f>'[2]All Counts'!P157</f>
        <v>PeMS2016</v>
      </c>
      <c r="F157" s="137"/>
    </row>
    <row r="158" spans="1:6" x14ac:dyDescent="0.25">
      <c r="A158" s="136">
        <f>'[2]All Counts'!E158</f>
        <v>15870</v>
      </c>
      <c r="B158" s="136">
        <f>'[2]All Counts'!M158</f>
        <v>75494</v>
      </c>
      <c r="C158" s="136">
        <f>'[2]All Counts'!N158</f>
        <v>15256</v>
      </c>
      <c r="D158" s="136">
        <f>'[2]All Counts'!O158</f>
        <v>13736</v>
      </c>
      <c r="E158" s="136" t="str">
        <f>'[2]All Counts'!P158</f>
        <v>PeMS2016</v>
      </c>
      <c r="F158" s="137"/>
    </row>
    <row r="159" spans="1:6" x14ac:dyDescent="0.25">
      <c r="A159" s="136">
        <f>'[2]All Counts'!E159</f>
        <v>738</v>
      </c>
      <c r="B159" s="136">
        <f>'[2]All Counts'!M159</f>
        <v>76629</v>
      </c>
      <c r="C159" s="136">
        <f>'[2]All Counts'!N159</f>
        <v>15590</v>
      </c>
      <c r="D159" s="136">
        <f>'[2]All Counts'!O159</f>
        <v>13944</v>
      </c>
      <c r="E159" s="136" t="str">
        <f>'[2]All Counts'!P159</f>
        <v>PeMS2016</v>
      </c>
      <c r="F159" s="137"/>
    </row>
    <row r="160" spans="1:6" x14ac:dyDescent="0.25">
      <c r="A160" s="136">
        <f>'[2]All Counts'!E160</f>
        <v>744</v>
      </c>
      <c r="B160" s="136">
        <f>'[2]All Counts'!M160</f>
        <v>86295</v>
      </c>
      <c r="C160" s="136">
        <f>'[2]All Counts'!N160</f>
        <v>18532</v>
      </c>
      <c r="D160" s="136">
        <f>'[2]All Counts'!O160</f>
        <v>15765</v>
      </c>
      <c r="E160" s="136" t="str">
        <f>'[2]All Counts'!P160</f>
        <v>PeMS2016</v>
      </c>
      <c r="F160" s="137"/>
    </row>
    <row r="161" spans="1:6" x14ac:dyDescent="0.25">
      <c r="A161" s="136">
        <f>'[2]All Counts'!E161</f>
        <v>746</v>
      </c>
      <c r="B161" s="136">
        <f>'[2]All Counts'!M161</f>
        <v>99899</v>
      </c>
      <c r="C161" s="136">
        <f>'[2]All Counts'!N161</f>
        <v>21312</v>
      </c>
      <c r="D161" s="136">
        <f>'[2]All Counts'!O161</f>
        <v>18283</v>
      </c>
      <c r="E161" s="136" t="str">
        <f>'[2]All Counts'!P161</f>
        <v>PeMS2016</v>
      </c>
      <c r="F161" s="137"/>
    </row>
    <row r="162" spans="1:6" x14ac:dyDescent="0.25">
      <c r="A162" s="136">
        <f>'[2]All Counts'!E162</f>
        <v>20755</v>
      </c>
      <c r="B162" s="136">
        <f>'[2]All Counts'!M162</f>
        <v>78240</v>
      </c>
      <c r="C162" s="136">
        <f>'[2]All Counts'!N162</f>
        <v>20310</v>
      </c>
      <c r="D162" s="136">
        <f>'[2]All Counts'!O162</f>
        <v>12241</v>
      </c>
      <c r="E162" s="136" t="str">
        <f>'[2]All Counts'!P162</f>
        <v>PeMS2016</v>
      </c>
      <c r="F162" s="137"/>
    </row>
    <row r="163" spans="1:6" x14ac:dyDescent="0.25">
      <c r="A163" s="136">
        <f>'[2]All Counts'!E163</f>
        <v>751</v>
      </c>
      <c r="B163" s="136">
        <f>'[2]All Counts'!M163</f>
        <v>111172</v>
      </c>
      <c r="C163" s="136">
        <f>'[2]All Counts'!N163</f>
        <v>28434</v>
      </c>
      <c r="D163" s="136">
        <f>'[2]All Counts'!O163</f>
        <v>18002</v>
      </c>
      <c r="E163" s="136" t="str">
        <f>'[2]All Counts'!P163</f>
        <v>PeMS2016</v>
      </c>
      <c r="F163" s="137"/>
    </row>
    <row r="164" spans="1:6" x14ac:dyDescent="0.25">
      <c r="A164" s="136">
        <f>'[2]All Counts'!E164</f>
        <v>752</v>
      </c>
      <c r="B164" s="136">
        <f>'[2]All Counts'!M164</f>
        <v>105349</v>
      </c>
      <c r="C164" s="136">
        <f>'[2]All Counts'!N164</f>
        <v>27425</v>
      </c>
      <c r="D164" s="136">
        <f>'[2]All Counts'!O164</f>
        <v>16381</v>
      </c>
      <c r="E164" s="136" t="str">
        <f>'[2]All Counts'!P164</f>
        <v>PeMS2016</v>
      </c>
      <c r="F164" s="137"/>
    </row>
    <row r="165" spans="1:6" x14ac:dyDescent="0.25">
      <c r="A165" s="136">
        <f>'[2]All Counts'!E165</f>
        <v>754</v>
      </c>
      <c r="B165" s="136">
        <f>'[2]All Counts'!M165</f>
        <v>96581</v>
      </c>
      <c r="C165" s="136">
        <f>'[2]All Counts'!N165</f>
        <v>24851</v>
      </c>
      <c r="D165" s="136">
        <f>'[2]All Counts'!O165</f>
        <v>15252</v>
      </c>
      <c r="E165" s="136" t="str">
        <f>'[2]All Counts'!P165</f>
        <v>PeMS2016</v>
      </c>
      <c r="F165" s="137"/>
    </row>
    <row r="166" spans="1:6" x14ac:dyDescent="0.25">
      <c r="A166" s="136">
        <f>'[2]All Counts'!E166</f>
        <v>22715</v>
      </c>
      <c r="B166" s="136">
        <f>'[2]All Counts'!M166</f>
        <v>77507</v>
      </c>
      <c r="C166" s="136">
        <f>'[2]All Counts'!N166</f>
        <v>17420</v>
      </c>
      <c r="D166" s="136">
        <f>'[2]All Counts'!O166</f>
        <v>12590</v>
      </c>
      <c r="E166" s="136" t="str">
        <f>'[2]All Counts'!P166</f>
        <v>PeMS2016</v>
      </c>
      <c r="F166" s="137"/>
    </row>
    <row r="167" spans="1:6" x14ac:dyDescent="0.25">
      <c r="A167" s="136">
        <f>'[2]All Counts'!E167</f>
        <v>757</v>
      </c>
      <c r="B167" s="136">
        <f>'[2]All Counts'!M167</f>
        <v>85157</v>
      </c>
      <c r="C167" s="136">
        <f>'[2]All Counts'!N167</f>
        <v>16622</v>
      </c>
      <c r="D167" s="136">
        <f>'[2]All Counts'!O167</f>
        <v>14910</v>
      </c>
      <c r="E167" s="136" t="str">
        <f>'[2]All Counts'!P167</f>
        <v>PeMS2016</v>
      </c>
      <c r="F167" s="137"/>
    </row>
    <row r="168" spans="1:6" x14ac:dyDescent="0.25">
      <c r="A168" s="136">
        <f>'[2]All Counts'!E168</f>
        <v>760</v>
      </c>
      <c r="B168" s="136">
        <f>'[2]All Counts'!M168</f>
        <v>94619</v>
      </c>
      <c r="C168" s="136">
        <f>'[2]All Counts'!N168</f>
        <v>19109</v>
      </c>
      <c r="D168" s="136">
        <f>'[2]All Counts'!O168</f>
        <v>16603</v>
      </c>
      <c r="E168" s="136" t="str">
        <f>'[2]All Counts'!P168</f>
        <v>Caltran</v>
      </c>
      <c r="F168" s="137"/>
    </row>
    <row r="169" spans="1:6" x14ac:dyDescent="0.25">
      <c r="A169" s="136">
        <f>'[2]All Counts'!E169</f>
        <v>762</v>
      </c>
      <c r="B169" s="136">
        <f>'[2]All Counts'!M169</f>
        <v>102772</v>
      </c>
      <c r="C169" s="136">
        <f>'[2]All Counts'!N169</f>
        <v>20175</v>
      </c>
      <c r="D169" s="136">
        <f>'[2]All Counts'!O169</f>
        <v>17573</v>
      </c>
      <c r="E169" s="136" t="str">
        <f>'[2]All Counts'!P169</f>
        <v>PeMS2016</v>
      </c>
      <c r="F169" s="137"/>
    </row>
    <row r="170" spans="1:6" x14ac:dyDescent="0.25">
      <c r="A170" s="136">
        <f>'[2]All Counts'!E170</f>
        <v>59</v>
      </c>
      <c r="B170" s="136">
        <f>'[2]All Counts'!M170</f>
        <v>90563</v>
      </c>
      <c r="C170" s="136">
        <f>'[2]All Counts'!N170</f>
        <v>21854</v>
      </c>
      <c r="D170" s="136">
        <f>'[2]All Counts'!O170</f>
        <v>14405</v>
      </c>
      <c r="E170" s="136" t="str">
        <f>'[2]All Counts'!P170</f>
        <v>PeMS2016</v>
      </c>
      <c r="F170" s="137"/>
    </row>
    <row r="171" spans="1:6" x14ac:dyDescent="0.25">
      <c r="A171" s="136">
        <f>'[2]All Counts'!E171</f>
        <v>15081</v>
      </c>
      <c r="B171" s="136">
        <f>'[2]All Counts'!M171</f>
        <v>98047</v>
      </c>
      <c r="C171" s="136">
        <f>'[2]All Counts'!N171</f>
        <v>23638</v>
      </c>
      <c r="D171" s="136">
        <f>'[2]All Counts'!O171</f>
        <v>15648</v>
      </c>
      <c r="E171" s="136" t="str">
        <f>'[2]All Counts'!P171</f>
        <v>PeMS2016</v>
      </c>
      <c r="F171" s="137"/>
    </row>
    <row r="172" spans="1:6" x14ac:dyDescent="0.25">
      <c r="A172" s="136">
        <f>'[2]All Counts'!E172</f>
        <v>15064</v>
      </c>
      <c r="B172" s="136">
        <f>'[2]All Counts'!M172</f>
        <v>82822</v>
      </c>
      <c r="C172" s="136">
        <f>'[2]All Counts'!N172</f>
        <v>19381</v>
      </c>
      <c r="D172" s="136">
        <f>'[2]All Counts'!O172</f>
        <v>13509</v>
      </c>
      <c r="E172" s="136" t="str">
        <f>'[2]All Counts'!P172</f>
        <v>PeMS2016</v>
      </c>
      <c r="F172" s="137"/>
    </row>
    <row r="173" spans="1:6" x14ac:dyDescent="0.25">
      <c r="A173" s="136">
        <f>'[2]All Counts'!E173</f>
        <v>23851</v>
      </c>
      <c r="B173" s="136">
        <f>'[2]All Counts'!M173</f>
        <v>71532</v>
      </c>
      <c r="C173" s="136">
        <f>'[2]All Counts'!N173</f>
        <v>16769</v>
      </c>
      <c r="D173" s="136">
        <f>'[2]All Counts'!O173</f>
        <v>12061</v>
      </c>
      <c r="E173" s="136" t="str">
        <f>'[2]All Counts'!P173</f>
        <v>PeMS2016</v>
      </c>
      <c r="F173" s="137"/>
    </row>
    <row r="174" spans="1:6" x14ac:dyDescent="0.25">
      <c r="A174" s="136">
        <f>'[2]All Counts'!E174</f>
        <v>26788</v>
      </c>
      <c r="B174" s="136">
        <f>'[2]All Counts'!M174</f>
        <v>87549</v>
      </c>
      <c r="C174" s="136">
        <f>'[2]All Counts'!N174</f>
        <v>19040</v>
      </c>
      <c r="D174" s="136">
        <f>'[2]All Counts'!O174</f>
        <v>16973</v>
      </c>
      <c r="E174" s="136" t="str">
        <f>'[2]All Counts'!P174</f>
        <v>PeMS2016</v>
      </c>
      <c r="F174" s="137"/>
    </row>
    <row r="175" spans="1:6" x14ac:dyDescent="0.25">
      <c r="A175" s="136">
        <f>'[2]All Counts'!E175</f>
        <v>589</v>
      </c>
      <c r="B175" s="136">
        <f>'[2]All Counts'!M175</f>
        <v>55874</v>
      </c>
      <c r="C175" s="136">
        <f>'[2]All Counts'!N175</f>
        <v>9614</v>
      </c>
      <c r="D175" s="136">
        <f>'[2]All Counts'!O175</f>
        <v>11504</v>
      </c>
      <c r="E175" s="136" t="str">
        <f>'[2]All Counts'!P175</f>
        <v>PeMS2016</v>
      </c>
      <c r="F175" s="137"/>
    </row>
    <row r="176" spans="1:6" x14ac:dyDescent="0.25">
      <c r="A176" s="136">
        <f>'[2]All Counts'!E176</f>
        <v>31198</v>
      </c>
      <c r="B176" s="136">
        <f>'[2]All Counts'!M176</f>
        <v>83328</v>
      </c>
      <c r="C176" s="136">
        <f>'[2]All Counts'!N176</f>
        <v>12896</v>
      </c>
      <c r="D176" s="136">
        <f>'[2]All Counts'!O176</f>
        <v>21359</v>
      </c>
      <c r="E176" s="136" t="str">
        <f>'[2]All Counts'!P176</f>
        <v>Caltran</v>
      </c>
      <c r="F176" s="137"/>
    </row>
    <row r="177" spans="1:6" x14ac:dyDescent="0.25">
      <c r="A177" s="136">
        <f>'[2]All Counts'!E177</f>
        <v>28796</v>
      </c>
      <c r="B177" s="136">
        <f>'[2]All Counts'!M177</f>
        <v>50818</v>
      </c>
      <c r="C177" s="136">
        <f>'[2]All Counts'!N177</f>
        <v>8821</v>
      </c>
      <c r="D177" s="136">
        <f>'[2]All Counts'!O177</f>
        <v>10271</v>
      </c>
      <c r="E177" s="136" t="str">
        <f>'[2]All Counts'!P177</f>
        <v>PeMS2016</v>
      </c>
      <c r="F177" s="137"/>
    </row>
    <row r="178" spans="1:6" x14ac:dyDescent="0.25">
      <c r="A178" s="136">
        <f>'[2]All Counts'!E178</f>
        <v>29533</v>
      </c>
      <c r="B178" s="136">
        <f>'[2]All Counts'!M178</f>
        <v>17020</v>
      </c>
      <c r="C178" s="136">
        <f>'[2]All Counts'!N178</f>
        <v>4386</v>
      </c>
      <c r="D178" s="136">
        <f>'[2]All Counts'!O178</f>
        <v>2778</v>
      </c>
      <c r="E178" s="136" t="str">
        <f>'[2]All Counts'!P178</f>
        <v>PeMS2016</v>
      </c>
      <c r="F178" s="137"/>
    </row>
    <row r="179" spans="1:6" x14ac:dyDescent="0.25">
      <c r="A179" s="136">
        <f>'[2]All Counts'!E179</f>
        <v>24750</v>
      </c>
      <c r="B179" s="136">
        <f>'[2]All Counts'!M179</f>
        <v>21196</v>
      </c>
      <c r="C179" s="136">
        <f>'[2]All Counts'!N179</f>
        <v>5074</v>
      </c>
      <c r="D179" s="136">
        <f>'[2]All Counts'!O179</f>
        <v>3346</v>
      </c>
      <c r="E179" s="136" t="str">
        <f>'[2]All Counts'!P179</f>
        <v>PeMS2016</v>
      </c>
      <c r="F179" s="137"/>
    </row>
    <row r="180" spans="1:6" x14ac:dyDescent="0.25">
      <c r="A180" s="136">
        <f>'[2]All Counts'!E180</f>
        <v>663</v>
      </c>
      <c r="B180" s="136">
        <f>'[2]All Counts'!M180</f>
        <v>20291</v>
      </c>
      <c r="C180" s="136">
        <f>'[2]All Counts'!N180</f>
        <v>3808</v>
      </c>
      <c r="D180" s="136">
        <f>'[2]All Counts'!O180</f>
        <v>4186</v>
      </c>
      <c r="E180" s="136" t="str">
        <f>'[2]All Counts'!P180</f>
        <v>PeMS2016</v>
      </c>
      <c r="F180" s="137"/>
    </row>
    <row r="181" spans="1:6" x14ac:dyDescent="0.25">
      <c r="A181" s="136">
        <f>'[2]All Counts'!E181</f>
        <v>29553</v>
      </c>
      <c r="B181" s="136">
        <f>'[2]All Counts'!M181</f>
        <v>8183</v>
      </c>
      <c r="C181" s="136">
        <f>'[2]All Counts'!N181</f>
        <v>1183</v>
      </c>
      <c r="D181" s="136">
        <f>'[2]All Counts'!O181</f>
        <v>2629</v>
      </c>
      <c r="E181" s="136" t="str">
        <f>'[2]All Counts'!P181</f>
        <v>PeMS2016</v>
      </c>
      <c r="F181" s="137"/>
    </row>
    <row r="182" spans="1:6" x14ac:dyDescent="0.25">
      <c r="A182" s="136">
        <f>'[2]All Counts'!E182</f>
        <v>27540</v>
      </c>
      <c r="B182" s="136">
        <f>'[2]All Counts'!M182</f>
        <v>7157</v>
      </c>
      <c r="C182" s="136">
        <f>'[2]All Counts'!N182</f>
        <v>761</v>
      </c>
      <c r="D182" s="136">
        <f>'[2]All Counts'!O182</f>
        <v>1614</v>
      </c>
      <c r="E182" s="136" t="str">
        <f>'[2]All Counts'!P182</f>
        <v>Caltran</v>
      </c>
      <c r="F182" s="137"/>
    </row>
    <row r="183" spans="1:6" x14ac:dyDescent="0.25">
      <c r="A183" s="136">
        <f>'[2]All Counts'!E183</f>
        <v>28270</v>
      </c>
      <c r="B183" s="136">
        <f>'[2]All Counts'!M183</f>
        <v>8138</v>
      </c>
      <c r="C183" s="136">
        <f>'[2]All Counts'!N183</f>
        <v>950</v>
      </c>
      <c r="D183" s="136">
        <f>'[2]All Counts'!O183</f>
        <v>1811</v>
      </c>
      <c r="E183" s="136" t="str">
        <f>'[2]All Counts'!P183</f>
        <v>Caltran</v>
      </c>
      <c r="F183" s="137"/>
    </row>
    <row r="184" spans="1:6" x14ac:dyDescent="0.25">
      <c r="A184" s="136">
        <f>'[2]All Counts'!E184</f>
        <v>28254</v>
      </c>
      <c r="B184" s="136">
        <f>'[2]All Counts'!M184</f>
        <v>10533</v>
      </c>
      <c r="C184" s="136">
        <f>'[2]All Counts'!N184</f>
        <v>1575</v>
      </c>
      <c r="D184" s="136">
        <f>'[2]All Counts'!O184</f>
        <v>2191</v>
      </c>
      <c r="E184" s="136" t="str">
        <f>'[2]All Counts'!P184</f>
        <v>Caltran</v>
      </c>
      <c r="F184" s="137"/>
    </row>
    <row r="185" spans="1:6" x14ac:dyDescent="0.25">
      <c r="A185" s="136">
        <f>'[2]All Counts'!E185</f>
        <v>28215</v>
      </c>
      <c r="B185" s="136">
        <f>'[2]All Counts'!M185</f>
        <v>29297</v>
      </c>
      <c r="C185" s="136">
        <f>'[2]All Counts'!N185</f>
        <v>6146</v>
      </c>
      <c r="D185" s="136">
        <f>'[2]All Counts'!O185</f>
        <v>5692</v>
      </c>
      <c r="E185" s="136" t="str">
        <f>'[2]All Counts'!P185</f>
        <v>Caltran</v>
      </c>
      <c r="F185" s="137"/>
    </row>
    <row r="186" spans="1:6" x14ac:dyDescent="0.25">
      <c r="A186" s="136">
        <f>'[2]All Counts'!E186</f>
        <v>28211</v>
      </c>
      <c r="B186" s="136">
        <f>'[2]All Counts'!M186</f>
        <v>25195</v>
      </c>
      <c r="C186" s="136">
        <f>'[2]All Counts'!N186</f>
        <v>5252</v>
      </c>
      <c r="D186" s="136">
        <f>'[2]All Counts'!O186</f>
        <v>4867</v>
      </c>
      <c r="E186" s="136" t="str">
        <f>'[2]All Counts'!P186</f>
        <v>PeMS2016</v>
      </c>
      <c r="F186" s="137"/>
    </row>
    <row r="187" spans="1:6" x14ac:dyDescent="0.25">
      <c r="A187" s="136">
        <f>'[2]All Counts'!E187</f>
        <v>28206</v>
      </c>
      <c r="B187" s="136">
        <f>'[2]All Counts'!M187</f>
        <v>36597</v>
      </c>
      <c r="C187" s="136">
        <f>'[2]All Counts'!N187</f>
        <v>8141</v>
      </c>
      <c r="D187" s="136">
        <f>'[2]All Counts'!O187</f>
        <v>7200</v>
      </c>
      <c r="E187" s="136" t="str">
        <f>'[2]All Counts'!P187</f>
        <v>PeMS2016</v>
      </c>
      <c r="F187" s="137"/>
    </row>
    <row r="188" spans="1:6" x14ac:dyDescent="0.25">
      <c r="A188" s="136">
        <f>'[2]All Counts'!E188</f>
        <v>28638</v>
      </c>
      <c r="B188" s="136">
        <f>'[2]All Counts'!M188</f>
        <v>33860</v>
      </c>
      <c r="C188" s="136">
        <f>'[2]All Counts'!N188</f>
        <v>7687</v>
      </c>
      <c r="D188" s="136">
        <f>'[2]All Counts'!O188</f>
        <v>6569</v>
      </c>
      <c r="E188" s="136" t="str">
        <f>'[2]All Counts'!P188</f>
        <v>PeMS2016</v>
      </c>
      <c r="F188" s="137"/>
    </row>
    <row r="189" spans="1:6" x14ac:dyDescent="0.25">
      <c r="A189" s="136">
        <f>'[2]All Counts'!E189</f>
        <v>28637</v>
      </c>
      <c r="B189" s="136">
        <f>'[2]All Counts'!M189</f>
        <v>43206</v>
      </c>
      <c r="C189" s="136">
        <f>'[2]All Counts'!N189</f>
        <v>9135</v>
      </c>
      <c r="D189" s="136">
        <f>'[2]All Counts'!O189</f>
        <v>8766</v>
      </c>
      <c r="E189" s="136" t="str">
        <f>'[2]All Counts'!P189</f>
        <v>PeMS2016</v>
      </c>
      <c r="F189" s="137"/>
    </row>
    <row r="190" spans="1:6" x14ac:dyDescent="0.25">
      <c r="A190" s="136">
        <f>'[2]All Counts'!E190</f>
        <v>28200</v>
      </c>
      <c r="B190" s="136">
        <f>'[2]All Counts'!M190</f>
        <v>39155</v>
      </c>
      <c r="C190" s="136">
        <f>'[2]All Counts'!N190</f>
        <v>8848</v>
      </c>
      <c r="D190" s="136">
        <f>'[2]All Counts'!O190</f>
        <v>7575</v>
      </c>
      <c r="E190" s="136" t="str">
        <f>'[2]All Counts'!P190</f>
        <v>PeMS2016</v>
      </c>
      <c r="F190" s="137"/>
    </row>
    <row r="191" spans="1:6" x14ac:dyDescent="0.25">
      <c r="A191" s="136">
        <f>'[2]All Counts'!E191</f>
        <v>28197</v>
      </c>
      <c r="B191" s="136">
        <f>'[2]All Counts'!M191</f>
        <v>50634</v>
      </c>
      <c r="C191" s="136">
        <f>'[2]All Counts'!N191</f>
        <v>11638</v>
      </c>
      <c r="D191" s="136">
        <f>'[2]All Counts'!O191</f>
        <v>9769</v>
      </c>
      <c r="E191" s="136" t="str">
        <f>'[2]All Counts'!P191</f>
        <v>PeMS2016</v>
      </c>
      <c r="F191" s="137"/>
    </row>
    <row r="192" spans="1:6" x14ac:dyDescent="0.25">
      <c r="A192" s="136">
        <f>'[2]All Counts'!E192</f>
        <v>28195</v>
      </c>
      <c r="B192" s="136">
        <f>'[2]All Counts'!M192</f>
        <v>50634</v>
      </c>
      <c r="C192" s="136">
        <f>'[2]All Counts'!N192</f>
        <v>11638</v>
      </c>
      <c r="D192" s="136">
        <f>'[2]All Counts'!O192</f>
        <v>9769</v>
      </c>
      <c r="E192" s="136" t="str">
        <f>'[2]All Counts'!P192</f>
        <v>PeMS2016</v>
      </c>
      <c r="F192" s="137"/>
    </row>
    <row r="193" spans="1:6" x14ac:dyDescent="0.25">
      <c r="A193" s="136">
        <f>'[2]All Counts'!E193</f>
        <v>28634</v>
      </c>
      <c r="B193" s="136">
        <f>'[2]All Counts'!M193</f>
        <v>46366</v>
      </c>
      <c r="C193" s="136">
        <f>'[2]All Counts'!N193</f>
        <v>10892</v>
      </c>
      <c r="D193" s="136">
        <f>'[2]All Counts'!O193</f>
        <v>8745</v>
      </c>
      <c r="E193" s="136" t="str">
        <f>'[2]All Counts'!P193</f>
        <v>PeMS2016</v>
      </c>
      <c r="F193" s="137"/>
    </row>
    <row r="194" spans="1:6" x14ac:dyDescent="0.25">
      <c r="A194" s="136">
        <f>'[2]All Counts'!E194</f>
        <v>28379</v>
      </c>
      <c r="B194" s="136">
        <f>'[2]All Counts'!M194</f>
        <v>46366</v>
      </c>
      <c r="C194" s="136">
        <f>'[2]All Counts'!N194</f>
        <v>10892</v>
      </c>
      <c r="D194" s="136">
        <f>'[2]All Counts'!O194</f>
        <v>8745</v>
      </c>
      <c r="E194" s="136" t="str">
        <f>'[2]All Counts'!P194</f>
        <v>PeMS2016</v>
      </c>
      <c r="F194" s="137"/>
    </row>
    <row r="195" spans="1:6" x14ac:dyDescent="0.25">
      <c r="A195" s="136">
        <f>'[2]All Counts'!E195</f>
        <v>28193</v>
      </c>
      <c r="B195" s="136">
        <f>'[2]All Counts'!M195</f>
        <v>44272</v>
      </c>
      <c r="C195" s="136">
        <f>'[2]All Counts'!N195</f>
        <v>10609</v>
      </c>
      <c r="D195" s="136">
        <f>'[2]All Counts'!O195</f>
        <v>8290</v>
      </c>
      <c r="E195" s="136" t="str">
        <f>'[2]All Counts'!P195</f>
        <v>PeMS2016</v>
      </c>
      <c r="F195" s="137"/>
    </row>
    <row r="196" spans="1:6" x14ac:dyDescent="0.25">
      <c r="A196" s="136">
        <f>'[2]All Counts'!E196</f>
        <v>28188</v>
      </c>
      <c r="B196" s="136">
        <f>'[2]All Counts'!M196</f>
        <v>66615</v>
      </c>
      <c r="C196" s="136">
        <f>'[2]All Counts'!N196</f>
        <v>15176</v>
      </c>
      <c r="D196" s="136">
        <f>'[2]All Counts'!O196</f>
        <v>12716</v>
      </c>
      <c r="E196" s="136" t="str">
        <f>'[2]All Counts'!P196</f>
        <v>PeMS2016</v>
      </c>
      <c r="F196" s="137"/>
    </row>
    <row r="197" spans="1:6" x14ac:dyDescent="0.25">
      <c r="A197" s="136">
        <f>'[2]All Counts'!E197</f>
        <v>28182</v>
      </c>
      <c r="B197" s="136">
        <f>'[2]All Counts'!M197</f>
        <v>63692</v>
      </c>
      <c r="C197" s="136">
        <f>'[2]All Counts'!N197</f>
        <v>14664</v>
      </c>
      <c r="D197" s="136">
        <f>'[2]All Counts'!O197</f>
        <v>12056</v>
      </c>
      <c r="E197" s="136" t="str">
        <f>'[2]All Counts'!P197</f>
        <v>PeMS2016</v>
      </c>
      <c r="F197" s="137"/>
    </row>
    <row r="198" spans="1:6" x14ac:dyDescent="0.25">
      <c r="A198" s="136">
        <f>'[2]All Counts'!E198</f>
        <v>28178</v>
      </c>
      <c r="B198" s="136">
        <f>'[2]All Counts'!M198</f>
        <v>52433</v>
      </c>
      <c r="C198" s="136">
        <f>'[2]All Counts'!N198</f>
        <v>12747</v>
      </c>
      <c r="D198" s="136">
        <f>'[2]All Counts'!O198</f>
        <v>9963</v>
      </c>
      <c r="E198" s="136" t="str">
        <f>'[2]All Counts'!P198</f>
        <v>PeMS2016</v>
      </c>
      <c r="F198" s="137"/>
    </row>
    <row r="199" spans="1:6" x14ac:dyDescent="0.25">
      <c r="A199" s="136">
        <f>'[2]All Counts'!E199</f>
        <v>20727</v>
      </c>
      <c r="B199" s="136">
        <f>'[2]All Counts'!M199</f>
        <v>52427</v>
      </c>
      <c r="C199" s="136">
        <f>'[2]All Counts'!N199</f>
        <v>12697</v>
      </c>
      <c r="D199" s="136">
        <f>'[2]All Counts'!O199</f>
        <v>10019</v>
      </c>
      <c r="E199" s="136" t="str">
        <f>'[2]All Counts'!P199</f>
        <v>PeMS2016</v>
      </c>
      <c r="F199" s="137"/>
    </row>
    <row r="200" spans="1:6" x14ac:dyDescent="0.25">
      <c r="A200" s="136">
        <f>'[2]All Counts'!E200</f>
        <v>20730</v>
      </c>
      <c r="B200" s="136">
        <f>'[2]All Counts'!M200</f>
        <v>87450</v>
      </c>
      <c r="C200" s="136">
        <f>'[2]All Counts'!N200</f>
        <v>19145</v>
      </c>
      <c r="D200" s="136">
        <f>'[2]All Counts'!O200</f>
        <v>18455</v>
      </c>
      <c r="E200" s="136" t="str">
        <f>'[2]All Counts'!P200</f>
        <v>PeMS2016</v>
      </c>
      <c r="F200" s="137"/>
    </row>
    <row r="201" spans="1:6" x14ac:dyDescent="0.25">
      <c r="A201" s="136">
        <f>'[2]All Counts'!E201</f>
        <v>11056</v>
      </c>
      <c r="B201" s="136">
        <f>'[2]All Counts'!M201</f>
        <v>88709</v>
      </c>
      <c r="C201" s="136">
        <f>'[2]All Counts'!N201</f>
        <v>18815</v>
      </c>
      <c r="D201" s="136">
        <f>'[2]All Counts'!O201</f>
        <v>19260</v>
      </c>
      <c r="E201" s="136" t="str">
        <f>'[2]All Counts'!P201</f>
        <v>PeMS2016</v>
      </c>
      <c r="F201" s="137"/>
    </row>
    <row r="202" spans="1:6" x14ac:dyDescent="0.25">
      <c r="A202" s="136">
        <f>'[2]All Counts'!E202</f>
        <v>11263</v>
      </c>
      <c r="B202" s="136">
        <f>'[2]All Counts'!M202</f>
        <v>98312</v>
      </c>
      <c r="C202" s="136">
        <f>'[2]All Counts'!N202</f>
        <v>20514</v>
      </c>
      <c r="D202" s="136">
        <f>'[2]All Counts'!O202</f>
        <v>21553</v>
      </c>
      <c r="E202" s="136" t="str">
        <f>'[2]All Counts'!P202</f>
        <v>PeMS2016</v>
      </c>
      <c r="F202" s="137"/>
    </row>
    <row r="203" spans="1:6" x14ac:dyDescent="0.25">
      <c r="A203" s="136">
        <f>'[2]All Counts'!E203</f>
        <v>11266</v>
      </c>
      <c r="B203" s="136">
        <f>'[2]All Counts'!M203</f>
        <v>126005</v>
      </c>
      <c r="C203" s="136">
        <f>'[2]All Counts'!N203</f>
        <v>26250</v>
      </c>
      <c r="D203" s="136">
        <f>'[2]All Counts'!O203</f>
        <v>27071</v>
      </c>
      <c r="E203" s="136" t="str">
        <f>'[2]All Counts'!P203</f>
        <v>PeMS2016</v>
      </c>
      <c r="F203" s="137"/>
    </row>
    <row r="204" spans="1:6" x14ac:dyDescent="0.25">
      <c r="A204" s="136">
        <f>'[2]All Counts'!E204</f>
        <v>11290</v>
      </c>
      <c r="B204" s="136">
        <f>'[2]All Counts'!M204</f>
        <v>57748</v>
      </c>
      <c r="C204" s="136">
        <f>'[2]All Counts'!N204</f>
        <v>13169</v>
      </c>
      <c r="D204" s="136">
        <f>'[2]All Counts'!O204</f>
        <v>11961</v>
      </c>
      <c r="E204" s="136" t="str">
        <f>'[2]All Counts'!P204</f>
        <v>PeMS2016</v>
      </c>
      <c r="F204" s="137"/>
    </row>
    <row r="205" spans="1:6" x14ac:dyDescent="0.25">
      <c r="A205" s="136">
        <f>'[2]All Counts'!E205</f>
        <v>28396</v>
      </c>
      <c r="B205" s="136">
        <f>'[2]All Counts'!M205</f>
        <v>57307</v>
      </c>
      <c r="C205" s="136">
        <f>'[2]All Counts'!N205</f>
        <v>13076</v>
      </c>
      <c r="D205" s="136">
        <f>'[2]All Counts'!O205</f>
        <v>11849</v>
      </c>
      <c r="E205" s="136" t="str">
        <f>'[2]All Counts'!P205</f>
        <v>PeMS2016</v>
      </c>
      <c r="F205" s="137"/>
    </row>
    <row r="206" spans="1:6" x14ac:dyDescent="0.25">
      <c r="A206" s="136">
        <f>'[2]All Counts'!E206</f>
        <v>28397</v>
      </c>
      <c r="B206" s="136">
        <f>'[2]All Counts'!M206</f>
        <v>90731</v>
      </c>
      <c r="C206" s="136">
        <f>'[2]All Counts'!N206</f>
        <v>19159</v>
      </c>
      <c r="D206" s="136">
        <f>'[2]All Counts'!O206</f>
        <v>19074</v>
      </c>
      <c r="E206" s="136" t="str">
        <f>'[2]All Counts'!P206</f>
        <v>PeMS2016</v>
      </c>
      <c r="F206" s="137"/>
    </row>
    <row r="207" spans="1:6" x14ac:dyDescent="0.25">
      <c r="A207" s="136">
        <f>'[2]All Counts'!E207</f>
        <v>28144</v>
      </c>
      <c r="B207" s="136">
        <f>'[2]All Counts'!M207</f>
        <v>96859</v>
      </c>
      <c r="C207" s="136">
        <f>'[2]All Counts'!N207</f>
        <v>19447</v>
      </c>
      <c r="D207" s="136">
        <f>'[2]All Counts'!O207</f>
        <v>20572</v>
      </c>
      <c r="E207" s="136" t="str">
        <f>'[2]All Counts'!P207</f>
        <v>Caltran</v>
      </c>
      <c r="F207" s="137"/>
    </row>
    <row r="208" spans="1:6" x14ac:dyDescent="0.25">
      <c r="A208" s="136">
        <f>'[2]All Counts'!E208</f>
        <v>20731</v>
      </c>
      <c r="B208" s="136">
        <f>'[2]All Counts'!M208</f>
        <v>79966</v>
      </c>
      <c r="C208" s="136">
        <f>'[2]All Counts'!N208</f>
        <v>17050</v>
      </c>
      <c r="D208" s="136">
        <f>'[2]All Counts'!O208</f>
        <v>16431</v>
      </c>
      <c r="E208" s="136" t="str">
        <f>'[2]All Counts'!P208</f>
        <v>PeMS2016</v>
      </c>
      <c r="F208" s="137"/>
    </row>
    <row r="209" spans="1:6" x14ac:dyDescent="0.25">
      <c r="A209" s="136">
        <f>'[2]All Counts'!E209</f>
        <v>28124</v>
      </c>
      <c r="B209" s="136">
        <f>'[2]All Counts'!M209</f>
        <v>83618</v>
      </c>
      <c r="C209" s="136">
        <f>'[2]All Counts'!N209</f>
        <v>18767</v>
      </c>
      <c r="D209" s="136">
        <f>'[2]All Counts'!O209</f>
        <v>16883</v>
      </c>
      <c r="E209" s="136" t="str">
        <f>'[2]All Counts'!P209</f>
        <v>PeMS2016</v>
      </c>
      <c r="F209" s="137"/>
    </row>
    <row r="210" spans="1:6" x14ac:dyDescent="0.25">
      <c r="A210" s="136">
        <f>'[2]All Counts'!E210</f>
        <v>28120</v>
      </c>
      <c r="B210" s="136">
        <f>'[2]All Counts'!M210</f>
        <v>96581</v>
      </c>
      <c r="C210" s="136">
        <f>'[2]All Counts'!N210</f>
        <v>22353</v>
      </c>
      <c r="D210" s="136">
        <f>'[2]All Counts'!O210</f>
        <v>19080</v>
      </c>
      <c r="E210" s="136" t="str">
        <f>'[2]All Counts'!P210</f>
        <v>PeMS2016</v>
      </c>
      <c r="F210" s="137"/>
    </row>
    <row r="211" spans="1:6" x14ac:dyDescent="0.25">
      <c r="A211" s="136">
        <f>'[2]All Counts'!E211</f>
        <v>28118</v>
      </c>
      <c r="B211" s="136">
        <f>'[2]All Counts'!M211</f>
        <v>88696</v>
      </c>
      <c r="C211" s="136">
        <f>'[2]All Counts'!N211</f>
        <v>20941</v>
      </c>
      <c r="D211" s="136">
        <f>'[2]All Counts'!O211</f>
        <v>17488</v>
      </c>
      <c r="E211" s="136" t="str">
        <f>'[2]All Counts'!P211</f>
        <v>PeMS2016</v>
      </c>
      <c r="F211" s="137"/>
    </row>
    <row r="212" spans="1:6" x14ac:dyDescent="0.25">
      <c r="A212" s="136">
        <f>'[2]All Counts'!E212</f>
        <v>15458</v>
      </c>
      <c r="B212" s="136">
        <f>'[2]All Counts'!M212</f>
        <v>97668</v>
      </c>
      <c r="C212" s="136">
        <f>'[2]All Counts'!N212</f>
        <v>23077</v>
      </c>
      <c r="D212" s="136">
        <f>'[2]All Counts'!O212</f>
        <v>18996</v>
      </c>
      <c r="E212" s="136" t="str">
        <f>'[2]All Counts'!P212</f>
        <v>Caltran</v>
      </c>
      <c r="F212" s="137"/>
    </row>
    <row r="213" spans="1:6" x14ac:dyDescent="0.25">
      <c r="A213" s="136">
        <f>'[2]All Counts'!E213</f>
        <v>15456</v>
      </c>
      <c r="B213" s="136">
        <f>'[2]All Counts'!M213</f>
        <v>98040</v>
      </c>
      <c r="C213" s="136">
        <f>'[2]All Counts'!N213</f>
        <v>24654</v>
      </c>
      <c r="D213" s="136">
        <f>'[2]All Counts'!O213</f>
        <v>18472</v>
      </c>
      <c r="E213" s="136" t="str">
        <f>'[2]All Counts'!P213</f>
        <v>PeMS2016</v>
      </c>
      <c r="F213" s="137"/>
    </row>
    <row r="214" spans="1:6" x14ac:dyDescent="0.25">
      <c r="A214" s="136">
        <f>'[2]All Counts'!E214</f>
        <v>15442</v>
      </c>
      <c r="B214" s="136">
        <f>'[2]All Counts'!M214</f>
        <v>116873</v>
      </c>
      <c r="C214" s="136">
        <f>'[2]All Counts'!N214</f>
        <v>27332</v>
      </c>
      <c r="D214" s="136">
        <f>'[2]All Counts'!O214</f>
        <v>22776</v>
      </c>
      <c r="E214" s="136" t="str">
        <f>'[2]All Counts'!P214</f>
        <v>Caltran</v>
      </c>
      <c r="F214" s="137"/>
    </row>
    <row r="215" spans="1:6" x14ac:dyDescent="0.25">
      <c r="A215" s="136">
        <f>'[2]All Counts'!E215</f>
        <v>15439</v>
      </c>
      <c r="B215" s="136">
        <f>'[2]All Counts'!M215</f>
        <v>115726</v>
      </c>
      <c r="C215" s="136">
        <f>'[2]All Counts'!N215</f>
        <v>27493</v>
      </c>
      <c r="D215" s="136">
        <f>'[2]All Counts'!O215</f>
        <v>22466</v>
      </c>
      <c r="E215" s="136" t="str">
        <f>'[2]All Counts'!P215</f>
        <v>PeMS2016</v>
      </c>
      <c r="F215" s="137"/>
    </row>
    <row r="216" spans="1:6" x14ac:dyDescent="0.25">
      <c r="A216" s="136">
        <f>'[2]All Counts'!E216</f>
        <v>15430</v>
      </c>
      <c r="B216" s="136">
        <f>'[2]All Counts'!M216</f>
        <v>125614</v>
      </c>
      <c r="C216" s="136">
        <f>'[2]All Counts'!N216</f>
        <v>29786</v>
      </c>
      <c r="D216" s="136">
        <f>'[2]All Counts'!O216</f>
        <v>24478</v>
      </c>
      <c r="E216" s="136" t="str">
        <f>'[2]All Counts'!P216</f>
        <v>PeMS2016</v>
      </c>
      <c r="F216" s="137"/>
    </row>
    <row r="217" spans="1:6" x14ac:dyDescent="0.25">
      <c r="A217" s="136">
        <f>'[2]All Counts'!E217</f>
        <v>15425</v>
      </c>
      <c r="B217" s="136">
        <f>'[2]All Counts'!M217</f>
        <v>120341</v>
      </c>
      <c r="C217" s="136">
        <f>'[2]All Counts'!N217</f>
        <v>29017</v>
      </c>
      <c r="D217" s="136">
        <f>'[2]All Counts'!O217</f>
        <v>22829</v>
      </c>
      <c r="E217" s="136" t="str">
        <f>'[2]All Counts'!P217</f>
        <v>PeMS2016</v>
      </c>
      <c r="F217" s="137"/>
    </row>
    <row r="218" spans="1:6" x14ac:dyDescent="0.25">
      <c r="A218" s="136">
        <f>'[2]All Counts'!E218</f>
        <v>16533</v>
      </c>
      <c r="B218" s="136">
        <f>'[2]All Counts'!M218</f>
        <v>77622</v>
      </c>
      <c r="C218" s="136">
        <f>'[2]All Counts'!N218</f>
        <v>18795</v>
      </c>
      <c r="D218" s="136">
        <f>'[2]All Counts'!O218</f>
        <v>15169</v>
      </c>
      <c r="E218" s="136" t="str">
        <f>'[2]All Counts'!P218</f>
        <v>PeMS2016</v>
      </c>
      <c r="F218" s="137"/>
    </row>
    <row r="219" spans="1:6" x14ac:dyDescent="0.25">
      <c r="A219" s="136">
        <f>'[2]All Counts'!E219</f>
        <v>10998</v>
      </c>
      <c r="B219" s="136">
        <f>'[2]All Counts'!M219</f>
        <v>111690</v>
      </c>
      <c r="C219" s="136">
        <f>'[2]All Counts'!N219</f>
        <v>26758</v>
      </c>
      <c r="D219" s="136">
        <f>'[2]All Counts'!O219</f>
        <v>21986</v>
      </c>
      <c r="E219" s="136" t="str">
        <f>'[2]All Counts'!P219</f>
        <v>PeMS2016</v>
      </c>
      <c r="F219" s="137"/>
    </row>
    <row r="220" spans="1:6" x14ac:dyDescent="0.25">
      <c r="A220" s="136">
        <f>'[2]All Counts'!E220</f>
        <v>10994</v>
      </c>
      <c r="B220" s="136">
        <f>'[2]All Counts'!M220</f>
        <v>86219</v>
      </c>
      <c r="C220" s="136">
        <f>'[2]All Counts'!N220</f>
        <v>20209</v>
      </c>
      <c r="D220" s="136">
        <f>'[2]All Counts'!O220</f>
        <v>17634</v>
      </c>
      <c r="E220" s="136" t="str">
        <f>'[2]All Counts'!P220</f>
        <v>PeMS2016</v>
      </c>
      <c r="F220" s="137"/>
    </row>
    <row r="221" spans="1:6" x14ac:dyDescent="0.25">
      <c r="A221" s="136">
        <f>'[2]All Counts'!E221</f>
        <v>10991</v>
      </c>
      <c r="B221" s="136">
        <f>'[2]All Counts'!M221</f>
        <v>77133</v>
      </c>
      <c r="C221" s="136">
        <f>'[2]All Counts'!N221</f>
        <v>18288</v>
      </c>
      <c r="D221" s="136">
        <f>'[2]All Counts'!O221</f>
        <v>15627</v>
      </c>
      <c r="E221" s="136" t="str">
        <f>'[2]All Counts'!P221</f>
        <v>PeMS2016</v>
      </c>
      <c r="F221" s="137"/>
    </row>
    <row r="222" spans="1:6" x14ac:dyDescent="0.25">
      <c r="A222" s="136">
        <f>'[2]All Counts'!E222</f>
        <v>16085</v>
      </c>
      <c r="B222" s="136">
        <f>'[2]All Counts'!M222</f>
        <v>121927</v>
      </c>
      <c r="C222" s="136">
        <f>'[2]All Counts'!N222</f>
        <v>25568</v>
      </c>
      <c r="D222" s="136">
        <f>'[2]All Counts'!O222</f>
        <v>25919</v>
      </c>
      <c r="E222" s="136" t="str">
        <f>'[2]All Counts'!P222</f>
        <v>PeMS2016</v>
      </c>
      <c r="F222" s="137"/>
    </row>
    <row r="223" spans="1:6" x14ac:dyDescent="0.25">
      <c r="A223" s="136">
        <f>'[2]All Counts'!E223</f>
        <v>10982</v>
      </c>
      <c r="B223" s="136">
        <f>'[2]All Counts'!M223</f>
        <v>114485</v>
      </c>
      <c r="C223" s="136">
        <f>'[2]All Counts'!N223</f>
        <v>24087</v>
      </c>
      <c r="D223" s="136">
        <f>'[2]All Counts'!O223</f>
        <v>24409</v>
      </c>
      <c r="E223" s="136" t="str">
        <f>'[2]All Counts'!P223</f>
        <v>PeMS2016</v>
      </c>
      <c r="F223" s="137"/>
    </row>
    <row r="224" spans="1:6" x14ac:dyDescent="0.25">
      <c r="A224" s="136">
        <f>'[2]All Counts'!E224</f>
        <v>10981</v>
      </c>
      <c r="B224" s="136">
        <f>'[2]All Counts'!M224</f>
        <v>114485</v>
      </c>
      <c r="C224" s="136">
        <f>'[2]All Counts'!N224</f>
        <v>24087</v>
      </c>
      <c r="D224" s="136">
        <f>'[2]All Counts'!O224</f>
        <v>24409</v>
      </c>
      <c r="E224" s="136" t="str">
        <f>'[2]All Counts'!P224</f>
        <v>PeMS2016</v>
      </c>
      <c r="F224" s="137"/>
    </row>
    <row r="225" spans="1:6" x14ac:dyDescent="0.25">
      <c r="A225" s="136">
        <f>'[2]All Counts'!E225</f>
        <v>10979</v>
      </c>
      <c r="B225" s="136">
        <f>'[2]All Counts'!M225</f>
        <v>96104</v>
      </c>
      <c r="C225" s="136">
        <f>'[2]All Counts'!N225</f>
        <v>20262</v>
      </c>
      <c r="D225" s="136">
        <f>'[2]All Counts'!O225</f>
        <v>20299</v>
      </c>
      <c r="E225" s="136" t="str">
        <f>'[2]All Counts'!P225</f>
        <v>PeMS2016</v>
      </c>
      <c r="F225" s="137"/>
    </row>
    <row r="226" spans="1:6" x14ac:dyDescent="0.25">
      <c r="A226" s="136">
        <f>'[2]All Counts'!E226</f>
        <v>29097</v>
      </c>
      <c r="B226" s="136">
        <f>'[2]All Counts'!M226</f>
        <v>86198</v>
      </c>
      <c r="C226" s="136">
        <f>'[2]All Counts'!N226</f>
        <v>18686</v>
      </c>
      <c r="D226" s="136">
        <f>'[2]All Counts'!O226</f>
        <v>18221</v>
      </c>
      <c r="E226" s="136" t="str">
        <f>'[2]All Counts'!P226</f>
        <v>PeMS2016</v>
      </c>
      <c r="F226" s="137"/>
    </row>
    <row r="227" spans="1:6" x14ac:dyDescent="0.25">
      <c r="A227" s="136">
        <f>'[2]All Counts'!E227</f>
        <v>29095</v>
      </c>
      <c r="B227" s="136">
        <f>'[2]All Counts'!M227</f>
        <v>102633</v>
      </c>
      <c r="C227" s="136">
        <f>'[2]All Counts'!N227</f>
        <v>22216</v>
      </c>
      <c r="D227" s="136">
        <f>'[2]All Counts'!O227</f>
        <v>21943</v>
      </c>
      <c r="E227" s="136" t="str">
        <f>'[2]All Counts'!P227</f>
        <v>PeMS2016</v>
      </c>
      <c r="F227" s="137"/>
    </row>
    <row r="228" spans="1:6" x14ac:dyDescent="0.25">
      <c r="A228" s="136">
        <f>'[2]All Counts'!E228</f>
        <v>29090</v>
      </c>
      <c r="B228" s="136">
        <f>'[2]All Counts'!M228</f>
        <v>105465</v>
      </c>
      <c r="C228" s="136">
        <f>'[2]All Counts'!N228</f>
        <v>22211</v>
      </c>
      <c r="D228" s="136">
        <f>'[2]All Counts'!O228</f>
        <v>22801</v>
      </c>
      <c r="E228" s="136" t="str">
        <f>'[2]All Counts'!P228</f>
        <v>PeMS2016</v>
      </c>
      <c r="F228" s="137"/>
    </row>
    <row r="229" spans="1:6" x14ac:dyDescent="0.25">
      <c r="A229" s="136">
        <f>'[2]All Counts'!E229</f>
        <v>29086</v>
      </c>
      <c r="B229" s="136">
        <f>'[2]All Counts'!M229</f>
        <v>103309</v>
      </c>
      <c r="C229" s="136">
        <f>'[2]All Counts'!N229</f>
        <v>21700</v>
      </c>
      <c r="D229" s="136">
        <f>'[2]All Counts'!O229</f>
        <v>22199</v>
      </c>
      <c r="E229" s="136" t="str">
        <f>'[2]All Counts'!P229</f>
        <v>PeMS2016</v>
      </c>
      <c r="F229" s="137"/>
    </row>
    <row r="230" spans="1:6" x14ac:dyDescent="0.25">
      <c r="A230" s="136">
        <f>'[2]All Counts'!E230</f>
        <v>29082</v>
      </c>
      <c r="B230" s="136">
        <f>'[2]All Counts'!M230</f>
        <v>103309</v>
      </c>
      <c r="C230" s="136">
        <f>'[2]All Counts'!N230</f>
        <v>21700</v>
      </c>
      <c r="D230" s="136">
        <f>'[2]All Counts'!O230</f>
        <v>22199</v>
      </c>
      <c r="E230" s="136" t="str">
        <f>'[2]All Counts'!P230</f>
        <v>PeMS2016</v>
      </c>
      <c r="F230" s="137"/>
    </row>
    <row r="231" spans="1:6" x14ac:dyDescent="0.25">
      <c r="A231" s="136">
        <f>'[2]All Counts'!E231</f>
        <v>27600</v>
      </c>
      <c r="B231" s="136">
        <f>'[2]All Counts'!M231</f>
        <v>93303</v>
      </c>
      <c r="C231" s="136">
        <f>'[2]All Counts'!N231</f>
        <v>19168</v>
      </c>
      <c r="D231" s="136">
        <f>'[2]All Counts'!O231</f>
        <v>20372</v>
      </c>
      <c r="E231" s="136" t="str">
        <f>'[2]All Counts'!P231</f>
        <v>PeMS2016</v>
      </c>
      <c r="F231" s="137"/>
    </row>
    <row r="232" spans="1:6" x14ac:dyDescent="0.25">
      <c r="A232" s="136">
        <f>'[2]All Counts'!E232</f>
        <v>28085</v>
      </c>
      <c r="B232" s="136">
        <f>'[2]All Counts'!M232</f>
        <v>53947</v>
      </c>
      <c r="C232" s="136">
        <f>'[2]All Counts'!N232</f>
        <v>8877</v>
      </c>
      <c r="D232" s="136">
        <f>'[2]All Counts'!O232</f>
        <v>13497</v>
      </c>
      <c r="E232" s="136" t="str">
        <f>'[2]All Counts'!P232</f>
        <v>PeMS2016</v>
      </c>
      <c r="F232" s="137"/>
    </row>
    <row r="233" spans="1:6" x14ac:dyDescent="0.25">
      <c r="A233" s="136">
        <f>'[2]All Counts'!E233</f>
        <v>1042</v>
      </c>
      <c r="B233" s="136">
        <f>'[2]All Counts'!M233</f>
        <v>17492</v>
      </c>
      <c r="C233" s="136">
        <f>'[2]All Counts'!N233</f>
        <v>2136</v>
      </c>
      <c r="D233" s="136">
        <f>'[2]All Counts'!O233</f>
        <v>5367</v>
      </c>
      <c r="E233" s="136" t="str">
        <f>'[2]All Counts'!P233</f>
        <v>PeMS2016</v>
      </c>
      <c r="F233" s="137"/>
    </row>
    <row r="234" spans="1:6" x14ac:dyDescent="0.25">
      <c r="A234" s="136">
        <f>'[2]All Counts'!E234</f>
        <v>9919</v>
      </c>
      <c r="B234" s="136">
        <f>'[2]All Counts'!M234</f>
        <v>40602</v>
      </c>
      <c r="C234" s="136">
        <f>'[2]All Counts'!N234</f>
        <v>5877</v>
      </c>
      <c r="D234" s="136">
        <f>'[2]All Counts'!O234</f>
        <v>6959</v>
      </c>
      <c r="E234" s="136" t="str">
        <f>'[2]All Counts'!P234</f>
        <v>PeMS2016</v>
      </c>
      <c r="F234" s="137"/>
    </row>
    <row r="235" spans="1:6" x14ac:dyDescent="0.25">
      <c r="A235" s="136">
        <f>'[2]All Counts'!E235</f>
        <v>27694</v>
      </c>
      <c r="B235" s="136">
        <f>'[2]All Counts'!M235</f>
        <v>21018</v>
      </c>
      <c r="C235" s="136">
        <f>'[2]All Counts'!N235</f>
        <v>3305</v>
      </c>
      <c r="D235" s="136">
        <f>'[2]All Counts'!O235</f>
        <v>3216</v>
      </c>
      <c r="E235" s="136" t="str">
        <f>'[2]All Counts'!P235</f>
        <v>Caltran</v>
      </c>
      <c r="F235" s="137"/>
    </row>
    <row r="236" spans="1:6" x14ac:dyDescent="0.25">
      <c r="A236" s="136">
        <f>'[2]All Counts'!E236</f>
        <v>27154</v>
      </c>
      <c r="B236" s="136">
        <f>'[2]All Counts'!M236</f>
        <v>20387</v>
      </c>
      <c r="C236" s="136">
        <f>'[2]All Counts'!N236</f>
        <v>3229</v>
      </c>
      <c r="D236" s="136">
        <f>'[2]All Counts'!O236</f>
        <v>3094</v>
      </c>
      <c r="E236" s="136" t="str">
        <f>'[2]All Counts'!P236</f>
        <v>PeMS2016</v>
      </c>
      <c r="F236" s="137"/>
    </row>
    <row r="237" spans="1:6" x14ac:dyDescent="0.25">
      <c r="A237" s="136">
        <f>'[2]All Counts'!E237</f>
        <v>27884</v>
      </c>
      <c r="B237" s="136">
        <f>'[2]All Counts'!M237</f>
        <v>29223</v>
      </c>
      <c r="C237" s="136">
        <f>'[2]All Counts'!N237</f>
        <v>4348</v>
      </c>
      <c r="D237" s="136">
        <f>'[2]All Counts'!O237</f>
        <v>4940</v>
      </c>
      <c r="E237" s="136" t="str">
        <f>'[2]All Counts'!P237</f>
        <v>PeMS2016</v>
      </c>
      <c r="F237" s="137"/>
    </row>
    <row r="238" spans="1:6" x14ac:dyDescent="0.25">
      <c r="A238" s="136">
        <f>'[2]All Counts'!E238</f>
        <v>27883</v>
      </c>
      <c r="B238" s="136">
        <f>'[2]All Counts'!M238</f>
        <v>24429</v>
      </c>
      <c r="C238" s="136">
        <f>'[2]All Counts'!N238</f>
        <v>3679</v>
      </c>
      <c r="D238" s="136">
        <f>'[2]All Counts'!O238</f>
        <v>4161</v>
      </c>
      <c r="E238" s="136" t="str">
        <f>'[2]All Counts'!P238</f>
        <v>PeMS2016</v>
      </c>
      <c r="F238" s="137"/>
    </row>
    <row r="239" spans="1:6" x14ac:dyDescent="0.25">
      <c r="A239" s="136">
        <f>'[2]All Counts'!E239</f>
        <v>27875</v>
      </c>
      <c r="B239" s="136">
        <f>'[2]All Counts'!M239</f>
        <v>36316</v>
      </c>
      <c r="C239" s="136">
        <f>'[2]All Counts'!N239</f>
        <v>6016</v>
      </c>
      <c r="D239" s="136">
        <f>'[2]All Counts'!O239</f>
        <v>6313</v>
      </c>
      <c r="E239" s="136" t="str">
        <f>'[2]All Counts'!P239</f>
        <v>PeMS2016</v>
      </c>
      <c r="F239" s="137"/>
    </row>
    <row r="240" spans="1:6" x14ac:dyDescent="0.25">
      <c r="A240" s="136">
        <f>'[2]All Counts'!E240</f>
        <v>27877</v>
      </c>
      <c r="B240" s="136">
        <f>'[2]All Counts'!M240</f>
        <v>37012</v>
      </c>
      <c r="C240" s="136">
        <f>'[2]All Counts'!N240</f>
        <v>6509</v>
      </c>
      <c r="D240" s="136">
        <f>'[2]All Counts'!O240</f>
        <v>6417</v>
      </c>
      <c r="E240" s="136" t="str">
        <f>'[2]All Counts'!P240</f>
        <v>PeMS2016</v>
      </c>
      <c r="F240" s="137"/>
    </row>
    <row r="241" spans="1:6" x14ac:dyDescent="0.25">
      <c r="A241" s="136">
        <f>'[2]All Counts'!E241</f>
        <v>20464</v>
      </c>
      <c r="B241" s="136">
        <f>'[2]All Counts'!M241</f>
        <v>75530</v>
      </c>
      <c r="C241" s="136">
        <f>'[2]All Counts'!N241</f>
        <v>14847</v>
      </c>
      <c r="D241" s="136">
        <f>'[2]All Counts'!O241</f>
        <v>13335</v>
      </c>
      <c r="E241" s="136" t="str">
        <f>'[2]All Counts'!P241</f>
        <v>PeMS2016</v>
      </c>
      <c r="F241" s="137"/>
    </row>
    <row r="242" spans="1:6" x14ac:dyDescent="0.25">
      <c r="A242" s="136">
        <f>'[2]All Counts'!E242</f>
        <v>27903</v>
      </c>
      <c r="B242" s="136">
        <f>'[2]All Counts'!M242</f>
        <v>52054</v>
      </c>
      <c r="C242" s="136">
        <f>'[2]All Counts'!N242</f>
        <v>9810</v>
      </c>
      <c r="D242" s="136">
        <f>'[2]All Counts'!O242</f>
        <v>9582</v>
      </c>
      <c r="E242" s="136" t="str">
        <f>'[2]All Counts'!P242</f>
        <v>PeMS2016</v>
      </c>
      <c r="F242" s="137"/>
    </row>
    <row r="243" spans="1:6" x14ac:dyDescent="0.25">
      <c r="A243" s="136">
        <f>'[2]All Counts'!E243</f>
        <v>27914</v>
      </c>
      <c r="B243" s="136">
        <f>'[2]All Counts'!M243</f>
        <v>82885</v>
      </c>
      <c r="C243" s="136">
        <f>'[2]All Counts'!N243</f>
        <v>15423</v>
      </c>
      <c r="D243" s="136">
        <f>'[2]All Counts'!O243</f>
        <v>15901</v>
      </c>
      <c r="E243" s="136" t="str">
        <f>'[2]All Counts'!P243</f>
        <v>Caltran</v>
      </c>
      <c r="F243" s="137"/>
    </row>
    <row r="244" spans="1:6" x14ac:dyDescent="0.25">
      <c r="A244" s="136">
        <f>'[2]All Counts'!E244</f>
        <v>27916</v>
      </c>
      <c r="B244" s="136">
        <f>'[2]All Counts'!M244</f>
        <v>80105</v>
      </c>
      <c r="C244" s="136">
        <f>'[2]All Counts'!N244</f>
        <v>15257</v>
      </c>
      <c r="D244" s="136">
        <f>'[2]All Counts'!O244</f>
        <v>15095</v>
      </c>
      <c r="E244" s="136" t="str">
        <f>'[2]All Counts'!P244</f>
        <v>PeMS2016</v>
      </c>
      <c r="F244" s="137"/>
    </row>
    <row r="245" spans="1:6" x14ac:dyDescent="0.25">
      <c r="A245" s="136">
        <f>'[2]All Counts'!E245</f>
        <v>27921</v>
      </c>
      <c r="B245" s="136">
        <f>'[2]All Counts'!M245</f>
        <v>71820</v>
      </c>
      <c r="C245" s="136">
        <f>'[2]All Counts'!N245</f>
        <v>13918</v>
      </c>
      <c r="D245" s="136">
        <f>'[2]All Counts'!O245</f>
        <v>13340</v>
      </c>
      <c r="E245" s="136" t="str">
        <f>'[2]All Counts'!P245</f>
        <v>PeMS2016</v>
      </c>
      <c r="F245" s="137"/>
    </row>
    <row r="246" spans="1:6" x14ac:dyDescent="0.25">
      <c r="A246" s="136">
        <f>'[2]All Counts'!E246</f>
        <v>27925</v>
      </c>
      <c r="B246" s="136">
        <f>'[2]All Counts'!M246</f>
        <v>85760</v>
      </c>
      <c r="C246" s="136">
        <f>'[2]All Counts'!N246</f>
        <v>16388</v>
      </c>
      <c r="D246" s="136">
        <f>'[2]All Counts'!O246</f>
        <v>16048</v>
      </c>
      <c r="E246" s="136" t="str">
        <f>'[2]All Counts'!P246</f>
        <v>PeMS2016</v>
      </c>
      <c r="F246" s="137"/>
    </row>
    <row r="247" spans="1:6" x14ac:dyDescent="0.25">
      <c r="A247" s="136">
        <f>'[2]All Counts'!E247</f>
        <v>27929</v>
      </c>
      <c r="B247" s="136">
        <f>'[2]All Counts'!M247</f>
        <v>74878</v>
      </c>
      <c r="C247" s="136">
        <f>'[2]All Counts'!N247</f>
        <v>14424</v>
      </c>
      <c r="D247" s="136">
        <f>'[2]All Counts'!O247</f>
        <v>13856</v>
      </c>
      <c r="E247" s="136" t="str">
        <f>'[2]All Counts'!P247</f>
        <v>PeMS2016</v>
      </c>
      <c r="F247" s="137"/>
    </row>
    <row r="248" spans="1:6" x14ac:dyDescent="0.25">
      <c r="A248" s="136">
        <f>'[2]All Counts'!E248</f>
        <v>27933</v>
      </c>
      <c r="B248" s="136">
        <f>'[2]All Counts'!M248</f>
        <v>87099</v>
      </c>
      <c r="C248" s="136">
        <f>'[2]All Counts'!N248</f>
        <v>16765</v>
      </c>
      <c r="D248" s="136">
        <f>'[2]All Counts'!O248</f>
        <v>16098</v>
      </c>
      <c r="E248" s="136" t="str">
        <f>'[2]All Counts'!P248</f>
        <v>PeMS2016</v>
      </c>
      <c r="F248" s="137"/>
    </row>
    <row r="249" spans="1:6" x14ac:dyDescent="0.25">
      <c r="A249" s="136">
        <f>'[2]All Counts'!E249</f>
        <v>27941</v>
      </c>
      <c r="B249" s="136">
        <f>'[2]All Counts'!M249</f>
        <v>87065</v>
      </c>
      <c r="C249" s="136">
        <f>'[2]All Counts'!N249</f>
        <v>16314</v>
      </c>
      <c r="D249" s="136">
        <f>'[2]All Counts'!O249</f>
        <v>16472</v>
      </c>
      <c r="E249" s="136" t="str">
        <f>'[2]All Counts'!P249</f>
        <v>PeMS2016</v>
      </c>
      <c r="F249" s="137"/>
    </row>
    <row r="250" spans="1:6" x14ac:dyDescent="0.25">
      <c r="A250" s="136">
        <f>'[2]All Counts'!E250</f>
        <v>27946</v>
      </c>
      <c r="B250" s="136">
        <f>'[2]All Counts'!M250</f>
        <v>88046</v>
      </c>
      <c r="C250" s="136">
        <f>'[2]All Counts'!N250</f>
        <v>15749</v>
      </c>
      <c r="D250" s="136">
        <f>'[2]All Counts'!O250</f>
        <v>16589</v>
      </c>
      <c r="E250" s="136" t="str">
        <f>'[2]All Counts'!P250</f>
        <v>PeMS2016</v>
      </c>
      <c r="F250" s="137"/>
    </row>
    <row r="251" spans="1:6" x14ac:dyDescent="0.25">
      <c r="A251" s="136">
        <f>'[2]All Counts'!E251</f>
        <v>27948</v>
      </c>
      <c r="B251" s="136">
        <f>'[2]All Counts'!M251</f>
        <v>87276</v>
      </c>
      <c r="C251" s="136">
        <f>'[2]All Counts'!N251</f>
        <v>16239</v>
      </c>
      <c r="D251" s="136">
        <f>'[2]All Counts'!O251</f>
        <v>16211</v>
      </c>
      <c r="E251" s="136" t="str">
        <f>'[2]All Counts'!P251</f>
        <v>PeMS2016</v>
      </c>
      <c r="F251" s="137"/>
    </row>
    <row r="252" spans="1:6" x14ac:dyDescent="0.25">
      <c r="A252" s="136">
        <f>'[2]All Counts'!E252</f>
        <v>28695</v>
      </c>
      <c r="B252" s="136">
        <f>'[2]All Counts'!M252</f>
        <v>81715</v>
      </c>
      <c r="C252" s="136">
        <f>'[2]All Counts'!N252</f>
        <v>17328</v>
      </c>
      <c r="D252" s="136">
        <f>'[2]All Counts'!O252</f>
        <v>13780</v>
      </c>
      <c r="E252" s="136" t="str">
        <f>'[2]All Counts'!P252</f>
        <v>PeMS2016</v>
      </c>
      <c r="F252" s="137"/>
    </row>
    <row r="253" spans="1:6" x14ac:dyDescent="0.25">
      <c r="A253" s="136">
        <f>'[2]All Counts'!E253</f>
        <v>28718</v>
      </c>
      <c r="B253" s="136">
        <f>'[2]All Counts'!M253</f>
        <v>86505</v>
      </c>
      <c r="C253" s="136">
        <f>'[2]All Counts'!N253</f>
        <v>17349</v>
      </c>
      <c r="D253" s="136">
        <f>'[2]All Counts'!O253</f>
        <v>15393</v>
      </c>
      <c r="E253" s="136" t="str">
        <f>'[2]All Counts'!P253</f>
        <v>PeMS2016</v>
      </c>
      <c r="F253" s="137"/>
    </row>
    <row r="254" spans="1:6" x14ac:dyDescent="0.25">
      <c r="A254" s="136">
        <f>'[2]All Counts'!E254</f>
        <v>28725</v>
      </c>
      <c r="B254" s="136">
        <f>'[2]All Counts'!M254</f>
        <v>75884</v>
      </c>
      <c r="C254" s="136">
        <f>'[2]All Counts'!N254</f>
        <v>15769</v>
      </c>
      <c r="D254" s="136">
        <f>'[2]All Counts'!O254</f>
        <v>13528</v>
      </c>
      <c r="E254" s="136" t="str">
        <f>'[2]All Counts'!P254</f>
        <v>PeMS2016</v>
      </c>
      <c r="F254" s="137"/>
    </row>
    <row r="255" spans="1:6" x14ac:dyDescent="0.25">
      <c r="A255" s="136">
        <f>'[2]All Counts'!E255</f>
        <v>28727</v>
      </c>
      <c r="B255" s="136">
        <f>'[2]All Counts'!M255</f>
        <v>102763</v>
      </c>
      <c r="C255" s="136">
        <f>'[2]All Counts'!N255</f>
        <v>22219</v>
      </c>
      <c r="D255" s="136">
        <f>'[2]All Counts'!O255</f>
        <v>18512</v>
      </c>
      <c r="E255" s="136" t="str">
        <f>'[2]All Counts'!P255</f>
        <v>Caltran</v>
      </c>
      <c r="F255" s="137"/>
    </row>
    <row r="256" spans="1:6" x14ac:dyDescent="0.25">
      <c r="A256" s="136">
        <f>'[2]All Counts'!E256</f>
        <v>20465</v>
      </c>
      <c r="B256" s="136">
        <f>'[2]All Counts'!M256</f>
        <v>110167</v>
      </c>
      <c r="C256" s="136">
        <f>'[2]All Counts'!N256</f>
        <v>26337</v>
      </c>
      <c r="D256" s="136">
        <f>'[2]All Counts'!O256</f>
        <v>19491</v>
      </c>
      <c r="E256" s="136" t="str">
        <f>'[2]All Counts'!P256</f>
        <v>PeMS2016</v>
      </c>
      <c r="F256" s="137"/>
    </row>
    <row r="257" spans="1:6" x14ac:dyDescent="0.25">
      <c r="A257" s="136">
        <f>'[2]All Counts'!E257</f>
        <v>20466</v>
      </c>
      <c r="B257" s="136">
        <f>'[2]All Counts'!M257</f>
        <v>79969</v>
      </c>
      <c r="C257" s="136">
        <f>'[2]All Counts'!N257</f>
        <v>18468</v>
      </c>
      <c r="D257" s="136">
        <f>'[2]All Counts'!O257</f>
        <v>13222</v>
      </c>
      <c r="E257" s="136" t="str">
        <f>'[2]All Counts'!P257</f>
        <v>PeMS2016</v>
      </c>
      <c r="F257" s="137"/>
    </row>
    <row r="258" spans="1:6" x14ac:dyDescent="0.25">
      <c r="A258" s="136">
        <f>'[2]All Counts'!E258</f>
        <v>28735</v>
      </c>
      <c r="B258" s="136">
        <f>'[2]All Counts'!M258</f>
        <v>83561</v>
      </c>
      <c r="C258" s="136">
        <f>'[2]All Counts'!N258</f>
        <v>21464</v>
      </c>
      <c r="D258" s="136">
        <f>'[2]All Counts'!O258</f>
        <v>13512</v>
      </c>
      <c r="E258" s="136" t="str">
        <f>'[2]All Counts'!P258</f>
        <v>PeMS2016</v>
      </c>
      <c r="F258" s="137"/>
    </row>
    <row r="259" spans="1:6" x14ac:dyDescent="0.25">
      <c r="A259" s="136">
        <f>'[2]All Counts'!E259</f>
        <v>20467</v>
      </c>
      <c r="B259" s="136">
        <f>'[2]All Counts'!M259</f>
        <v>97423</v>
      </c>
      <c r="C259" s="136">
        <f>'[2]All Counts'!N259</f>
        <v>25202</v>
      </c>
      <c r="D259" s="136">
        <f>'[2]All Counts'!O259</f>
        <v>16004</v>
      </c>
      <c r="E259" s="136" t="str">
        <f>'[2]All Counts'!P259</f>
        <v>PeMS2016</v>
      </c>
      <c r="F259" s="137"/>
    </row>
    <row r="260" spans="1:6" x14ac:dyDescent="0.25">
      <c r="A260" s="136">
        <f>'[2]All Counts'!E260</f>
        <v>27792</v>
      </c>
      <c r="B260" s="136">
        <f>'[2]All Counts'!M260</f>
        <v>91951</v>
      </c>
      <c r="C260" s="136">
        <f>'[2]All Counts'!N260</f>
        <v>21047</v>
      </c>
      <c r="D260" s="136">
        <f>'[2]All Counts'!O260</f>
        <v>17494</v>
      </c>
      <c r="E260" s="136" t="str">
        <f>'[2]All Counts'!P260</f>
        <v>PeMS2016</v>
      </c>
      <c r="F260" s="137"/>
    </row>
    <row r="261" spans="1:6" x14ac:dyDescent="0.25">
      <c r="A261" s="136">
        <f>'[2]All Counts'!E261</f>
        <v>27807</v>
      </c>
      <c r="B261" s="136">
        <f>'[2]All Counts'!M261</f>
        <v>93934</v>
      </c>
      <c r="C261" s="136">
        <f>'[2]All Counts'!N261</f>
        <v>22231</v>
      </c>
      <c r="D261" s="136">
        <f>'[2]All Counts'!O261</f>
        <v>17981</v>
      </c>
      <c r="E261" s="136" t="str">
        <f>'[2]All Counts'!P261</f>
        <v>Caltran</v>
      </c>
      <c r="F261" s="137"/>
    </row>
    <row r="262" spans="1:6" x14ac:dyDescent="0.25">
      <c r="A262" s="136">
        <f>'[2]All Counts'!E262</f>
        <v>30862</v>
      </c>
      <c r="B262" s="136">
        <f>'[2]All Counts'!M262</f>
        <v>90053</v>
      </c>
      <c r="C262" s="136">
        <f>'[2]All Counts'!N262</f>
        <v>21344</v>
      </c>
      <c r="D262" s="136">
        <f>'[2]All Counts'!O262</f>
        <v>16768</v>
      </c>
      <c r="E262" s="136" t="str">
        <f>'[2]All Counts'!P262</f>
        <v>PeMS2016</v>
      </c>
      <c r="F262" s="137"/>
    </row>
    <row r="263" spans="1:6" x14ac:dyDescent="0.25">
      <c r="A263" s="136">
        <f>'[2]All Counts'!E263</f>
        <v>27825</v>
      </c>
      <c r="B263" s="136">
        <f>'[2]All Counts'!M263</f>
        <v>138920</v>
      </c>
      <c r="C263" s="136">
        <f>'[2]All Counts'!N263</f>
        <v>33378</v>
      </c>
      <c r="D263" s="136">
        <f>'[2]All Counts'!O263</f>
        <v>25692</v>
      </c>
      <c r="E263" s="136" t="str">
        <f>'[2]All Counts'!P263</f>
        <v>PeMS2016</v>
      </c>
      <c r="F263" s="137"/>
    </row>
    <row r="264" spans="1:6" x14ac:dyDescent="0.25">
      <c r="A264" s="136">
        <f>'[2]All Counts'!E264</f>
        <v>27832</v>
      </c>
      <c r="B264" s="136">
        <f>'[2]All Counts'!M264</f>
        <v>133613</v>
      </c>
      <c r="C264" s="136">
        <f>'[2]All Counts'!N264</f>
        <v>32680</v>
      </c>
      <c r="D264" s="136">
        <f>'[2]All Counts'!O264</f>
        <v>24518</v>
      </c>
      <c r="E264" s="136" t="str">
        <f>'[2]All Counts'!P264</f>
        <v>PeMS2016</v>
      </c>
      <c r="F264" s="137"/>
    </row>
    <row r="265" spans="1:6" x14ac:dyDescent="0.25">
      <c r="A265" s="136">
        <f>'[2]All Counts'!E265</f>
        <v>29232</v>
      </c>
      <c r="B265" s="136">
        <f>'[2]All Counts'!M265</f>
        <v>91829</v>
      </c>
      <c r="C265" s="136">
        <f>'[2]All Counts'!N265</f>
        <v>22919</v>
      </c>
      <c r="D265" s="136">
        <f>'[2]All Counts'!O265</f>
        <v>16511</v>
      </c>
      <c r="E265" s="136" t="str">
        <f>'[2]All Counts'!P265</f>
        <v>PeMS2016</v>
      </c>
      <c r="F265" s="137"/>
    </row>
    <row r="266" spans="1:6" x14ac:dyDescent="0.25">
      <c r="A266" s="136">
        <f>'[2]All Counts'!E266</f>
        <v>29756</v>
      </c>
      <c r="B266" s="136">
        <f>'[2]All Counts'!M266</f>
        <v>86914</v>
      </c>
      <c r="C266" s="136">
        <f>'[2]All Counts'!N266</f>
        <v>21450</v>
      </c>
      <c r="D266" s="136">
        <f>'[2]All Counts'!O266</f>
        <v>17069</v>
      </c>
      <c r="E266" s="136" t="str">
        <f>'[2]All Counts'!P266</f>
        <v>PeMS2016</v>
      </c>
      <c r="F266" s="137"/>
    </row>
    <row r="267" spans="1:6" x14ac:dyDescent="0.25">
      <c r="A267" s="136">
        <f>'[2]All Counts'!E267</f>
        <v>30864</v>
      </c>
      <c r="B267" s="136">
        <f>'[2]All Counts'!M267</f>
        <v>106984</v>
      </c>
      <c r="C267" s="136">
        <f>'[2]All Counts'!N267</f>
        <v>23718</v>
      </c>
      <c r="D267" s="136">
        <f>'[2]All Counts'!O267</f>
        <v>22881</v>
      </c>
      <c r="E267" s="136" t="str">
        <f>'[2]All Counts'!P267</f>
        <v>PeMS2016</v>
      </c>
      <c r="F267" s="137"/>
    </row>
    <row r="268" spans="1:6" x14ac:dyDescent="0.25">
      <c r="A268" s="136">
        <f>'[2]All Counts'!E268</f>
        <v>20529</v>
      </c>
      <c r="B268" s="136">
        <f>'[2]All Counts'!M268</f>
        <v>86274</v>
      </c>
      <c r="C268" s="136">
        <f>'[2]All Counts'!N268</f>
        <v>18687</v>
      </c>
      <c r="D268" s="136">
        <f>'[2]All Counts'!O268</f>
        <v>18567</v>
      </c>
      <c r="E268" s="136" t="str">
        <f>'[2]All Counts'!P268</f>
        <v>PeMS2016</v>
      </c>
      <c r="F268" s="137"/>
    </row>
    <row r="269" spans="1:6" x14ac:dyDescent="0.25">
      <c r="A269" s="136">
        <f>'[2]All Counts'!E269</f>
        <v>20549</v>
      </c>
      <c r="B269" s="136">
        <f>'[2]All Counts'!M269</f>
        <v>84873</v>
      </c>
      <c r="C269" s="136">
        <f>'[2]All Counts'!N269</f>
        <v>17619</v>
      </c>
      <c r="D269" s="136">
        <f>'[2]All Counts'!O269</f>
        <v>18612</v>
      </c>
      <c r="E269" s="136" t="str">
        <f>'[2]All Counts'!P269</f>
        <v>PeMS2016</v>
      </c>
      <c r="F269" s="137"/>
    </row>
    <row r="270" spans="1:6" x14ac:dyDescent="0.25">
      <c r="A270" s="136">
        <f>'[2]All Counts'!E270</f>
        <v>20588</v>
      </c>
      <c r="B270" s="136">
        <f>'[2]All Counts'!M270</f>
        <v>79267</v>
      </c>
      <c r="C270" s="136">
        <f>'[2]All Counts'!N270</f>
        <v>16467</v>
      </c>
      <c r="D270" s="136">
        <f>'[2]All Counts'!O270</f>
        <v>17424</v>
      </c>
      <c r="E270" s="136" t="str">
        <f>'[2]All Counts'!P270</f>
        <v>PeMS2016</v>
      </c>
      <c r="F270" s="137"/>
    </row>
    <row r="271" spans="1:6" x14ac:dyDescent="0.25">
      <c r="A271" s="136">
        <f>'[2]All Counts'!E271</f>
        <v>10969</v>
      </c>
      <c r="B271" s="136">
        <f>'[2]All Counts'!M271</f>
        <v>90210</v>
      </c>
      <c r="C271" s="136">
        <f>'[2]All Counts'!N271</f>
        <v>17896</v>
      </c>
      <c r="D271" s="136">
        <f>'[2]All Counts'!O271</f>
        <v>19134</v>
      </c>
      <c r="E271" s="136" t="str">
        <f>'[2]All Counts'!P271</f>
        <v>PeMS2016</v>
      </c>
      <c r="F271" s="137"/>
    </row>
    <row r="272" spans="1:6" x14ac:dyDescent="0.25">
      <c r="A272" s="136">
        <f>'[2]All Counts'!E272</f>
        <v>30813</v>
      </c>
      <c r="B272" s="136">
        <f>'[2]All Counts'!M272</f>
        <v>101171</v>
      </c>
      <c r="C272" s="136">
        <f>'[2]All Counts'!N272</f>
        <v>19135</v>
      </c>
      <c r="D272" s="136">
        <f>'[2]All Counts'!O272</f>
        <v>21648</v>
      </c>
      <c r="E272" s="136" t="str">
        <f>'[2]All Counts'!P272</f>
        <v>PeMS2016</v>
      </c>
      <c r="F272" s="137"/>
    </row>
    <row r="273" spans="1:6" x14ac:dyDescent="0.25">
      <c r="A273" s="136">
        <f>'[2]All Counts'!E273</f>
        <v>10966</v>
      </c>
      <c r="B273" s="136">
        <f>'[2]All Counts'!M273</f>
        <v>101498</v>
      </c>
      <c r="C273" s="136">
        <f>'[2]All Counts'!N273</f>
        <v>19162</v>
      </c>
      <c r="D273" s="136">
        <f>'[2]All Counts'!O273</f>
        <v>21758</v>
      </c>
      <c r="E273" s="136" t="str">
        <f>'[2]All Counts'!P273</f>
        <v>PeMS2016</v>
      </c>
      <c r="F273" s="137"/>
    </row>
    <row r="274" spans="1:6" x14ac:dyDescent="0.25">
      <c r="A274" s="136">
        <f>'[2]All Counts'!E274</f>
        <v>20600</v>
      </c>
      <c r="B274" s="136">
        <f>'[2]All Counts'!M274</f>
        <v>76443</v>
      </c>
      <c r="C274" s="136">
        <f>'[2]All Counts'!N274</f>
        <v>15061</v>
      </c>
      <c r="D274" s="136">
        <f>'[2]All Counts'!O274</f>
        <v>16826</v>
      </c>
      <c r="E274" s="136" t="str">
        <f>'[2]All Counts'!P274</f>
        <v>PeMS2016</v>
      </c>
      <c r="F274" s="137"/>
    </row>
    <row r="275" spans="1:6" x14ac:dyDescent="0.25">
      <c r="A275" s="136">
        <f>'[2]All Counts'!E275</f>
        <v>26708</v>
      </c>
      <c r="B275" s="136">
        <f>'[2]All Counts'!M275</f>
        <v>95084</v>
      </c>
      <c r="C275" s="136">
        <f>'[2]All Counts'!N275</f>
        <v>18186</v>
      </c>
      <c r="D275" s="136">
        <f>'[2]All Counts'!O275</f>
        <v>21260</v>
      </c>
      <c r="E275" s="136" t="str">
        <f>'[2]All Counts'!P275</f>
        <v>PeMS2016</v>
      </c>
      <c r="F275" s="137"/>
    </row>
    <row r="276" spans="1:6" x14ac:dyDescent="0.25">
      <c r="A276" s="136">
        <f>'[2]All Counts'!E276</f>
        <v>8790</v>
      </c>
      <c r="B276" s="136">
        <f>'[2]All Counts'!M276</f>
        <v>89930</v>
      </c>
      <c r="C276" s="136">
        <f>'[2]All Counts'!N276</f>
        <v>21229</v>
      </c>
      <c r="D276" s="136">
        <f>'[2]All Counts'!O276</f>
        <v>18096</v>
      </c>
      <c r="E276" s="136" t="str">
        <f>'[2]All Counts'!P276</f>
        <v>PeMS2016</v>
      </c>
      <c r="F276" s="137"/>
    </row>
    <row r="277" spans="1:6" x14ac:dyDescent="0.25">
      <c r="A277" s="136">
        <f>'[2]All Counts'!E277</f>
        <v>8784</v>
      </c>
      <c r="B277" s="136">
        <f>'[2]All Counts'!M277</f>
        <v>106296</v>
      </c>
      <c r="C277" s="136">
        <f>'[2]All Counts'!N277</f>
        <v>22341</v>
      </c>
      <c r="D277" s="136">
        <f>'[2]All Counts'!O277</f>
        <v>22959</v>
      </c>
      <c r="E277" s="136" t="str">
        <f>'[2]All Counts'!P277</f>
        <v>PeMS2016</v>
      </c>
      <c r="F277" s="137"/>
    </row>
    <row r="278" spans="1:6" x14ac:dyDescent="0.25">
      <c r="A278" s="136">
        <f>'[2]All Counts'!E278</f>
        <v>20640</v>
      </c>
      <c r="B278" s="136">
        <f>'[2]All Counts'!M278</f>
        <v>87309</v>
      </c>
      <c r="C278" s="136">
        <f>'[2]All Counts'!N278</f>
        <v>20604</v>
      </c>
      <c r="D278" s="136">
        <f>'[2]All Counts'!O278</f>
        <v>17572</v>
      </c>
      <c r="E278" s="136" t="str">
        <f>'[2]All Counts'!P278</f>
        <v>PeMS2016</v>
      </c>
      <c r="F278" s="137"/>
    </row>
    <row r="279" spans="1:6" x14ac:dyDescent="0.25">
      <c r="A279" s="136">
        <f>'[2]All Counts'!E279</f>
        <v>8781</v>
      </c>
      <c r="B279" s="136">
        <f>'[2]All Counts'!M279</f>
        <v>81568</v>
      </c>
      <c r="C279" s="136">
        <f>'[2]All Counts'!N279</f>
        <v>20301</v>
      </c>
      <c r="D279" s="136">
        <f>'[2]All Counts'!O279</f>
        <v>15363</v>
      </c>
      <c r="E279" s="136" t="str">
        <f>'[2]All Counts'!P279</f>
        <v>PeMS2016</v>
      </c>
      <c r="F279" s="137"/>
    </row>
    <row r="280" spans="1:6" x14ac:dyDescent="0.25">
      <c r="A280" s="136">
        <f>'[2]All Counts'!E280</f>
        <v>26014</v>
      </c>
      <c r="B280" s="136">
        <f>'[2]All Counts'!M280</f>
        <v>102271</v>
      </c>
      <c r="C280" s="136">
        <f>'[2]All Counts'!N280</f>
        <v>24206</v>
      </c>
      <c r="D280" s="136">
        <f>'[2]All Counts'!O280</f>
        <v>19336</v>
      </c>
      <c r="E280" s="136" t="str">
        <f>'[2]All Counts'!P280</f>
        <v>Caltran</v>
      </c>
      <c r="F280" s="137"/>
    </row>
    <row r="281" spans="1:6" x14ac:dyDescent="0.25">
      <c r="A281" s="136">
        <f>'[2]All Counts'!E281</f>
        <v>12010</v>
      </c>
      <c r="B281" s="136">
        <f>'[2]All Counts'!M281</f>
        <v>79231</v>
      </c>
      <c r="C281" s="136">
        <f>'[2]All Counts'!N281</f>
        <v>20040</v>
      </c>
      <c r="D281" s="136">
        <f>'[2]All Counts'!O281</f>
        <v>14218</v>
      </c>
      <c r="E281" s="136" t="str">
        <f>'[2]All Counts'!P281</f>
        <v>PeMS2016</v>
      </c>
      <c r="F281" s="137"/>
    </row>
    <row r="282" spans="1:6" x14ac:dyDescent="0.25">
      <c r="A282" s="136">
        <f>'[2]All Counts'!E282</f>
        <v>12007</v>
      </c>
      <c r="B282" s="136">
        <f>'[2]All Counts'!M282</f>
        <v>72538</v>
      </c>
      <c r="C282" s="136">
        <f>'[2]All Counts'!N282</f>
        <v>18462</v>
      </c>
      <c r="D282" s="136">
        <f>'[2]All Counts'!O282</f>
        <v>13075</v>
      </c>
      <c r="E282" s="136" t="str">
        <f>'[2]All Counts'!P282</f>
        <v>PeMS2016</v>
      </c>
      <c r="F282" s="137"/>
    </row>
    <row r="283" spans="1:6" x14ac:dyDescent="0.25">
      <c r="A283" s="136">
        <f>'[2]All Counts'!E283</f>
        <v>15020</v>
      </c>
      <c r="B283" s="136">
        <f>'[2]All Counts'!M283</f>
        <v>87299</v>
      </c>
      <c r="C283" s="136">
        <f>'[2]All Counts'!N283</f>
        <v>22500</v>
      </c>
      <c r="D283" s="136">
        <f>'[2]All Counts'!O283</f>
        <v>15069</v>
      </c>
      <c r="E283" s="136" t="str">
        <f>'[2]All Counts'!P283</f>
        <v>PeMS2016</v>
      </c>
      <c r="F283" s="137"/>
    </row>
    <row r="284" spans="1:6" x14ac:dyDescent="0.25">
      <c r="A284" s="136">
        <f>'[2]All Counts'!E284</f>
        <v>15036</v>
      </c>
      <c r="B284" s="136">
        <f>'[2]All Counts'!M284</f>
        <v>79302</v>
      </c>
      <c r="C284" s="136">
        <f>'[2]All Counts'!N284</f>
        <v>20732</v>
      </c>
      <c r="D284" s="136">
        <f>'[2]All Counts'!O284</f>
        <v>13386</v>
      </c>
      <c r="E284" s="136" t="str">
        <f>'[2]All Counts'!P284</f>
        <v>PeMS2016</v>
      </c>
      <c r="F284" s="137"/>
    </row>
    <row r="285" spans="1:6" x14ac:dyDescent="0.25">
      <c r="A285" s="136">
        <f>'[2]All Counts'!E285</f>
        <v>15038</v>
      </c>
      <c r="B285" s="136">
        <f>'[2]All Counts'!M285</f>
        <v>84222</v>
      </c>
      <c r="C285" s="136">
        <f>'[2]All Counts'!N285</f>
        <v>20549</v>
      </c>
      <c r="D285" s="136">
        <f>'[2]All Counts'!O285</f>
        <v>15159</v>
      </c>
      <c r="E285" s="136" t="str">
        <f>'[2]All Counts'!P285</f>
        <v>PeMS2016</v>
      </c>
      <c r="F285" s="137"/>
    </row>
    <row r="286" spans="1:6" x14ac:dyDescent="0.25">
      <c r="A286" s="136">
        <f>'[2]All Counts'!E286</f>
        <v>14290</v>
      </c>
      <c r="B286" s="136">
        <f>'[2]All Counts'!M286</f>
        <v>77963</v>
      </c>
      <c r="C286" s="136">
        <f>'[2]All Counts'!N286</f>
        <v>13273</v>
      </c>
      <c r="D286" s="136">
        <f>'[2]All Counts'!O286</f>
        <v>18001</v>
      </c>
      <c r="E286" s="136" t="str">
        <f>'[2]All Counts'!P286</f>
        <v>PeMS2016</v>
      </c>
      <c r="F286" s="137"/>
    </row>
    <row r="287" spans="1:6" x14ac:dyDescent="0.25">
      <c r="A287" s="136">
        <f>'[2]All Counts'!E287</f>
        <v>8896</v>
      </c>
      <c r="B287" s="136">
        <f>'[2]All Counts'!M287</f>
        <v>77611</v>
      </c>
      <c r="C287" s="136">
        <f>'[2]All Counts'!N287</f>
        <v>12605</v>
      </c>
      <c r="D287" s="136">
        <f>'[2]All Counts'!O287</f>
        <v>18088</v>
      </c>
      <c r="E287" s="136" t="str">
        <f>'[2]All Counts'!P287</f>
        <v>Caltran</v>
      </c>
      <c r="F287" s="137"/>
    </row>
    <row r="288" spans="1:6" x14ac:dyDescent="0.25">
      <c r="A288" s="136">
        <f>'[2]All Counts'!E288</f>
        <v>14265</v>
      </c>
      <c r="B288" s="136">
        <f>'[2]All Counts'!M288</f>
        <v>40004</v>
      </c>
      <c r="C288" s="136">
        <f>'[2]All Counts'!N288</f>
        <v>7241</v>
      </c>
      <c r="D288" s="136">
        <f>'[2]All Counts'!O288</f>
        <v>7722</v>
      </c>
      <c r="E288" s="136" t="str">
        <f>'[2]All Counts'!P288</f>
        <v>PeMS2016</v>
      </c>
      <c r="F288" s="137"/>
    </row>
    <row r="289" spans="1:6" x14ac:dyDescent="0.25">
      <c r="A289" s="136">
        <f>'[2]All Counts'!E289</f>
        <v>4887</v>
      </c>
      <c r="B289" s="136">
        <f>'[2]All Counts'!M289</f>
        <v>110380</v>
      </c>
      <c r="C289" s="136">
        <f>'[2]All Counts'!N289</f>
        <v>19255</v>
      </c>
      <c r="D289" s="136">
        <f>'[2]All Counts'!O289</f>
        <v>21677</v>
      </c>
      <c r="E289" s="136" t="str">
        <f>'[2]All Counts'!P289</f>
        <v>Caltran</v>
      </c>
      <c r="F289" s="137"/>
    </row>
    <row r="290" spans="1:6" x14ac:dyDescent="0.25">
      <c r="A290" s="136">
        <f>'[2]All Counts'!E290</f>
        <v>26279</v>
      </c>
      <c r="B290" s="136">
        <f>'[2]All Counts'!M290</f>
        <v>104108</v>
      </c>
      <c r="C290" s="136">
        <f>'[2]All Counts'!N290</f>
        <v>18789</v>
      </c>
      <c r="D290" s="136">
        <f>'[2]All Counts'!O290</f>
        <v>19035</v>
      </c>
      <c r="E290" s="136" t="str">
        <f>'[2]All Counts'!P290</f>
        <v>PeMS2016</v>
      </c>
      <c r="F290" s="137"/>
    </row>
    <row r="291" spans="1:6" x14ac:dyDescent="0.25">
      <c r="A291" s="136">
        <f>'[2]All Counts'!E291</f>
        <v>14262</v>
      </c>
      <c r="B291" s="136">
        <f>'[2]All Counts'!M291</f>
        <v>100409</v>
      </c>
      <c r="C291" s="136">
        <f>'[2]All Counts'!N291</f>
        <v>18325</v>
      </c>
      <c r="D291" s="136">
        <f>'[2]All Counts'!O291</f>
        <v>18033</v>
      </c>
      <c r="E291" s="136" t="str">
        <f>'[2]All Counts'!P291</f>
        <v>PeMS2016</v>
      </c>
      <c r="F291" s="137"/>
    </row>
    <row r="292" spans="1:6" x14ac:dyDescent="0.25">
      <c r="A292" s="136">
        <f>'[2]All Counts'!E292</f>
        <v>22603</v>
      </c>
      <c r="B292" s="136">
        <f>'[2]All Counts'!M292</f>
        <v>87923</v>
      </c>
      <c r="C292" s="136">
        <f>'[2]All Counts'!N292</f>
        <v>16004</v>
      </c>
      <c r="D292" s="136">
        <f>'[2]All Counts'!O292</f>
        <v>14712</v>
      </c>
      <c r="E292" s="136" t="str">
        <f>'[2]All Counts'!P292</f>
        <v>PeMS2016</v>
      </c>
      <c r="F292" s="137"/>
    </row>
    <row r="293" spans="1:6" x14ac:dyDescent="0.25">
      <c r="A293" s="136">
        <f>'[2]All Counts'!E293</f>
        <v>14248</v>
      </c>
      <c r="B293" s="136">
        <f>'[2]All Counts'!M293</f>
        <v>87822</v>
      </c>
      <c r="C293" s="136">
        <f>'[2]All Counts'!N293</f>
        <v>15987</v>
      </c>
      <c r="D293" s="136">
        <f>'[2]All Counts'!O293</f>
        <v>13753</v>
      </c>
      <c r="E293" s="136" t="str">
        <f>'[2]All Counts'!P293</f>
        <v>PeMS2016</v>
      </c>
      <c r="F293" s="137"/>
    </row>
    <row r="294" spans="1:6" x14ac:dyDescent="0.25">
      <c r="A294" s="136">
        <f>'[2]All Counts'!E294</f>
        <v>13861</v>
      </c>
      <c r="B294" s="136">
        <f>'[2]All Counts'!M294</f>
        <v>102812</v>
      </c>
      <c r="C294" s="136">
        <f>'[2]All Counts'!N294</f>
        <v>17760</v>
      </c>
      <c r="D294" s="136">
        <f>'[2]All Counts'!O294</f>
        <v>20207</v>
      </c>
      <c r="E294" s="136" t="str">
        <f>'[2]All Counts'!P294</f>
        <v>PeMS2016</v>
      </c>
      <c r="F294" s="137"/>
    </row>
    <row r="295" spans="1:6" x14ac:dyDescent="0.25">
      <c r="A295" s="136">
        <f>'[2]All Counts'!E295</f>
        <v>25387</v>
      </c>
      <c r="B295" s="136">
        <f>'[2]All Counts'!M295</f>
        <v>97434</v>
      </c>
      <c r="C295" s="136">
        <f>'[2]All Counts'!N295</f>
        <v>17194</v>
      </c>
      <c r="D295" s="136">
        <f>'[2]All Counts'!O295</f>
        <v>19331</v>
      </c>
      <c r="E295" s="136" t="str">
        <f>'[2]All Counts'!P295</f>
        <v>PeMS2016</v>
      </c>
      <c r="F295" s="137"/>
    </row>
    <row r="296" spans="1:6" x14ac:dyDescent="0.25">
      <c r="A296" s="136">
        <f>'[2]All Counts'!E296</f>
        <v>13869</v>
      </c>
      <c r="B296" s="136">
        <f>'[2]All Counts'!M296</f>
        <v>99175</v>
      </c>
      <c r="C296" s="136">
        <f>'[2]All Counts'!N296</f>
        <v>17305</v>
      </c>
      <c r="D296" s="136">
        <f>'[2]All Counts'!O296</f>
        <v>19682</v>
      </c>
      <c r="E296" s="136" t="str">
        <f>'[2]All Counts'!P296</f>
        <v>PeMS2016</v>
      </c>
      <c r="F296" s="137"/>
    </row>
    <row r="297" spans="1:6" x14ac:dyDescent="0.25">
      <c r="A297" s="136">
        <f>'[2]All Counts'!E297</f>
        <v>13600</v>
      </c>
      <c r="B297" s="136">
        <f>'[2]All Counts'!M297</f>
        <v>118363</v>
      </c>
      <c r="C297" s="136">
        <f>'[2]All Counts'!N297</f>
        <v>18773</v>
      </c>
      <c r="D297" s="136">
        <f>'[2]All Counts'!O297</f>
        <v>26077</v>
      </c>
      <c r="E297" s="136" t="str">
        <f>'[2]All Counts'!P297</f>
        <v>Caltran</v>
      </c>
      <c r="F297" s="137"/>
    </row>
    <row r="298" spans="1:6" x14ac:dyDescent="0.25">
      <c r="A298" s="136">
        <f>'[2]All Counts'!E298</f>
        <v>26293</v>
      </c>
      <c r="B298" s="136">
        <f>'[2]All Counts'!M298</f>
        <v>98447</v>
      </c>
      <c r="C298" s="136">
        <f>'[2]All Counts'!N298</f>
        <v>16559</v>
      </c>
      <c r="D298" s="136">
        <f>'[2]All Counts'!O298</f>
        <v>20329</v>
      </c>
      <c r="E298" s="136" t="str">
        <f>'[2]All Counts'!P298</f>
        <v>PeMS2016</v>
      </c>
      <c r="F298" s="137"/>
    </row>
    <row r="299" spans="1:6" x14ac:dyDescent="0.25">
      <c r="A299" s="136">
        <f>'[2]All Counts'!E299</f>
        <v>9872</v>
      </c>
      <c r="B299" s="136">
        <f>'[2]All Counts'!M299</f>
        <v>104595</v>
      </c>
      <c r="C299" s="136">
        <f>'[2]All Counts'!N299</f>
        <v>17345</v>
      </c>
      <c r="D299" s="136">
        <f>'[2]All Counts'!O299</f>
        <v>21633</v>
      </c>
      <c r="E299" s="136" t="str">
        <f>'[2]All Counts'!P299</f>
        <v>PeMS2016</v>
      </c>
      <c r="F299" s="137"/>
    </row>
    <row r="300" spans="1:6" x14ac:dyDescent="0.25">
      <c r="A300" s="136">
        <f>'[2]All Counts'!E300</f>
        <v>13527</v>
      </c>
      <c r="B300" s="136">
        <f>'[2]All Counts'!M300</f>
        <v>107825</v>
      </c>
      <c r="C300" s="136">
        <f>'[2]All Counts'!N300</f>
        <v>17310</v>
      </c>
      <c r="D300" s="136">
        <f>'[2]All Counts'!O300</f>
        <v>23882</v>
      </c>
      <c r="E300" s="136" t="str">
        <f>'[2]All Counts'!P300</f>
        <v>PeMS2016</v>
      </c>
      <c r="F300" s="137"/>
    </row>
    <row r="301" spans="1:6" x14ac:dyDescent="0.25">
      <c r="A301" s="136">
        <f>'[2]All Counts'!E301</f>
        <v>13593</v>
      </c>
      <c r="B301" s="136">
        <f>'[2]All Counts'!M301</f>
        <v>98736</v>
      </c>
      <c r="C301" s="136">
        <f>'[2]All Counts'!N301</f>
        <v>15823</v>
      </c>
      <c r="D301" s="136">
        <f>'[2]All Counts'!O301</f>
        <v>22187</v>
      </c>
      <c r="E301" s="136" t="str">
        <f>'[2]All Counts'!P301</f>
        <v>PeMS2016</v>
      </c>
      <c r="F301" s="137"/>
    </row>
    <row r="302" spans="1:6" x14ac:dyDescent="0.25">
      <c r="A302" s="136">
        <f>'[2]All Counts'!E302</f>
        <v>25842</v>
      </c>
      <c r="B302" s="136">
        <f>'[2]All Counts'!M302</f>
        <v>104203</v>
      </c>
      <c r="C302" s="136">
        <f>'[2]All Counts'!N302</f>
        <v>16885</v>
      </c>
      <c r="D302" s="136">
        <f>'[2]All Counts'!O302</f>
        <v>22833</v>
      </c>
      <c r="E302" s="136" t="str">
        <f>'[2]All Counts'!P302</f>
        <v>PeMS2016</v>
      </c>
      <c r="F302" s="137"/>
    </row>
    <row r="303" spans="1:6" x14ac:dyDescent="0.25">
      <c r="A303" s="136">
        <f>'[2]All Counts'!E303</f>
        <v>26523</v>
      </c>
      <c r="B303" s="136">
        <f>'[2]All Counts'!M303</f>
        <v>100921</v>
      </c>
      <c r="C303" s="136">
        <f>'[2]All Counts'!N303</f>
        <v>16277</v>
      </c>
      <c r="D303" s="136">
        <f>'[2]All Counts'!O303</f>
        <v>21979</v>
      </c>
      <c r="E303" s="136" t="str">
        <f>'[2]All Counts'!P303</f>
        <v>PeMS2016</v>
      </c>
      <c r="F303" s="137"/>
    </row>
    <row r="304" spans="1:6" x14ac:dyDescent="0.25">
      <c r="A304" s="136">
        <f>'[2]All Counts'!E304</f>
        <v>13581</v>
      </c>
      <c r="B304" s="136">
        <f>'[2]All Counts'!M304</f>
        <v>104032</v>
      </c>
      <c r="C304" s="136">
        <f>'[2]All Counts'!N304</f>
        <v>16759</v>
      </c>
      <c r="D304" s="136">
        <f>'[2]All Counts'!O304</f>
        <v>22879</v>
      </c>
      <c r="E304" s="136" t="str">
        <f>'[2]All Counts'!P304</f>
        <v>PeMS2016</v>
      </c>
      <c r="F304" s="137"/>
    </row>
    <row r="305" spans="1:6" x14ac:dyDescent="0.25">
      <c r="A305" s="136">
        <f>'[2]All Counts'!E305</f>
        <v>13579</v>
      </c>
      <c r="B305" s="136">
        <f>'[2]All Counts'!M305</f>
        <v>95273</v>
      </c>
      <c r="C305" s="136">
        <f>'[2]All Counts'!N305</f>
        <v>15467</v>
      </c>
      <c r="D305" s="136">
        <f>'[2]All Counts'!O305</f>
        <v>21038</v>
      </c>
      <c r="E305" s="136" t="str">
        <f>'[2]All Counts'!P305</f>
        <v>PeMS2016</v>
      </c>
      <c r="F305" s="137"/>
    </row>
    <row r="306" spans="1:6" x14ac:dyDescent="0.25">
      <c r="A306" s="136">
        <f>'[2]All Counts'!E306</f>
        <v>615</v>
      </c>
      <c r="B306" s="136">
        <f>'[2]All Counts'!M306</f>
        <v>100358</v>
      </c>
      <c r="C306" s="136">
        <f>'[2]All Counts'!N306</f>
        <v>16280</v>
      </c>
      <c r="D306" s="136">
        <f>'[2]All Counts'!O306</f>
        <v>22142</v>
      </c>
      <c r="E306" s="136" t="str">
        <f>'[2]All Counts'!P306</f>
        <v>PeMS2016</v>
      </c>
      <c r="F306" s="137"/>
    </row>
    <row r="307" spans="1:6" x14ac:dyDescent="0.25">
      <c r="A307" s="136">
        <f>'[2]All Counts'!E307</f>
        <v>16275</v>
      </c>
      <c r="B307" s="136">
        <f>'[2]All Counts'!M307</f>
        <v>101403</v>
      </c>
      <c r="C307" s="136">
        <f>'[2]All Counts'!N307</f>
        <v>16037</v>
      </c>
      <c r="D307" s="136">
        <f>'[2]All Counts'!O307</f>
        <v>22564</v>
      </c>
      <c r="E307" s="136" t="str">
        <f>'[2]All Counts'!P307</f>
        <v>PeMS2016</v>
      </c>
      <c r="F307" s="137"/>
    </row>
    <row r="308" spans="1:6" x14ac:dyDescent="0.25">
      <c r="A308" s="136">
        <f>'[2]All Counts'!E308</f>
        <v>16290</v>
      </c>
      <c r="B308" s="136">
        <f>'[2]All Counts'!M308</f>
        <v>99469</v>
      </c>
      <c r="C308" s="136">
        <f>'[2]All Counts'!N308</f>
        <v>16269</v>
      </c>
      <c r="D308" s="136">
        <f>'[2]All Counts'!O308</f>
        <v>21530</v>
      </c>
      <c r="E308" s="136" t="str">
        <f>'[2]All Counts'!P308</f>
        <v>PeMS2016</v>
      </c>
      <c r="F308" s="137"/>
    </row>
    <row r="309" spans="1:6" x14ac:dyDescent="0.25">
      <c r="A309" s="136">
        <f>'[2]All Counts'!E309</f>
        <v>16291</v>
      </c>
      <c r="B309" s="136">
        <f>'[2]All Counts'!M309</f>
        <v>104108</v>
      </c>
      <c r="C309" s="136">
        <f>'[2]All Counts'!N309</f>
        <v>16864</v>
      </c>
      <c r="D309" s="136">
        <f>'[2]All Counts'!O309</f>
        <v>22460</v>
      </c>
      <c r="E309" s="136" t="str">
        <f>'[2]All Counts'!P309</f>
        <v>PeMS2016</v>
      </c>
      <c r="F309" s="137"/>
    </row>
    <row r="310" spans="1:6" x14ac:dyDescent="0.25">
      <c r="A310" s="136">
        <f>'[2]All Counts'!E310</f>
        <v>671</v>
      </c>
      <c r="B310" s="136">
        <f>'[2]All Counts'!M310</f>
        <v>95533</v>
      </c>
      <c r="C310" s="136">
        <f>'[2]All Counts'!N310</f>
        <v>15522</v>
      </c>
      <c r="D310" s="136">
        <f>'[2]All Counts'!O310</f>
        <v>20344</v>
      </c>
      <c r="E310" s="136" t="str">
        <f>'[2]All Counts'!P310</f>
        <v>PeMS2016</v>
      </c>
      <c r="F310" s="137"/>
    </row>
    <row r="311" spans="1:6" x14ac:dyDescent="0.25">
      <c r="A311" s="136">
        <f>'[2]All Counts'!E311</f>
        <v>8770</v>
      </c>
      <c r="B311" s="136">
        <f>'[2]All Counts'!M311</f>
        <v>88873</v>
      </c>
      <c r="C311" s="136">
        <f>'[2]All Counts'!N311</f>
        <v>15474</v>
      </c>
      <c r="D311" s="136">
        <f>'[2]All Counts'!O311</f>
        <v>18707</v>
      </c>
      <c r="E311" s="136" t="str">
        <f>'[2]All Counts'!P311</f>
        <v>PeMS2016</v>
      </c>
      <c r="F311" s="137"/>
    </row>
    <row r="312" spans="1:6" x14ac:dyDescent="0.25">
      <c r="A312" s="136">
        <f>'[2]All Counts'!E312</f>
        <v>26546</v>
      </c>
      <c r="B312" s="136">
        <f>'[2]All Counts'!M312</f>
        <v>94176</v>
      </c>
      <c r="C312" s="136">
        <f>'[2]All Counts'!N312</f>
        <v>15389</v>
      </c>
      <c r="D312" s="136">
        <f>'[2]All Counts'!O312</f>
        <v>19631</v>
      </c>
      <c r="E312" s="136" t="str">
        <f>'[2]All Counts'!P312</f>
        <v>PeMS2016</v>
      </c>
      <c r="F312" s="137"/>
    </row>
    <row r="313" spans="1:6" x14ac:dyDescent="0.25">
      <c r="A313" s="136">
        <f>'[2]All Counts'!E313</f>
        <v>13279</v>
      </c>
      <c r="B313" s="136">
        <f>'[2]All Counts'!M313</f>
        <v>98062</v>
      </c>
      <c r="C313" s="136">
        <f>'[2]All Counts'!N313</f>
        <v>16243</v>
      </c>
      <c r="D313" s="136">
        <f>'[2]All Counts'!O313</f>
        <v>20084</v>
      </c>
      <c r="E313" s="136" t="str">
        <f>'[2]All Counts'!P313</f>
        <v>PeMS2016</v>
      </c>
      <c r="F313" s="137"/>
    </row>
    <row r="314" spans="1:6" x14ac:dyDescent="0.25">
      <c r="A314" s="136">
        <f>'[2]All Counts'!E314</f>
        <v>13277</v>
      </c>
      <c r="B314" s="136">
        <f>'[2]All Counts'!M314</f>
        <v>86290</v>
      </c>
      <c r="C314" s="136">
        <f>'[2]All Counts'!N314</f>
        <v>12966</v>
      </c>
      <c r="D314" s="136">
        <f>'[2]All Counts'!O314</f>
        <v>18732</v>
      </c>
      <c r="E314" s="136" t="str">
        <f>'[2]All Counts'!P314</f>
        <v>PeMS2016</v>
      </c>
      <c r="F314" s="137"/>
    </row>
    <row r="315" spans="1:6" x14ac:dyDescent="0.25">
      <c r="A315" s="136">
        <f>'[2]All Counts'!E315</f>
        <v>673</v>
      </c>
      <c r="B315" s="136">
        <f>'[2]All Counts'!M315</f>
        <v>93015</v>
      </c>
      <c r="C315" s="136">
        <f>'[2]All Counts'!N315</f>
        <v>13259</v>
      </c>
      <c r="D315" s="136">
        <f>'[2]All Counts'!O315</f>
        <v>20930</v>
      </c>
      <c r="E315" s="136" t="str">
        <f>'[2]All Counts'!P315</f>
        <v>PeMS2016</v>
      </c>
      <c r="F315" s="137"/>
    </row>
    <row r="316" spans="1:6" x14ac:dyDescent="0.25">
      <c r="A316" s="136">
        <f>'[2]All Counts'!E316</f>
        <v>8768</v>
      </c>
      <c r="B316" s="136">
        <f>'[2]All Counts'!M316</f>
        <v>100711</v>
      </c>
      <c r="C316" s="136">
        <f>'[2]All Counts'!N316</f>
        <v>13633</v>
      </c>
      <c r="D316" s="136">
        <f>'[2]All Counts'!O316</f>
        <v>24173</v>
      </c>
      <c r="E316" s="136" t="str">
        <f>'[2]All Counts'!P316</f>
        <v>PeMS2016</v>
      </c>
      <c r="F316" s="137"/>
    </row>
    <row r="317" spans="1:6" x14ac:dyDescent="0.25">
      <c r="A317" s="136">
        <f>'[2]All Counts'!E317</f>
        <v>26547</v>
      </c>
      <c r="B317" s="136">
        <f>'[2]All Counts'!M317</f>
        <v>99712</v>
      </c>
      <c r="C317" s="136">
        <f>'[2]All Counts'!N317</f>
        <v>13337</v>
      </c>
      <c r="D317" s="136">
        <f>'[2]All Counts'!O317</f>
        <v>24326</v>
      </c>
      <c r="E317" s="136" t="str">
        <f>'[2]All Counts'!P317</f>
        <v>Caltran</v>
      </c>
      <c r="F317" s="137"/>
    </row>
    <row r="318" spans="1:6" x14ac:dyDescent="0.25">
      <c r="A318" s="136">
        <f>'[2]All Counts'!E318</f>
        <v>12592</v>
      </c>
      <c r="B318" s="136">
        <f>'[2]All Counts'!M318</f>
        <v>100241</v>
      </c>
      <c r="C318" s="136">
        <f>'[2]All Counts'!N318</f>
        <v>13972</v>
      </c>
      <c r="D318" s="136">
        <f>'[2]All Counts'!O318</f>
        <v>23458</v>
      </c>
      <c r="E318" s="136" t="str">
        <f>'[2]All Counts'!P318</f>
        <v>PeMS2016</v>
      </c>
      <c r="F318" s="137"/>
    </row>
    <row r="319" spans="1:6" x14ac:dyDescent="0.25">
      <c r="A319" s="136">
        <f>'[2]All Counts'!E319</f>
        <v>16125</v>
      </c>
      <c r="B319" s="136">
        <f>'[2]All Counts'!M319</f>
        <v>91626</v>
      </c>
      <c r="C319" s="136">
        <f>'[2]All Counts'!N319</f>
        <v>13130</v>
      </c>
      <c r="D319" s="136">
        <f>'[2]All Counts'!O319</f>
        <v>21321</v>
      </c>
      <c r="E319" s="136" t="str">
        <f>'[2]All Counts'!P319</f>
        <v>PeMS2016</v>
      </c>
      <c r="F319" s="137"/>
    </row>
    <row r="320" spans="1:6" x14ac:dyDescent="0.25">
      <c r="A320" s="136">
        <f>'[2]All Counts'!E320</f>
        <v>12253</v>
      </c>
      <c r="B320" s="136">
        <f>'[2]All Counts'!M320</f>
        <v>104473</v>
      </c>
      <c r="C320" s="136">
        <f>'[2]All Counts'!N320</f>
        <v>16989</v>
      </c>
      <c r="D320" s="136">
        <f>'[2]All Counts'!O320</f>
        <v>23051</v>
      </c>
      <c r="E320" s="136" t="str">
        <f>'[2]All Counts'!P320</f>
        <v>PeMS2016</v>
      </c>
      <c r="F320" s="137"/>
    </row>
    <row r="321" spans="1:6" x14ac:dyDescent="0.25">
      <c r="A321" s="136">
        <f>'[2]All Counts'!E321</f>
        <v>12242</v>
      </c>
      <c r="B321" s="136">
        <f>'[2]All Counts'!M321</f>
        <v>90844</v>
      </c>
      <c r="C321" s="136">
        <f>'[2]All Counts'!N321</f>
        <v>15206</v>
      </c>
      <c r="D321" s="136">
        <f>'[2]All Counts'!O321</f>
        <v>19328</v>
      </c>
      <c r="E321" s="136" t="str">
        <f>'[2]All Counts'!P321</f>
        <v>PeMS2016</v>
      </c>
      <c r="F321" s="137"/>
    </row>
    <row r="322" spans="1:6" x14ac:dyDescent="0.25">
      <c r="A322" s="136">
        <f>'[2]All Counts'!E322</f>
        <v>28495</v>
      </c>
      <c r="B322" s="136">
        <f>'[2]All Counts'!M322</f>
        <v>78485</v>
      </c>
      <c r="C322" s="136">
        <f>'[2]All Counts'!N322</f>
        <v>13861</v>
      </c>
      <c r="D322" s="136">
        <f>'[2]All Counts'!O322</f>
        <v>15508</v>
      </c>
      <c r="E322" s="136" t="str">
        <f>'[2]All Counts'!P322</f>
        <v>PeMS2016</v>
      </c>
      <c r="F322" s="137"/>
    </row>
    <row r="323" spans="1:6" x14ac:dyDescent="0.25">
      <c r="A323" s="136">
        <f>'[2]All Counts'!E323</f>
        <v>28511</v>
      </c>
      <c r="B323" s="136">
        <f>'[2]All Counts'!M323</f>
        <v>82332</v>
      </c>
      <c r="C323" s="136">
        <f>'[2]All Counts'!N323</f>
        <v>14347</v>
      </c>
      <c r="D323" s="136">
        <f>'[2]All Counts'!O323</f>
        <v>16392</v>
      </c>
      <c r="E323" s="136" t="str">
        <f>'[2]All Counts'!P323</f>
        <v>Caltran</v>
      </c>
      <c r="F323" s="137"/>
    </row>
    <row r="324" spans="1:6" x14ac:dyDescent="0.25">
      <c r="A324" s="136">
        <f>'[2]All Counts'!E324</f>
        <v>28512</v>
      </c>
      <c r="B324" s="136">
        <f>'[2]All Counts'!M324</f>
        <v>71465</v>
      </c>
      <c r="C324" s="136">
        <f>'[2]All Counts'!N324</f>
        <v>13432</v>
      </c>
      <c r="D324" s="136">
        <f>'[2]All Counts'!O324</f>
        <v>13004</v>
      </c>
      <c r="E324" s="136" t="str">
        <f>'[2]All Counts'!P324</f>
        <v>PeMS2016</v>
      </c>
      <c r="F324" s="137"/>
    </row>
    <row r="325" spans="1:6" x14ac:dyDescent="0.25">
      <c r="A325" s="136">
        <f>'[2]All Counts'!E325</f>
        <v>28486</v>
      </c>
      <c r="B325" s="136">
        <f>'[2]All Counts'!M325</f>
        <v>62454</v>
      </c>
      <c r="C325" s="136">
        <f>'[2]All Counts'!N325</f>
        <v>11782</v>
      </c>
      <c r="D325" s="136">
        <f>'[2]All Counts'!O325</f>
        <v>11005</v>
      </c>
      <c r="E325" s="136" t="str">
        <f>'[2]All Counts'!P325</f>
        <v>PeMS2016</v>
      </c>
      <c r="F325" s="137"/>
    </row>
    <row r="326" spans="1:6" x14ac:dyDescent="0.25">
      <c r="A326" s="136">
        <f>'[2]All Counts'!E326</f>
        <v>27597</v>
      </c>
      <c r="B326" s="136">
        <f>'[2]All Counts'!M326</f>
        <v>63067</v>
      </c>
      <c r="C326" s="136">
        <f>'[2]All Counts'!N326</f>
        <v>11896</v>
      </c>
      <c r="D326" s="136">
        <f>'[2]All Counts'!O326</f>
        <v>11331</v>
      </c>
      <c r="E326" s="136" t="str">
        <f>'[2]All Counts'!P326</f>
        <v>PeMS2016</v>
      </c>
      <c r="F326" s="137"/>
    </row>
    <row r="327" spans="1:6" x14ac:dyDescent="0.25">
      <c r="A327" s="136">
        <f>'[2]All Counts'!E327</f>
        <v>27519</v>
      </c>
      <c r="B327" s="136">
        <f>'[2]All Counts'!M327</f>
        <v>66076</v>
      </c>
      <c r="C327" s="136">
        <f>'[2]All Counts'!N327</f>
        <v>11812</v>
      </c>
      <c r="D327" s="136">
        <f>'[2]All Counts'!O327</f>
        <v>12094</v>
      </c>
      <c r="E327" s="136" t="str">
        <f>'[2]All Counts'!P327</f>
        <v>PeMS2016</v>
      </c>
      <c r="F327" s="137"/>
    </row>
    <row r="328" spans="1:6" x14ac:dyDescent="0.25">
      <c r="A328" s="136">
        <f>'[2]All Counts'!E328</f>
        <v>25386</v>
      </c>
      <c r="B328" s="136">
        <f>'[2]All Counts'!M328</f>
        <v>7950</v>
      </c>
      <c r="C328" s="136">
        <f>'[2]All Counts'!N328</f>
        <v>990</v>
      </c>
      <c r="D328" s="136">
        <f>'[2]All Counts'!O328</f>
        <v>2637</v>
      </c>
      <c r="E328" s="136" t="str">
        <f>'[2]All Counts'!P328</f>
        <v>PeMS2016</v>
      </c>
      <c r="F328" s="137"/>
    </row>
    <row r="329" spans="1:6" x14ac:dyDescent="0.25">
      <c r="A329" s="136">
        <f>'[2]All Counts'!E329</f>
        <v>22077</v>
      </c>
      <c r="B329" s="136">
        <f>'[2]All Counts'!M329</f>
        <v>10185</v>
      </c>
      <c r="C329" s="136">
        <f>'[2]All Counts'!N329</f>
        <v>1165</v>
      </c>
      <c r="D329" s="136">
        <f>'[2]All Counts'!O329</f>
        <v>3507</v>
      </c>
      <c r="E329" s="136" t="str">
        <f>'[2]All Counts'!P329</f>
        <v>PeMS2016</v>
      </c>
      <c r="F329" s="137"/>
    </row>
    <row r="330" spans="1:6" x14ac:dyDescent="0.25">
      <c r="A330" s="136">
        <f>'[2]All Counts'!E330</f>
        <v>29571</v>
      </c>
      <c r="B330" s="136">
        <f>'[2]All Counts'!M330</f>
        <v>9792</v>
      </c>
      <c r="C330" s="136">
        <f>'[2]All Counts'!N330</f>
        <v>1359</v>
      </c>
      <c r="D330" s="136">
        <f>'[2]All Counts'!O330</f>
        <v>2521</v>
      </c>
      <c r="E330" s="136" t="str">
        <f>'[2]All Counts'!P330</f>
        <v>PeMS2016</v>
      </c>
      <c r="F330" s="137"/>
    </row>
    <row r="331" spans="1:6" x14ac:dyDescent="0.25">
      <c r="A331" s="136">
        <f>'[2]All Counts'!E331</f>
        <v>25381</v>
      </c>
      <c r="B331" s="136">
        <f>'[2]All Counts'!M331</f>
        <v>9379</v>
      </c>
      <c r="C331" s="136">
        <f>'[2]All Counts'!N331</f>
        <v>1101</v>
      </c>
      <c r="D331" s="136">
        <f>'[2]All Counts'!O331</f>
        <v>3058</v>
      </c>
      <c r="E331" s="136" t="str">
        <f>'[2]All Counts'!P331</f>
        <v>PeMS2016</v>
      </c>
      <c r="F331" s="137"/>
    </row>
    <row r="332" spans="1:6" x14ac:dyDescent="0.25">
      <c r="A332" s="136">
        <f>'[2]All Counts'!E332</f>
        <v>29490</v>
      </c>
      <c r="B332" s="136">
        <f>'[2]All Counts'!M332</f>
        <v>11953</v>
      </c>
      <c r="C332" s="136">
        <f>'[2]All Counts'!N332</f>
        <v>1219</v>
      </c>
      <c r="D332" s="136">
        <f>'[2]All Counts'!O332</f>
        <v>4350</v>
      </c>
      <c r="E332" s="136" t="str">
        <f>'[2]All Counts'!P332</f>
        <v>PeMS2016</v>
      </c>
      <c r="F332" s="137"/>
    </row>
    <row r="333" spans="1:6" x14ac:dyDescent="0.25">
      <c r="A333" s="136">
        <f>'[2]All Counts'!E333</f>
        <v>16127</v>
      </c>
      <c r="B333" s="136">
        <f>'[2]All Counts'!M333</f>
        <v>56592</v>
      </c>
      <c r="C333" s="136">
        <f>'[2]All Counts'!N333</f>
        <v>9944</v>
      </c>
      <c r="D333" s="136">
        <f>'[2]All Counts'!O333</f>
        <v>13149</v>
      </c>
      <c r="E333" s="136" t="str">
        <f>'[2]All Counts'!P333</f>
        <v>Caltran</v>
      </c>
      <c r="F333" s="137"/>
    </row>
    <row r="334" spans="1:6" x14ac:dyDescent="0.25">
      <c r="A334" s="136">
        <f>'[2]All Counts'!E334</f>
        <v>16128</v>
      </c>
      <c r="B334" s="136">
        <f>'[2]All Counts'!M334</f>
        <v>59710</v>
      </c>
      <c r="C334" s="136">
        <f>'[2]All Counts'!N334</f>
        <v>10441</v>
      </c>
      <c r="D334" s="136">
        <f>'[2]All Counts'!O334</f>
        <v>13795</v>
      </c>
      <c r="E334" s="136" t="str">
        <f>'[2]All Counts'!P334</f>
        <v>PeMS2016</v>
      </c>
      <c r="F334" s="137"/>
    </row>
    <row r="335" spans="1:6" x14ac:dyDescent="0.25">
      <c r="A335" s="136">
        <f>'[2]All Counts'!E335</f>
        <v>11327</v>
      </c>
      <c r="B335" s="136">
        <f>'[2]All Counts'!M335</f>
        <v>66365</v>
      </c>
      <c r="C335" s="136">
        <f>'[2]All Counts'!N335</f>
        <v>12602</v>
      </c>
      <c r="D335" s="136">
        <f>'[2]All Counts'!O335</f>
        <v>15197</v>
      </c>
      <c r="E335" s="136" t="str">
        <f>'[2]All Counts'!P335</f>
        <v>PeMS2016</v>
      </c>
      <c r="F335" s="137"/>
    </row>
    <row r="336" spans="1:6" x14ac:dyDescent="0.25">
      <c r="A336" s="136">
        <f>'[2]All Counts'!E336</f>
        <v>16136</v>
      </c>
      <c r="B336" s="136">
        <f>'[2]All Counts'!M336</f>
        <v>70159</v>
      </c>
      <c r="C336" s="136">
        <f>'[2]All Counts'!N336</f>
        <v>13315</v>
      </c>
      <c r="D336" s="136">
        <f>'[2]All Counts'!O336</f>
        <v>16609</v>
      </c>
      <c r="E336" s="136" t="str">
        <f>'[2]All Counts'!P336</f>
        <v>Caltran</v>
      </c>
      <c r="F336" s="137"/>
    </row>
    <row r="337" spans="1:6" x14ac:dyDescent="0.25">
      <c r="A337" s="136">
        <f>'[2]All Counts'!E337</f>
        <v>8921</v>
      </c>
      <c r="B337" s="136">
        <f>'[2]All Counts'!M337</f>
        <v>64827</v>
      </c>
      <c r="C337" s="136">
        <f>'[2]All Counts'!N337</f>
        <v>13363</v>
      </c>
      <c r="D337" s="136">
        <f>'[2]All Counts'!O337</f>
        <v>14799</v>
      </c>
      <c r="E337" s="136" t="str">
        <f>'[2]All Counts'!P337</f>
        <v>PeMS2016</v>
      </c>
      <c r="F337" s="137"/>
    </row>
    <row r="338" spans="1:6" x14ac:dyDescent="0.25">
      <c r="A338" s="136">
        <f>'[2]All Counts'!E338</f>
        <v>8939</v>
      </c>
      <c r="B338" s="136">
        <f>'[2]All Counts'!M338</f>
        <v>96155</v>
      </c>
      <c r="C338" s="136">
        <f>'[2]All Counts'!N338</f>
        <v>18973</v>
      </c>
      <c r="D338" s="136">
        <f>'[2]All Counts'!O338</f>
        <v>20164</v>
      </c>
      <c r="E338" s="136" t="str">
        <f>'[2]All Counts'!P338</f>
        <v>PeMS2016</v>
      </c>
      <c r="F338" s="137"/>
    </row>
    <row r="339" spans="1:6" x14ac:dyDescent="0.25">
      <c r="A339" s="136">
        <f>'[2]All Counts'!E339</f>
        <v>27578</v>
      </c>
      <c r="B339" s="136">
        <f>'[2]All Counts'!M339</f>
        <v>80382</v>
      </c>
      <c r="C339" s="136">
        <f>'[2]All Counts'!N339</f>
        <v>16727</v>
      </c>
      <c r="D339" s="136">
        <f>'[2]All Counts'!O339</f>
        <v>15852</v>
      </c>
      <c r="E339" s="136" t="str">
        <f>'[2]All Counts'!P339</f>
        <v>PeMS2016</v>
      </c>
      <c r="F339" s="137"/>
    </row>
    <row r="340" spans="1:6" x14ac:dyDescent="0.25">
      <c r="A340" s="136">
        <f>'[2]All Counts'!E340</f>
        <v>8977</v>
      </c>
      <c r="B340" s="136">
        <f>'[2]All Counts'!M340</f>
        <v>91226</v>
      </c>
      <c r="C340" s="136">
        <f>'[2]All Counts'!N340</f>
        <v>19717</v>
      </c>
      <c r="D340" s="136">
        <f>'[2]All Counts'!O340</f>
        <v>18184</v>
      </c>
      <c r="E340" s="136" t="str">
        <f>'[2]All Counts'!P340</f>
        <v>PeMS2016</v>
      </c>
      <c r="F340" s="137"/>
    </row>
    <row r="341" spans="1:6" x14ac:dyDescent="0.25">
      <c r="A341" s="136">
        <f>'[2]All Counts'!E341</f>
        <v>6852</v>
      </c>
      <c r="B341" s="136">
        <f>'[2]All Counts'!M341</f>
        <v>86796</v>
      </c>
      <c r="C341" s="136">
        <f>'[2]All Counts'!N341</f>
        <v>15934</v>
      </c>
      <c r="D341" s="136">
        <f>'[2]All Counts'!O341</f>
        <v>17236</v>
      </c>
      <c r="E341" s="136" t="str">
        <f>'[2]All Counts'!P341</f>
        <v>PeMS2016</v>
      </c>
      <c r="F341" s="137"/>
    </row>
    <row r="342" spans="1:6" x14ac:dyDescent="0.25">
      <c r="A342" s="136">
        <f>'[2]All Counts'!E342</f>
        <v>16760</v>
      </c>
      <c r="B342" s="136">
        <f>'[2]All Counts'!M342</f>
        <v>79946</v>
      </c>
      <c r="C342" s="136">
        <f>'[2]All Counts'!N342</f>
        <v>15726</v>
      </c>
      <c r="D342" s="136">
        <f>'[2]All Counts'!O342</f>
        <v>16271</v>
      </c>
      <c r="E342" s="136" t="str">
        <f>'[2]All Counts'!P342</f>
        <v>PeMS2016</v>
      </c>
      <c r="F342" s="137"/>
    </row>
    <row r="343" spans="1:6" x14ac:dyDescent="0.25">
      <c r="A343" s="136">
        <f>'[2]All Counts'!E343</f>
        <v>15776</v>
      </c>
      <c r="B343" s="136">
        <f>'[2]All Counts'!M343</f>
        <v>114510</v>
      </c>
      <c r="C343" s="136">
        <f>'[2]All Counts'!N343</f>
        <v>25967</v>
      </c>
      <c r="D343" s="136">
        <f>'[2]All Counts'!O343</f>
        <v>21966</v>
      </c>
      <c r="E343" s="136" t="str">
        <f>'[2]All Counts'!P343</f>
        <v>Caltran</v>
      </c>
      <c r="F343" s="137"/>
    </row>
    <row r="344" spans="1:6" x14ac:dyDescent="0.25">
      <c r="A344" s="136">
        <f>'[2]All Counts'!E344</f>
        <v>20457</v>
      </c>
      <c r="B344" s="136">
        <f>'[2]All Counts'!M344</f>
        <v>97366</v>
      </c>
      <c r="C344" s="136">
        <f>'[2]All Counts'!N344</f>
        <v>24304</v>
      </c>
      <c r="D344" s="136">
        <f>'[2]All Counts'!O344</f>
        <v>17640</v>
      </c>
      <c r="E344" s="136" t="str">
        <f>'[2]All Counts'!P344</f>
        <v>PeMS2016</v>
      </c>
      <c r="F344" s="137"/>
    </row>
    <row r="345" spans="1:6" x14ac:dyDescent="0.25">
      <c r="A345" s="136">
        <f>'[2]All Counts'!E345</f>
        <v>9328</v>
      </c>
      <c r="B345" s="136">
        <f>'[2]All Counts'!M345</f>
        <v>117227</v>
      </c>
      <c r="C345" s="136">
        <f>'[2]All Counts'!N345</f>
        <v>28802</v>
      </c>
      <c r="D345" s="136">
        <f>'[2]All Counts'!O345</f>
        <v>21823</v>
      </c>
      <c r="E345" s="136" t="str">
        <f>'[2]All Counts'!P345</f>
        <v>PeMS2016</v>
      </c>
      <c r="F345" s="137"/>
    </row>
    <row r="346" spans="1:6" x14ac:dyDescent="0.25">
      <c r="A346" s="136">
        <f>'[2]All Counts'!E346</f>
        <v>9333</v>
      </c>
      <c r="B346" s="136">
        <f>'[2]All Counts'!M346</f>
        <v>95636</v>
      </c>
      <c r="C346" s="136">
        <f>'[2]All Counts'!N346</f>
        <v>24025</v>
      </c>
      <c r="D346" s="136">
        <f>'[2]All Counts'!O346</f>
        <v>17693</v>
      </c>
      <c r="E346" s="136" t="str">
        <f>'[2]All Counts'!P346</f>
        <v>PeMS2016</v>
      </c>
      <c r="F346" s="137"/>
    </row>
    <row r="347" spans="1:6" x14ac:dyDescent="0.25">
      <c r="A347" s="136">
        <f>'[2]All Counts'!E347</f>
        <v>9336</v>
      </c>
      <c r="B347" s="136">
        <f>'[2]All Counts'!M347</f>
        <v>103652</v>
      </c>
      <c r="C347" s="136">
        <f>'[2]All Counts'!N347</f>
        <v>25437</v>
      </c>
      <c r="D347" s="136">
        <f>'[2]All Counts'!O347</f>
        <v>19558</v>
      </c>
      <c r="E347" s="136" t="str">
        <f>'[2]All Counts'!P347</f>
        <v>PeMS2016</v>
      </c>
      <c r="F347" s="137"/>
    </row>
    <row r="348" spans="1:6" x14ac:dyDescent="0.25">
      <c r="A348" s="136">
        <f>'[2]All Counts'!E348</f>
        <v>9337</v>
      </c>
      <c r="B348" s="136">
        <f>'[2]All Counts'!M348</f>
        <v>88650</v>
      </c>
      <c r="C348" s="136">
        <f>'[2]All Counts'!N348</f>
        <v>21054</v>
      </c>
      <c r="D348" s="136">
        <f>'[2]All Counts'!O348</f>
        <v>16940</v>
      </c>
      <c r="E348" s="136" t="str">
        <f>'[2]All Counts'!P348</f>
        <v>PeMS2016</v>
      </c>
      <c r="F348" s="137"/>
    </row>
    <row r="349" spans="1:6" x14ac:dyDescent="0.25">
      <c r="A349" s="136">
        <f>'[2]All Counts'!E349</f>
        <v>9342</v>
      </c>
      <c r="B349" s="136">
        <f>'[2]All Counts'!M349</f>
        <v>96703</v>
      </c>
      <c r="C349" s="136">
        <f>'[2]All Counts'!N349</f>
        <v>22241</v>
      </c>
      <c r="D349" s="136">
        <f>'[2]All Counts'!O349</f>
        <v>19575</v>
      </c>
      <c r="E349" s="136" t="str">
        <f>'[2]All Counts'!P349</f>
        <v>PeMS2016</v>
      </c>
      <c r="F349" s="137"/>
    </row>
    <row r="350" spans="1:6" x14ac:dyDescent="0.25">
      <c r="A350" s="136">
        <f>'[2]All Counts'!E350</f>
        <v>15230</v>
      </c>
      <c r="B350" s="136">
        <f>'[2]All Counts'!M350</f>
        <v>73735</v>
      </c>
      <c r="C350" s="136">
        <f>'[2]All Counts'!N350</f>
        <v>15869</v>
      </c>
      <c r="D350" s="136">
        <f>'[2]All Counts'!O350</f>
        <v>15340</v>
      </c>
      <c r="E350" s="136" t="str">
        <f>'[2]All Counts'!P350</f>
        <v>PeMS2016</v>
      </c>
      <c r="F350" s="137"/>
    </row>
    <row r="351" spans="1:6" x14ac:dyDescent="0.25">
      <c r="A351" s="136">
        <f>'[2]All Counts'!E351</f>
        <v>22743</v>
      </c>
      <c r="B351" s="136">
        <f>'[2]All Counts'!M351</f>
        <v>81360</v>
      </c>
      <c r="C351" s="136">
        <f>'[2]All Counts'!N351</f>
        <v>17572</v>
      </c>
      <c r="D351" s="136">
        <f>'[2]All Counts'!O351</f>
        <v>17202</v>
      </c>
      <c r="E351" s="136" t="str">
        <f>'[2]All Counts'!P351</f>
        <v>PeMS2016</v>
      </c>
      <c r="F351" s="137"/>
    </row>
    <row r="352" spans="1:6" x14ac:dyDescent="0.25">
      <c r="A352" s="136">
        <f>'[2]All Counts'!E352</f>
        <v>15188</v>
      </c>
      <c r="B352" s="136">
        <f>'[2]All Counts'!M352</f>
        <v>111087</v>
      </c>
      <c r="C352" s="136">
        <f>'[2]All Counts'!N352</f>
        <v>23846</v>
      </c>
      <c r="D352" s="136">
        <f>'[2]All Counts'!O352</f>
        <v>17983</v>
      </c>
      <c r="E352" s="136" t="str">
        <f>'[2]All Counts'!P352</f>
        <v>PeMS2016</v>
      </c>
      <c r="F352" s="137"/>
    </row>
    <row r="353" spans="1:6" x14ac:dyDescent="0.25">
      <c r="A353" s="136">
        <f>'[2]All Counts'!E353</f>
        <v>15187</v>
      </c>
      <c r="B353" s="136">
        <f>'[2]All Counts'!M353</f>
        <v>126261</v>
      </c>
      <c r="C353" s="136">
        <f>'[2]All Counts'!N353</f>
        <v>23813</v>
      </c>
      <c r="D353" s="136">
        <f>'[2]All Counts'!O353</f>
        <v>28908</v>
      </c>
      <c r="E353" s="136" t="str">
        <f>'[2]All Counts'!P353</f>
        <v>PeMS2016</v>
      </c>
      <c r="F353" s="137"/>
    </row>
    <row r="354" spans="1:6" x14ac:dyDescent="0.25">
      <c r="A354" s="136">
        <f>'[2]All Counts'!E354</f>
        <v>574</v>
      </c>
      <c r="B354" s="136">
        <f>'[2]All Counts'!M354</f>
        <v>161762</v>
      </c>
      <c r="C354" s="136">
        <f>'[2]All Counts'!N354</f>
        <v>31888</v>
      </c>
      <c r="D354" s="136">
        <f>'[2]All Counts'!O354</f>
        <v>36352</v>
      </c>
      <c r="E354" s="136" t="str">
        <f>'[2]All Counts'!P354</f>
        <v>PeMS2016</v>
      </c>
      <c r="F354" s="137"/>
    </row>
    <row r="355" spans="1:6" x14ac:dyDescent="0.25">
      <c r="A355" s="136">
        <f>'[2]All Counts'!E355</f>
        <v>14682</v>
      </c>
      <c r="B355" s="136">
        <f>'[2]All Counts'!M355</f>
        <v>152836</v>
      </c>
      <c r="C355" s="136">
        <f>'[2]All Counts'!N355</f>
        <v>29795</v>
      </c>
      <c r="D355" s="136">
        <f>'[2]All Counts'!O355</f>
        <v>33562</v>
      </c>
      <c r="E355" s="136" t="str">
        <f>'[2]All Counts'!P355</f>
        <v>PeMS2016</v>
      </c>
      <c r="F355" s="137"/>
    </row>
    <row r="356" spans="1:6" x14ac:dyDescent="0.25">
      <c r="A356" s="136">
        <f>'[2]All Counts'!E356</f>
        <v>14410</v>
      </c>
      <c r="B356" s="136">
        <f>'[2]All Counts'!M356</f>
        <v>135106</v>
      </c>
      <c r="C356" s="136">
        <f>'[2]All Counts'!N356</f>
        <v>25555</v>
      </c>
      <c r="D356" s="136">
        <f>'[2]All Counts'!O356</f>
        <v>30190</v>
      </c>
      <c r="E356" s="136" t="str">
        <f>'[2]All Counts'!P356</f>
        <v>PeMS2016</v>
      </c>
      <c r="F356" s="137"/>
    </row>
    <row r="357" spans="1:6" x14ac:dyDescent="0.25">
      <c r="A357" s="136">
        <f>'[2]All Counts'!E357</f>
        <v>14409</v>
      </c>
      <c r="B357" s="136">
        <f>'[2]All Counts'!M357</f>
        <v>138236</v>
      </c>
      <c r="C357" s="136">
        <f>'[2]All Counts'!N357</f>
        <v>26159</v>
      </c>
      <c r="D357" s="136">
        <f>'[2]All Counts'!O357</f>
        <v>32473</v>
      </c>
      <c r="E357" s="136" t="str">
        <f>'[2]All Counts'!P357</f>
        <v>PeMS2016</v>
      </c>
      <c r="F357" s="137"/>
    </row>
    <row r="358" spans="1:6" x14ac:dyDescent="0.25">
      <c r="A358" s="136">
        <f>'[2]All Counts'!E358</f>
        <v>14402</v>
      </c>
      <c r="B358" s="136">
        <f>'[2]All Counts'!M358</f>
        <v>137784</v>
      </c>
      <c r="C358" s="136">
        <f>'[2]All Counts'!N358</f>
        <v>24038</v>
      </c>
      <c r="D358" s="136">
        <f>'[2]All Counts'!O358</f>
        <v>32601</v>
      </c>
      <c r="E358" s="136" t="str">
        <f>'[2]All Counts'!P358</f>
        <v>PeMS2016</v>
      </c>
      <c r="F358" s="137"/>
    </row>
    <row r="359" spans="1:6" x14ac:dyDescent="0.25">
      <c r="A359" s="136">
        <f>'[2]All Counts'!E359</f>
        <v>14397</v>
      </c>
      <c r="B359" s="136">
        <f>'[2]All Counts'!M359</f>
        <v>148340</v>
      </c>
      <c r="C359" s="136">
        <f>'[2]All Counts'!N359</f>
        <v>25673</v>
      </c>
      <c r="D359" s="136">
        <f>'[2]All Counts'!O359</f>
        <v>35698</v>
      </c>
      <c r="E359" s="136" t="str">
        <f>'[2]All Counts'!P359</f>
        <v>PeMS2016</v>
      </c>
      <c r="F359" s="137"/>
    </row>
    <row r="360" spans="1:6" x14ac:dyDescent="0.25">
      <c r="A360" s="136">
        <f>'[2]All Counts'!E360</f>
        <v>25099</v>
      </c>
      <c r="B360" s="136">
        <f>'[2]All Counts'!M360</f>
        <v>122325</v>
      </c>
      <c r="C360" s="136">
        <f>'[2]All Counts'!N360</f>
        <v>21378</v>
      </c>
      <c r="D360" s="136">
        <f>'[2]All Counts'!O360</f>
        <v>29575</v>
      </c>
      <c r="E360" s="136" t="str">
        <f>'[2]All Counts'!P360</f>
        <v>SANDAG</v>
      </c>
      <c r="F360" s="137"/>
    </row>
    <row r="361" spans="1:6" x14ac:dyDescent="0.25">
      <c r="A361" s="136">
        <f>'[2]All Counts'!E361</f>
        <v>28810</v>
      </c>
      <c r="B361" s="136">
        <f>'[2]All Counts'!M361</f>
        <v>122794</v>
      </c>
      <c r="C361" s="136">
        <f>'[2]All Counts'!N361</f>
        <v>21591</v>
      </c>
      <c r="D361" s="136">
        <f>'[2]All Counts'!O361</f>
        <v>29565</v>
      </c>
      <c r="E361" s="136" t="str">
        <f>'[2]All Counts'!P361</f>
        <v>PeMS2016</v>
      </c>
      <c r="F361" s="137"/>
    </row>
    <row r="362" spans="1:6" x14ac:dyDescent="0.25">
      <c r="A362" s="136">
        <f>'[2]All Counts'!E362</f>
        <v>14384</v>
      </c>
      <c r="B362" s="136">
        <f>'[2]All Counts'!M362</f>
        <v>130140</v>
      </c>
      <c r="C362" s="136">
        <f>'[2]All Counts'!N362</f>
        <v>22134</v>
      </c>
      <c r="D362" s="136">
        <f>'[2]All Counts'!O362</f>
        <v>31407</v>
      </c>
      <c r="E362" s="136" t="str">
        <f>'[2]All Counts'!P362</f>
        <v>PeMS2016</v>
      </c>
      <c r="F362" s="137"/>
    </row>
    <row r="363" spans="1:6" x14ac:dyDescent="0.25">
      <c r="A363" s="136">
        <f>'[2]All Counts'!E363</f>
        <v>14386</v>
      </c>
      <c r="B363" s="136">
        <f>'[2]All Counts'!M363</f>
        <v>126253</v>
      </c>
      <c r="C363" s="136">
        <f>'[2]All Counts'!N363</f>
        <v>20929</v>
      </c>
      <c r="D363" s="136">
        <f>'[2]All Counts'!O363</f>
        <v>30988</v>
      </c>
      <c r="E363" s="136" t="str">
        <f>'[2]All Counts'!P363</f>
        <v>PeMS2016</v>
      </c>
      <c r="F363" s="137"/>
    </row>
    <row r="364" spans="1:6" x14ac:dyDescent="0.25">
      <c r="A364" s="136">
        <f>'[2]All Counts'!E364</f>
        <v>10859</v>
      </c>
      <c r="B364" s="136">
        <f>'[2]All Counts'!M364</f>
        <v>116386</v>
      </c>
      <c r="C364" s="136">
        <f>'[2]All Counts'!N364</f>
        <v>20529</v>
      </c>
      <c r="D364" s="136">
        <f>'[2]All Counts'!O364</f>
        <v>27642</v>
      </c>
      <c r="E364" s="136" t="str">
        <f>'[2]All Counts'!P364</f>
        <v>PeMS2016</v>
      </c>
      <c r="F364" s="137"/>
    </row>
    <row r="365" spans="1:6" x14ac:dyDescent="0.25">
      <c r="A365" s="136">
        <f>'[2]All Counts'!E365</f>
        <v>14639</v>
      </c>
      <c r="B365" s="136">
        <f>'[2]All Counts'!M365</f>
        <v>121306</v>
      </c>
      <c r="C365" s="136">
        <f>'[2]All Counts'!N365</f>
        <v>21306</v>
      </c>
      <c r="D365" s="136">
        <f>'[2]All Counts'!O365</f>
        <v>28826</v>
      </c>
      <c r="E365" s="136" t="str">
        <f>'[2]All Counts'!P365</f>
        <v>SANDAG</v>
      </c>
      <c r="F365" s="137"/>
    </row>
    <row r="366" spans="1:6" x14ac:dyDescent="0.25">
      <c r="A366" s="136">
        <f>'[2]All Counts'!E366</f>
        <v>3968</v>
      </c>
      <c r="B366" s="136">
        <f>'[2]All Counts'!M366</f>
        <v>110823</v>
      </c>
      <c r="C366" s="136">
        <f>'[2]All Counts'!N366</f>
        <v>19452</v>
      </c>
      <c r="D366" s="136">
        <f>'[2]All Counts'!O366</f>
        <v>25764</v>
      </c>
      <c r="E366" s="136" t="str">
        <f>'[2]All Counts'!P366</f>
        <v>PeMS2016</v>
      </c>
      <c r="F366" s="137"/>
    </row>
    <row r="367" spans="1:6" x14ac:dyDescent="0.25">
      <c r="A367" s="136">
        <f>'[2]All Counts'!E367</f>
        <v>13672</v>
      </c>
      <c r="B367" s="136">
        <f>'[2]All Counts'!M367</f>
        <v>111705</v>
      </c>
      <c r="C367" s="136">
        <f>'[2]All Counts'!N367</f>
        <v>19334</v>
      </c>
      <c r="D367" s="136">
        <f>'[2]All Counts'!O367</f>
        <v>26402</v>
      </c>
      <c r="E367" s="136" t="str">
        <f>'[2]All Counts'!P367</f>
        <v>PeMS2016</v>
      </c>
      <c r="F367" s="137"/>
    </row>
    <row r="368" spans="1:6" x14ac:dyDescent="0.25">
      <c r="A368" s="136">
        <f>'[2]All Counts'!E368</f>
        <v>13662</v>
      </c>
      <c r="B368" s="136">
        <f>'[2]All Counts'!M368</f>
        <v>120162</v>
      </c>
      <c r="C368" s="136">
        <f>'[2]All Counts'!N368</f>
        <v>20376</v>
      </c>
      <c r="D368" s="136">
        <f>'[2]All Counts'!O368</f>
        <v>28364</v>
      </c>
      <c r="E368" s="136" t="str">
        <f>'[2]All Counts'!P368</f>
        <v>PeMS2016</v>
      </c>
      <c r="F368" s="137"/>
    </row>
    <row r="369" spans="1:6" x14ac:dyDescent="0.25">
      <c r="A369" s="136">
        <f>'[2]All Counts'!E369</f>
        <v>516</v>
      </c>
      <c r="B369" s="136">
        <f>'[2]All Counts'!M369</f>
        <v>103598</v>
      </c>
      <c r="C369" s="136">
        <f>'[2]All Counts'!N369</f>
        <v>16839</v>
      </c>
      <c r="D369" s="136">
        <f>'[2]All Counts'!O369</f>
        <v>24337</v>
      </c>
      <c r="E369" s="136" t="str">
        <f>'[2]All Counts'!P369</f>
        <v>PeMS2016</v>
      </c>
      <c r="F369" s="137"/>
    </row>
    <row r="370" spans="1:6" x14ac:dyDescent="0.25">
      <c r="A370" s="136">
        <f>'[2]All Counts'!E370</f>
        <v>31205</v>
      </c>
      <c r="B370" s="136">
        <f>'[2]All Counts'!M370</f>
        <v>121528</v>
      </c>
      <c r="C370" s="136">
        <f>'[2]All Counts'!N370</f>
        <v>19608</v>
      </c>
      <c r="D370" s="136">
        <f>'[2]All Counts'!O370</f>
        <v>28835</v>
      </c>
      <c r="E370" s="136" t="str">
        <f>'[2]All Counts'!P370</f>
        <v>PeMS2016</v>
      </c>
      <c r="F370" s="137"/>
    </row>
    <row r="371" spans="1:6" x14ac:dyDescent="0.25">
      <c r="A371" s="136">
        <f>'[2]All Counts'!E371</f>
        <v>13648</v>
      </c>
      <c r="B371" s="136">
        <f>'[2]All Counts'!M371</f>
        <v>101967</v>
      </c>
      <c r="C371" s="136">
        <f>'[2]All Counts'!N371</f>
        <v>15492</v>
      </c>
      <c r="D371" s="136">
        <f>'[2]All Counts'!O371</f>
        <v>24137</v>
      </c>
      <c r="E371" s="136" t="str">
        <f>'[2]All Counts'!P371</f>
        <v>PeMS2016</v>
      </c>
      <c r="F371" s="137"/>
    </row>
    <row r="372" spans="1:6" x14ac:dyDescent="0.25">
      <c r="A372" s="136">
        <f>'[2]All Counts'!E372</f>
        <v>13637</v>
      </c>
      <c r="B372" s="136">
        <f>'[2]All Counts'!M372</f>
        <v>111320</v>
      </c>
      <c r="C372" s="136">
        <f>'[2]All Counts'!N372</f>
        <v>16853</v>
      </c>
      <c r="D372" s="136">
        <f>'[2]All Counts'!O372</f>
        <v>27093</v>
      </c>
      <c r="E372" s="136" t="str">
        <f>'[2]All Counts'!P372</f>
        <v>PeMS2016</v>
      </c>
      <c r="F372" s="137"/>
    </row>
    <row r="373" spans="1:6" x14ac:dyDescent="0.25">
      <c r="A373" s="136">
        <f>'[2]All Counts'!E373</f>
        <v>13639</v>
      </c>
      <c r="B373" s="136">
        <f>'[2]All Counts'!M373</f>
        <v>105046</v>
      </c>
      <c r="C373" s="136">
        <f>'[2]All Counts'!N373</f>
        <v>14922</v>
      </c>
      <c r="D373" s="136">
        <f>'[2]All Counts'!O373</f>
        <v>26992</v>
      </c>
      <c r="E373" s="136" t="str">
        <f>'[2]All Counts'!P373</f>
        <v>SANDAG</v>
      </c>
      <c r="F373" s="137"/>
    </row>
    <row r="374" spans="1:6" x14ac:dyDescent="0.25">
      <c r="A374" s="136">
        <f>'[2]All Counts'!E374</f>
        <v>13640</v>
      </c>
      <c r="B374" s="136">
        <f>'[2]All Counts'!M374</f>
        <v>105117</v>
      </c>
      <c r="C374" s="136">
        <f>'[2]All Counts'!N374</f>
        <v>15050</v>
      </c>
      <c r="D374" s="136">
        <f>'[2]All Counts'!O374</f>
        <v>26769</v>
      </c>
      <c r="E374" s="136" t="str">
        <f>'[2]All Counts'!P374</f>
        <v>PeMS2016</v>
      </c>
      <c r="F374" s="137"/>
    </row>
    <row r="375" spans="1:6" x14ac:dyDescent="0.25">
      <c r="A375" s="136">
        <f>'[2]All Counts'!E375</f>
        <v>31206</v>
      </c>
      <c r="B375" s="136">
        <f>'[2]All Counts'!M375</f>
        <v>113853</v>
      </c>
      <c r="C375" s="136">
        <f>'[2]All Counts'!N375</f>
        <v>16048</v>
      </c>
      <c r="D375" s="136">
        <f>'[2]All Counts'!O375</f>
        <v>29783</v>
      </c>
      <c r="E375" s="136" t="str">
        <f>'[2]All Counts'!P375</f>
        <v>PeMS2016</v>
      </c>
      <c r="F375" s="137"/>
    </row>
    <row r="376" spans="1:6" x14ac:dyDescent="0.25">
      <c r="A376" s="136">
        <f>'[2]All Counts'!E376</f>
        <v>554</v>
      </c>
      <c r="B376" s="136">
        <f>'[2]All Counts'!M376</f>
        <v>110651</v>
      </c>
      <c r="C376" s="136">
        <f>'[2]All Counts'!N376</f>
        <v>15688</v>
      </c>
      <c r="D376" s="136">
        <f>'[2]All Counts'!O376</f>
        <v>28594</v>
      </c>
      <c r="E376" s="136" t="str">
        <f>'[2]All Counts'!P376</f>
        <v>PeMS2016</v>
      </c>
      <c r="F376" s="137"/>
    </row>
    <row r="377" spans="1:6" x14ac:dyDescent="0.25">
      <c r="A377" s="136">
        <f>'[2]All Counts'!E377</f>
        <v>8809</v>
      </c>
      <c r="B377" s="136">
        <f>'[2]All Counts'!M377</f>
        <v>109036</v>
      </c>
      <c r="C377" s="136">
        <f>'[2]All Counts'!N377</f>
        <v>15524</v>
      </c>
      <c r="D377" s="136">
        <f>'[2]All Counts'!O377</f>
        <v>28063</v>
      </c>
      <c r="E377" s="136" t="str">
        <f>'[2]All Counts'!P377</f>
        <v>PeMS2016</v>
      </c>
      <c r="F377" s="137"/>
    </row>
    <row r="378" spans="1:6" x14ac:dyDescent="0.25">
      <c r="A378" s="136">
        <f>'[2]All Counts'!E378</f>
        <v>8807</v>
      </c>
      <c r="B378" s="136">
        <f>'[2]All Counts'!M378</f>
        <v>119031</v>
      </c>
      <c r="C378" s="136">
        <f>'[2]All Counts'!N378</f>
        <v>16967</v>
      </c>
      <c r="D378" s="136">
        <f>'[2]All Counts'!O378</f>
        <v>31840</v>
      </c>
      <c r="E378" s="136" t="str">
        <f>'[2]All Counts'!P378</f>
        <v>PeMS2016</v>
      </c>
      <c r="F378" s="137"/>
    </row>
    <row r="379" spans="1:6" x14ac:dyDescent="0.25">
      <c r="A379" s="136">
        <f>'[2]All Counts'!E379</f>
        <v>721</v>
      </c>
      <c r="B379" s="136">
        <f>'[2]All Counts'!M379</f>
        <v>101764</v>
      </c>
      <c r="C379" s="136">
        <f>'[2]All Counts'!N379</f>
        <v>15246</v>
      </c>
      <c r="D379" s="136">
        <f>'[2]All Counts'!O379</f>
        <v>26470</v>
      </c>
      <c r="E379" s="136" t="str">
        <f>'[2]All Counts'!P379</f>
        <v>PeMS2016</v>
      </c>
      <c r="F379" s="137"/>
    </row>
    <row r="380" spans="1:6" x14ac:dyDescent="0.25">
      <c r="A380" s="136">
        <f>'[2]All Counts'!E380</f>
        <v>12955</v>
      </c>
      <c r="B380" s="136">
        <f>'[2]All Counts'!M380</f>
        <v>92209</v>
      </c>
      <c r="C380" s="136">
        <f>'[2]All Counts'!N380</f>
        <v>14061</v>
      </c>
      <c r="D380" s="136">
        <f>'[2]All Counts'!O380</f>
        <v>22650</v>
      </c>
      <c r="E380" s="136" t="str">
        <f>'[2]All Counts'!P380</f>
        <v>PeMS2016</v>
      </c>
      <c r="F380" s="137"/>
    </row>
    <row r="381" spans="1:6" x14ac:dyDescent="0.25">
      <c r="A381" s="136">
        <f>'[2]All Counts'!E381</f>
        <v>12957</v>
      </c>
      <c r="B381" s="136">
        <f>'[2]All Counts'!M381</f>
        <v>101544</v>
      </c>
      <c r="C381" s="136">
        <f>'[2]All Counts'!N381</f>
        <v>15090</v>
      </c>
      <c r="D381" s="136">
        <f>'[2]All Counts'!O381</f>
        <v>26201</v>
      </c>
      <c r="E381" s="136" t="str">
        <f>'[2]All Counts'!P381</f>
        <v>SANDAG</v>
      </c>
      <c r="F381" s="137"/>
    </row>
    <row r="382" spans="1:6" x14ac:dyDescent="0.25">
      <c r="A382" s="136">
        <f>'[2]All Counts'!E382</f>
        <v>556</v>
      </c>
      <c r="B382" s="136">
        <f>'[2]All Counts'!M382</f>
        <v>97834</v>
      </c>
      <c r="C382" s="136">
        <f>'[2]All Counts'!N382</f>
        <v>13353</v>
      </c>
      <c r="D382" s="136">
        <f>'[2]All Counts'!O382</f>
        <v>25479</v>
      </c>
      <c r="E382" s="136" t="str">
        <f>'[2]All Counts'!P382</f>
        <v>PeMS2016</v>
      </c>
      <c r="F382" s="137"/>
    </row>
    <row r="383" spans="1:6" x14ac:dyDescent="0.25">
      <c r="A383" s="136">
        <f>'[2]All Counts'!E383</f>
        <v>669</v>
      </c>
      <c r="B383" s="136">
        <f>'[2]All Counts'!M383</f>
        <v>98636</v>
      </c>
      <c r="C383" s="136">
        <f>'[2]All Counts'!N383</f>
        <v>14430</v>
      </c>
      <c r="D383" s="136">
        <f>'[2]All Counts'!O383</f>
        <v>25100</v>
      </c>
      <c r="E383" s="136" t="str">
        <f>'[2]All Counts'!P383</f>
        <v>PeMS2016</v>
      </c>
      <c r="F383" s="137"/>
    </row>
    <row r="384" spans="1:6" x14ac:dyDescent="0.25">
      <c r="A384" s="136">
        <f>'[2]All Counts'!E384</f>
        <v>12929</v>
      </c>
      <c r="B384" s="136">
        <f>'[2]All Counts'!M384</f>
        <v>86241</v>
      </c>
      <c r="C384" s="136">
        <f>'[2]All Counts'!N384</f>
        <v>12087</v>
      </c>
      <c r="D384" s="136">
        <f>'[2]All Counts'!O384</f>
        <v>21239</v>
      </c>
      <c r="E384" s="136" t="str">
        <f>'[2]All Counts'!P384</f>
        <v>Caltran</v>
      </c>
      <c r="F384" s="137"/>
    </row>
    <row r="385" spans="1:6" x14ac:dyDescent="0.25">
      <c r="A385" s="136">
        <f>'[2]All Counts'!E385</f>
        <v>28588</v>
      </c>
      <c r="B385" s="136">
        <f>'[2]All Counts'!M385</f>
        <v>100208</v>
      </c>
      <c r="C385" s="136">
        <f>'[2]All Counts'!N385</f>
        <v>13987</v>
      </c>
      <c r="D385" s="136">
        <f>'[2]All Counts'!O385</f>
        <v>25689</v>
      </c>
      <c r="E385" s="136" t="str">
        <f>'[2]All Counts'!P385</f>
        <v>PeMS2016</v>
      </c>
      <c r="F385" s="137"/>
    </row>
    <row r="386" spans="1:6" x14ac:dyDescent="0.25">
      <c r="A386" s="136">
        <f>'[2]All Counts'!E386</f>
        <v>558</v>
      </c>
      <c r="B386" s="136">
        <f>'[2]All Counts'!M386</f>
        <v>62116</v>
      </c>
      <c r="C386" s="136">
        <f>'[2]All Counts'!N386</f>
        <v>6308</v>
      </c>
      <c r="D386" s="136">
        <f>'[2]All Counts'!O386</f>
        <v>19188</v>
      </c>
      <c r="E386" s="136" t="str">
        <f>'[2]All Counts'!P386</f>
        <v>PeMS2016</v>
      </c>
      <c r="F386" s="137"/>
    </row>
    <row r="387" spans="1:6" x14ac:dyDescent="0.25">
      <c r="A387" s="136">
        <f>'[2]All Counts'!E387</f>
        <v>27165</v>
      </c>
      <c r="B387" s="136">
        <f>'[2]All Counts'!M387</f>
        <v>57639</v>
      </c>
      <c r="C387" s="136">
        <f>'[2]All Counts'!N387</f>
        <v>5643</v>
      </c>
      <c r="D387" s="136">
        <f>'[2]All Counts'!O387</f>
        <v>17365</v>
      </c>
      <c r="E387" s="136" t="str">
        <f>'[2]All Counts'!P387</f>
        <v>PeMS2016</v>
      </c>
      <c r="F387" s="137"/>
    </row>
    <row r="388" spans="1:6" x14ac:dyDescent="0.25">
      <c r="A388" s="136">
        <f>'[2]All Counts'!E388</f>
        <v>27183</v>
      </c>
      <c r="B388" s="136">
        <f>'[2]All Counts'!M388</f>
        <v>65635</v>
      </c>
      <c r="C388" s="136">
        <f>'[2]All Counts'!N388</f>
        <v>6493</v>
      </c>
      <c r="D388" s="136">
        <f>'[2]All Counts'!O388</f>
        <v>19536</v>
      </c>
      <c r="E388" s="136" t="str">
        <f>'[2]All Counts'!P388</f>
        <v>PeMS2016</v>
      </c>
      <c r="F388" s="137"/>
    </row>
    <row r="389" spans="1:6" x14ac:dyDescent="0.25">
      <c r="A389" s="136">
        <f>'[2]All Counts'!E389</f>
        <v>27181</v>
      </c>
      <c r="B389" s="136">
        <f>'[2]All Counts'!M389</f>
        <v>68942</v>
      </c>
      <c r="C389" s="136">
        <f>'[2]All Counts'!N389</f>
        <v>7027</v>
      </c>
      <c r="D389" s="136">
        <f>'[2]All Counts'!O389</f>
        <v>20545</v>
      </c>
      <c r="E389" s="136" t="str">
        <f>'[2]All Counts'!P389</f>
        <v>PeMS2016</v>
      </c>
      <c r="F389" s="137"/>
    </row>
    <row r="390" spans="1:6" x14ac:dyDescent="0.25">
      <c r="A390" s="136">
        <f>'[2]All Counts'!E390</f>
        <v>27166</v>
      </c>
      <c r="B390" s="136">
        <f>'[2]All Counts'!M390</f>
        <v>54788</v>
      </c>
      <c r="C390" s="136">
        <f>'[2]All Counts'!N390</f>
        <v>6005</v>
      </c>
      <c r="D390" s="136">
        <f>'[2]All Counts'!O390</f>
        <v>14601</v>
      </c>
      <c r="E390" s="136" t="str">
        <f>'[2]All Counts'!P390</f>
        <v>PeMS2016</v>
      </c>
      <c r="F390" s="137"/>
    </row>
    <row r="391" spans="1:6" x14ac:dyDescent="0.25">
      <c r="A391" s="136">
        <f>'[2]All Counts'!E391</f>
        <v>27352</v>
      </c>
      <c r="B391" s="136">
        <f>'[2]All Counts'!M391</f>
        <v>69280</v>
      </c>
      <c r="C391" s="136">
        <f>'[2]All Counts'!N391</f>
        <v>7118</v>
      </c>
      <c r="D391" s="136">
        <f>'[2]All Counts'!O391</f>
        <v>20665</v>
      </c>
      <c r="E391" s="136" t="str">
        <f>'[2]All Counts'!P391</f>
        <v>Caltran</v>
      </c>
      <c r="F391" s="137"/>
    </row>
    <row r="392" spans="1:6" x14ac:dyDescent="0.25">
      <c r="A392" s="136">
        <f>'[2]All Counts'!E392</f>
        <v>26667</v>
      </c>
      <c r="B392" s="136">
        <f>'[2]All Counts'!M392</f>
        <v>65973</v>
      </c>
      <c r="C392" s="136">
        <f>'[2]All Counts'!N392</f>
        <v>6499</v>
      </c>
      <c r="D392" s="136">
        <f>'[2]All Counts'!O392</f>
        <v>19555</v>
      </c>
      <c r="E392" s="136" t="str">
        <f>'[2]All Counts'!P392</f>
        <v>Caltran</v>
      </c>
      <c r="F392" s="137"/>
    </row>
    <row r="393" spans="1:6" x14ac:dyDescent="0.25">
      <c r="A393" s="136">
        <f>'[2]All Counts'!E393</f>
        <v>27193</v>
      </c>
      <c r="B393" s="136">
        <f>'[2]All Counts'!M393</f>
        <v>58031</v>
      </c>
      <c r="C393" s="136">
        <f>'[2]All Counts'!N393</f>
        <v>7003</v>
      </c>
      <c r="D393" s="136">
        <f>'[2]All Counts'!O393</f>
        <v>14064</v>
      </c>
      <c r="E393" s="136" t="str">
        <f>'[2]All Counts'!P393</f>
        <v>PeMS2016</v>
      </c>
      <c r="F393" s="137"/>
    </row>
    <row r="394" spans="1:6" x14ac:dyDescent="0.25">
      <c r="A394" s="136">
        <f>'[2]All Counts'!E394</f>
        <v>27195</v>
      </c>
      <c r="B394" s="136">
        <f>'[2]All Counts'!M394</f>
        <v>67337</v>
      </c>
      <c r="C394" s="136">
        <f>'[2]All Counts'!N394</f>
        <v>7662</v>
      </c>
      <c r="D394" s="136">
        <f>'[2]All Counts'!O394</f>
        <v>17544</v>
      </c>
      <c r="E394" s="136" t="str">
        <f>'[2]All Counts'!P394</f>
        <v>PeMS2016</v>
      </c>
      <c r="F394" s="137"/>
    </row>
    <row r="395" spans="1:6" x14ac:dyDescent="0.25">
      <c r="A395" s="136">
        <f>'[2]All Counts'!E395</f>
        <v>460</v>
      </c>
      <c r="B395" s="136">
        <f>'[2]All Counts'!M395</f>
        <v>17291</v>
      </c>
      <c r="C395" s="136">
        <f>'[2]All Counts'!N395</f>
        <v>2805</v>
      </c>
      <c r="D395" s="136">
        <f>'[2]All Counts'!O395</f>
        <v>6812</v>
      </c>
      <c r="E395" s="136" t="str">
        <f>'[2]All Counts'!P395</f>
        <v>PeMS2016</v>
      </c>
      <c r="F395" s="137"/>
    </row>
    <row r="396" spans="1:6" x14ac:dyDescent="0.25">
      <c r="A396" s="136">
        <f>'[2]All Counts'!E396</f>
        <v>526</v>
      </c>
      <c r="B396" s="136">
        <f>'[2]All Counts'!M396</f>
        <v>23285</v>
      </c>
      <c r="C396" s="136">
        <f>'[2]All Counts'!N396</f>
        <v>3997</v>
      </c>
      <c r="D396" s="136">
        <f>'[2]All Counts'!O396</f>
        <v>8034</v>
      </c>
      <c r="E396" s="136" t="str">
        <f>'[2]All Counts'!P396</f>
        <v>SANDAG</v>
      </c>
      <c r="F396" s="137"/>
    </row>
    <row r="397" spans="1:6" x14ac:dyDescent="0.25">
      <c r="A397" s="136">
        <f>'[2]All Counts'!E397</f>
        <v>23044</v>
      </c>
      <c r="B397" s="136">
        <f>'[2]All Counts'!M397</f>
        <v>21419</v>
      </c>
      <c r="C397" s="136">
        <f>'[2]All Counts'!N397</f>
        <v>2851</v>
      </c>
      <c r="D397" s="136">
        <f>'[2]All Counts'!O397</f>
        <v>8924</v>
      </c>
      <c r="E397" s="136" t="str">
        <f>'[2]All Counts'!P397</f>
        <v>PeMS2016</v>
      </c>
      <c r="F397" s="137"/>
    </row>
    <row r="398" spans="1:6" x14ac:dyDescent="0.25">
      <c r="A398" s="136">
        <f>'[2]All Counts'!E398</f>
        <v>459</v>
      </c>
      <c r="B398" s="136">
        <f>'[2]All Counts'!M398</f>
        <v>21448</v>
      </c>
      <c r="C398" s="136">
        <f>'[2]All Counts'!N398</f>
        <v>2615</v>
      </c>
      <c r="D398" s="136">
        <f>'[2]All Counts'!O398</f>
        <v>8857</v>
      </c>
      <c r="E398" s="136" t="str">
        <f>'[2]All Counts'!P398</f>
        <v>PeMS2016</v>
      </c>
      <c r="F398" s="137"/>
    </row>
    <row r="399" spans="1:6" x14ac:dyDescent="0.25">
      <c r="A399" s="136">
        <f>'[2]All Counts'!E399</f>
        <v>461</v>
      </c>
      <c r="B399" s="136">
        <f>'[2]All Counts'!M399</f>
        <v>22226</v>
      </c>
      <c r="C399" s="136">
        <f>'[2]All Counts'!N399</f>
        <v>2636</v>
      </c>
      <c r="D399" s="136">
        <f>'[2]All Counts'!O399</f>
        <v>9658</v>
      </c>
      <c r="E399" s="136" t="str">
        <f>'[2]All Counts'!P399</f>
        <v>PeMS2016</v>
      </c>
      <c r="F399" s="137"/>
    </row>
    <row r="400" spans="1:6" x14ac:dyDescent="0.25">
      <c r="A400" s="136">
        <f>'[2]All Counts'!E400</f>
        <v>512</v>
      </c>
      <c r="B400" s="136">
        <f>'[2]All Counts'!M400</f>
        <v>21169</v>
      </c>
      <c r="C400" s="136">
        <f>'[2]All Counts'!N400</f>
        <v>3283</v>
      </c>
      <c r="D400" s="136">
        <f>'[2]All Counts'!O400</f>
        <v>8158</v>
      </c>
      <c r="E400" s="136" t="str">
        <f>'[2]All Counts'!P400</f>
        <v>PeMS2016</v>
      </c>
      <c r="F400" s="137"/>
    </row>
    <row r="401" spans="1:6" x14ac:dyDescent="0.25">
      <c r="A401" s="136">
        <f>'[2]All Counts'!E401</f>
        <v>464</v>
      </c>
      <c r="B401" s="136">
        <f>'[2]All Counts'!M401</f>
        <v>21004</v>
      </c>
      <c r="C401" s="136">
        <f>'[2]All Counts'!N401</f>
        <v>3622</v>
      </c>
      <c r="D401" s="136">
        <f>'[2]All Counts'!O401</f>
        <v>7848</v>
      </c>
      <c r="E401" s="136" t="str">
        <f>'[2]All Counts'!P401</f>
        <v>PeMS2016</v>
      </c>
      <c r="F401" s="137"/>
    </row>
    <row r="402" spans="1:6" x14ac:dyDescent="0.25">
      <c r="A402" s="136">
        <f>'[2]All Counts'!E402</f>
        <v>468</v>
      </c>
      <c r="B402" s="136">
        <f>'[2]All Counts'!M402</f>
        <v>20580</v>
      </c>
      <c r="C402" s="136">
        <f>'[2]All Counts'!N402</f>
        <v>1922</v>
      </c>
      <c r="D402" s="136">
        <f>'[2]All Counts'!O402</f>
        <v>9271</v>
      </c>
      <c r="E402" s="136" t="str">
        <f>'[2]All Counts'!P402</f>
        <v>PeMS2016</v>
      </c>
      <c r="F402" s="137"/>
    </row>
    <row r="403" spans="1:6" x14ac:dyDescent="0.25">
      <c r="A403" s="136">
        <f>'[2]All Counts'!E403</f>
        <v>469</v>
      </c>
      <c r="B403" s="136">
        <f>'[2]All Counts'!M403</f>
        <v>20717</v>
      </c>
      <c r="C403" s="136">
        <f>'[2]All Counts'!N403</f>
        <v>3554</v>
      </c>
      <c r="D403" s="136">
        <f>'[2]All Counts'!O403</f>
        <v>8031</v>
      </c>
      <c r="E403" s="136" t="str">
        <f>'[2]All Counts'!P403</f>
        <v>PeMS2016</v>
      </c>
      <c r="F403" s="137"/>
    </row>
    <row r="404" spans="1:6" x14ac:dyDescent="0.25">
      <c r="A404" s="136">
        <f>'[2]All Counts'!E404</f>
        <v>470</v>
      </c>
      <c r="B404" s="136">
        <f>'[2]All Counts'!M404</f>
        <v>21575</v>
      </c>
      <c r="C404" s="136">
        <f>'[2]All Counts'!N404</f>
        <v>1941</v>
      </c>
      <c r="D404" s="136">
        <f>'[2]All Counts'!O404</f>
        <v>9947</v>
      </c>
      <c r="E404" s="136" t="str">
        <f>'[2]All Counts'!P404</f>
        <v>PeMS2016</v>
      </c>
      <c r="F404" s="137"/>
    </row>
    <row r="405" spans="1:6" x14ac:dyDescent="0.25">
      <c r="A405" s="136">
        <f>'[2]All Counts'!E405</f>
        <v>23053</v>
      </c>
      <c r="B405" s="136">
        <f>'[2]All Counts'!M405</f>
        <v>21577</v>
      </c>
      <c r="C405" s="136">
        <f>'[2]All Counts'!N405</f>
        <v>1836</v>
      </c>
      <c r="D405" s="136">
        <f>'[2]All Counts'!O405</f>
        <v>10052</v>
      </c>
      <c r="E405" s="136" t="str">
        <f>'[2]All Counts'!P405</f>
        <v>PeMS2016</v>
      </c>
      <c r="F405" s="137"/>
    </row>
    <row r="406" spans="1:6" x14ac:dyDescent="0.25">
      <c r="A406" s="136">
        <f>'[2]All Counts'!E406</f>
        <v>473</v>
      </c>
      <c r="B406" s="136">
        <f>'[2]All Counts'!M406</f>
        <v>20638</v>
      </c>
      <c r="C406" s="136">
        <f>'[2]All Counts'!N406</f>
        <v>1359</v>
      </c>
      <c r="D406" s="136">
        <f>'[2]All Counts'!O406</f>
        <v>9971</v>
      </c>
      <c r="E406" s="136" t="str">
        <f>'[2]All Counts'!P406</f>
        <v>PeMS2016</v>
      </c>
      <c r="F406" s="137"/>
    </row>
    <row r="407" spans="1:6" x14ac:dyDescent="0.25">
      <c r="A407" s="136">
        <f>'[2]All Counts'!E407</f>
        <v>510</v>
      </c>
      <c r="B407" s="136">
        <f>'[2]All Counts'!M407</f>
        <v>21019</v>
      </c>
      <c r="C407" s="136">
        <f>'[2]All Counts'!N407</f>
        <v>1582</v>
      </c>
      <c r="D407" s="136">
        <f>'[2]All Counts'!O407</f>
        <v>9553</v>
      </c>
      <c r="E407" s="136" t="str">
        <f>'[2]All Counts'!P407</f>
        <v>PeMS2016</v>
      </c>
      <c r="F407" s="137"/>
    </row>
    <row r="408" spans="1:6" x14ac:dyDescent="0.25">
      <c r="A408" s="136">
        <f>'[2]All Counts'!E408</f>
        <v>29368</v>
      </c>
      <c r="B408" s="136">
        <f>'[2]All Counts'!M408</f>
        <v>14723</v>
      </c>
      <c r="C408" s="136">
        <f>'[2]All Counts'!N408</f>
        <v>947</v>
      </c>
      <c r="D408" s="136">
        <f>'[2]All Counts'!O408</f>
        <v>6574</v>
      </c>
      <c r="E408" s="136" t="str">
        <f>'[2]All Counts'!P408</f>
        <v>PeMS2016</v>
      </c>
      <c r="F408" s="137"/>
    </row>
    <row r="409" spans="1:6" x14ac:dyDescent="0.25">
      <c r="A409" s="136">
        <f>'[2]All Counts'!E409</f>
        <v>9808</v>
      </c>
      <c r="B409" s="136">
        <f>'[2]All Counts'!M409</f>
        <v>11805</v>
      </c>
      <c r="C409" s="136">
        <f>'[2]All Counts'!N409</f>
        <v>668</v>
      </c>
      <c r="D409" s="136">
        <f>'[2]All Counts'!O409</f>
        <v>5329</v>
      </c>
      <c r="E409" s="136" t="str">
        <f>'[2]All Counts'!P409</f>
        <v>PeMS2016</v>
      </c>
      <c r="F409" s="137"/>
    </row>
    <row r="410" spans="1:6" x14ac:dyDescent="0.25">
      <c r="A410" s="136">
        <f>'[2]All Counts'!E410</f>
        <v>25749</v>
      </c>
      <c r="B410" s="136">
        <f>'[2]All Counts'!M410</f>
        <v>19239</v>
      </c>
      <c r="C410" s="136">
        <f>'[2]All Counts'!N410</f>
        <v>7688</v>
      </c>
      <c r="D410" s="136">
        <f>'[2]All Counts'!O410</f>
        <v>2864</v>
      </c>
      <c r="E410" s="136" t="str">
        <f>'[2]All Counts'!P410</f>
        <v>PeMS2016</v>
      </c>
      <c r="F410" s="137"/>
    </row>
    <row r="411" spans="1:6" x14ac:dyDescent="0.25">
      <c r="A411" s="136">
        <f>'[2]All Counts'!E411</f>
        <v>29442</v>
      </c>
      <c r="B411" s="136">
        <f>'[2]All Counts'!M411</f>
        <v>21830</v>
      </c>
      <c r="C411" s="136">
        <f>'[2]All Counts'!N411</f>
        <v>8971</v>
      </c>
      <c r="D411" s="136">
        <f>'[2]All Counts'!O411</f>
        <v>3405</v>
      </c>
      <c r="E411" s="136" t="str">
        <f>'[2]All Counts'!P411</f>
        <v>PeMS2016</v>
      </c>
      <c r="F411" s="137"/>
    </row>
    <row r="412" spans="1:6" x14ac:dyDescent="0.25">
      <c r="A412" s="136">
        <f>'[2]All Counts'!E412</f>
        <v>513</v>
      </c>
      <c r="B412" s="136">
        <f>'[2]All Counts'!M412</f>
        <v>20191</v>
      </c>
      <c r="C412" s="136">
        <f>'[2]All Counts'!N412</f>
        <v>8619</v>
      </c>
      <c r="D412" s="136">
        <f>'[2]All Counts'!O412</f>
        <v>2933</v>
      </c>
      <c r="E412" s="136" t="str">
        <f>'[2]All Counts'!P412</f>
        <v>PeMS2016</v>
      </c>
      <c r="F412" s="137"/>
    </row>
    <row r="413" spans="1:6" x14ac:dyDescent="0.25">
      <c r="A413" s="136">
        <f>'[2]All Counts'!E413</f>
        <v>23128</v>
      </c>
      <c r="B413" s="136">
        <f>'[2]All Counts'!M413</f>
        <v>23149</v>
      </c>
      <c r="C413" s="136">
        <f>'[2]All Counts'!N413</f>
        <v>9297</v>
      </c>
      <c r="D413" s="136">
        <f>'[2]All Counts'!O413</f>
        <v>4115</v>
      </c>
      <c r="E413" s="136" t="str">
        <f>'[2]All Counts'!P413</f>
        <v>PeMS2016</v>
      </c>
      <c r="F413" s="137"/>
    </row>
    <row r="414" spans="1:6" x14ac:dyDescent="0.25">
      <c r="A414" s="136">
        <f>'[2]All Counts'!E414</f>
        <v>31204</v>
      </c>
      <c r="B414" s="136">
        <f>'[2]All Counts'!M414</f>
        <v>22225</v>
      </c>
      <c r="C414" s="136">
        <f>'[2]All Counts'!N414</f>
        <v>6681</v>
      </c>
      <c r="D414" s="136">
        <f>'[2]All Counts'!O414</f>
        <v>5672</v>
      </c>
      <c r="E414" s="136" t="str">
        <f>'[2]All Counts'!P414</f>
        <v>PeMS2016</v>
      </c>
      <c r="F414" s="137"/>
    </row>
    <row r="415" spans="1:6" x14ac:dyDescent="0.25">
      <c r="A415" s="136">
        <f>'[2]All Counts'!E415</f>
        <v>525</v>
      </c>
      <c r="B415" s="136">
        <f>'[2]All Counts'!M415</f>
        <v>24604</v>
      </c>
      <c r="C415" s="136">
        <f>'[2]All Counts'!N415</f>
        <v>8601</v>
      </c>
      <c r="D415" s="136">
        <f>'[2]All Counts'!O415</f>
        <v>5214</v>
      </c>
      <c r="E415" s="136" t="str">
        <f>'[2]All Counts'!P415</f>
        <v>PeMS2016</v>
      </c>
      <c r="F415" s="137"/>
    </row>
    <row r="416" spans="1:6" x14ac:dyDescent="0.25">
      <c r="A416" s="136">
        <f>'[2]All Counts'!E416</f>
        <v>553</v>
      </c>
      <c r="B416" s="136">
        <f>'[2]All Counts'!M416</f>
        <v>23856</v>
      </c>
      <c r="C416" s="136">
        <f>'[2]All Counts'!N416</f>
        <v>7797</v>
      </c>
      <c r="D416" s="136">
        <f>'[2]All Counts'!O416</f>
        <v>5376</v>
      </c>
      <c r="E416" s="136" t="str">
        <f>'[2]All Counts'!P416</f>
        <v>PeMS2016</v>
      </c>
      <c r="F416" s="137"/>
    </row>
    <row r="417" spans="1:6" x14ac:dyDescent="0.25">
      <c r="A417" s="136">
        <f>'[2]All Counts'!E417</f>
        <v>23142</v>
      </c>
      <c r="B417" s="136">
        <f>'[2]All Counts'!M417</f>
        <v>22992</v>
      </c>
      <c r="C417" s="136">
        <f>'[2]All Counts'!N417</f>
        <v>7572</v>
      </c>
      <c r="D417" s="136">
        <f>'[2]All Counts'!O417</f>
        <v>5183</v>
      </c>
      <c r="E417" s="136" t="str">
        <f>'[2]All Counts'!P417</f>
        <v>PeMS2016</v>
      </c>
      <c r="F417" s="137"/>
    </row>
    <row r="418" spans="1:6" x14ac:dyDescent="0.25">
      <c r="A418" s="136">
        <f>'[2]All Counts'!E418</f>
        <v>27196</v>
      </c>
      <c r="B418" s="136">
        <f>'[2]All Counts'!M418</f>
        <v>59677</v>
      </c>
      <c r="C418" s="136">
        <f>'[2]All Counts'!N418</f>
        <v>14771</v>
      </c>
      <c r="D418" s="136">
        <f>'[2]All Counts'!O418</f>
        <v>7958</v>
      </c>
      <c r="E418" s="136" t="str">
        <f>'[2]All Counts'!P418</f>
        <v>PeMS2016</v>
      </c>
      <c r="F418" s="137"/>
    </row>
    <row r="419" spans="1:6" x14ac:dyDescent="0.25">
      <c r="A419" s="136">
        <f>'[2]All Counts'!E419</f>
        <v>27194</v>
      </c>
      <c r="B419" s="136">
        <f>'[2]All Counts'!M419</f>
        <v>58241</v>
      </c>
      <c r="C419" s="136">
        <f>'[2]All Counts'!N419</f>
        <v>14085</v>
      </c>
      <c r="D419" s="136">
        <f>'[2]All Counts'!O419</f>
        <v>7434</v>
      </c>
      <c r="E419" s="136" t="str">
        <f>'[2]All Counts'!P419</f>
        <v>PeMS2016</v>
      </c>
      <c r="F419" s="137"/>
    </row>
    <row r="420" spans="1:6" x14ac:dyDescent="0.25">
      <c r="A420" s="136">
        <f>'[2]All Counts'!E420</f>
        <v>26675</v>
      </c>
      <c r="B420" s="136">
        <f>'[2]All Counts'!M420</f>
        <v>72017</v>
      </c>
      <c r="C420" s="136">
        <f>'[2]All Counts'!N420</f>
        <v>17698</v>
      </c>
      <c r="D420" s="136">
        <f>'[2]All Counts'!O420</f>
        <v>10880</v>
      </c>
      <c r="E420" s="136" t="str">
        <f>'[2]All Counts'!P420</f>
        <v>Caltran</v>
      </c>
      <c r="F420" s="137"/>
    </row>
    <row r="421" spans="1:6" x14ac:dyDescent="0.25">
      <c r="A421" s="136">
        <f>'[2]All Counts'!E421</f>
        <v>27172</v>
      </c>
      <c r="B421" s="136">
        <f>'[2]All Counts'!M421</f>
        <v>67916</v>
      </c>
      <c r="C421" s="136">
        <f>'[2]All Counts'!N421</f>
        <v>16287</v>
      </c>
      <c r="D421" s="136">
        <f>'[2]All Counts'!O421</f>
        <v>10056</v>
      </c>
      <c r="E421" s="136" t="str">
        <f>'[2]All Counts'!P421</f>
        <v>Caltran</v>
      </c>
      <c r="F421" s="137"/>
    </row>
    <row r="422" spans="1:6" x14ac:dyDescent="0.25">
      <c r="A422" s="136">
        <f>'[2]All Counts'!E422</f>
        <v>27351</v>
      </c>
      <c r="B422" s="136">
        <f>'[2]All Counts'!M422</f>
        <v>71370</v>
      </c>
      <c r="C422" s="136">
        <f>'[2]All Counts'!N422</f>
        <v>18362</v>
      </c>
      <c r="D422" s="136">
        <f>'[2]All Counts'!O422</f>
        <v>11506</v>
      </c>
      <c r="E422" s="136" t="str">
        <f>'[2]All Counts'!P422</f>
        <v>PeMS2016</v>
      </c>
      <c r="F422" s="137"/>
    </row>
    <row r="423" spans="1:6" x14ac:dyDescent="0.25">
      <c r="A423" s="136">
        <f>'[2]All Counts'!E423</f>
        <v>14782</v>
      </c>
      <c r="B423" s="136">
        <f>'[2]All Counts'!M423</f>
        <v>69040</v>
      </c>
      <c r="C423" s="136">
        <f>'[2]All Counts'!N423</f>
        <v>16891</v>
      </c>
      <c r="D423" s="136">
        <f>'[2]All Counts'!O423</f>
        <v>11431</v>
      </c>
      <c r="E423" s="136" t="str">
        <f>'[2]All Counts'!P423</f>
        <v>PeMS2016</v>
      </c>
      <c r="F423" s="137"/>
    </row>
    <row r="424" spans="1:6" x14ac:dyDescent="0.25">
      <c r="A424" s="136">
        <f>'[2]All Counts'!E424</f>
        <v>27182</v>
      </c>
      <c r="B424" s="136">
        <f>'[2]All Counts'!M424</f>
        <v>57792</v>
      </c>
      <c r="C424" s="136">
        <f>'[2]All Counts'!N424</f>
        <v>14916</v>
      </c>
      <c r="D424" s="136">
        <f>'[2]All Counts'!O424</f>
        <v>8921</v>
      </c>
      <c r="E424" s="136" t="str">
        <f>'[2]All Counts'!P424</f>
        <v>PeMS2016</v>
      </c>
      <c r="F424" s="137"/>
    </row>
    <row r="425" spans="1:6" x14ac:dyDescent="0.25">
      <c r="A425" s="136">
        <f>'[2]All Counts'!E425</f>
        <v>27184</v>
      </c>
      <c r="B425" s="136">
        <f>'[2]All Counts'!M425</f>
        <v>60866</v>
      </c>
      <c r="C425" s="136">
        <f>'[2]All Counts'!N425</f>
        <v>15111</v>
      </c>
      <c r="D425" s="136">
        <f>'[2]All Counts'!O425</f>
        <v>9672</v>
      </c>
      <c r="E425" s="136" t="str">
        <f>'[2]All Counts'!P425</f>
        <v>PeMS2016</v>
      </c>
      <c r="F425" s="137"/>
    </row>
    <row r="426" spans="1:6" x14ac:dyDescent="0.25">
      <c r="A426" s="136">
        <f>'[2]All Counts'!E426</f>
        <v>28569</v>
      </c>
      <c r="B426" s="136">
        <f>'[2]All Counts'!M426</f>
        <v>73264</v>
      </c>
      <c r="C426" s="136">
        <f>'[2]All Counts'!N426</f>
        <v>18460</v>
      </c>
      <c r="D426" s="136">
        <f>'[2]All Counts'!O426</f>
        <v>12337</v>
      </c>
      <c r="E426" s="136" t="str">
        <f>'[2]All Counts'!P426</f>
        <v>PeMS2016</v>
      </c>
      <c r="F426" s="137"/>
    </row>
    <row r="427" spans="1:6" x14ac:dyDescent="0.25">
      <c r="A427" s="136">
        <f>'[2]All Counts'!E427</f>
        <v>31193</v>
      </c>
      <c r="B427" s="136">
        <f>'[2]All Counts'!M427</f>
        <v>73452</v>
      </c>
      <c r="C427" s="136">
        <f>'[2]All Counts'!N427</f>
        <v>18300</v>
      </c>
      <c r="D427" s="136">
        <f>'[2]All Counts'!O427</f>
        <v>12404</v>
      </c>
      <c r="E427" s="136" t="str">
        <f>'[2]All Counts'!P427</f>
        <v>SANDAG</v>
      </c>
      <c r="F427" s="137"/>
    </row>
    <row r="428" spans="1:6" x14ac:dyDescent="0.25">
      <c r="A428" s="136">
        <f>'[2]All Counts'!E428</f>
        <v>28587</v>
      </c>
      <c r="B428" s="136">
        <f>'[2]All Counts'!M428</f>
        <v>94388</v>
      </c>
      <c r="C428" s="136">
        <f>'[2]All Counts'!N428</f>
        <v>19076</v>
      </c>
      <c r="D428" s="136">
        <f>'[2]All Counts'!O428</f>
        <v>18744</v>
      </c>
      <c r="E428" s="136" t="str">
        <f>'[2]All Counts'!P428</f>
        <v>PeMS2016</v>
      </c>
      <c r="F428" s="137"/>
    </row>
    <row r="429" spans="1:6" x14ac:dyDescent="0.25">
      <c r="A429" s="136">
        <f>'[2]All Counts'!E429</f>
        <v>12943</v>
      </c>
      <c r="B429" s="136">
        <f>'[2]All Counts'!M429</f>
        <v>95765</v>
      </c>
      <c r="C429" s="136">
        <f>'[2]All Counts'!N429</f>
        <v>20128</v>
      </c>
      <c r="D429" s="136">
        <f>'[2]All Counts'!O429</f>
        <v>18909</v>
      </c>
      <c r="E429" s="136" t="str">
        <f>'[2]All Counts'!P429</f>
        <v>Caltran</v>
      </c>
      <c r="F429" s="137"/>
    </row>
    <row r="430" spans="1:6" x14ac:dyDescent="0.25">
      <c r="A430" s="136">
        <f>'[2]All Counts'!E430</f>
        <v>12944</v>
      </c>
      <c r="B430" s="136">
        <f>'[2]All Counts'!M430</f>
        <v>84314</v>
      </c>
      <c r="C430" s="136">
        <f>'[2]All Counts'!N430</f>
        <v>16351</v>
      </c>
      <c r="D430" s="136">
        <f>'[2]All Counts'!O430</f>
        <v>16666</v>
      </c>
      <c r="E430" s="136" t="str">
        <f>'[2]All Counts'!P430</f>
        <v>PeMS2016</v>
      </c>
      <c r="F430" s="137"/>
    </row>
    <row r="431" spans="1:6" x14ac:dyDescent="0.25">
      <c r="A431" s="136">
        <f>'[2]All Counts'!E431</f>
        <v>12946</v>
      </c>
      <c r="B431" s="136">
        <f>'[2]All Counts'!M431</f>
        <v>94828</v>
      </c>
      <c r="C431" s="136">
        <f>'[2]All Counts'!N431</f>
        <v>18841</v>
      </c>
      <c r="D431" s="136">
        <f>'[2]All Counts'!O431</f>
        <v>19255</v>
      </c>
      <c r="E431" s="136" t="str">
        <f>'[2]All Counts'!P431</f>
        <v>PeMS2016</v>
      </c>
      <c r="F431" s="137"/>
    </row>
    <row r="432" spans="1:6" x14ac:dyDescent="0.25">
      <c r="A432" s="136">
        <f>'[2]All Counts'!E432</f>
        <v>12952</v>
      </c>
      <c r="B432" s="136">
        <f>'[2]All Counts'!M432</f>
        <v>98610</v>
      </c>
      <c r="C432" s="136">
        <f>'[2]All Counts'!N432</f>
        <v>20169</v>
      </c>
      <c r="D432" s="136">
        <f>'[2]All Counts'!O432</f>
        <v>19724</v>
      </c>
      <c r="E432" s="136" t="str">
        <f>'[2]All Counts'!P432</f>
        <v>PeMS2016</v>
      </c>
      <c r="F432" s="137"/>
    </row>
    <row r="433" spans="1:6" x14ac:dyDescent="0.25">
      <c r="A433" s="136">
        <f>'[2]All Counts'!E433</f>
        <v>12950</v>
      </c>
      <c r="B433" s="136">
        <f>'[2]All Counts'!M433</f>
        <v>110633</v>
      </c>
      <c r="C433" s="136">
        <f>'[2]All Counts'!N433</f>
        <v>23552</v>
      </c>
      <c r="D433" s="136">
        <f>'[2]All Counts'!O433</f>
        <v>22193</v>
      </c>
      <c r="E433" s="136" t="str">
        <f>'[2]All Counts'!P433</f>
        <v>PeMS2016</v>
      </c>
      <c r="F433" s="137"/>
    </row>
    <row r="434" spans="1:6" x14ac:dyDescent="0.25">
      <c r="A434" s="136">
        <f>'[2]All Counts'!E434</f>
        <v>26879</v>
      </c>
      <c r="B434" s="136">
        <f>'[2]All Counts'!M434</f>
        <v>101214</v>
      </c>
      <c r="C434" s="136">
        <f>'[2]All Counts'!N434</f>
        <v>22948</v>
      </c>
      <c r="D434" s="136">
        <f>'[2]All Counts'!O434</f>
        <v>19445</v>
      </c>
      <c r="E434" s="136" t="str">
        <f>'[2]All Counts'!P434</f>
        <v>PeMS2016</v>
      </c>
      <c r="F434" s="137"/>
    </row>
    <row r="435" spans="1:6" x14ac:dyDescent="0.25">
      <c r="A435" s="136">
        <f>'[2]All Counts'!E435</f>
        <v>8808</v>
      </c>
      <c r="B435" s="136">
        <f>'[2]All Counts'!M435</f>
        <v>119652</v>
      </c>
      <c r="C435" s="136">
        <f>'[2]All Counts'!N435</f>
        <v>27563</v>
      </c>
      <c r="D435" s="136">
        <f>'[2]All Counts'!O435</f>
        <v>22985</v>
      </c>
      <c r="E435" s="136" t="str">
        <f>'[2]All Counts'!P435</f>
        <v>PeMS2016</v>
      </c>
      <c r="F435" s="137"/>
    </row>
    <row r="436" spans="1:6" x14ac:dyDescent="0.25">
      <c r="A436" s="136">
        <f>'[2]All Counts'!E436</f>
        <v>8810</v>
      </c>
      <c r="B436" s="136">
        <f>'[2]All Counts'!M436</f>
        <v>110753</v>
      </c>
      <c r="C436" s="136">
        <f>'[2]All Counts'!N436</f>
        <v>25680</v>
      </c>
      <c r="D436" s="136">
        <f>'[2]All Counts'!O436</f>
        <v>20830</v>
      </c>
      <c r="E436" s="136" t="str">
        <f>'[2]All Counts'!P436</f>
        <v>PeMS2016</v>
      </c>
      <c r="F436" s="137"/>
    </row>
    <row r="437" spans="1:6" x14ac:dyDescent="0.25">
      <c r="A437" s="136">
        <f>'[2]All Counts'!E437</f>
        <v>31207</v>
      </c>
      <c r="B437" s="136">
        <f>'[2]All Counts'!M437</f>
        <v>113729</v>
      </c>
      <c r="C437" s="136">
        <f>'[2]All Counts'!N437</f>
        <v>26407</v>
      </c>
      <c r="D437" s="136">
        <f>'[2]All Counts'!O437</f>
        <v>21409</v>
      </c>
      <c r="E437" s="136" t="str">
        <f>'[2]All Counts'!P437</f>
        <v>PeMS2016</v>
      </c>
      <c r="F437" s="137"/>
    </row>
    <row r="438" spans="1:6" x14ac:dyDescent="0.25">
      <c r="A438" s="136">
        <f>'[2]All Counts'!E438</f>
        <v>568</v>
      </c>
      <c r="B438" s="136">
        <f>'[2]All Counts'!M438</f>
        <v>99390</v>
      </c>
      <c r="C438" s="136">
        <f>'[2]All Counts'!N438</f>
        <v>22705</v>
      </c>
      <c r="D438" s="136">
        <f>'[2]All Counts'!O438</f>
        <v>18692</v>
      </c>
      <c r="E438" s="136" t="str">
        <f>'[2]All Counts'!P438</f>
        <v>PeMS2016</v>
      </c>
      <c r="F438" s="137"/>
    </row>
    <row r="439" spans="1:6" x14ac:dyDescent="0.25">
      <c r="A439" s="136">
        <f>'[2]All Counts'!E439</f>
        <v>13646</v>
      </c>
      <c r="B439" s="136">
        <f>'[2]All Counts'!M439</f>
        <v>115070</v>
      </c>
      <c r="C439" s="136">
        <f>'[2]All Counts'!N439</f>
        <v>25794</v>
      </c>
      <c r="D439" s="136">
        <f>'[2]All Counts'!O439</f>
        <v>22442</v>
      </c>
      <c r="E439" s="136" t="str">
        <f>'[2]All Counts'!P439</f>
        <v>SANDAG</v>
      </c>
      <c r="F439" s="137"/>
    </row>
    <row r="440" spans="1:6" x14ac:dyDescent="0.25">
      <c r="A440" s="136">
        <f>'[2]All Counts'!E440</f>
        <v>13649</v>
      </c>
      <c r="B440" s="136">
        <f>'[2]All Counts'!M440</f>
        <v>109363</v>
      </c>
      <c r="C440" s="136">
        <f>'[2]All Counts'!N440</f>
        <v>24479</v>
      </c>
      <c r="D440" s="136">
        <f>'[2]All Counts'!O440</f>
        <v>21029</v>
      </c>
      <c r="E440" s="136" t="str">
        <f>'[2]All Counts'!P440</f>
        <v>PeMS2016</v>
      </c>
      <c r="F440" s="137"/>
    </row>
    <row r="441" spans="1:6" x14ac:dyDescent="0.25">
      <c r="A441" s="136">
        <f>'[2]All Counts'!E441</f>
        <v>13653</v>
      </c>
      <c r="B441" s="136">
        <f>'[2]All Counts'!M441</f>
        <v>119729</v>
      </c>
      <c r="C441" s="136">
        <f>'[2]All Counts'!N441</f>
        <v>25878</v>
      </c>
      <c r="D441" s="136">
        <f>'[2]All Counts'!O441</f>
        <v>24646</v>
      </c>
      <c r="E441" s="136" t="str">
        <f>'[2]All Counts'!P441</f>
        <v>PeMS2016</v>
      </c>
      <c r="F441" s="137"/>
    </row>
    <row r="442" spans="1:6" x14ac:dyDescent="0.25">
      <c r="A442" s="136">
        <f>'[2]All Counts'!E442</f>
        <v>31208</v>
      </c>
      <c r="B442" s="136">
        <f>'[2]All Counts'!M442</f>
        <v>105051</v>
      </c>
      <c r="C442" s="136">
        <f>'[2]All Counts'!N442</f>
        <v>22720</v>
      </c>
      <c r="D442" s="136">
        <f>'[2]All Counts'!O442</f>
        <v>21420</v>
      </c>
      <c r="E442" s="136" t="str">
        <f>'[2]All Counts'!P442</f>
        <v>PeMS2016</v>
      </c>
      <c r="F442" s="137"/>
    </row>
    <row r="443" spans="1:6" x14ac:dyDescent="0.25">
      <c r="A443" s="136">
        <f>'[2]All Counts'!E443</f>
        <v>13661</v>
      </c>
      <c r="B443" s="136">
        <f>'[2]All Counts'!M443</f>
        <v>104746</v>
      </c>
      <c r="C443" s="136">
        <f>'[2]All Counts'!N443</f>
        <v>22644</v>
      </c>
      <c r="D443" s="136">
        <f>'[2]All Counts'!O443</f>
        <v>21294</v>
      </c>
      <c r="E443" s="136" t="str">
        <f>'[2]All Counts'!P443</f>
        <v>SANDAG</v>
      </c>
      <c r="F443" s="137"/>
    </row>
    <row r="444" spans="1:6" x14ac:dyDescent="0.25">
      <c r="A444" s="136">
        <f>'[2]All Counts'!E444</f>
        <v>13664</v>
      </c>
      <c r="B444" s="136">
        <f>'[2]All Counts'!M444</f>
        <v>130370</v>
      </c>
      <c r="C444" s="136">
        <f>'[2]All Counts'!N444</f>
        <v>28209</v>
      </c>
      <c r="D444" s="136">
        <f>'[2]All Counts'!O444</f>
        <v>27852</v>
      </c>
      <c r="E444" s="136" t="str">
        <f>'[2]All Counts'!P444</f>
        <v>PeMS2016</v>
      </c>
      <c r="F444" s="137"/>
    </row>
    <row r="445" spans="1:6" x14ac:dyDescent="0.25">
      <c r="A445" s="136">
        <f>'[2]All Counts'!E445</f>
        <v>13673</v>
      </c>
      <c r="B445" s="136">
        <f>'[2]All Counts'!M445</f>
        <v>115177</v>
      </c>
      <c r="C445" s="136">
        <f>'[2]All Counts'!N445</f>
        <v>25333</v>
      </c>
      <c r="D445" s="136">
        <f>'[2]All Counts'!O445</f>
        <v>24049</v>
      </c>
      <c r="E445" s="136" t="str">
        <f>'[2]All Counts'!P445</f>
        <v>PeMS2016</v>
      </c>
      <c r="F445" s="137"/>
    </row>
    <row r="446" spans="1:6" x14ac:dyDescent="0.25">
      <c r="A446" s="136">
        <f>'[2]All Counts'!E446</f>
        <v>14644</v>
      </c>
      <c r="B446" s="136">
        <f>'[2]All Counts'!M446</f>
        <v>153552</v>
      </c>
      <c r="C446" s="136">
        <f>'[2]All Counts'!N446</f>
        <v>38562</v>
      </c>
      <c r="D446" s="136">
        <f>'[2]All Counts'!O446</f>
        <v>35147</v>
      </c>
      <c r="E446" s="136" t="str">
        <f>'[2]All Counts'!P446</f>
        <v>SANDAG</v>
      </c>
      <c r="F446" s="137"/>
    </row>
    <row r="447" spans="1:6" x14ac:dyDescent="0.25">
      <c r="A447" s="136">
        <f>'[2]All Counts'!E447</f>
        <v>570</v>
      </c>
      <c r="B447" s="136">
        <f>'[2]All Counts'!M447</f>
        <v>108205</v>
      </c>
      <c r="C447" s="136">
        <f>'[2]All Counts'!N447</f>
        <v>22685</v>
      </c>
      <c r="D447" s="136">
        <f>'[2]All Counts'!O447</f>
        <v>23334</v>
      </c>
      <c r="E447" s="136" t="str">
        <f>'[2]All Counts'!P447</f>
        <v>PeMS2016</v>
      </c>
      <c r="F447" s="137"/>
    </row>
    <row r="448" spans="1:6" x14ac:dyDescent="0.25">
      <c r="A448" s="136">
        <f>'[2]All Counts'!E448</f>
        <v>14637</v>
      </c>
      <c r="B448" s="136">
        <f>'[2]All Counts'!M448</f>
        <v>103965</v>
      </c>
      <c r="C448" s="136">
        <f>'[2]All Counts'!N448</f>
        <v>21032</v>
      </c>
      <c r="D448" s="136">
        <f>'[2]All Counts'!O448</f>
        <v>22950</v>
      </c>
      <c r="E448" s="136" t="str">
        <f>'[2]All Counts'!P448</f>
        <v>PeMS2016</v>
      </c>
      <c r="F448" s="137"/>
    </row>
    <row r="449" spans="1:6" x14ac:dyDescent="0.25">
      <c r="A449" s="136">
        <f>'[2]All Counts'!E449</f>
        <v>14660</v>
      </c>
      <c r="B449" s="136">
        <f>'[2]All Counts'!M449</f>
        <v>113937</v>
      </c>
      <c r="C449" s="136">
        <f>'[2]All Counts'!N449</f>
        <v>24112</v>
      </c>
      <c r="D449" s="136">
        <f>'[2]All Counts'!O449</f>
        <v>24886</v>
      </c>
      <c r="E449" s="136" t="str">
        <f>'[2]All Counts'!P449</f>
        <v>PeMS2016</v>
      </c>
      <c r="F449" s="137"/>
    </row>
    <row r="450" spans="1:6" x14ac:dyDescent="0.25">
      <c r="A450" s="136">
        <f>'[2]All Counts'!E450</f>
        <v>789</v>
      </c>
      <c r="B450" s="136">
        <f>'[2]All Counts'!M450</f>
        <v>128485</v>
      </c>
      <c r="C450" s="136">
        <f>'[2]All Counts'!N450</f>
        <v>28569</v>
      </c>
      <c r="D450" s="136">
        <f>'[2]All Counts'!O450</f>
        <v>27068</v>
      </c>
      <c r="E450" s="136" t="str">
        <f>'[2]All Counts'!P450</f>
        <v>PeMS2016</v>
      </c>
      <c r="F450" s="137"/>
    </row>
    <row r="451" spans="1:6" x14ac:dyDescent="0.25">
      <c r="A451" s="136">
        <f>'[2]All Counts'!E451</f>
        <v>14383</v>
      </c>
      <c r="B451" s="136">
        <f>'[2]All Counts'!M451</f>
        <v>148338</v>
      </c>
      <c r="C451" s="136">
        <f>'[2]All Counts'!N451</f>
        <v>32634</v>
      </c>
      <c r="D451" s="136">
        <f>'[2]All Counts'!O451</f>
        <v>31601</v>
      </c>
      <c r="E451" s="136" t="str">
        <f>'[2]All Counts'!P451</f>
        <v>PeMS2016</v>
      </c>
      <c r="F451" s="137"/>
    </row>
    <row r="452" spans="1:6" x14ac:dyDescent="0.25">
      <c r="A452" s="136">
        <f>'[2]All Counts'!E452</f>
        <v>28809</v>
      </c>
      <c r="B452" s="136">
        <f>'[2]All Counts'!M452</f>
        <v>121450</v>
      </c>
      <c r="C452" s="136">
        <f>'[2]All Counts'!N452</f>
        <v>26006</v>
      </c>
      <c r="D452" s="136">
        <f>'[2]All Counts'!O452</f>
        <v>24549</v>
      </c>
      <c r="E452" s="136" t="str">
        <f>'[2]All Counts'!P452</f>
        <v>PeMS2016</v>
      </c>
      <c r="F452" s="137"/>
    </row>
    <row r="453" spans="1:6" x14ac:dyDescent="0.25">
      <c r="A453" s="136">
        <f>'[2]All Counts'!E453</f>
        <v>8814</v>
      </c>
      <c r="B453" s="136">
        <f>'[2]All Counts'!M453</f>
        <v>144522</v>
      </c>
      <c r="C453" s="136">
        <f>'[2]All Counts'!N453</f>
        <v>32722</v>
      </c>
      <c r="D453" s="136">
        <f>'[2]All Counts'!O453</f>
        <v>30102</v>
      </c>
      <c r="E453" s="136" t="str">
        <f>'[2]All Counts'!P453</f>
        <v>PeMS2016</v>
      </c>
      <c r="F453" s="137"/>
    </row>
    <row r="454" spans="1:6" x14ac:dyDescent="0.25">
      <c r="A454" s="136">
        <f>'[2]All Counts'!E454</f>
        <v>14400</v>
      </c>
      <c r="B454" s="136">
        <f>'[2]All Counts'!M454</f>
        <v>137103</v>
      </c>
      <c r="C454" s="136">
        <f>'[2]All Counts'!N454</f>
        <v>30759</v>
      </c>
      <c r="D454" s="136">
        <f>'[2]All Counts'!O454</f>
        <v>28355</v>
      </c>
      <c r="E454" s="136" t="str">
        <f>'[2]All Counts'!P454</f>
        <v>PeMS2016</v>
      </c>
      <c r="F454" s="137"/>
    </row>
    <row r="455" spans="1:6" x14ac:dyDescent="0.25">
      <c r="A455" s="136">
        <f>'[2]All Counts'!E455</f>
        <v>14407</v>
      </c>
      <c r="B455" s="136">
        <f>'[2]All Counts'!M455</f>
        <v>138163</v>
      </c>
      <c r="C455" s="136">
        <f>'[2]All Counts'!N455</f>
        <v>30346</v>
      </c>
      <c r="D455" s="136">
        <f>'[2]All Counts'!O455</f>
        <v>29905</v>
      </c>
      <c r="E455" s="136" t="str">
        <f>'[2]All Counts'!P455</f>
        <v>PeMS2016</v>
      </c>
      <c r="F455" s="137"/>
    </row>
    <row r="456" spans="1:6" x14ac:dyDescent="0.25">
      <c r="A456" s="136">
        <f>'[2]All Counts'!E456</f>
        <v>14411</v>
      </c>
      <c r="B456" s="136">
        <f>'[2]All Counts'!M456</f>
        <v>137099</v>
      </c>
      <c r="C456" s="136">
        <f>'[2]All Counts'!N456</f>
        <v>29826</v>
      </c>
      <c r="D456" s="136">
        <f>'[2]All Counts'!O456</f>
        <v>29788</v>
      </c>
      <c r="E456" s="136" t="str">
        <f>'[2]All Counts'!P456</f>
        <v>PeMS2016</v>
      </c>
      <c r="F456" s="137"/>
    </row>
    <row r="457" spans="1:6" x14ac:dyDescent="0.25">
      <c r="A457" s="136">
        <f>'[2]All Counts'!E457</f>
        <v>14412</v>
      </c>
      <c r="B457" s="136">
        <f>'[2]All Counts'!M457</f>
        <v>134942</v>
      </c>
      <c r="C457" s="136">
        <f>'[2]All Counts'!N457</f>
        <v>29033</v>
      </c>
      <c r="D457" s="136">
        <f>'[2]All Counts'!O457</f>
        <v>28889</v>
      </c>
      <c r="E457" s="136" t="str">
        <f>'[2]All Counts'!P457</f>
        <v>PeMS2016</v>
      </c>
      <c r="F457" s="137"/>
    </row>
    <row r="458" spans="1:6" x14ac:dyDescent="0.25">
      <c r="A458" s="136">
        <f>'[2]All Counts'!E458</f>
        <v>14418</v>
      </c>
      <c r="B458" s="136">
        <f>'[2]All Counts'!M458</f>
        <v>142219</v>
      </c>
      <c r="C458" s="136">
        <f>'[2]All Counts'!N458</f>
        <v>29660</v>
      </c>
      <c r="D458" s="136">
        <f>'[2]All Counts'!O458</f>
        <v>30700</v>
      </c>
      <c r="E458" s="136" t="str">
        <f>'[2]All Counts'!P458</f>
        <v>PeMS2016</v>
      </c>
      <c r="F458" s="137"/>
    </row>
    <row r="459" spans="1:6" x14ac:dyDescent="0.25">
      <c r="A459" s="136">
        <f>'[2]All Counts'!E459</f>
        <v>14419</v>
      </c>
      <c r="B459" s="136">
        <f>'[2]All Counts'!M459</f>
        <v>138713</v>
      </c>
      <c r="C459" s="136">
        <f>'[2]All Counts'!N459</f>
        <v>28719</v>
      </c>
      <c r="D459" s="136">
        <f>'[2]All Counts'!O459</f>
        <v>28943</v>
      </c>
      <c r="E459" s="136" t="str">
        <f>'[2]All Counts'!P459</f>
        <v>PeMS2016</v>
      </c>
      <c r="F459" s="137"/>
    </row>
    <row r="460" spans="1:6" x14ac:dyDescent="0.25">
      <c r="A460" s="136">
        <f>'[2]All Counts'!E460</f>
        <v>8816</v>
      </c>
      <c r="B460" s="136">
        <f>'[2]All Counts'!M460</f>
        <v>88348</v>
      </c>
      <c r="C460" s="136">
        <f>'[2]All Counts'!N460</f>
        <v>18253</v>
      </c>
      <c r="D460" s="136">
        <f>'[2]All Counts'!O460</f>
        <v>11716</v>
      </c>
      <c r="E460" s="136" t="str">
        <f>'[2]All Counts'!P460</f>
        <v>PeMS2016</v>
      </c>
      <c r="F460" s="137"/>
    </row>
    <row r="461" spans="1:6" x14ac:dyDescent="0.25">
      <c r="A461" s="136">
        <f>'[2]All Counts'!E461</f>
        <v>28899</v>
      </c>
      <c r="B461" s="136">
        <f>'[2]All Counts'!M461</f>
        <v>57195</v>
      </c>
      <c r="C461" s="136">
        <f>'[2]All Counts'!N461</f>
        <v>11736</v>
      </c>
      <c r="D461" s="136">
        <f>'[2]All Counts'!O461</f>
        <v>10958</v>
      </c>
      <c r="E461" s="136" t="str">
        <f>'[2]All Counts'!P461</f>
        <v>PeMS2016</v>
      </c>
      <c r="F461" s="137"/>
    </row>
    <row r="462" spans="1:6" x14ac:dyDescent="0.25">
      <c r="A462" s="136">
        <f>'[2]All Counts'!E462</f>
        <v>15196</v>
      </c>
      <c r="B462" s="136">
        <f>'[2]All Counts'!M462</f>
        <v>137544</v>
      </c>
      <c r="C462" s="136">
        <f>'[2]All Counts'!N462</f>
        <v>23781</v>
      </c>
      <c r="D462" s="136">
        <f>'[2]All Counts'!O462</f>
        <v>19875</v>
      </c>
      <c r="E462" s="136" t="str">
        <f>'[2]All Counts'!P462</f>
        <v>PeMS2016</v>
      </c>
      <c r="F462" s="137"/>
    </row>
    <row r="463" spans="1:6" x14ac:dyDescent="0.25">
      <c r="A463" s="136">
        <f>'[2]All Counts'!E463</f>
        <v>15191</v>
      </c>
      <c r="B463" s="136">
        <f>'[2]All Counts'!M463</f>
        <v>96872</v>
      </c>
      <c r="C463" s="136">
        <f>'[2]All Counts'!N463</f>
        <v>18744</v>
      </c>
      <c r="D463" s="136">
        <f>'[2]All Counts'!O463</f>
        <v>21049</v>
      </c>
      <c r="E463" s="136" t="str">
        <f>'[2]All Counts'!P463</f>
        <v>PeMS2016</v>
      </c>
      <c r="F463" s="137"/>
    </row>
    <row r="464" spans="1:6" x14ac:dyDescent="0.25">
      <c r="A464" s="136">
        <f>'[2]All Counts'!E464</f>
        <v>9338</v>
      </c>
      <c r="B464" s="136">
        <f>'[2]All Counts'!M464</f>
        <v>105713</v>
      </c>
      <c r="C464" s="136">
        <f>'[2]All Counts'!N464</f>
        <v>17744</v>
      </c>
      <c r="D464" s="136">
        <f>'[2]All Counts'!O464</f>
        <v>26635</v>
      </c>
      <c r="E464" s="136" t="str">
        <f>'[2]All Counts'!P464</f>
        <v>PeMS2016</v>
      </c>
      <c r="F464" s="137"/>
    </row>
    <row r="465" spans="1:6" x14ac:dyDescent="0.25">
      <c r="A465" s="136">
        <f>'[2]All Counts'!E465</f>
        <v>9335</v>
      </c>
      <c r="B465" s="136">
        <f>'[2]All Counts'!M465</f>
        <v>99221</v>
      </c>
      <c r="C465" s="136">
        <f>'[2]All Counts'!N465</f>
        <v>16458</v>
      </c>
      <c r="D465" s="136">
        <f>'[2]All Counts'!O465</f>
        <v>26697</v>
      </c>
      <c r="E465" s="136" t="str">
        <f>'[2]All Counts'!P465</f>
        <v>PeMS2016</v>
      </c>
      <c r="F465" s="137"/>
    </row>
    <row r="466" spans="1:6" x14ac:dyDescent="0.25">
      <c r="A466" s="136">
        <f>'[2]All Counts'!E466</f>
        <v>9330</v>
      </c>
      <c r="B466" s="136">
        <f>'[2]All Counts'!M466</f>
        <v>111869</v>
      </c>
      <c r="C466" s="136">
        <f>'[2]All Counts'!N466</f>
        <v>17708</v>
      </c>
      <c r="D466" s="136">
        <f>'[2]All Counts'!O466</f>
        <v>29803</v>
      </c>
      <c r="E466" s="136" t="str">
        <f>'[2]All Counts'!P466</f>
        <v>PeMS2016</v>
      </c>
      <c r="F466" s="137"/>
    </row>
    <row r="467" spans="1:6" x14ac:dyDescent="0.25">
      <c r="A467" s="136">
        <f>'[2]All Counts'!E467</f>
        <v>15768</v>
      </c>
      <c r="B467" s="136">
        <f>'[2]All Counts'!M467</f>
        <v>102926</v>
      </c>
      <c r="C467" s="136">
        <f>'[2]All Counts'!N467</f>
        <v>15298</v>
      </c>
      <c r="D467" s="136">
        <f>'[2]All Counts'!O467</f>
        <v>28304</v>
      </c>
      <c r="E467" s="136" t="str">
        <f>'[2]All Counts'!P467</f>
        <v>PeMS2016</v>
      </c>
      <c r="F467" s="137"/>
    </row>
    <row r="468" spans="1:6" x14ac:dyDescent="0.25">
      <c r="A468" s="136">
        <f>'[2]All Counts'!E468</f>
        <v>16570</v>
      </c>
      <c r="B468" s="136">
        <f>'[2]All Counts'!M468</f>
        <v>116277</v>
      </c>
      <c r="C468" s="136">
        <f>'[2]All Counts'!N468</f>
        <v>17069</v>
      </c>
      <c r="D468" s="136">
        <f>'[2]All Counts'!O468</f>
        <v>30787</v>
      </c>
      <c r="E468" s="136" t="str">
        <f>'[2]All Counts'!P468</f>
        <v>Caltran</v>
      </c>
      <c r="F468" s="137"/>
    </row>
    <row r="469" spans="1:6" x14ac:dyDescent="0.25">
      <c r="A469" s="136">
        <f>'[2]All Counts'!E469</f>
        <v>16761</v>
      </c>
      <c r="B469" s="136">
        <f>'[2]All Counts'!M469</f>
        <v>68086</v>
      </c>
      <c r="C469" s="136">
        <f>'[2]All Counts'!N469</f>
        <v>8156</v>
      </c>
      <c r="D469" s="136">
        <f>'[2]All Counts'!O469</f>
        <v>17524</v>
      </c>
      <c r="E469" s="136" t="str">
        <f>'[2]All Counts'!P469</f>
        <v>PeMS2016</v>
      </c>
      <c r="F469" s="137"/>
    </row>
    <row r="470" spans="1:6" x14ac:dyDescent="0.25">
      <c r="A470" s="136">
        <f>'[2]All Counts'!E470</f>
        <v>8933</v>
      </c>
      <c r="B470" s="136">
        <f>'[2]All Counts'!M470</f>
        <v>94969</v>
      </c>
      <c r="C470" s="136">
        <f>'[2]All Counts'!N470</f>
        <v>13031</v>
      </c>
      <c r="D470" s="136">
        <f>'[2]All Counts'!O470</f>
        <v>25927</v>
      </c>
      <c r="E470" s="136" t="str">
        <f>'[2]All Counts'!P470</f>
        <v>Caltran</v>
      </c>
      <c r="F470" s="137"/>
    </row>
    <row r="471" spans="1:6" x14ac:dyDescent="0.25">
      <c r="A471" s="136">
        <f>'[2]All Counts'!E471</f>
        <v>8968</v>
      </c>
      <c r="B471" s="136">
        <f>'[2]All Counts'!M471</f>
        <v>83293</v>
      </c>
      <c r="C471" s="136">
        <f>'[2]All Counts'!N471</f>
        <v>10559</v>
      </c>
      <c r="D471" s="136">
        <f>'[2]All Counts'!O471</f>
        <v>21780</v>
      </c>
      <c r="E471" s="136" t="str">
        <f>'[2]All Counts'!P471</f>
        <v>PeMS2016</v>
      </c>
      <c r="F471" s="137"/>
    </row>
    <row r="472" spans="1:6" x14ac:dyDescent="0.25">
      <c r="A472" s="136">
        <f>'[2]All Counts'!E472</f>
        <v>20463</v>
      </c>
      <c r="B472" s="136">
        <f>'[2]All Counts'!M472</f>
        <v>81259</v>
      </c>
      <c r="C472" s="136">
        <f>'[2]All Counts'!N472</f>
        <v>11204</v>
      </c>
      <c r="D472" s="136">
        <f>'[2]All Counts'!O472</f>
        <v>20069</v>
      </c>
      <c r="E472" s="136" t="str">
        <f>'[2]All Counts'!P472</f>
        <v>PeMS2016</v>
      </c>
      <c r="F472" s="137"/>
    </row>
    <row r="473" spans="1:6" x14ac:dyDescent="0.25">
      <c r="A473" s="136">
        <f>'[2]All Counts'!E473</f>
        <v>8955</v>
      </c>
      <c r="B473" s="136">
        <f>'[2]All Counts'!M473</f>
        <v>77054</v>
      </c>
      <c r="C473" s="136">
        <f>'[2]All Counts'!N473</f>
        <v>11984</v>
      </c>
      <c r="D473" s="136">
        <f>'[2]All Counts'!O473</f>
        <v>16611</v>
      </c>
      <c r="E473" s="136" t="str">
        <f>'[2]All Counts'!P473</f>
        <v>PeMS2016</v>
      </c>
      <c r="F473" s="137"/>
    </row>
    <row r="474" spans="1:6" x14ac:dyDescent="0.25">
      <c r="A474" s="136">
        <f>'[2]All Counts'!E474</f>
        <v>8938</v>
      </c>
      <c r="B474" s="136">
        <f>'[2]All Counts'!M474</f>
        <v>88930</v>
      </c>
      <c r="C474" s="136">
        <f>'[2]All Counts'!N474</f>
        <v>14586</v>
      </c>
      <c r="D474" s="136">
        <f>'[2]All Counts'!O474</f>
        <v>21035</v>
      </c>
      <c r="E474" s="136" t="str">
        <f>'[2]All Counts'!P474</f>
        <v>PeMS2016</v>
      </c>
      <c r="F474" s="137"/>
    </row>
    <row r="475" spans="1:6" x14ac:dyDescent="0.25">
      <c r="A475" s="136">
        <f>'[2]All Counts'!E475</f>
        <v>22757</v>
      </c>
      <c r="B475" s="136">
        <f>'[2]All Counts'!M475</f>
        <v>48179</v>
      </c>
      <c r="C475" s="136">
        <f>'[2]All Counts'!N475</f>
        <v>8641</v>
      </c>
      <c r="D475" s="136">
        <f>'[2]All Counts'!O475</f>
        <v>13241</v>
      </c>
      <c r="E475" s="136" t="str">
        <f>'[2]All Counts'!P475</f>
        <v>PeMS2016</v>
      </c>
      <c r="F475" s="137"/>
    </row>
    <row r="476" spans="1:6" x14ac:dyDescent="0.25">
      <c r="A476" s="136">
        <f>'[2]All Counts'!E476</f>
        <v>15917</v>
      </c>
      <c r="B476" s="136">
        <f>'[2]All Counts'!M476</f>
        <v>48179</v>
      </c>
      <c r="C476" s="136">
        <f>'[2]All Counts'!N476</f>
        <v>8641</v>
      </c>
      <c r="D476" s="136">
        <f>'[2]All Counts'!O476</f>
        <v>13241</v>
      </c>
      <c r="E476" s="136" t="str">
        <f>'[2]All Counts'!P476</f>
        <v>PeMS2016</v>
      </c>
      <c r="F476" s="137"/>
    </row>
    <row r="477" spans="1:6" x14ac:dyDescent="0.25">
      <c r="A477" s="136">
        <f>'[2]All Counts'!E477</f>
        <v>15914</v>
      </c>
      <c r="B477" s="136">
        <f>'[2]All Counts'!M477</f>
        <v>66181</v>
      </c>
      <c r="C477" s="136">
        <f>'[2]All Counts'!N477</f>
        <v>11093</v>
      </c>
      <c r="D477" s="136">
        <f>'[2]All Counts'!O477</f>
        <v>17883</v>
      </c>
      <c r="E477" s="136" t="str">
        <f>'[2]All Counts'!P477</f>
        <v>PeMS2016</v>
      </c>
      <c r="F477" s="137"/>
    </row>
    <row r="478" spans="1:6" x14ac:dyDescent="0.25">
      <c r="A478" s="136">
        <f>'[2]All Counts'!E478</f>
        <v>1173</v>
      </c>
      <c r="B478" s="136">
        <f>'[2]All Counts'!M478</f>
        <v>72413</v>
      </c>
      <c r="C478" s="136">
        <f>'[2]All Counts'!N478</f>
        <v>13055</v>
      </c>
      <c r="D478" s="136">
        <f>'[2]All Counts'!O478</f>
        <v>17864</v>
      </c>
      <c r="E478" s="136" t="str">
        <f>'[2]All Counts'!P478</f>
        <v>Caltran</v>
      </c>
      <c r="F478" s="137"/>
    </row>
    <row r="479" spans="1:6" x14ac:dyDescent="0.25">
      <c r="A479" s="136">
        <f>'[2]All Counts'!E479</f>
        <v>28417</v>
      </c>
      <c r="B479" s="136">
        <f>'[2]All Counts'!M479</f>
        <v>69122</v>
      </c>
      <c r="C479" s="136">
        <f>'[2]All Counts'!N479</f>
        <v>12645</v>
      </c>
      <c r="D479" s="136">
        <f>'[2]All Counts'!O479</f>
        <v>16528</v>
      </c>
      <c r="E479" s="136" t="str">
        <f>'[2]All Counts'!P479</f>
        <v>PeMS2016</v>
      </c>
      <c r="F479" s="137"/>
    </row>
    <row r="480" spans="1:6" x14ac:dyDescent="0.25">
      <c r="A480" s="136">
        <f>'[2]All Counts'!E480</f>
        <v>579</v>
      </c>
      <c r="B480" s="136">
        <f>'[2]All Counts'!M480</f>
        <v>60014</v>
      </c>
      <c r="C480" s="136">
        <f>'[2]All Counts'!N480</f>
        <v>10965</v>
      </c>
      <c r="D480" s="136">
        <f>'[2]All Counts'!O480</f>
        <v>14033</v>
      </c>
      <c r="E480" s="136" t="str">
        <f>'[2]All Counts'!P480</f>
        <v>Caltran</v>
      </c>
      <c r="F480" s="137"/>
    </row>
    <row r="481" spans="1:6" x14ac:dyDescent="0.25">
      <c r="A481" s="136">
        <f>'[2]All Counts'!E481</f>
        <v>29587</v>
      </c>
      <c r="B481" s="136">
        <f>'[2]All Counts'!M481</f>
        <v>8922</v>
      </c>
      <c r="C481" s="136">
        <f>'[2]All Counts'!N481</f>
        <v>1671</v>
      </c>
      <c r="D481" s="136">
        <f>'[2]All Counts'!O481</f>
        <v>2055</v>
      </c>
      <c r="E481" s="136" t="str">
        <f>'[2]All Counts'!P481</f>
        <v>PeMS2016</v>
      </c>
      <c r="F481" s="137"/>
    </row>
    <row r="482" spans="1:6" x14ac:dyDescent="0.25">
      <c r="A482" s="136">
        <f>'[2]All Counts'!E482</f>
        <v>29575</v>
      </c>
      <c r="B482" s="136">
        <f>'[2]All Counts'!M482</f>
        <v>10075</v>
      </c>
      <c r="C482" s="136">
        <f>'[2]All Counts'!N482</f>
        <v>1821</v>
      </c>
      <c r="D482" s="136">
        <f>'[2]All Counts'!O482</f>
        <v>2260</v>
      </c>
      <c r="E482" s="136" t="str">
        <f>'[2]All Counts'!P482</f>
        <v>PeMS2016</v>
      </c>
      <c r="F482" s="137"/>
    </row>
    <row r="483" spans="1:6" x14ac:dyDescent="0.25">
      <c r="A483" s="136">
        <f>'[2]All Counts'!E483</f>
        <v>29577</v>
      </c>
      <c r="B483" s="136">
        <f>'[2]All Counts'!M483</f>
        <v>9294</v>
      </c>
      <c r="C483" s="136">
        <f>'[2]All Counts'!N483</f>
        <v>1676</v>
      </c>
      <c r="D483" s="136">
        <f>'[2]All Counts'!O483</f>
        <v>2152</v>
      </c>
      <c r="E483" s="136" t="str">
        <f>'[2]All Counts'!P483</f>
        <v>PeMS2016</v>
      </c>
      <c r="F483" s="137"/>
    </row>
    <row r="484" spans="1:6" x14ac:dyDescent="0.25">
      <c r="A484" s="136">
        <f>'[2]All Counts'!E484</f>
        <v>29573</v>
      </c>
      <c r="B484" s="136">
        <f>'[2]All Counts'!M484</f>
        <v>11704</v>
      </c>
      <c r="C484" s="136">
        <f>'[2]All Counts'!N484</f>
        <v>2095</v>
      </c>
      <c r="D484" s="136">
        <f>'[2]All Counts'!O484</f>
        <v>2478</v>
      </c>
      <c r="E484" s="136" t="str">
        <f>'[2]All Counts'!P484</f>
        <v>PeMS2016</v>
      </c>
      <c r="F484" s="137"/>
    </row>
    <row r="485" spans="1:6" x14ac:dyDescent="0.25">
      <c r="A485" s="136">
        <f>'[2]All Counts'!E485</f>
        <v>27520</v>
      </c>
      <c r="B485" s="136">
        <f>'[2]All Counts'!M485</f>
        <v>70400</v>
      </c>
      <c r="C485" s="136">
        <f>'[2]All Counts'!N485</f>
        <v>12405</v>
      </c>
      <c r="D485" s="136">
        <f>'[2]All Counts'!O485</f>
        <v>12732</v>
      </c>
      <c r="E485" s="136" t="str">
        <f>'[2]All Counts'!P485</f>
        <v>PeMS2016</v>
      </c>
      <c r="F485" s="137"/>
    </row>
    <row r="486" spans="1:6" x14ac:dyDescent="0.25">
      <c r="A486" s="136">
        <f>'[2]All Counts'!E486</f>
        <v>27598</v>
      </c>
      <c r="B486" s="136">
        <f>'[2]All Counts'!M486</f>
        <v>54384</v>
      </c>
      <c r="C486" s="136">
        <f>'[2]All Counts'!N486</f>
        <v>7168</v>
      </c>
      <c r="D486" s="136">
        <f>'[2]All Counts'!O486</f>
        <v>12591</v>
      </c>
      <c r="E486" s="136" t="str">
        <f>'[2]All Counts'!P486</f>
        <v>PeMS2016</v>
      </c>
      <c r="F486" s="137"/>
    </row>
    <row r="487" spans="1:6" x14ac:dyDescent="0.25">
      <c r="A487" s="136">
        <f>'[2]All Counts'!E487</f>
        <v>26623</v>
      </c>
      <c r="B487" s="136">
        <f>'[2]All Counts'!M487</f>
        <v>63309</v>
      </c>
      <c r="C487" s="136">
        <f>'[2]All Counts'!N487</f>
        <v>8192</v>
      </c>
      <c r="D487" s="136">
        <f>'[2]All Counts'!O487</f>
        <v>14449</v>
      </c>
      <c r="E487" s="136" t="str">
        <f>'[2]All Counts'!P487</f>
        <v>PeMS2016</v>
      </c>
      <c r="F487" s="137"/>
    </row>
    <row r="488" spans="1:6" x14ac:dyDescent="0.25">
      <c r="A488" s="136">
        <f>'[2]All Counts'!E488</f>
        <v>28515</v>
      </c>
      <c r="B488" s="136">
        <f>'[2]All Counts'!M488</f>
        <v>68617</v>
      </c>
      <c r="C488" s="136">
        <f>'[2]All Counts'!N488</f>
        <v>9270</v>
      </c>
      <c r="D488" s="136">
        <f>'[2]All Counts'!O488</f>
        <v>15983</v>
      </c>
      <c r="E488" s="136" t="str">
        <f>'[2]All Counts'!P488</f>
        <v>PeMS2016</v>
      </c>
      <c r="F488" s="137"/>
    </row>
    <row r="489" spans="1:6" x14ac:dyDescent="0.25">
      <c r="A489" s="136">
        <f>'[2]All Counts'!E489</f>
        <v>28490</v>
      </c>
      <c r="B489" s="136">
        <f>'[2]All Counts'!M489</f>
        <v>86225</v>
      </c>
      <c r="C489" s="136">
        <f>'[2]All Counts'!N489</f>
        <v>12802</v>
      </c>
      <c r="D489" s="136">
        <f>'[2]All Counts'!O489</f>
        <v>19293</v>
      </c>
      <c r="E489" s="136" t="str">
        <f>'[2]All Counts'!P489</f>
        <v>Caltran</v>
      </c>
      <c r="F489" s="137"/>
    </row>
    <row r="490" spans="1:6" x14ac:dyDescent="0.25">
      <c r="A490" s="136">
        <f>'[2]All Counts'!E490</f>
        <v>28493</v>
      </c>
      <c r="B490" s="136">
        <f>'[2]All Counts'!M490</f>
        <v>81917</v>
      </c>
      <c r="C490" s="136">
        <f>'[2]All Counts'!N490</f>
        <v>12629</v>
      </c>
      <c r="D490" s="136">
        <f>'[2]All Counts'!O490</f>
        <v>18019</v>
      </c>
      <c r="E490" s="136" t="str">
        <f>'[2]All Counts'!P490</f>
        <v>PeMS2016</v>
      </c>
      <c r="F490" s="137"/>
    </row>
    <row r="491" spans="1:6" x14ac:dyDescent="0.25">
      <c r="A491" s="136">
        <f>'[2]All Counts'!E491</f>
        <v>26562</v>
      </c>
      <c r="B491" s="136">
        <f>'[2]All Counts'!M491</f>
        <v>88515</v>
      </c>
      <c r="C491" s="136">
        <f>'[2]All Counts'!N491</f>
        <v>14332</v>
      </c>
      <c r="D491" s="136">
        <f>'[2]All Counts'!O491</f>
        <v>19014</v>
      </c>
      <c r="E491" s="136" t="str">
        <f>'[2]All Counts'!P491</f>
        <v>PeMS2016</v>
      </c>
      <c r="F491" s="137"/>
    </row>
    <row r="492" spans="1:6" x14ac:dyDescent="0.25">
      <c r="A492" s="136">
        <f>'[2]All Counts'!E492</f>
        <v>12247</v>
      </c>
      <c r="B492" s="136">
        <f>'[2]All Counts'!M492</f>
        <v>98586</v>
      </c>
      <c r="C492" s="136">
        <f>'[2]All Counts'!N492</f>
        <v>16650</v>
      </c>
      <c r="D492" s="136">
        <f>'[2]All Counts'!O492</f>
        <v>20955</v>
      </c>
      <c r="E492" s="136" t="str">
        <f>'[2]All Counts'!P492</f>
        <v>PeMS2016</v>
      </c>
      <c r="F492" s="137"/>
    </row>
    <row r="493" spans="1:6" x14ac:dyDescent="0.25">
      <c r="A493" s="136">
        <f>'[2]All Counts'!E493</f>
        <v>9025</v>
      </c>
      <c r="B493" s="136">
        <f>'[2]All Counts'!M493</f>
        <v>102699</v>
      </c>
      <c r="C493" s="136">
        <f>'[2]All Counts'!N493</f>
        <v>17176</v>
      </c>
      <c r="D493" s="136">
        <f>'[2]All Counts'!O493</f>
        <v>21835</v>
      </c>
      <c r="E493" s="136" t="str">
        <f>'[2]All Counts'!P493</f>
        <v>Caltran</v>
      </c>
      <c r="F493" s="137"/>
    </row>
    <row r="494" spans="1:6" x14ac:dyDescent="0.25">
      <c r="A494" s="136">
        <f>'[2]All Counts'!E494</f>
        <v>12589</v>
      </c>
      <c r="B494" s="136">
        <f>'[2]All Counts'!M494</f>
        <v>96391</v>
      </c>
      <c r="C494" s="136">
        <f>'[2]All Counts'!N494</f>
        <v>18320</v>
      </c>
      <c r="D494" s="136">
        <f>'[2]All Counts'!O494</f>
        <v>18413</v>
      </c>
      <c r="E494" s="136" t="str">
        <f>'[2]All Counts'!P494</f>
        <v>PeMS2016</v>
      </c>
      <c r="F494" s="137"/>
    </row>
    <row r="495" spans="1:6" x14ac:dyDescent="0.25">
      <c r="A495" s="136">
        <f>'[2]All Counts'!E495</f>
        <v>12583</v>
      </c>
      <c r="B495" s="136">
        <f>'[2]All Counts'!M495</f>
        <v>90080</v>
      </c>
      <c r="C495" s="136">
        <f>'[2]All Counts'!N495</f>
        <v>17547</v>
      </c>
      <c r="D495" s="136">
        <f>'[2]All Counts'!O495</f>
        <v>16727</v>
      </c>
      <c r="E495" s="136" t="str">
        <f>'[2]All Counts'!P495</f>
        <v>PeMS2016</v>
      </c>
      <c r="F495" s="137"/>
    </row>
    <row r="496" spans="1:6" x14ac:dyDescent="0.25">
      <c r="A496" s="136">
        <f>'[2]All Counts'!E496</f>
        <v>26563</v>
      </c>
      <c r="B496" s="136">
        <f>'[2]All Counts'!M496</f>
        <v>94615</v>
      </c>
      <c r="C496" s="136">
        <f>'[2]All Counts'!N496</f>
        <v>18558</v>
      </c>
      <c r="D496" s="136">
        <f>'[2]All Counts'!O496</f>
        <v>17492</v>
      </c>
      <c r="E496" s="136" t="str">
        <f>'[2]All Counts'!P496</f>
        <v>PeMS2016</v>
      </c>
      <c r="F496" s="137"/>
    </row>
    <row r="497" spans="1:6" x14ac:dyDescent="0.25">
      <c r="A497" s="136">
        <f>'[2]All Counts'!E497</f>
        <v>675</v>
      </c>
      <c r="B497" s="136">
        <f>'[2]All Counts'!M497</f>
        <v>99844</v>
      </c>
      <c r="C497" s="136">
        <f>'[2]All Counts'!N497</f>
        <v>19790</v>
      </c>
      <c r="D497" s="136">
        <f>'[2]All Counts'!O497</f>
        <v>18707</v>
      </c>
      <c r="E497" s="136" t="str">
        <f>'[2]All Counts'!P497</f>
        <v>Caltran</v>
      </c>
      <c r="F497" s="137"/>
    </row>
    <row r="498" spans="1:6" x14ac:dyDescent="0.25">
      <c r="A498" s="136">
        <f>'[2]All Counts'!E498</f>
        <v>674</v>
      </c>
      <c r="B498" s="136">
        <f>'[2]All Counts'!M498</f>
        <v>92809</v>
      </c>
      <c r="C498" s="136">
        <f>'[2]All Counts'!N498</f>
        <v>17741</v>
      </c>
      <c r="D498" s="136">
        <f>'[2]All Counts'!O498</f>
        <v>17352</v>
      </c>
      <c r="E498" s="136" t="str">
        <f>'[2]All Counts'!P498</f>
        <v>PeMS2016</v>
      </c>
      <c r="F498" s="137"/>
    </row>
    <row r="499" spans="1:6" x14ac:dyDescent="0.25">
      <c r="A499" s="136">
        <f>'[2]All Counts'!E499</f>
        <v>13273</v>
      </c>
      <c r="B499" s="136">
        <f>'[2]All Counts'!M499</f>
        <v>84304</v>
      </c>
      <c r="C499" s="136">
        <f>'[2]All Counts'!N499</f>
        <v>15421</v>
      </c>
      <c r="D499" s="136">
        <f>'[2]All Counts'!O499</f>
        <v>16127</v>
      </c>
      <c r="E499" s="136" t="str">
        <f>'[2]All Counts'!P499</f>
        <v>PeMS2016</v>
      </c>
      <c r="F499" s="137"/>
    </row>
    <row r="500" spans="1:6" x14ac:dyDescent="0.25">
      <c r="A500" s="136">
        <f>'[2]All Counts'!E500</f>
        <v>13282</v>
      </c>
      <c r="B500" s="136">
        <f>'[2]All Counts'!M500</f>
        <v>95358</v>
      </c>
      <c r="C500" s="136">
        <f>'[2]All Counts'!N500</f>
        <v>15741</v>
      </c>
      <c r="D500" s="136">
        <f>'[2]All Counts'!O500</f>
        <v>19768</v>
      </c>
      <c r="E500" s="136" t="str">
        <f>'[2]All Counts'!P500</f>
        <v>PeMS2016</v>
      </c>
      <c r="F500" s="137"/>
    </row>
    <row r="501" spans="1:6" x14ac:dyDescent="0.25">
      <c r="A501" s="136">
        <f>'[2]All Counts'!E501</f>
        <v>8771</v>
      </c>
      <c r="B501" s="136">
        <f>'[2]All Counts'!M501</f>
        <v>92586</v>
      </c>
      <c r="C501" s="136">
        <f>'[2]All Counts'!N501</f>
        <v>15031</v>
      </c>
      <c r="D501" s="136">
        <f>'[2]All Counts'!O501</f>
        <v>19695</v>
      </c>
      <c r="E501" s="136" t="str">
        <f>'[2]All Counts'!P501</f>
        <v>PeMS2016</v>
      </c>
      <c r="F501" s="137"/>
    </row>
    <row r="502" spans="1:6" x14ac:dyDescent="0.25">
      <c r="A502" s="136">
        <f>'[2]All Counts'!E502</f>
        <v>1250</v>
      </c>
      <c r="B502" s="136">
        <f>'[2]All Counts'!M502</f>
        <v>89683</v>
      </c>
      <c r="C502" s="136">
        <f>'[2]All Counts'!N502</f>
        <v>14251</v>
      </c>
      <c r="D502" s="136">
        <f>'[2]All Counts'!O502</f>
        <v>18732</v>
      </c>
      <c r="E502" s="136" t="str">
        <f>'[2]All Counts'!P502</f>
        <v>PeMS2016</v>
      </c>
      <c r="F502" s="137"/>
    </row>
    <row r="503" spans="1:6" x14ac:dyDescent="0.25">
      <c r="A503" s="136">
        <f>'[2]All Counts'!E503</f>
        <v>8772</v>
      </c>
      <c r="B503" s="136">
        <f>'[2]All Counts'!M503</f>
        <v>80705</v>
      </c>
      <c r="C503" s="136">
        <f>'[2]All Counts'!N503</f>
        <v>14411</v>
      </c>
      <c r="D503" s="136">
        <f>'[2]All Counts'!O503</f>
        <v>16669</v>
      </c>
      <c r="E503" s="136" t="str">
        <f>'[2]All Counts'!P503</f>
        <v>PeMS2016</v>
      </c>
      <c r="F503" s="137"/>
    </row>
    <row r="504" spans="1:6" x14ac:dyDescent="0.25">
      <c r="A504" s="136">
        <f>'[2]All Counts'!E504</f>
        <v>8773</v>
      </c>
      <c r="B504" s="136">
        <f>'[2]All Counts'!M504</f>
        <v>94564</v>
      </c>
      <c r="C504" s="136">
        <f>'[2]All Counts'!N504</f>
        <v>16118</v>
      </c>
      <c r="D504" s="136">
        <f>'[2]All Counts'!O504</f>
        <v>19924</v>
      </c>
      <c r="E504" s="136" t="str">
        <f>'[2]All Counts'!P504</f>
        <v>PeMS2016</v>
      </c>
      <c r="F504" s="137"/>
    </row>
    <row r="505" spans="1:6" x14ac:dyDescent="0.25">
      <c r="A505" s="136">
        <f>'[2]All Counts'!E505</f>
        <v>16272</v>
      </c>
      <c r="B505" s="136">
        <f>'[2]All Counts'!M505</f>
        <v>98571</v>
      </c>
      <c r="C505" s="136">
        <f>'[2]All Counts'!N505</f>
        <v>16044</v>
      </c>
      <c r="D505" s="136">
        <f>'[2]All Counts'!O505</f>
        <v>20948</v>
      </c>
      <c r="E505" s="136" t="str">
        <f>'[2]All Counts'!P505</f>
        <v>PeMS2016</v>
      </c>
      <c r="F505" s="137"/>
    </row>
    <row r="506" spans="1:6" x14ac:dyDescent="0.25">
      <c r="A506" s="136">
        <f>'[2]All Counts'!E506</f>
        <v>621</v>
      </c>
      <c r="B506" s="136">
        <f>'[2]All Counts'!M506</f>
        <v>95566</v>
      </c>
      <c r="C506" s="136">
        <f>'[2]All Counts'!N506</f>
        <v>17024</v>
      </c>
      <c r="D506" s="136">
        <f>'[2]All Counts'!O506</f>
        <v>19711</v>
      </c>
      <c r="E506" s="136" t="str">
        <f>'[2]All Counts'!P506</f>
        <v>PeMS2016</v>
      </c>
      <c r="F506" s="137"/>
    </row>
    <row r="507" spans="1:6" x14ac:dyDescent="0.25">
      <c r="A507" s="136">
        <f>'[2]All Counts'!E507</f>
        <v>13580</v>
      </c>
      <c r="B507" s="136">
        <f>'[2]All Counts'!M507</f>
        <v>104739</v>
      </c>
      <c r="C507" s="136">
        <f>'[2]All Counts'!N507</f>
        <v>17876</v>
      </c>
      <c r="D507" s="136">
        <f>'[2]All Counts'!O507</f>
        <v>21292</v>
      </c>
      <c r="E507" s="136" t="str">
        <f>'[2]All Counts'!P507</f>
        <v>Caltran</v>
      </c>
      <c r="F507" s="137"/>
    </row>
    <row r="508" spans="1:6" x14ac:dyDescent="0.25">
      <c r="A508" s="136">
        <f>'[2]All Counts'!E508</f>
        <v>13582</v>
      </c>
      <c r="B508" s="136">
        <f>'[2]All Counts'!M508</f>
        <v>100592</v>
      </c>
      <c r="C508" s="136">
        <f>'[2]All Counts'!N508</f>
        <v>18145</v>
      </c>
      <c r="D508" s="136">
        <f>'[2]All Counts'!O508</f>
        <v>20582</v>
      </c>
      <c r="E508" s="136" t="str">
        <f>'[2]All Counts'!P508</f>
        <v>PeMS2016</v>
      </c>
      <c r="F508" s="137"/>
    </row>
    <row r="509" spans="1:6" x14ac:dyDescent="0.25">
      <c r="A509" s="136">
        <f>'[2]All Counts'!E509</f>
        <v>13589</v>
      </c>
      <c r="B509" s="136">
        <f>'[2]All Counts'!M509</f>
        <v>101738</v>
      </c>
      <c r="C509" s="136">
        <f>'[2]All Counts'!N509</f>
        <v>18887</v>
      </c>
      <c r="D509" s="136">
        <f>'[2]All Counts'!O509</f>
        <v>20568</v>
      </c>
      <c r="E509" s="136" t="str">
        <f>'[2]All Counts'!P509</f>
        <v>PeMS2016</v>
      </c>
      <c r="F509" s="137"/>
    </row>
    <row r="510" spans="1:6" x14ac:dyDescent="0.25">
      <c r="A510" s="136">
        <f>'[2]All Counts'!E510</f>
        <v>13590</v>
      </c>
      <c r="B510" s="136">
        <f>'[2]All Counts'!M510</f>
        <v>97387</v>
      </c>
      <c r="C510" s="136">
        <f>'[2]All Counts'!N510</f>
        <v>18103</v>
      </c>
      <c r="D510" s="136">
        <f>'[2]All Counts'!O510</f>
        <v>19999</v>
      </c>
      <c r="E510" s="136" t="str">
        <f>'[2]All Counts'!P510</f>
        <v>PeMS2016</v>
      </c>
      <c r="F510" s="137"/>
    </row>
    <row r="511" spans="1:6" x14ac:dyDescent="0.25">
      <c r="A511" s="136">
        <f>'[2]All Counts'!E511</f>
        <v>643</v>
      </c>
      <c r="B511" s="136">
        <f>'[2]All Counts'!M511</f>
        <v>105824</v>
      </c>
      <c r="C511" s="136">
        <f>'[2]All Counts'!N511</f>
        <v>20787</v>
      </c>
      <c r="D511" s="136">
        <f>'[2]All Counts'!O511</f>
        <v>21001</v>
      </c>
      <c r="E511" s="136" t="str">
        <f>'[2]All Counts'!P511</f>
        <v>PeMS2016</v>
      </c>
      <c r="F511" s="137"/>
    </row>
    <row r="512" spans="1:6" x14ac:dyDescent="0.25">
      <c r="A512" s="136">
        <f>'[2]All Counts'!E512</f>
        <v>13594</v>
      </c>
      <c r="B512" s="136">
        <f>'[2]All Counts'!M512</f>
        <v>116241</v>
      </c>
      <c r="C512" s="136">
        <f>'[2]All Counts'!N512</f>
        <v>23298</v>
      </c>
      <c r="D512" s="136">
        <f>'[2]All Counts'!O512</f>
        <v>22251</v>
      </c>
      <c r="E512" s="136" t="str">
        <f>'[2]All Counts'!P512</f>
        <v>PeMS2016</v>
      </c>
      <c r="F512" s="137"/>
    </row>
    <row r="513" spans="1:6" x14ac:dyDescent="0.25">
      <c r="A513" s="136">
        <f>'[2]All Counts'!E513</f>
        <v>13598</v>
      </c>
      <c r="B513" s="136">
        <f>'[2]All Counts'!M513</f>
        <v>111400</v>
      </c>
      <c r="C513" s="136">
        <f>'[2]All Counts'!N513</f>
        <v>22921</v>
      </c>
      <c r="D513" s="136">
        <f>'[2]All Counts'!O513</f>
        <v>21264</v>
      </c>
      <c r="E513" s="136" t="str">
        <f>'[2]All Counts'!P513</f>
        <v>PeMS2016</v>
      </c>
      <c r="F513" s="137"/>
    </row>
    <row r="514" spans="1:6" x14ac:dyDescent="0.25">
      <c r="A514" s="136">
        <f>'[2]All Counts'!E514</f>
        <v>13597</v>
      </c>
      <c r="B514" s="136">
        <f>'[2]All Counts'!M514</f>
        <v>122507</v>
      </c>
      <c r="C514" s="136">
        <f>'[2]All Counts'!N514</f>
        <v>24180</v>
      </c>
      <c r="D514" s="136">
        <f>'[2]All Counts'!O514</f>
        <v>24283</v>
      </c>
      <c r="E514" s="136" t="str">
        <f>'[2]All Counts'!P514</f>
        <v>Caltran</v>
      </c>
      <c r="F514" s="137"/>
    </row>
    <row r="515" spans="1:6" x14ac:dyDescent="0.25">
      <c r="A515" s="136">
        <f>'[2]All Counts'!E515</f>
        <v>14247</v>
      </c>
      <c r="B515" s="136">
        <f>'[2]All Counts'!M515</f>
        <v>100343</v>
      </c>
      <c r="C515" s="136">
        <f>'[2]All Counts'!N515</f>
        <v>20888</v>
      </c>
      <c r="D515" s="136">
        <f>'[2]All Counts'!O515</f>
        <v>19130</v>
      </c>
      <c r="E515" s="136" t="str">
        <f>'[2]All Counts'!P515</f>
        <v>PeMS2016</v>
      </c>
      <c r="F515" s="137"/>
    </row>
    <row r="516" spans="1:6" x14ac:dyDescent="0.25">
      <c r="A516" s="136">
        <f>'[2]All Counts'!E516</f>
        <v>14246</v>
      </c>
      <c r="B516" s="136">
        <f>'[2]All Counts'!M516</f>
        <v>118688</v>
      </c>
      <c r="C516" s="136">
        <f>'[2]All Counts'!N516</f>
        <v>24318</v>
      </c>
      <c r="D516" s="136">
        <f>'[2]All Counts'!O516</f>
        <v>22898</v>
      </c>
      <c r="E516" s="136" t="str">
        <f>'[2]All Counts'!P516</f>
        <v>PeMS2016</v>
      </c>
      <c r="F516" s="137"/>
    </row>
    <row r="517" spans="1:6" x14ac:dyDescent="0.25">
      <c r="A517" s="136">
        <f>'[2]All Counts'!E517</f>
        <v>9022</v>
      </c>
      <c r="B517" s="136">
        <f>'[2]All Counts'!M517</f>
        <v>107214</v>
      </c>
      <c r="C517" s="136">
        <f>'[2]All Counts'!N517</f>
        <v>22191</v>
      </c>
      <c r="D517" s="136">
        <f>'[2]All Counts'!O517</f>
        <v>20249</v>
      </c>
      <c r="E517" s="136" t="str">
        <f>'[2]All Counts'!P517</f>
        <v>PeMS2016</v>
      </c>
      <c r="F517" s="137"/>
    </row>
    <row r="518" spans="1:6" x14ac:dyDescent="0.25">
      <c r="A518" s="136">
        <f>'[2]All Counts'!E518</f>
        <v>8774</v>
      </c>
      <c r="B518" s="136">
        <f>'[2]All Counts'!M518</f>
        <v>107214</v>
      </c>
      <c r="C518" s="136">
        <f>'[2]All Counts'!N518</f>
        <v>22191</v>
      </c>
      <c r="D518" s="136">
        <f>'[2]All Counts'!O518</f>
        <v>20249</v>
      </c>
      <c r="E518" s="136" t="str">
        <f>'[2]All Counts'!P518</f>
        <v>PeMS2016</v>
      </c>
      <c r="F518" s="137"/>
    </row>
    <row r="519" spans="1:6" x14ac:dyDescent="0.25">
      <c r="A519" s="136">
        <f>'[2]All Counts'!E519</f>
        <v>8899</v>
      </c>
      <c r="B519" s="136">
        <f>'[2]All Counts'!M519</f>
        <v>86844</v>
      </c>
      <c r="C519" s="136">
        <f>'[2]All Counts'!N519</f>
        <v>17848</v>
      </c>
      <c r="D519" s="136">
        <f>'[2]All Counts'!O519</f>
        <v>14572</v>
      </c>
      <c r="E519" s="136" t="str">
        <f>'[2]All Counts'!P519</f>
        <v>PeMS2016</v>
      </c>
      <c r="F519" s="137"/>
    </row>
    <row r="520" spans="1:6" x14ac:dyDescent="0.25">
      <c r="A520" s="136">
        <f>'[2]All Counts'!E520</f>
        <v>14255</v>
      </c>
      <c r="B520" s="136">
        <f>'[2]All Counts'!M520</f>
        <v>85924</v>
      </c>
      <c r="C520" s="136">
        <f>'[2]All Counts'!N520</f>
        <v>17984</v>
      </c>
      <c r="D520" s="136">
        <f>'[2]All Counts'!O520</f>
        <v>14023</v>
      </c>
      <c r="E520" s="136" t="str">
        <f>'[2]All Counts'!P520</f>
        <v>PeMS2016</v>
      </c>
      <c r="F520" s="137"/>
    </row>
    <row r="521" spans="1:6" x14ac:dyDescent="0.25">
      <c r="A521" s="136">
        <f>'[2]All Counts'!E521</f>
        <v>30776</v>
      </c>
      <c r="B521" s="136">
        <f>'[2]All Counts'!M521</f>
        <v>102978</v>
      </c>
      <c r="C521" s="136">
        <f>'[2]All Counts'!N521</f>
        <v>20341</v>
      </c>
      <c r="D521" s="136">
        <f>'[2]All Counts'!O521</f>
        <v>18486</v>
      </c>
      <c r="E521" s="136" t="str">
        <f>'[2]All Counts'!P521</f>
        <v>Caltran</v>
      </c>
      <c r="F521" s="137"/>
    </row>
    <row r="522" spans="1:6" x14ac:dyDescent="0.25">
      <c r="A522" s="136">
        <f>'[2]All Counts'!E522</f>
        <v>14263</v>
      </c>
      <c r="B522" s="136">
        <f>'[2]All Counts'!M522</f>
        <v>72660</v>
      </c>
      <c r="C522" s="136">
        <f>'[2]All Counts'!N522</f>
        <v>15164</v>
      </c>
      <c r="D522" s="136">
        <f>'[2]All Counts'!O522</f>
        <v>14198</v>
      </c>
      <c r="E522" s="136" t="str">
        <f>'[2]All Counts'!P522</f>
        <v>Caltran</v>
      </c>
      <c r="F522" s="137"/>
    </row>
    <row r="523" spans="1:6" x14ac:dyDescent="0.25">
      <c r="A523" s="136">
        <f>'[2]All Counts'!E523</f>
        <v>14286</v>
      </c>
      <c r="B523" s="136">
        <f>'[2]All Counts'!M523</f>
        <v>64818</v>
      </c>
      <c r="C523" s="136">
        <f>'[2]All Counts'!N523</f>
        <v>11972</v>
      </c>
      <c r="D523" s="136">
        <f>'[2]All Counts'!O523</f>
        <v>14999</v>
      </c>
      <c r="E523" s="136" t="str">
        <f>'[2]All Counts'!P523</f>
        <v>PeMS2016</v>
      </c>
      <c r="F523" s="137"/>
    </row>
    <row r="524" spans="1:6" x14ac:dyDescent="0.25">
      <c r="A524" s="136">
        <f>'[2]All Counts'!E524</f>
        <v>9252</v>
      </c>
      <c r="B524" s="136">
        <f>'[2]All Counts'!M524</f>
        <v>59572</v>
      </c>
      <c r="C524" s="136">
        <f>'[2]All Counts'!N524</f>
        <v>8909</v>
      </c>
      <c r="D524" s="136">
        <f>'[2]All Counts'!O524</f>
        <v>14135</v>
      </c>
      <c r="E524" s="136" t="str">
        <f>'[2]All Counts'!P524</f>
        <v>PeMS2016</v>
      </c>
      <c r="F524" s="137"/>
    </row>
    <row r="525" spans="1:6" x14ac:dyDescent="0.25">
      <c r="A525" s="136">
        <f>'[2]All Counts'!E525</f>
        <v>15039</v>
      </c>
      <c r="B525" s="136">
        <f>'[2]All Counts'!M525</f>
        <v>72760</v>
      </c>
      <c r="C525" s="136">
        <f>'[2]All Counts'!N525</f>
        <v>9838</v>
      </c>
      <c r="D525" s="136">
        <f>'[2]All Counts'!O525</f>
        <v>18571</v>
      </c>
      <c r="E525" s="136" t="str">
        <f>'[2]All Counts'!P525</f>
        <v>PeMS2016</v>
      </c>
      <c r="F525" s="137"/>
    </row>
    <row r="526" spans="1:6" x14ac:dyDescent="0.25">
      <c r="A526" s="136">
        <f>'[2]All Counts'!E526</f>
        <v>15035</v>
      </c>
      <c r="B526" s="136">
        <f>'[2]All Counts'!M526</f>
        <v>72760</v>
      </c>
      <c r="C526" s="136">
        <f>'[2]All Counts'!N526</f>
        <v>9838</v>
      </c>
      <c r="D526" s="136">
        <f>'[2]All Counts'!O526</f>
        <v>18571</v>
      </c>
      <c r="E526" s="136" t="str">
        <f>'[2]All Counts'!P526</f>
        <v>PeMS2016</v>
      </c>
      <c r="F526" s="137"/>
    </row>
    <row r="527" spans="1:6" x14ac:dyDescent="0.25">
      <c r="A527" s="136">
        <f>'[2]All Counts'!E527</f>
        <v>8777</v>
      </c>
      <c r="B527" s="136">
        <f>'[2]All Counts'!M527</f>
        <v>80789</v>
      </c>
      <c r="C527" s="136">
        <f>'[2]All Counts'!N527</f>
        <v>10436</v>
      </c>
      <c r="D527" s="136">
        <f>'[2]All Counts'!O527</f>
        <v>21678</v>
      </c>
      <c r="E527" s="136" t="str">
        <f>'[2]All Counts'!P527</f>
        <v>PeMS2016</v>
      </c>
      <c r="F527" s="137"/>
    </row>
    <row r="528" spans="1:6" x14ac:dyDescent="0.25">
      <c r="A528" s="136">
        <f>'[2]All Counts'!E528</f>
        <v>12009</v>
      </c>
      <c r="B528" s="136">
        <f>'[2]All Counts'!M528</f>
        <v>83645</v>
      </c>
      <c r="C528" s="136">
        <f>'[2]All Counts'!N528</f>
        <v>12245</v>
      </c>
      <c r="D528" s="136">
        <f>'[2]All Counts'!O528</f>
        <v>21728</v>
      </c>
      <c r="E528" s="136" t="str">
        <f>'[2]All Counts'!P528</f>
        <v>PeMS2016</v>
      </c>
      <c r="F528" s="137"/>
    </row>
    <row r="529" spans="1:6" x14ac:dyDescent="0.25">
      <c r="A529" s="136">
        <f>'[2]All Counts'!E529</f>
        <v>26065</v>
      </c>
      <c r="B529" s="136">
        <f>'[2]All Counts'!M529</f>
        <v>105583</v>
      </c>
      <c r="C529" s="136">
        <f>'[2]All Counts'!N529</f>
        <v>14540</v>
      </c>
      <c r="D529" s="136">
        <f>'[2]All Counts'!O529</f>
        <v>27538</v>
      </c>
      <c r="E529" s="136" t="str">
        <f>'[2]All Counts'!P529</f>
        <v>Caltran</v>
      </c>
      <c r="F529" s="137"/>
    </row>
    <row r="530" spans="1:6" x14ac:dyDescent="0.25">
      <c r="A530" s="136">
        <f>'[2]All Counts'!E530</f>
        <v>26017</v>
      </c>
      <c r="B530" s="136">
        <f>'[2]All Counts'!M530</f>
        <v>98559</v>
      </c>
      <c r="C530" s="136">
        <f>'[2]All Counts'!N530</f>
        <v>13537</v>
      </c>
      <c r="D530" s="136">
        <f>'[2]All Counts'!O530</f>
        <v>26378</v>
      </c>
      <c r="E530" s="136" t="str">
        <f>'[2]All Counts'!P530</f>
        <v>PeMS2016</v>
      </c>
      <c r="F530" s="137"/>
    </row>
    <row r="531" spans="1:6" x14ac:dyDescent="0.25">
      <c r="A531" s="136">
        <f>'[2]All Counts'!E531</f>
        <v>8780</v>
      </c>
      <c r="B531" s="136">
        <f>'[2]All Counts'!M531</f>
        <v>77304</v>
      </c>
      <c r="C531" s="136">
        <f>'[2]All Counts'!N531</f>
        <v>11236</v>
      </c>
      <c r="D531" s="136">
        <f>'[2]All Counts'!O531</f>
        <v>21493</v>
      </c>
      <c r="E531" s="136" t="str">
        <f>'[2]All Counts'!P531</f>
        <v>PeMS2016</v>
      </c>
      <c r="F531" s="137"/>
    </row>
    <row r="532" spans="1:6" x14ac:dyDescent="0.25">
      <c r="A532" s="136">
        <f>'[2]All Counts'!E532</f>
        <v>20684</v>
      </c>
      <c r="B532" s="136">
        <f>'[2]All Counts'!M532</f>
        <v>86925</v>
      </c>
      <c r="C532" s="136">
        <f>'[2]All Counts'!N532</f>
        <v>13168</v>
      </c>
      <c r="D532" s="136">
        <f>'[2]All Counts'!O532</f>
        <v>23832</v>
      </c>
      <c r="E532" s="136" t="str">
        <f>'[2]All Counts'!P532</f>
        <v>PeMS2016</v>
      </c>
      <c r="F532" s="137"/>
    </row>
    <row r="533" spans="1:6" x14ac:dyDescent="0.25">
      <c r="A533" s="136">
        <f>'[2]All Counts'!E533</f>
        <v>8787</v>
      </c>
      <c r="B533" s="136">
        <f>'[2]All Counts'!M533</f>
        <v>115020</v>
      </c>
      <c r="C533" s="136">
        <f>'[2]All Counts'!N533</f>
        <v>18971</v>
      </c>
      <c r="D533" s="136">
        <f>'[2]All Counts'!O533</f>
        <v>28959</v>
      </c>
      <c r="E533" s="136" t="str">
        <f>'[2]All Counts'!P533</f>
        <v>PeMS2016</v>
      </c>
      <c r="F533" s="137"/>
    </row>
    <row r="534" spans="1:6" x14ac:dyDescent="0.25">
      <c r="A534" s="136">
        <f>'[2]All Counts'!E534</f>
        <v>30816</v>
      </c>
      <c r="B534" s="136">
        <f>'[2]All Counts'!M534</f>
        <v>110995</v>
      </c>
      <c r="C534" s="136">
        <f>'[2]All Counts'!N534</f>
        <v>18048</v>
      </c>
      <c r="D534" s="136">
        <f>'[2]All Counts'!O534</f>
        <v>27665</v>
      </c>
      <c r="E534" s="136" t="str">
        <f>'[2]All Counts'!P534</f>
        <v>PeMS2016</v>
      </c>
      <c r="F534" s="137"/>
    </row>
    <row r="535" spans="1:6" x14ac:dyDescent="0.25">
      <c r="A535" s="136">
        <f>'[2]All Counts'!E535</f>
        <v>8791</v>
      </c>
      <c r="B535" s="136">
        <f>'[2]All Counts'!M535</f>
        <v>101566</v>
      </c>
      <c r="C535" s="136">
        <f>'[2]All Counts'!N535</f>
        <v>17550</v>
      </c>
      <c r="D535" s="136">
        <f>'[2]All Counts'!O535</f>
        <v>25382</v>
      </c>
      <c r="E535" s="136" t="str">
        <f>'[2]All Counts'!P535</f>
        <v>PeMS2016</v>
      </c>
      <c r="F535" s="137"/>
    </row>
    <row r="536" spans="1:6" x14ac:dyDescent="0.25">
      <c r="A536" s="136">
        <f>'[2]All Counts'!E536</f>
        <v>20689</v>
      </c>
      <c r="B536" s="136">
        <f>'[2]All Counts'!M536</f>
        <v>107543</v>
      </c>
      <c r="C536" s="136">
        <f>'[2]All Counts'!N536</f>
        <v>19787</v>
      </c>
      <c r="D536" s="136">
        <f>'[2]All Counts'!O536</f>
        <v>24040</v>
      </c>
      <c r="E536" s="136" t="str">
        <f>'[2]All Counts'!P536</f>
        <v>PeMS2016</v>
      </c>
      <c r="F536" s="137"/>
    </row>
    <row r="537" spans="1:6" x14ac:dyDescent="0.25">
      <c r="A537" s="136">
        <f>'[2]All Counts'!E537</f>
        <v>10965</v>
      </c>
      <c r="B537" s="136">
        <f>'[2]All Counts'!M537</f>
        <v>97702</v>
      </c>
      <c r="C537" s="136">
        <f>'[2]All Counts'!N537</f>
        <v>17729</v>
      </c>
      <c r="D537" s="136">
        <f>'[2]All Counts'!O537</f>
        <v>21606</v>
      </c>
      <c r="E537" s="136" t="str">
        <f>'[2]All Counts'!P537</f>
        <v>PeMS2016</v>
      </c>
      <c r="F537" s="137"/>
    </row>
    <row r="538" spans="1:6" x14ac:dyDescent="0.25">
      <c r="A538" s="136">
        <f>'[2]All Counts'!E538</f>
        <v>10968</v>
      </c>
      <c r="B538" s="136">
        <f>'[2]All Counts'!M538</f>
        <v>97802</v>
      </c>
      <c r="C538" s="136">
        <f>'[2]All Counts'!N538</f>
        <v>17096</v>
      </c>
      <c r="D538" s="136">
        <f>'[2]All Counts'!O538</f>
        <v>21092</v>
      </c>
      <c r="E538" s="136" t="str">
        <f>'[2]All Counts'!P538</f>
        <v>PeMS2016</v>
      </c>
      <c r="F538" s="137"/>
    </row>
    <row r="539" spans="1:6" x14ac:dyDescent="0.25">
      <c r="A539" s="136">
        <f>'[2]All Counts'!E539</f>
        <v>20693</v>
      </c>
      <c r="B539" s="136">
        <f>'[2]All Counts'!M539</f>
        <v>68584</v>
      </c>
      <c r="C539" s="136">
        <f>'[2]All Counts'!N539</f>
        <v>12968</v>
      </c>
      <c r="D539" s="136">
        <f>'[2]All Counts'!O539</f>
        <v>13655</v>
      </c>
      <c r="E539" s="136" t="str">
        <f>'[2]All Counts'!P539</f>
        <v>PeMS2016</v>
      </c>
      <c r="F539" s="137"/>
    </row>
    <row r="540" spans="1:6" x14ac:dyDescent="0.25">
      <c r="A540" s="136">
        <f>'[2]All Counts'!E540</f>
        <v>20694</v>
      </c>
      <c r="B540" s="136">
        <f>'[2]All Counts'!M540</f>
        <v>98644</v>
      </c>
      <c r="C540" s="136">
        <f>'[2]All Counts'!N540</f>
        <v>17969</v>
      </c>
      <c r="D540" s="136">
        <f>'[2]All Counts'!O540</f>
        <v>14247</v>
      </c>
      <c r="E540" s="136" t="str">
        <f>'[2]All Counts'!P540</f>
        <v>PeMS2016</v>
      </c>
      <c r="F540" s="137"/>
    </row>
    <row r="541" spans="1:6" x14ac:dyDescent="0.25">
      <c r="A541" s="136">
        <f>'[2]All Counts'!E541</f>
        <v>16578</v>
      </c>
      <c r="B541" s="136">
        <f>'[2]All Counts'!M541</f>
        <v>98694</v>
      </c>
      <c r="C541" s="136">
        <f>'[2]All Counts'!N541</f>
        <v>16698</v>
      </c>
      <c r="D541" s="136">
        <f>'[2]All Counts'!O541</f>
        <v>21357</v>
      </c>
      <c r="E541" s="136" t="str">
        <f>'[2]All Counts'!P541</f>
        <v>PeMS2016</v>
      </c>
      <c r="F541" s="137"/>
    </row>
    <row r="542" spans="1:6" x14ac:dyDescent="0.25">
      <c r="A542" s="136">
        <f>'[2]All Counts'!E542</f>
        <v>20700</v>
      </c>
      <c r="B542" s="136">
        <f>'[2]All Counts'!M542</f>
        <v>80685</v>
      </c>
      <c r="C542" s="136">
        <f>'[2]All Counts'!N542</f>
        <v>11453</v>
      </c>
      <c r="D542" s="136">
        <f>'[2]All Counts'!O542</f>
        <v>19374</v>
      </c>
      <c r="E542" s="136" t="str">
        <f>'[2]All Counts'!P542</f>
        <v>PeMS2016</v>
      </c>
      <c r="F542" s="137"/>
    </row>
    <row r="543" spans="1:6" x14ac:dyDescent="0.25">
      <c r="A543" s="136">
        <f>'[2]All Counts'!E543</f>
        <v>27834</v>
      </c>
      <c r="B543" s="136">
        <f>'[2]All Counts'!M543</f>
        <v>99080</v>
      </c>
      <c r="C543" s="136">
        <f>'[2]All Counts'!N543</f>
        <v>12285</v>
      </c>
      <c r="D543" s="136">
        <f>'[2]All Counts'!O543</f>
        <v>25401</v>
      </c>
      <c r="E543" s="136" t="str">
        <f>'[2]All Counts'!P543</f>
        <v>PeMS2016</v>
      </c>
      <c r="F543" s="137"/>
    </row>
    <row r="544" spans="1:6" x14ac:dyDescent="0.25">
      <c r="A544" s="136">
        <f>'[2]All Counts'!E544</f>
        <v>27824</v>
      </c>
      <c r="B544" s="136">
        <f>'[2]All Counts'!M544</f>
        <v>99726</v>
      </c>
      <c r="C544" s="136">
        <f>'[2]All Counts'!N544</f>
        <v>11882</v>
      </c>
      <c r="D544" s="136">
        <f>'[2]All Counts'!O544</f>
        <v>26226</v>
      </c>
      <c r="E544" s="136" t="str">
        <f>'[2]All Counts'!P544</f>
        <v>PeMS2016</v>
      </c>
      <c r="F544" s="137"/>
    </row>
    <row r="545" spans="1:6" x14ac:dyDescent="0.25">
      <c r="A545" s="136">
        <f>'[2]All Counts'!E545</f>
        <v>20709</v>
      </c>
      <c r="B545" s="136">
        <f>'[2]All Counts'!M545</f>
        <v>94097</v>
      </c>
      <c r="C545" s="136">
        <f>'[2]All Counts'!N545</f>
        <v>14214</v>
      </c>
      <c r="D545" s="136">
        <f>'[2]All Counts'!O545</f>
        <v>20981</v>
      </c>
      <c r="E545" s="136" t="str">
        <f>'[2]All Counts'!P545</f>
        <v>PeMS2016</v>
      </c>
      <c r="F545" s="137"/>
    </row>
    <row r="546" spans="1:6" x14ac:dyDescent="0.25">
      <c r="A546" s="136">
        <f>'[2]All Counts'!E546</f>
        <v>27806</v>
      </c>
      <c r="B546" s="136">
        <f>'[2]All Counts'!M546</f>
        <v>81733</v>
      </c>
      <c r="C546" s="136">
        <f>'[2]All Counts'!N546</f>
        <v>12457</v>
      </c>
      <c r="D546" s="136">
        <f>'[2]All Counts'!O546</f>
        <v>18771</v>
      </c>
      <c r="E546" s="136" t="str">
        <f>'[2]All Counts'!P546</f>
        <v>PeMS2016</v>
      </c>
      <c r="F546" s="137"/>
    </row>
    <row r="547" spans="1:6" x14ac:dyDescent="0.25">
      <c r="A547" s="136">
        <f>'[2]All Counts'!E547</f>
        <v>20711</v>
      </c>
      <c r="B547" s="136">
        <f>'[2]All Counts'!M547</f>
        <v>75681</v>
      </c>
      <c r="C547" s="136">
        <f>'[2]All Counts'!N547</f>
        <v>8670</v>
      </c>
      <c r="D547" s="136">
        <f>'[2]All Counts'!O547</f>
        <v>19188</v>
      </c>
      <c r="E547" s="136" t="str">
        <f>'[2]All Counts'!P547</f>
        <v>PeMS2016</v>
      </c>
      <c r="F547" s="137"/>
    </row>
    <row r="548" spans="1:6" x14ac:dyDescent="0.25">
      <c r="A548" s="136">
        <f>'[2]All Counts'!E548</f>
        <v>28736</v>
      </c>
      <c r="B548" s="136">
        <f>'[2]All Counts'!M548</f>
        <v>79004</v>
      </c>
      <c r="C548" s="136">
        <f>'[2]All Counts'!N548</f>
        <v>8299</v>
      </c>
      <c r="D548" s="136">
        <f>'[2]All Counts'!O548</f>
        <v>20217</v>
      </c>
      <c r="E548" s="136" t="str">
        <f>'[2]All Counts'!P548</f>
        <v>PeMS2016</v>
      </c>
      <c r="F548" s="137"/>
    </row>
    <row r="549" spans="1:6" x14ac:dyDescent="0.25">
      <c r="A549" s="136">
        <f>'[2]All Counts'!E549</f>
        <v>27781</v>
      </c>
      <c r="B549" s="136">
        <f>'[2]All Counts'!M549</f>
        <v>67128</v>
      </c>
      <c r="C549" s="136">
        <f>'[2]All Counts'!N549</f>
        <v>7057</v>
      </c>
      <c r="D549" s="136">
        <f>'[2]All Counts'!O549</f>
        <v>17560</v>
      </c>
      <c r="E549" s="136" t="str">
        <f>'[2]All Counts'!P549</f>
        <v>PeMS2016</v>
      </c>
      <c r="F549" s="137"/>
    </row>
    <row r="550" spans="1:6" x14ac:dyDescent="0.25">
      <c r="A550" s="136">
        <f>'[2]All Counts'!E550</f>
        <v>28726</v>
      </c>
      <c r="B550" s="136">
        <f>'[2]All Counts'!M550</f>
        <v>88978</v>
      </c>
      <c r="C550" s="136">
        <f>'[2]All Counts'!N550</f>
        <v>10347</v>
      </c>
      <c r="D550" s="136">
        <f>'[2]All Counts'!O550</f>
        <v>23110</v>
      </c>
      <c r="E550" s="136" t="str">
        <f>'[2]All Counts'!P550</f>
        <v>PeMS2016</v>
      </c>
      <c r="F550" s="137"/>
    </row>
    <row r="551" spans="1:6" x14ac:dyDescent="0.25">
      <c r="A551" s="136">
        <f>'[2]All Counts'!E551</f>
        <v>28717</v>
      </c>
      <c r="B551" s="136">
        <f>'[2]All Counts'!M551</f>
        <v>97561</v>
      </c>
      <c r="C551" s="136">
        <f>'[2]All Counts'!N551</f>
        <v>12101</v>
      </c>
      <c r="D551" s="136">
        <f>'[2]All Counts'!O551</f>
        <v>25627</v>
      </c>
      <c r="E551" s="136" t="str">
        <f>'[2]All Counts'!P551</f>
        <v>PeMS2016</v>
      </c>
      <c r="F551" s="137"/>
    </row>
    <row r="552" spans="1:6" x14ac:dyDescent="0.25">
      <c r="A552" s="136">
        <f>'[2]All Counts'!E552</f>
        <v>28706</v>
      </c>
      <c r="B552" s="136">
        <f>'[2]All Counts'!M552</f>
        <v>78531</v>
      </c>
      <c r="C552" s="136">
        <f>'[2]All Counts'!N552</f>
        <v>8108</v>
      </c>
      <c r="D552" s="136">
        <f>'[2]All Counts'!O552</f>
        <v>22365</v>
      </c>
      <c r="E552" s="136" t="str">
        <f>'[2]All Counts'!P552</f>
        <v>PeMS2016</v>
      </c>
      <c r="F552" s="137"/>
    </row>
    <row r="553" spans="1:6" x14ac:dyDescent="0.25">
      <c r="A553" s="136">
        <f>'[2]All Counts'!E553</f>
        <v>27934</v>
      </c>
      <c r="B553" s="136">
        <f>'[2]All Counts'!M553</f>
        <v>76063</v>
      </c>
      <c r="C553" s="136">
        <f>'[2]All Counts'!N553</f>
        <v>9051</v>
      </c>
      <c r="D553" s="136">
        <f>'[2]All Counts'!O553</f>
        <v>20376</v>
      </c>
      <c r="E553" s="136" t="str">
        <f>'[2]All Counts'!P553</f>
        <v>PeMS2016</v>
      </c>
      <c r="F553" s="137"/>
    </row>
    <row r="554" spans="1:6" x14ac:dyDescent="0.25">
      <c r="A554" s="136">
        <f>'[2]All Counts'!E554</f>
        <v>27915</v>
      </c>
      <c r="B554" s="136">
        <f>'[2]All Counts'!M554</f>
        <v>82654</v>
      </c>
      <c r="C554" s="136">
        <f>'[2]All Counts'!N554</f>
        <v>8192</v>
      </c>
      <c r="D554" s="136">
        <f>'[2]All Counts'!O554</f>
        <v>24174</v>
      </c>
      <c r="E554" s="136" t="str">
        <f>'[2]All Counts'!P554</f>
        <v>Caltran</v>
      </c>
      <c r="F554" s="137"/>
    </row>
    <row r="555" spans="1:6" x14ac:dyDescent="0.25">
      <c r="A555" s="136">
        <f>'[2]All Counts'!E555</f>
        <v>27902</v>
      </c>
      <c r="B555" s="136">
        <f>'[2]All Counts'!M555</f>
        <v>53560</v>
      </c>
      <c r="C555" s="136">
        <f>'[2]All Counts'!N555</f>
        <v>4660</v>
      </c>
      <c r="D555" s="136">
        <f>'[2]All Counts'!O555</f>
        <v>16668</v>
      </c>
      <c r="E555" s="136" t="str">
        <f>'[2]All Counts'!P555</f>
        <v>PeMS2016</v>
      </c>
      <c r="F555" s="137"/>
    </row>
    <row r="556" spans="1:6" x14ac:dyDescent="0.25">
      <c r="A556" s="136">
        <f>'[2]All Counts'!E556</f>
        <v>27878</v>
      </c>
      <c r="B556" s="136">
        <f>'[2]All Counts'!M556</f>
        <v>34852</v>
      </c>
      <c r="C556" s="136">
        <f>'[2]All Counts'!N556</f>
        <v>2230</v>
      </c>
      <c r="D556" s="136">
        <f>'[2]All Counts'!O556</f>
        <v>11019</v>
      </c>
      <c r="E556" s="136" t="str">
        <f>'[2]All Counts'!P556</f>
        <v>PeMS2016</v>
      </c>
      <c r="F556" s="137"/>
    </row>
    <row r="557" spans="1:6" x14ac:dyDescent="0.25">
      <c r="A557" s="136">
        <f>'[2]All Counts'!E557</f>
        <v>27860</v>
      </c>
      <c r="B557" s="136">
        <f>'[2]All Counts'!M557</f>
        <v>37045</v>
      </c>
      <c r="C557" s="136">
        <f>'[2]All Counts'!N557</f>
        <v>2488</v>
      </c>
      <c r="D557" s="136">
        <f>'[2]All Counts'!O557</f>
        <v>11501</v>
      </c>
      <c r="E557" s="136" t="str">
        <f>'[2]All Counts'!P557</f>
        <v>PeMS2016</v>
      </c>
      <c r="F557" s="137"/>
    </row>
    <row r="558" spans="1:6" x14ac:dyDescent="0.25">
      <c r="A558" s="136">
        <f>'[2]All Counts'!E558</f>
        <v>27887</v>
      </c>
      <c r="B558" s="136">
        <f>'[2]All Counts'!M558</f>
        <v>27793</v>
      </c>
      <c r="C558" s="136">
        <f>'[2]All Counts'!N558</f>
        <v>1659</v>
      </c>
      <c r="D558" s="136">
        <f>'[2]All Counts'!O558</f>
        <v>9158</v>
      </c>
      <c r="E558" s="136" t="str">
        <f>'[2]All Counts'!P558</f>
        <v>PeMS2016</v>
      </c>
      <c r="F558" s="137"/>
    </row>
    <row r="559" spans="1:6" x14ac:dyDescent="0.25">
      <c r="A559" s="136">
        <f>'[2]All Counts'!E559</f>
        <v>28455</v>
      </c>
      <c r="B559" s="136">
        <f>'[2]All Counts'!M559</f>
        <v>25624</v>
      </c>
      <c r="C559" s="136">
        <f>'[2]All Counts'!N559</f>
        <v>5382</v>
      </c>
      <c r="D559" s="136">
        <f>'[2]All Counts'!O559</f>
        <v>4715</v>
      </c>
      <c r="E559" s="136" t="str">
        <f>'[2]All Counts'!P559</f>
        <v>PeMS2016</v>
      </c>
      <c r="F559" s="137"/>
    </row>
    <row r="560" spans="1:6" x14ac:dyDescent="0.25">
      <c r="A560" s="136">
        <f>'[2]All Counts'!E560</f>
        <v>28086</v>
      </c>
      <c r="B560" s="136">
        <f>'[2]All Counts'!M560</f>
        <v>55004</v>
      </c>
      <c r="C560" s="136">
        <f>'[2]All Counts'!N560</f>
        <v>9984</v>
      </c>
      <c r="D560" s="136">
        <f>'[2]All Counts'!O560</f>
        <v>12709</v>
      </c>
      <c r="E560" s="136" t="str">
        <f>'[2]All Counts'!P560</f>
        <v>PeMS2016</v>
      </c>
      <c r="F560" s="137"/>
    </row>
    <row r="561" spans="1:6" x14ac:dyDescent="0.25">
      <c r="A561" s="136">
        <f>'[2]All Counts'!E561</f>
        <v>27603</v>
      </c>
      <c r="B561" s="136">
        <f>'[2]All Counts'!M561</f>
        <v>100852</v>
      </c>
      <c r="C561" s="136">
        <f>'[2]All Counts'!N561</f>
        <v>14106</v>
      </c>
      <c r="D561" s="136">
        <f>'[2]All Counts'!O561</f>
        <v>22897</v>
      </c>
      <c r="E561" s="136" t="str">
        <f>'[2]All Counts'!P561</f>
        <v>PeMS2016</v>
      </c>
      <c r="F561" s="137"/>
    </row>
    <row r="562" spans="1:6" x14ac:dyDescent="0.25">
      <c r="A562" s="136">
        <f>'[2]All Counts'!E562</f>
        <v>27551</v>
      </c>
      <c r="B562" s="136">
        <f>'[2]All Counts'!M562</f>
        <v>102178</v>
      </c>
      <c r="C562" s="136">
        <f>'[2]All Counts'!N562</f>
        <v>14240</v>
      </c>
      <c r="D562" s="136">
        <f>'[2]All Counts'!O562</f>
        <v>25270</v>
      </c>
      <c r="E562" s="136" t="str">
        <f>'[2]All Counts'!P562</f>
        <v>PeMS2016</v>
      </c>
      <c r="F562" s="137"/>
    </row>
    <row r="563" spans="1:6" x14ac:dyDescent="0.25">
      <c r="A563" s="136">
        <f>'[2]All Counts'!E563</f>
        <v>27605</v>
      </c>
      <c r="B563" s="136">
        <f>'[2]All Counts'!M563</f>
        <v>102178</v>
      </c>
      <c r="C563" s="136">
        <f>'[2]All Counts'!N563</f>
        <v>14240</v>
      </c>
      <c r="D563" s="136">
        <f>'[2]All Counts'!O563</f>
        <v>25270</v>
      </c>
      <c r="E563" s="136" t="str">
        <f>'[2]All Counts'!P563</f>
        <v>PeMS2016</v>
      </c>
      <c r="F563" s="137"/>
    </row>
    <row r="564" spans="1:6" x14ac:dyDescent="0.25">
      <c r="A564" s="136">
        <f>'[2]All Counts'!E564</f>
        <v>27555</v>
      </c>
      <c r="B564" s="136">
        <f>'[2]All Counts'!M564</f>
        <v>102480</v>
      </c>
      <c r="C564" s="136">
        <f>'[2]All Counts'!N564</f>
        <v>14260</v>
      </c>
      <c r="D564" s="136">
        <f>'[2]All Counts'!O564</f>
        <v>25476</v>
      </c>
      <c r="E564" s="136" t="str">
        <f>'[2]All Counts'!P564</f>
        <v>PeMS2016</v>
      </c>
      <c r="F564" s="137"/>
    </row>
    <row r="565" spans="1:6" x14ac:dyDescent="0.25">
      <c r="A565" s="136">
        <f>'[2]All Counts'!E565</f>
        <v>29089</v>
      </c>
      <c r="B565" s="136">
        <f>'[2]All Counts'!M565</f>
        <v>99377</v>
      </c>
      <c r="C565" s="136">
        <f>'[2]All Counts'!N565</f>
        <v>13705</v>
      </c>
      <c r="D565" s="136">
        <f>'[2]All Counts'!O565</f>
        <v>25023</v>
      </c>
      <c r="E565" s="136" t="str">
        <f>'[2]All Counts'!P565</f>
        <v>PeMS2016</v>
      </c>
      <c r="F565" s="137"/>
    </row>
    <row r="566" spans="1:6" x14ac:dyDescent="0.25">
      <c r="A566" s="136">
        <f>'[2]All Counts'!E566</f>
        <v>29108</v>
      </c>
      <c r="B566" s="136">
        <f>'[2]All Counts'!M566</f>
        <v>110584</v>
      </c>
      <c r="C566" s="136">
        <f>'[2]All Counts'!N566</f>
        <v>11418</v>
      </c>
      <c r="D566" s="136">
        <f>'[2]All Counts'!O566</f>
        <v>30291</v>
      </c>
      <c r="E566" s="136" t="str">
        <f>'[2]All Counts'!P566</f>
        <v>PeMS2016</v>
      </c>
      <c r="F566" s="137"/>
    </row>
    <row r="567" spans="1:6" x14ac:dyDescent="0.25">
      <c r="A567" s="136">
        <f>'[2]All Counts'!E567</f>
        <v>27607</v>
      </c>
      <c r="B567" s="136">
        <f>'[2]All Counts'!M567</f>
        <v>69995</v>
      </c>
      <c r="C567" s="136">
        <f>'[2]All Counts'!N567</f>
        <v>7388</v>
      </c>
      <c r="D567" s="136">
        <f>'[2]All Counts'!O567</f>
        <v>19235</v>
      </c>
      <c r="E567" s="136" t="str">
        <f>'[2]All Counts'!P567</f>
        <v>PeMS2016</v>
      </c>
      <c r="F567" s="137"/>
    </row>
    <row r="568" spans="1:6" x14ac:dyDescent="0.25">
      <c r="A568" s="136">
        <f>'[2]All Counts'!E568</f>
        <v>28106</v>
      </c>
      <c r="B568" s="136">
        <f>'[2]All Counts'!M568</f>
        <v>89518</v>
      </c>
      <c r="C568" s="136">
        <f>'[2]All Counts'!N568</f>
        <v>9527</v>
      </c>
      <c r="D568" s="136">
        <f>'[2]All Counts'!O568</f>
        <v>23330</v>
      </c>
      <c r="E568" s="136" t="str">
        <f>'[2]All Counts'!P568</f>
        <v>PeMS2016</v>
      </c>
      <c r="F568" s="137"/>
    </row>
    <row r="569" spans="1:6" x14ac:dyDescent="0.25">
      <c r="A569" s="136">
        <f>'[2]All Counts'!E569</f>
        <v>10996</v>
      </c>
      <c r="B569" s="136">
        <f>'[2]All Counts'!M569</f>
        <v>125503</v>
      </c>
      <c r="C569" s="136">
        <f>'[2]All Counts'!N569</f>
        <v>13738</v>
      </c>
      <c r="D569" s="136">
        <f>'[2]All Counts'!O569</f>
        <v>32396</v>
      </c>
      <c r="E569" s="136" t="str">
        <f>'[2]All Counts'!P569</f>
        <v>Caltran</v>
      </c>
      <c r="F569" s="137"/>
    </row>
    <row r="570" spans="1:6" x14ac:dyDescent="0.25">
      <c r="A570" s="136">
        <f>'[2]All Counts'!E570</f>
        <v>16096</v>
      </c>
      <c r="B570" s="136">
        <f>'[2]All Counts'!M570</f>
        <v>82283</v>
      </c>
      <c r="C570" s="136">
        <f>'[2]All Counts'!N570</f>
        <v>8956</v>
      </c>
      <c r="D570" s="136">
        <f>'[2]All Counts'!O570</f>
        <v>22510</v>
      </c>
      <c r="E570" s="136" t="str">
        <f>'[2]All Counts'!P570</f>
        <v>PeMS2016</v>
      </c>
      <c r="F570" s="137"/>
    </row>
    <row r="571" spans="1:6" x14ac:dyDescent="0.25">
      <c r="A571" s="136">
        <f>'[2]All Counts'!E571</f>
        <v>15432</v>
      </c>
      <c r="B571" s="136">
        <f>'[2]All Counts'!M571</f>
        <v>123160</v>
      </c>
      <c r="C571" s="136">
        <f>'[2]All Counts'!N571</f>
        <v>15120</v>
      </c>
      <c r="D571" s="136">
        <f>'[2]All Counts'!O571</f>
        <v>32759</v>
      </c>
      <c r="E571" s="136" t="str">
        <f>'[2]All Counts'!P571</f>
        <v>PeMS2016</v>
      </c>
      <c r="F571" s="137"/>
    </row>
    <row r="572" spans="1:6" x14ac:dyDescent="0.25">
      <c r="A572" s="136">
        <f>'[2]All Counts'!E572</f>
        <v>14953</v>
      </c>
      <c r="B572" s="136">
        <f>'[2]All Counts'!M572</f>
        <v>119243</v>
      </c>
      <c r="C572" s="136">
        <f>'[2]All Counts'!N572</f>
        <v>14391</v>
      </c>
      <c r="D572" s="136">
        <f>'[2]All Counts'!O572</f>
        <v>32175</v>
      </c>
      <c r="E572" s="136" t="str">
        <f>'[2]All Counts'!P572</f>
        <v>PeMS2016</v>
      </c>
      <c r="F572" s="137"/>
    </row>
    <row r="573" spans="1:6" x14ac:dyDescent="0.25">
      <c r="A573" s="136">
        <f>'[2]All Counts'!E573</f>
        <v>15443</v>
      </c>
      <c r="B573" s="136">
        <f>'[2]All Counts'!M573</f>
        <v>113934</v>
      </c>
      <c r="C573" s="136">
        <f>'[2]All Counts'!N573</f>
        <v>14341</v>
      </c>
      <c r="D573" s="136">
        <f>'[2]All Counts'!O573</f>
        <v>31197</v>
      </c>
      <c r="E573" s="136" t="str">
        <f>'[2]All Counts'!P573</f>
        <v>PeMS2016</v>
      </c>
      <c r="F573" s="137"/>
    </row>
    <row r="574" spans="1:6" x14ac:dyDescent="0.25">
      <c r="A574" s="136">
        <f>'[2]All Counts'!E574</f>
        <v>15457</v>
      </c>
      <c r="B574" s="136">
        <f>'[2]All Counts'!M574</f>
        <v>103006</v>
      </c>
      <c r="C574" s="136">
        <f>'[2]All Counts'!N574</f>
        <v>11938</v>
      </c>
      <c r="D574" s="136">
        <f>'[2]All Counts'!O574</f>
        <v>29007</v>
      </c>
      <c r="E574" s="136" t="str">
        <f>'[2]All Counts'!P574</f>
        <v>PeMS2016</v>
      </c>
      <c r="F574" s="137"/>
    </row>
    <row r="575" spans="1:6" x14ac:dyDescent="0.25">
      <c r="A575" s="136">
        <f>'[2]All Counts'!E575</f>
        <v>15459</v>
      </c>
      <c r="B575" s="136">
        <f>'[2]All Counts'!M575</f>
        <v>100757</v>
      </c>
      <c r="C575" s="136">
        <f>'[2]All Counts'!N575</f>
        <v>11653</v>
      </c>
      <c r="D575" s="136">
        <f>'[2]All Counts'!O575</f>
        <v>28021</v>
      </c>
      <c r="E575" s="136" t="str">
        <f>'[2]All Counts'!P575</f>
        <v>Caltran</v>
      </c>
      <c r="F575" s="137"/>
    </row>
    <row r="576" spans="1:6" x14ac:dyDescent="0.25">
      <c r="A576" s="136">
        <f>'[2]All Counts'!E576</f>
        <v>11035</v>
      </c>
      <c r="B576" s="136">
        <f>'[2]All Counts'!M576</f>
        <v>101417</v>
      </c>
      <c r="C576" s="136">
        <f>'[2]All Counts'!N576</f>
        <v>12107</v>
      </c>
      <c r="D576" s="136">
        <f>'[2]All Counts'!O576</f>
        <v>28522</v>
      </c>
      <c r="E576" s="136" t="str">
        <f>'[2]All Counts'!P576</f>
        <v>PeMS2016</v>
      </c>
      <c r="F576" s="137"/>
    </row>
    <row r="577" spans="1:6" x14ac:dyDescent="0.25">
      <c r="A577" s="136">
        <f>'[2]All Counts'!E577</f>
        <v>28123</v>
      </c>
      <c r="B577" s="136">
        <f>'[2]All Counts'!M577</f>
        <v>86552</v>
      </c>
      <c r="C577" s="136">
        <f>'[2]All Counts'!N577</f>
        <v>10567</v>
      </c>
      <c r="D577" s="136">
        <f>'[2]All Counts'!O577</f>
        <v>24159</v>
      </c>
      <c r="E577" s="136" t="str">
        <f>'[2]All Counts'!P577</f>
        <v>PeMS2016</v>
      </c>
      <c r="F577" s="137"/>
    </row>
    <row r="578" spans="1:6" x14ac:dyDescent="0.25">
      <c r="A578" s="136">
        <f>'[2]All Counts'!E578</f>
        <v>20719</v>
      </c>
      <c r="B578" s="136">
        <f>'[2]All Counts'!M578</f>
        <v>84789</v>
      </c>
      <c r="C578" s="136">
        <f>'[2]All Counts'!N578</f>
        <v>10578</v>
      </c>
      <c r="D578" s="136">
        <f>'[2]All Counts'!O578</f>
        <v>23483</v>
      </c>
      <c r="E578" s="136" t="str">
        <f>'[2]All Counts'!P578</f>
        <v>PeMS2016</v>
      </c>
      <c r="F578" s="137"/>
    </row>
    <row r="579" spans="1:6" x14ac:dyDescent="0.25">
      <c r="A579" s="136">
        <f>'[2]All Counts'!E579</f>
        <v>28143</v>
      </c>
      <c r="B579" s="136">
        <f>'[2]All Counts'!M579</f>
        <v>99542</v>
      </c>
      <c r="C579" s="136">
        <f>'[2]All Counts'!N579</f>
        <v>12532</v>
      </c>
      <c r="D579" s="136">
        <f>'[2]All Counts'!O579</f>
        <v>26961</v>
      </c>
      <c r="E579" s="136" t="str">
        <f>'[2]All Counts'!P579</f>
        <v>Caltran</v>
      </c>
      <c r="F579" s="137"/>
    </row>
    <row r="580" spans="1:6" x14ac:dyDescent="0.25">
      <c r="A580" s="136">
        <f>'[2]All Counts'!E580</f>
        <v>28390</v>
      </c>
      <c r="B580" s="136">
        <f>'[2]All Counts'!M580</f>
        <v>78729</v>
      </c>
      <c r="C580" s="136">
        <f>'[2]All Counts'!N580</f>
        <v>10210</v>
      </c>
      <c r="D580" s="136">
        <f>'[2]All Counts'!O580</f>
        <v>21198</v>
      </c>
      <c r="E580" s="136" t="str">
        <f>'[2]All Counts'!P580</f>
        <v>PeMS2016</v>
      </c>
      <c r="F580" s="137"/>
    </row>
    <row r="581" spans="1:6" x14ac:dyDescent="0.25">
      <c r="A581" s="136">
        <f>'[2]All Counts'!E581</f>
        <v>11268</v>
      </c>
      <c r="B581" s="136">
        <f>'[2]All Counts'!M581</f>
        <v>124107</v>
      </c>
      <c r="C581" s="136">
        <f>'[2]All Counts'!N581</f>
        <v>17287</v>
      </c>
      <c r="D581" s="136">
        <f>'[2]All Counts'!O581</f>
        <v>31372</v>
      </c>
      <c r="E581" s="136" t="str">
        <f>'[2]All Counts'!P581</f>
        <v>PeMS2016</v>
      </c>
      <c r="F581" s="137"/>
    </row>
    <row r="582" spans="1:6" x14ac:dyDescent="0.25">
      <c r="A582" s="136">
        <f>'[2]All Counts'!E582</f>
        <v>11054</v>
      </c>
      <c r="B582" s="136">
        <f>'[2]All Counts'!M582</f>
        <v>100339</v>
      </c>
      <c r="C582" s="136">
        <f>'[2]All Counts'!N582</f>
        <v>14513</v>
      </c>
      <c r="D582" s="136">
        <f>'[2]All Counts'!O582</f>
        <v>24705</v>
      </c>
      <c r="E582" s="136" t="str">
        <f>'[2]All Counts'!P582</f>
        <v>PeMS2016</v>
      </c>
      <c r="F582" s="137"/>
    </row>
    <row r="583" spans="1:6" x14ac:dyDescent="0.25">
      <c r="A583" s="136">
        <f>'[2]All Counts'!E583</f>
        <v>11055</v>
      </c>
      <c r="B583" s="136">
        <f>'[2]All Counts'!M583</f>
        <v>83545</v>
      </c>
      <c r="C583" s="136">
        <f>'[2]All Counts'!N583</f>
        <v>12276</v>
      </c>
      <c r="D583" s="136">
        <f>'[2]All Counts'!O583</f>
        <v>21546</v>
      </c>
      <c r="E583" s="136" t="str">
        <f>'[2]All Counts'!P583</f>
        <v>PeMS2016</v>
      </c>
      <c r="F583" s="137"/>
    </row>
    <row r="584" spans="1:6" x14ac:dyDescent="0.25">
      <c r="A584" s="136">
        <f>'[2]All Counts'!E584</f>
        <v>14949</v>
      </c>
      <c r="B584" s="136">
        <f>'[2]All Counts'!M584</f>
        <v>78886</v>
      </c>
      <c r="C584" s="136">
        <f>'[2]All Counts'!N584</f>
        <v>11251</v>
      </c>
      <c r="D584" s="136">
        <f>'[2]All Counts'!O584</f>
        <v>20885</v>
      </c>
      <c r="E584" s="136" t="str">
        <f>'[2]All Counts'!P584</f>
        <v>PeMS2016</v>
      </c>
      <c r="F584" s="137"/>
    </row>
    <row r="585" spans="1:6" x14ac:dyDescent="0.25">
      <c r="A585" s="136">
        <f>'[2]All Counts'!E585</f>
        <v>28179</v>
      </c>
      <c r="B585" s="136">
        <f>'[2]All Counts'!M585</f>
        <v>59645</v>
      </c>
      <c r="C585" s="136">
        <f>'[2]All Counts'!N585</f>
        <v>7513</v>
      </c>
      <c r="D585" s="136">
        <f>'[2]All Counts'!O585</f>
        <v>16047</v>
      </c>
      <c r="E585" s="136" t="str">
        <f>'[2]All Counts'!P585</f>
        <v>PeMS2016</v>
      </c>
      <c r="F585" s="137"/>
    </row>
    <row r="586" spans="1:6" x14ac:dyDescent="0.25">
      <c r="A586" s="136">
        <f>'[2]All Counts'!E586</f>
        <v>28184</v>
      </c>
      <c r="B586" s="136">
        <f>'[2]All Counts'!M586</f>
        <v>58421</v>
      </c>
      <c r="C586" s="136">
        <f>'[2]All Counts'!N586</f>
        <v>7223</v>
      </c>
      <c r="D586" s="136">
        <f>'[2]All Counts'!O586</f>
        <v>15932</v>
      </c>
      <c r="E586" s="136" t="str">
        <f>'[2]All Counts'!P586</f>
        <v>PeMS2016</v>
      </c>
      <c r="F586" s="137"/>
    </row>
    <row r="587" spans="1:6" x14ac:dyDescent="0.25">
      <c r="A587" s="136">
        <f>'[2]All Counts'!E587</f>
        <v>28186</v>
      </c>
      <c r="B587" s="136">
        <f>'[2]All Counts'!M587</f>
        <v>61008</v>
      </c>
      <c r="C587" s="136">
        <f>'[2]All Counts'!N587</f>
        <v>7560</v>
      </c>
      <c r="D587" s="136">
        <f>'[2]All Counts'!O587</f>
        <v>16600</v>
      </c>
      <c r="E587" s="136" t="str">
        <f>'[2]All Counts'!P587</f>
        <v>PeMS2016</v>
      </c>
      <c r="F587" s="137"/>
    </row>
    <row r="588" spans="1:6" x14ac:dyDescent="0.25">
      <c r="A588" s="136">
        <f>'[2]All Counts'!E588</f>
        <v>28380</v>
      </c>
      <c r="B588" s="136">
        <f>'[2]All Counts'!M588</f>
        <v>40350</v>
      </c>
      <c r="C588" s="136">
        <f>'[2]All Counts'!N588</f>
        <v>4689</v>
      </c>
      <c r="D588" s="136">
        <f>'[2]All Counts'!O588</f>
        <v>11477</v>
      </c>
      <c r="E588" s="136" t="str">
        <f>'[2]All Counts'!P588</f>
        <v>PeMS2016</v>
      </c>
      <c r="F588" s="137"/>
    </row>
    <row r="589" spans="1:6" x14ac:dyDescent="0.25">
      <c r="A589" s="136">
        <f>'[2]All Counts'!E589</f>
        <v>28199</v>
      </c>
      <c r="B589" s="136">
        <f>'[2]All Counts'!M589</f>
        <v>48429</v>
      </c>
      <c r="C589" s="136">
        <f>'[2]All Counts'!N589</f>
        <v>5612</v>
      </c>
      <c r="D589" s="136">
        <f>'[2]All Counts'!O589</f>
        <v>13517</v>
      </c>
      <c r="E589" s="136" t="str">
        <f>'[2]All Counts'!P589</f>
        <v>PeMS2016</v>
      </c>
      <c r="F589" s="137"/>
    </row>
    <row r="590" spans="1:6" x14ac:dyDescent="0.25">
      <c r="A590" s="136">
        <f>'[2]All Counts'!E590</f>
        <v>28635</v>
      </c>
      <c r="B590" s="136">
        <f>'[2]All Counts'!M590</f>
        <v>39284</v>
      </c>
      <c r="C590" s="136">
        <f>'[2]All Counts'!N590</f>
        <v>4706</v>
      </c>
      <c r="D590" s="136">
        <f>'[2]All Counts'!O590</f>
        <v>10967</v>
      </c>
      <c r="E590" s="136" t="str">
        <f>'[2]All Counts'!P590</f>
        <v>PeMS2016</v>
      </c>
      <c r="F590" s="137"/>
    </row>
    <row r="591" spans="1:6" x14ac:dyDescent="0.25">
      <c r="A591" s="136">
        <f>'[2]All Counts'!E591</f>
        <v>28636</v>
      </c>
      <c r="B591" s="136">
        <f>'[2]All Counts'!M591</f>
        <v>43277</v>
      </c>
      <c r="C591" s="136">
        <f>'[2]All Counts'!N591</f>
        <v>9718</v>
      </c>
      <c r="D591" s="136">
        <f>'[2]All Counts'!O591</f>
        <v>8529</v>
      </c>
      <c r="E591" s="136" t="str">
        <f>'[2]All Counts'!P591</f>
        <v>PeMS2016</v>
      </c>
      <c r="F591" s="137"/>
    </row>
    <row r="592" spans="1:6" x14ac:dyDescent="0.25">
      <c r="A592" s="136">
        <f>'[2]All Counts'!E592</f>
        <v>28203</v>
      </c>
      <c r="B592" s="136">
        <f>'[2]All Counts'!M592</f>
        <v>30683</v>
      </c>
      <c r="C592" s="136">
        <f>'[2]All Counts'!N592</f>
        <v>3901</v>
      </c>
      <c r="D592" s="136">
        <f>'[2]All Counts'!O592</f>
        <v>8493</v>
      </c>
      <c r="E592" s="136" t="str">
        <f>'[2]All Counts'!P592</f>
        <v>PeMS2016</v>
      </c>
      <c r="F592" s="137"/>
    </row>
    <row r="593" spans="1:6" x14ac:dyDescent="0.25">
      <c r="A593" s="136">
        <f>'[2]All Counts'!E593</f>
        <v>28208</v>
      </c>
      <c r="B593" s="136">
        <f>'[2]All Counts'!M593</f>
        <v>37191</v>
      </c>
      <c r="C593" s="136">
        <f>'[2]All Counts'!N593</f>
        <v>4418</v>
      </c>
      <c r="D593" s="136">
        <f>'[2]All Counts'!O593</f>
        <v>10341</v>
      </c>
      <c r="E593" s="136" t="str">
        <f>'[2]All Counts'!P593</f>
        <v>PeMS2016</v>
      </c>
      <c r="F593" s="137"/>
    </row>
    <row r="594" spans="1:6" x14ac:dyDescent="0.25">
      <c r="A594" s="136">
        <f>'[2]All Counts'!E594</f>
        <v>28214</v>
      </c>
      <c r="B594" s="136">
        <f>'[2]All Counts'!M594</f>
        <v>27524</v>
      </c>
      <c r="C594" s="136">
        <f>'[2]All Counts'!N594</f>
        <v>3362</v>
      </c>
      <c r="D594" s="136">
        <f>'[2]All Counts'!O594</f>
        <v>7863</v>
      </c>
      <c r="E594" s="136" t="str">
        <f>'[2]All Counts'!P594</f>
        <v>PeMS2016</v>
      </c>
      <c r="F594" s="137"/>
    </row>
    <row r="595" spans="1:6" x14ac:dyDescent="0.25">
      <c r="A595" s="136">
        <f>'[2]All Counts'!E595</f>
        <v>28216</v>
      </c>
      <c r="B595" s="136">
        <f>'[2]All Counts'!M595</f>
        <v>29209</v>
      </c>
      <c r="C595" s="136">
        <f>'[2]All Counts'!N595</f>
        <v>3509</v>
      </c>
      <c r="D595" s="136">
        <f>'[2]All Counts'!O595</f>
        <v>8246</v>
      </c>
      <c r="E595" s="136" t="str">
        <f>'[2]All Counts'!P595</f>
        <v>Caltran</v>
      </c>
      <c r="F595" s="137"/>
    </row>
    <row r="596" spans="1:6" x14ac:dyDescent="0.25">
      <c r="A596" s="136">
        <f>'[2]All Counts'!E596</f>
        <v>29215</v>
      </c>
      <c r="B596" s="136">
        <f>'[2]All Counts'!M596</f>
        <v>10818</v>
      </c>
      <c r="C596" s="136">
        <f>'[2]All Counts'!N596</f>
        <v>1350</v>
      </c>
      <c r="D596" s="136">
        <f>'[2]All Counts'!O596</f>
        <v>2708</v>
      </c>
      <c r="E596" s="136" t="str">
        <f>'[2]All Counts'!P596</f>
        <v>Caltran</v>
      </c>
      <c r="F596" s="137"/>
    </row>
    <row r="597" spans="1:6" x14ac:dyDescent="0.25">
      <c r="A597" s="136">
        <f>'[2]All Counts'!E597</f>
        <v>28269</v>
      </c>
      <c r="B597" s="136">
        <f>'[2]All Counts'!M597</f>
        <v>8499</v>
      </c>
      <c r="C597" s="136">
        <f>'[2]All Counts'!N597</f>
        <v>1090</v>
      </c>
      <c r="D597" s="136">
        <f>'[2]All Counts'!O597</f>
        <v>1915</v>
      </c>
      <c r="E597" s="136" t="str">
        <f>'[2]All Counts'!P597</f>
        <v>Caltran</v>
      </c>
      <c r="F597" s="137"/>
    </row>
    <row r="598" spans="1:6" x14ac:dyDescent="0.25">
      <c r="A598" s="136">
        <f>'[2]All Counts'!E598</f>
        <v>27539</v>
      </c>
      <c r="B598" s="136">
        <f>'[2]All Counts'!M598</f>
        <v>7355</v>
      </c>
      <c r="C598" s="136">
        <f>'[2]All Counts'!N598</f>
        <v>902</v>
      </c>
      <c r="D598" s="136">
        <f>'[2]All Counts'!O598</f>
        <v>1608</v>
      </c>
      <c r="E598" s="136" t="str">
        <f>'[2]All Counts'!P598</f>
        <v>Caltran</v>
      </c>
      <c r="F598" s="137"/>
    </row>
    <row r="599" spans="1:6" x14ac:dyDescent="0.25">
      <c r="A599" s="136">
        <f>'[2]All Counts'!E599</f>
        <v>29548</v>
      </c>
      <c r="B599" s="136">
        <f>'[2]All Counts'!M599</f>
        <v>7422</v>
      </c>
      <c r="C599" s="136">
        <f>'[2]All Counts'!N599</f>
        <v>804</v>
      </c>
      <c r="D599" s="136">
        <f>'[2]All Counts'!O599</f>
        <v>2838</v>
      </c>
      <c r="E599" s="136" t="str">
        <f>'[2]All Counts'!P599</f>
        <v>PeMS2016</v>
      </c>
      <c r="F599" s="137"/>
    </row>
    <row r="600" spans="1:6" x14ac:dyDescent="0.25">
      <c r="A600" s="136">
        <f>'[2]All Counts'!E600</f>
        <v>28793</v>
      </c>
      <c r="B600" s="136">
        <f>'[2]All Counts'!M600</f>
        <v>59194</v>
      </c>
      <c r="C600" s="136">
        <f>'[2]All Counts'!N600</f>
        <v>12263</v>
      </c>
      <c r="D600" s="136">
        <f>'[2]All Counts'!O600</f>
        <v>9432</v>
      </c>
      <c r="E600" s="136" t="str">
        <f>'[2]All Counts'!P600</f>
        <v>PeMS2016</v>
      </c>
      <c r="F600" s="137"/>
    </row>
    <row r="601" spans="1:6" x14ac:dyDescent="0.25">
      <c r="A601" s="136">
        <f>'[2]All Counts'!E601</f>
        <v>20781</v>
      </c>
      <c r="B601" s="136">
        <f>'[2]All Counts'!M601</f>
        <v>87684</v>
      </c>
      <c r="C601" s="136">
        <f>'[2]All Counts'!N601</f>
        <v>18844</v>
      </c>
      <c r="D601" s="136">
        <f>'[2]All Counts'!O601</f>
        <v>15531</v>
      </c>
      <c r="E601" s="136" t="str">
        <f>'[2]All Counts'!P601</f>
        <v>Caltran</v>
      </c>
      <c r="F601" s="137"/>
    </row>
    <row r="602" spans="1:6" x14ac:dyDescent="0.25">
      <c r="A602" s="136">
        <f>'[2]All Counts'!E602</f>
        <v>28798</v>
      </c>
      <c r="B602" s="136">
        <f>'[2]All Counts'!M602</f>
        <v>77974</v>
      </c>
      <c r="C602" s="136">
        <f>'[2]All Counts'!N602</f>
        <v>16384</v>
      </c>
      <c r="D602" s="136">
        <f>'[2]All Counts'!O602</f>
        <v>12370</v>
      </c>
      <c r="E602" s="136" t="str">
        <f>'[2]All Counts'!P602</f>
        <v>PeMS2016</v>
      </c>
      <c r="F602" s="137"/>
    </row>
    <row r="603" spans="1:6" x14ac:dyDescent="0.25">
      <c r="A603" s="136">
        <f>'[2]All Counts'!E603</f>
        <v>8802</v>
      </c>
      <c r="B603" s="136">
        <f>'[2]All Counts'!M603</f>
        <v>80219</v>
      </c>
      <c r="C603" s="136">
        <f>'[2]All Counts'!N603</f>
        <v>14787</v>
      </c>
      <c r="D603" s="136">
        <f>'[2]All Counts'!O603</f>
        <v>16116</v>
      </c>
      <c r="E603" s="136" t="str">
        <f>'[2]All Counts'!P603</f>
        <v>PeMS2016</v>
      </c>
      <c r="F603" s="137"/>
    </row>
    <row r="604" spans="1:6" x14ac:dyDescent="0.25">
      <c r="A604" s="136">
        <f>'[2]All Counts'!E604</f>
        <v>26791</v>
      </c>
      <c r="B604" s="136">
        <f>'[2]All Counts'!M604</f>
        <v>84108</v>
      </c>
      <c r="C604" s="136">
        <f>'[2]All Counts'!N604</f>
        <v>15226</v>
      </c>
      <c r="D604" s="136">
        <f>'[2]All Counts'!O604</f>
        <v>16818</v>
      </c>
      <c r="E604" s="136" t="str">
        <f>'[2]All Counts'!P604</f>
        <v>PeMS2016</v>
      </c>
      <c r="F604" s="137"/>
    </row>
    <row r="605" spans="1:6" x14ac:dyDescent="0.25">
      <c r="A605" s="136">
        <f>'[2]All Counts'!E605</f>
        <v>24703</v>
      </c>
      <c r="B605" s="136">
        <f>'[2]All Counts'!M605</f>
        <v>69774</v>
      </c>
      <c r="C605" s="136">
        <f>'[2]All Counts'!N605</f>
        <v>10886</v>
      </c>
      <c r="D605" s="136">
        <f>'[2]All Counts'!O605</f>
        <v>14690</v>
      </c>
      <c r="E605" s="136" t="str">
        <f>'[2]All Counts'!P605</f>
        <v>PeMS2016</v>
      </c>
      <c r="F605" s="137"/>
    </row>
    <row r="606" spans="1:6" x14ac:dyDescent="0.25">
      <c r="A606" s="136">
        <f>'[2]All Counts'!E606</f>
        <v>15065</v>
      </c>
      <c r="B606" s="136">
        <f>'[2]All Counts'!M606</f>
        <v>83493</v>
      </c>
      <c r="C606" s="136">
        <f>'[2]All Counts'!N606</f>
        <v>11843</v>
      </c>
      <c r="D606" s="136">
        <f>'[2]All Counts'!O606</f>
        <v>19570</v>
      </c>
      <c r="E606" s="136" t="str">
        <f>'[2]All Counts'!P606</f>
        <v>PeMS2016</v>
      </c>
      <c r="F606" s="137"/>
    </row>
    <row r="607" spans="1:6" x14ac:dyDescent="0.25">
      <c r="A607" s="136">
        <f>'[2]All Counts'!E607</f>
        <v>24704</v>
      </c>
      <c r="B607" s="136">
        <f>'[2]All Counts'!M607</f>
        <v>90898</v>
      </c>
      <c r="C607" s="136">
        <f>'[2]All Counts'!N607</f>
        <v>12446</v>
      </c>
      <c r="D607" s="136">
        <f>'[2]All Counts'!O607</f>
        <v>20288</v>
      </c>
      <c r="E607" s="136" t="str">
        <f>'[2]All Counts'!P607</f>
        <v>PeMS2016</v>
      </c>
      <c r="F607" s="137"/>
    </row>
    <row r="608" spans="1:6" x14ac:dyDescent="0.25">
      <c r="A608" s="136">
        <f>'[2]All Counts'!E608</f>
        <v>770</v>
      </c>
      <c r="B608" s="136">
        <f>'[2]All Counts'!M608</f>
        <v>89607</v>
      </c>
      <c r="C608" s="136">
        <f>'[2]All Counts'!N608</f>
        <v>12074</v>
      </c>
      <c r="D608" s="136">
        <f>'[2]All Counts'!O608</f>
        <v>19295</v>
      </c>
      <c r="E608" s="136" t="str">
        <f>'[2]All Counts'!P608</f>
        <v>PeMS2016</v>
      </c>
      <c r="F608" s="137"/>
    </row>
    <row r="609" spans="1:6" x14ac:dyDescent="0.25">
      <c r="A609" s="136">
        <f>'[2]All Counts'!E609</f>
        <v>771</v>
      </c>
      <c r="B609" s="136">
        <f>'[2]All Counts'!M609</f>
        <v>97841</v>
      </c>
      <c r="C609" s="136">
        <f>'[2]All Counts'!N609</f>
        <v>13366</v>
      </c>
      <c r="D609" s="136">
        <f>'[2]All Counts'!O609</f>
        <v>20237</v>
      </c>
      <c r="E609" s="136" t="str">
        <f>'[2]All Counts'!P609</f>
        <v>PeMS2016</v>
      </c>
      <c r="F609" s="137"/>
    </row>
    <row r="610" spans="1:6" x14ac:dyDescent="0.25">
      <c r="A610" s="136">
        <f>'[2]All Counts'!E610</f>
        <v>772</v>
      </c>
      <c r="B610" s="136">
        <f>'[2]All Counts'!M610</f>
        <v>93083</v>
      </c>
      <c r="C610" s="136">
        <f>'[2]All Counts'!N610</f>
        <v>11815</v>
      </c>
      <c r="D610" s="136">
        <f>'[2]All Counts'!O610</f>
        <v>20101</v>
      </c>
      <c r="E610" s="136" t="str">
        <f>'[2]All Counts'!P610</f>
        <v>PeMS2016</v>
      </c>
      <c r="F610" s="137"/>
    </row>
    <row r="611" spans="1:6" x14ac:dyDescent="0.25">
      <c r="A611" s="136">
        <f>'[2]All Counts'!E611</f>
        <v>777</v>
      </c>
      <c r="B611" s="136">
        <f>'[2]All Counts'!M611</f>
        <v>106367</v>
      </c>
      <c r="C611" s="136">
        <f>'[2]All Counts'!N611</f>
        <v>13887</v>
      </c>
      <c r="D611" s="136">
        <f>'[2]All Counts'!O611</f>
        <v>23020</v>
      </c>
      <c r="E611" s="136" t="str">
        <f>'[2]All Counts'!P611</f>
        <v>PeMS2016</v>
      </c>
      <c r="F611" s="137"/>
    </row>
    <row r="612" spans="1:6" x14ac:dyDescent="0.25">
      <c r="A612" s="136">
        <f>'[2]All Counts'!E612</f>
        <v>22716</v>
      </c>
      <c r="B612" s="136">
        <f>'[2]All Counts'!M612</f>
        <v>74869</v>
      </c>
      <c r="C612" s="136">
        <f>'[2]All Counts'!N612</f>
        <v>8546</v>
      </c>
      <c r="D612" s="136">
        <f>'[2]All Counts'!O612</f>
        <v>17403</v>
      </c>
      <c r="E612" s="136" t="str">
        <f>'[2]All Counts'!P612</f>
        <v>PeMS2016</v>
      </c>
      <c r="F612" s="137"/>
    </row>
    <row r="613" spans="1:6" x14ac:dyDescent="0.25">
      <c r="A613" s="136">
        <f>'[2]All Counts'!E613</f>
        <v>778</v>
      </c>
      <c r="B613" s="136">
        <f>'[2]All Counts'!M613</f>
        <v>83231</v>
      </c>
      <c r="C613" s="136">
        <f>'[2]All Counts'!N613</f>
        <v>9648</v>
      </c>
      <c r="D613" s="136">
        <f>'[2]All Counts'!O613</f>
        <v>18107</v>
      </c>
      <c r="E613" s="136" t="str">
        <f>'[2]All Counts'!P613</f>
        <v>PeMS2016</v>
      </c>
      <c r="F613" s="137"/>
    </row>
    <row r="614" spans="1:6" x14ac:dyDescent="0.25">
      <c r="A614" s="136">
        <f>'[2]All Counts'!E614</f>
        <v>779</v>
      </c>
      <c r="B614" s="136">
        <f>'[2]All Counts'!M614</f>
        <v>77230</v>
      </c>
      <c r="C614" s="136">
        <f>'[2]All Counts'!N614</f>
        <v>8734</v>
      </c>
      <c r="D614" s="136">
        <f>'[2]All Counts'!O614</f>
        <v>18499</v>
      </c>
      <c r="E614" s="136" t="str">
        <f>'[2]All Counts'!P614</f>
        <v>PeMS2016</v>
      </c>
      <c r="F614" s="137"/>
    </row>
    <row r="615" spans="1:6" x14ac:dyDescent="0.25">
      <c r="A615" s="136">
        <f>'[2]All Counts'!E615</f>
        <v>786</v>
      </c>
      <c r="B615" s="136">
        <f>'[2]All Counts'!M615</f>
        <v>113284</v>
      </c>
      <c r="C615" s="136">
        <f>'[2]All Counts'!N615</f>
        <v>11901</v>
      </c>
      <c r="D615" s="136">
        <f>'[2]All Counts'!O615</f>
        <v>29959</v>
      </c>
      <c r="E615" s="136" t="str">
        <f>'[2]All Counts'!P615</f>
        <v>PeMS2016</v>
      </c>
      <c r="F615" s="137"/>
    </row>
    <row r="616" spans="1:6" x14ac:dyDescent="0.25">
      <c r="A616" s="136">
        <f>'[2]All Counts'!E616</f>
        <v>787</v>
      </c>
      <c r="B616" s="136">
        <f>'[2]All Counts'!M616</f>
        <v>109946</v>
      </c>
      <c r="C616" s="136">
        <f>'[2]All Counts'!N616</f>
        <v>11566</v>
      </c>
      <c r="D616" s="136">
        <f>'[2]All Counts'!O616</f>
        <v>29030</v>
      </c>
      <c r="E616" s="136" t="str">
        <f>'[2]All Counts'!P616</f>
        <v>PeMS2016</v>
      </c>
      <c r="F616" s="137"/>
    </row>
    <row r="617" spans="1:6" x14ac:dyDescent="0.25">
      <c r="A617" s="136">
        <f>'[2]All Counts'!E617</f>
        <v>788</v>
      </c>
      <c r="B617" s="136">
        <f>'[2]All Counts'!M617</f>
        <v>115284</v>
      </c>
      <c r="C617" s="136">
        <f>'[2]All Counts'!N617</f>
        <v>12424</v>
      </c>
      <c r="D617" s="136">
        <f>'[2]All Counts'!O617</f>
        <v>30741</v>
      </c>
      <c r="E617" s="136" t="str">
        <f>'[2]All Counts'!P617</f>
        <v>PeMS2016</v>
      </c>
      <c r="F617" s="137"/>
    </row>
    <row r="618" spans="1:6" x14ac:dyDescent="0.25">
      <c r="A618" s="136">
        <f>'[2]All Counts'!E618</f>
        <v>20782</v>
      </c>
      <c r="B618" s="136">
        <f>'[2]All Counts'!M618</f>
        <v>77538</v>
      </c>
      <c r="C618" s="136">
        <f>'[2]All Counts'!N618</f>
        <v>7950</v>
      </c>
      <c r="D618" s="136">
        <f>'[2]All Counts'!O618</f>
        <v>21829</v>
      </c>
      <c r="E618" s="136" t="str">
        <f>'[2]All Counts'!P618</f>
        <v>PeMS2016</v>
      </c>
      <c r="F618" s="137"/>
    </row>
    <row r="619" spans="1:6" x14ac:dyDescent="0.25">
      <c r="A619" s="136">
        <f>'[2]All Counts'!E619</f>
        <v>792</v>
      </c>
      <c r="B619" s="136">
        <f>'[2]All Counts'!M619</f>
        <v>103770</v>
      </c>
      <c r="C619" s="136">
        <f>'[2]All Counts'!N619</f>
        <v>10440</v>
      </c>
      <c r="D619" s="136">
        <f>'[2]All Counts'!O619</f>
        <v>29038</v>
      </c>
      <c r="E619" s="136" t="str">
        <f>'[2]All Counts'!P619</f>
        <v>PeMS2016</v>
      </c>
      <c r="F619" s="137"/>
    </row>
    <row r="620" spans="1:6" x14ac:dyDescent="0.25">
      <c r="A620" s="136">
        <f>'[2]All Counts'!E620</f>
        <v>797</v>
      </c>
      <c r="B620" s="136">
        <f>'[2]All Counts'!M620</f>
        <v>100286</v>
      </c>
      <c r="C620" s="136">
        <f>'[2]All Counts'!N620</f>
        <v>10378</v>
      </c>
      <c r="D620" s="136">
        <f>'[2]All Counts'!O620</f>
        <v>28272</v>
      </c>
      <c r="E620" s="136" t="str">
        <f>'[2]All Counts'!P620</f>
        <v>Caltran</v>
      </c>
      <c r="F620" s="137"/>
    </row>
    <row r="621" spans="1:6" x14ac:dyDescent="0.25">
      <c r="A621" s="136">
        <f>'[2]All Counts'!E621</f>
        <v>801</v>
      </c>
      <c r="B621" s="136">
        <f>'[2]All Counts'!M621</f>
        <v>80553</v>
      </c>
      <c r="C621" s="136">
        <f>'[2]All Counts'!N621</f>
        <v>8164</v>
      </c>
      <c r="D621" s="136">
        <f>'[2]All Counts'!O621</f>
        <v>23425</v>
      </c>
      <c r="E621" s="136" t="str">
        <f>'[2]All Counts'!P621</f>
        <v>PeMS2016</v>
      </c>
      <c r="F621" s="137"/>
    </row>
    <row r="622" spans="1:6" x14ac:dyDescent="0.25">
      <c r="A622" s="136">
        <f>'[2]All Counts'!E622</f>
        <v>802</v>
      </c>
      <c r="B622" s="136">
        <f>'[2]All Counts'!M622</f>
        <v>124522</v>
      </c>
      <c r="C622" s="136">
        <f>'[2]All Counts'!N622</f>
        <v>14270</v>
      </c>
      <c r="D622" s="136">
        <f>'[2]All Counts'!O622</f>
        <v>32716</v>
      </c>
      <c r="E622" s="136" t="str">
        <f>'[2]All Counts'!P622</f>
        <v>PeMS2016</v>
      </c>
      <c r="F622" s="137"/>
    </row>
    <row r="623" spans="1:6" x14ac:dyDescent="0.25">
      <c r="A623" s="136">
        <f>'[2]All Counts'!E623</f>
        <v>804</v>
      </c>
      <c r="B623" s="136">
        <f>'[2]All Counts'!M623</f>
        <v>86516</v>
      </c>
      <c r="C623" s="136">
        <f>'[2]All Counts'!N623</f>
        <v>10536</v>
      </c>
      <c r="D623" s="136">
        <f>'[2]All Counts'!O623</f>
        <v>21789</v>
      </c>
      <c r="E623" s="136" t="str">
        <f>'[2]All Counts'!P623</f>
        <v>PeMS2016</v>
      </c>
      <c r="F623" s="137"/>
    </row>
    <row r="624" spans="1:6" x14ac:dyDescent="0.25">
      <c r="A624" s="136">
        <f>'[2]All Counts'!E624</f>
        <v>806</v>
      </c>
      <c r="B624" s="136">
        <f>'[2]All Counts'!M624</f>
        <v>70389</v>
      </c>
      <c r="C624" s="136">
        <f>'[2]All Counts'!N624</f>
        <v>8204</v>
      </c>
      <c r="D624" s="136">
        <f>'[2]All Counts'!O624</f>
        <v>19717</v>
      </c>
      <c r="E624" s="136" t="str">
        <f>'[2]All Counts'!P624</f>
        <v>PeMS2016</v>
      </c>
      <c r="F624" s="137"/>
    </row>
    <row r="625" spans="1:6" x14ac:dyDescent="0.25">
      <c r="A625" s="136">
        <f>'[2]All Counts'!E625</f>
        <v>807</v>
      </c>
      <c r="B625" s="136">
        <f>'[2]All Counts'!M625</f>
        <v>116555</v>
      </c>
      <c r="C625" s="136">
        <f>'[2]All Counts'!N625</f>
        <v>13182</v>
      </c>
      <c r="D625" s="136">
        <f>'[2]All Counts'!O625</f>
        <v>32011</v>
      </c>
      <c r="E625" s="136" t="str">
        <f>'[2]All Counts'!P625</f>
        <v>Caltran</v>
      </c>
      <c r="F625" s="137"/>
    </row>
    <row r="626" spans="1:6" x14ac:dyDescent="0.25">
      <c r="A626" s="136">
        <f>'[2]All Counts'!E626</f>
        <v>3222</v>
      </c>
      <c r="B626" s="136">
        <f>'[2]All Counts'!M626</f>
        <v>73195</v>
      </c>
      <c r="C626" s="136">
        <f>'[2]All Counts'!N626</f>
        <v>8331</v>
      </c>
      <c r="D626" s="136">
        <f>'[2]All Counts'!O626</f>
        <v>21475</v>
      </c>
      <c r="E626" s="136" t="str">
        <f>'[2]All Counts'!P626</f>
        <v>PeMS2016</v>
      </c>
      <c r="F626" s="137"/>
    </row>
    <row r="627" spans="1:6" x14ac:dyDescent="0.25">
      <c r="A627" s="136">
        <f>'[2]All Counts'!E627</f>
        <v>813</v>
      </c>
      <c r="B627" s="136">
        <f>'[2]All Counts'!M627</f>
        <v>103150</v>
      </c>
      <c r="C627" s="136">
        <f>'[2]All Counts'!N627</f>
        <v>12545</v>
      </c>
      <c r="D627" s="136">
        <f>'[2]All Counts'!O627</f>
        <v>27118</v>
      </c>
      <c r="E627" s="136" t="str">
        <f>'[2]All Counts'!P627</f>
        <v>PeMS2016</v>
      </c>
      <c r="F627" s="137"/>
    </row>
    <row r="628" spans="1:6" x14ac:dyDescent="0.25">
      <c r="A628" s="136">
        <f>'[2]All Counts'!E628</f>
        <v>815</v>
      </c>
      <c r="B628" s="136">
        <f>'[2]All Counts'!M628</f>
        <v>111954</v>
      </c>
      <c r="C628" s="136">
        <f>'[2]All Counts'!N628</f>
        <v>12966</v>
      </c>
      <c r="D628" s="136">
        <f>'[2]All Counts'!O628</f>
        <v>31203</v>
      </c>
      <c r="E628" s="136" t="str">
        <f>'[2]All Counts'!P628</f>
        <v>Caltran</v>
      </c>
      <c r="F628" s="137"/>
    </row>
    <row r="629" spans="1:6" x14ac:dyDescent="0.25">
      <c r="A629" s="136">
        <f>'[2]All Counts'!E629</f>
        <v>20789</v>
      </c>
      <c r="B629" s="136">
        <f>'[2]All Counts'!M629</f>
        <v>96705</v>
      </c>
      <c r="C629" s="136">
        <f>'[2]All Counts'!N629</f>
        <v>12206</v>
      </c>
      <c r="D629" s="136">
        <f>'[2]All Counts'!O629</f>
        <v>27045</v>
      </c>
      <c r="E629" s="136" t="str">
        <f>'[2]All Counts'!P629</f>
        <v>PeMS2016</v>
      </c>
      <c r="F629" s="137"/>
    </row>
    <row r="630" spans="1:6" x14ac:dyDescent="0.25">
      <c r="A630" s="136">
        <f>'[2]All Counts'!E630</f>
        <v>20790</v>
      </c>
      <c r="B630" s="136">
        <f>'[2]All Counts'!M630</f>
        <v>106659</v>
      </c>
      <c r="C630" s="136">
        <f>'[2]All Counts'!N630</f>
        <v>14108</v>
      </c>
      <c r="D630" s="136">
        <f>'[2]All Counts'!O630</f>
        <v>27413</v>
      </c>
      <c r="E630" s="136" t="str">
        <f>'[2]All Counts'!P630</f>
        <v>PeMS2016</v>
      </c>
      <c r="F630" s="137"/>
    </row>
    <row r="631" spans="1:6" x14ac:dyDescent="0.25">
      <c r="A631" s="136">
        <f>'[2]All Counts'!E631</f>
        <v>835</v>
      </c>
      <c r="B631" s="136">
        <f>'[2]All Counts'!M631</f>
        <v>131719</v>
      </c>
      <c r="C631" s="136">
        <f>'[2]All Counts'!N631</f>
        <v>16897</v>
      </c>
      <c r="D631" s="136">
        <f>'[2]All Counts'!O631</f>
        <v>35806</v>
      </c>
      <c r="E631" s="136" t="str">
        <f>'[2]All Counts'!P631</f>
        <v>Caltran</v>
      </c>
      <c r="F631" s="137"/>
    </row>
    <row r="632" spans="1:6" x14ac:dyDescent="0.25">
      <c r="A632" s="136">
        <f>'[2]All Counts'!E632</f>
        <v>836</v>
      </c>
      <c r="B632" s="136">
        <f>'[2]All Counts'!M632</f>
        <v>116348</v>
      </c>
      <c r="C632" s="136">
        <f>'[2]All Counts'!N632</f>
        <v>15909</v>
      </c>
      <c r="D632" s="136">
        <f>'[2]All Counts'!O632</f>
        <v>30376</v>
      </c>
      <c r="E632" s="136" t="str">
        <f>'[2]All Counts'!P632</f>
        <v>PeMS2016</v>
      </c>
      <c r="F632" s="137"/>
    </row>
    <row r="633" spans="1:6" x14ac:dyDescent="0.25">
      <c r="A633" s="136">
        <f>'[2]All Counts'!E633</f>
        <v>22157</v>
      </c>
      <c r="B633" s="136">
        <f>'[2]All Counts'!M633</f>
        <v>102842</v>
      </c>
      <c r="C633" s="136">
        <f>'[2]All Counts'!N633</f>
        <v>13283</v>
      </c>
      <c r="D633" s="136">
        <f>'[2]All Counts'!O633</f>
        <v>26889</v>
      </c>
      <c r="E633" s="136" t="str">
        <f>'[2]All Counts'!P633</f>
        <v>PeMS2016</v>
      </c>
      <c r="F633" s="137"/>
    </row>
    <row r="634" spans="1:6" x14ac:dyDescent="0.25">
      <c r="A634" s="136">
        <f>'[2]All Counts'!E634</f>
        <v>841</v>
      </c>
      <c r="B634" s="136">
        <f>'[2]All Counts'!M634</f>
        <v>108504</v>
      </c>
      <c r="C634" s="136">
        <f>'[2]All Counts'!N634</f>
        <v>14889</v>
      </c>
      <c r="D634" s="136">
        <f>'[2]All Counts'!O634</f>
        <v>26224</v>
      </c>
      <c r="E634" s="136" t="str">
        <f>'[2]All Counts'!P634</f>
        <v>PeMS2016</v>
      </c>
      <c r="F634" s="137"/>
    </row>
    <row r="635" spans="1:6" x14ac:dyDescent="0.25">
      <c r="A635" s="136">
        <f>'[2]All Counts'!E635</f>
        <v>10633</v>
      </c>
      <c r="B635" s="136">
        <f>'[2]All Counts'!M635</f>
        <v>61865</v>
      </c>
      <c r="C635" s="136">
        <f>'[2]All Counts'!N635</f>
        <v>8479</v>
      </c>
      <c r="D635" s="136">
        <f>'[2]All Counts'!O635</f>
        <v>16943</v>
      </c>
      <c r="E635" s="136" t="str">
        <f>'[2]All Counts'!P635</f>
        <v>PeMS2016</v>
      </c>
      <c r="F635" s="137"/>
    </row>
    <row r="636" spans="1:6" x14ac:dyDescent="0.25">
      <c r="A636" s="136">
        <f>'[2]All Counts'!E636</f>
        <v>843</v>
      </c>
      <c r="B636" s="136">
        <f>'[2]All Counts'!M636</f>
        <v>67552</v>
      </c>
      <c r="C636" s="136">
        <f>'[2]All Counts'!N636</f>
        <v>9914</v>
      </c>
      <c r="D636" s="136">
        <f>'[2]All Counts'!O636</f>
        <v>16630</v>
      </c>
      <c r="E636" s="136" t="str">
        <f>'[2]All Counts'!P636</f>
        <v>PeMS2016</v>
      </c>
      <c r="F636" s="137"/>
    </row>
    <row r="637" spans="1:6" x14ac:dyDescent="0.25">
      <c r="A637" s="136">
        <f>'[2]All Counts'!E637</f>
        <v>851</v>
      </c>
      <c r="B637" s="136">
        <f>'[2]All Counts'!M637</f>
        <v>73646</v>
      </c>
      <c r="C637" s="136">
        <f>'[2]All Counts'!N637</f>
        <v>11286</v>
      </c>
      <c r="D637" s="136">
        <f>'[2]All Counts'!O637</f>
        <v>17965</v>
      </c>
      <c r="E637" s="136" t="str">
        <f>'[2]All Counts'!P637</f>
        <v>PeMS2016</v>
      </c>
      <c r="F637" s="137"/>
    </row>
    <row r="638" spans="1:6" x14ac:dyDescent="0.25">
      <c r="A638" s="136">
        <f>'[2]All Counts'!E638</f>
        <v>853</v>
      </c>
      <c r="B638" s="136">
        <f>'[2]All Counts'!M638</f>
        <v>56541</v>
      </c>
      <c r="C638" s="136">
        <f>'[2]All Counts'!N638</f>
        <v>9082</v>
      </c>
      <c r="D638" s="136">
        <f>'[2]All Counts'!O638</f>
        <v>13679</v>
      </c>
      <c r="E638" s="136" t="str">
        <f>'[2]All Counts'!P638</f>
        <v>PeMS2016</v>
      </c>
      <c r="F638" s="137"/>
    </row>
    <row r="639" spans="1:6" x14ac:dyDescent="0.25">
      <c r="A639" s="136">
        <f>'[2]All Counts'!E639</f>
        <v>854</v>
      </c>
      <c r="B639" s="136">
        <f>'[2]All Counts'!M639</f>
        <v>64667</v>
      </c>
      <c r="C639" s="136">
        <f>'[2]All Counts'!N639</f>
        <v>10005</v>
      </c>
      <c r="D639" s="136">
        <f>'[2]All Counts'!O639</f>
        <v>14280</v>
      </c>
      <c r="E639" s="136" t="str">
        <f>'[2]All Counts'!P639</f>
        <v>PeMS2016</v>
      </c>
      <c r="F639" s="137"/>
    </row>
    <row r="640" spans="1:6" x14ac:dyDescent="0.25">
      <c r="A640" s="136">
        <f>'[2]All Counts'!E640</f>
        <v>25533</v>
      </c>
      <c r="B640" s="136">
        <f>'[2]All Counts'!M640</f>
        <v>30465</v>
      </c>
      <c r="C640" s="136">
        <f>'[2]All Counts'!N640</f>
        <v>3030</v>
      </c>
      <c r="D640" s="136">
        <f>'[2]All Counts'!O640</f>
        <v>8561</v>
      </c>
      <c r="E640" s="136" t="str">
        <f>'[2]All Counts'!P640</f>
        <v>PeMS2016</v>
      </c>
      <c r="F640" s="137"/>
    </row>
    <row r="641" spans="1:6" x14ac:dyDescent="0.25">
      <c r="A641" s="136">
        <f>'[2]All Counts'!E641</f>
        <v>857</v>
      </c>
      <c r="B641" s="136">
        <f>'[2]All Counts'!M641</f>
        <v>44431</v>
      </c>
      <c r="C641" s="136">
        <f>'[2]All Counts'!N641</f>
        <v>4516</v>
      </c>
      <c r="D641" s="136">
        <f>'[2]All Counts'!O641</f>
        <v>12542</v>
      </c>
      <c r="E641" s="136" t="str">
        <f>'[2]All Counts'!P641</f>
        <v>PeMS2016</v>
      </c>
      <c r="F641" s="137"/>
    </row>
    <row r="642" spans="1:6" x14ac:dyDescent="0.25">
      <c r="A642" s="136">
        <f>'[2]All Counts'!E642</f>
        <v>858</v>
      </c>
      <c r="B642" s="136">
        <f>'[2]All Counts'!M642</f>
        <v>23695</v>
      </c>
      <c r="C642" s="136">
        <f>'[2]All Counts'!N642</f>
        <v>2261</v>
      </c>
      <c r="D642" s="136">
        <f>'[2]All Counts'!O642</f>
        <v>6694</v>
      </c>
      <c r="E642" s="136" t="str">
        <f>'[2]All Counts'!P642</f>
        <v>PeMS2016</v>
      </c>
      <c r="F642" s="137"/>
    </row>
    <row r="643" spans="1:6" x14ac:dyDescent="0.25">
      <c r="A643" s="136">
        <f>'[2]All Counts'!E643</f>
        <v>28925</v>
      </c>
      <c r="B643" s="136">
        <f>'[2]All Counts'!M643</f>
        <v>21874</v>
      </c>
      <c r="C643" s="136">
        <f>'[2]All Counts'!N643</f>
        <v>4070</v>
      </c>
      <c r="D643" s="136">
        <f>'[2]All Counts'!O643</f>
        <v>5438</v>
      </c>
      <c r="E643" s="136" t="str">
        <f>'[2]All Counts'!P643</f>
        <v>PeMS2016</v>
      </c>
      <c r="F643" s="137"/>
    </row>
    <row r="644" spans="1:6" x14ac:dyDescent="0.25">
      <c r="A644" s="136">
        <f>'[2]All Counts'!E644</f>
        <v>28950</v>
      </c>
      <c r="B644" s="136">
        <f>'[2]All Counts'!M644</f>
        <v>35263</v>
      </c>
      <c r="C644" s="136">
        <f>'[2]All Counts'!N644</f>
        <v>5236</v>
      </c>
      <c r="D644" s="136">
        <f>'[2]All Counts'!O644</f>
        <v>10546</v>
      </c>
      <c r="E644" s="136" t="str">
        <f>'[2]All Counts'!P644</f>
        <v>Caltran</v>
      </c>
      <c r="F644" s="137"/>
    </row>
    <row r="645" spans="1:6" x14ac:dyDescent="0.25">
      <c r="A645" s="136">
        <f>'[2]All Counts'!E645</f>
        <v>28949</v>
      </c>
      <c r="B645" s="136">
        <f>'[2]All Counts'!M645</f>
        <v>25845</v>
      </c>
      <c r="C645" s="136">
        <f>'[2]All Counts'!N645</f>
        <v>3972</v>
      </c>
      <c r="D645" s="136">
        <f>'[2]All Counts'!O645</f>
        <v>7791</v>
      </c>
      <c r="E645" s="136" t="str">
        <f>'[2]All Counts'!P645</f>
        <v>PeMS2016</v>
      </c>
      <c r="F645" s="137"/>
    </row>
    <row r="646" spans="1:6" x14ac:dyDescent="0.25">
      <c r="A646" s="136">
        <f>'[2]All Counts'!E646</f>
        <v>12065</v>
      </c>
      <c r="B646" s="136">
        <f>'[2]All Counts'!M646</f>
        <v>33296</v>
      </c>
      <c r="C646" s="136">
        <f>'[2]All Counts'!N646</f>
        <v>4831</v>
      </c>
      <c r="D646" s="136">
        <f>'[2]All Counts'!O646</f>
        <v>9705</v>
      </c>
      <c r="E646" s="136" t="str">
        <f>'[2]All Counts'!P646</f>
        <v>PeMS2016</v>
      </c>
      <c r="F646" s="137"/>
    </row>
    <row r="647" spans="1:6" x14ac:dyDescent="0.25">
      <c r="A647" s="136">
        <f>'[2]All Counts'!E647</f>
        <v>28941</v>
      </c>
      <c r="B647" s="136">
        <f>'[2]All Counts'!M647</f>
        <v>45940</v>
      </c>
      <c r="C647" s="136">
        <f>'[2]All Counts'!N647</f>
        <v>7199</v>
      </c>
      <c r="D647" s="136">
        <f>'[2]All Counts'!O647</f>
        <v>12576</v>
      </c>
      <c r="E647" s="136" t="str">
        <f>'[2]All Counts'!P647</f>
        <v>PeMS2016</v>
      </c>
      <c r="F647" s="137"/>
    </row>
    <row r="648" spans="1:6" x14ac:dyDescent="0.25">
      <c r="A648" s="136">
        <f>'[2]All Counts'!E648</f>
        <v>28938</v>
      </c>
      <c r="B648" s="136">
        <f>'[2]All Counts'!M648</f>
        <v>40547</v>
      </c>
      <c r="C648" s="136">
        <f>'[2]All Counts'!N648</f>
        <v>6321</v>
      </c>
      <c r="D648" s="136">
        <f>'[2]All Counts'!O648</f>
        <v>11022</v>
      </c>
      <c r="E648" s="136" t="str">
        <f>'[2]All Counts'!P648</f>
        <v>PeMS2016</v>
      </c>
      <c r="F648" s="137"/>
    </row>
    <row r="649" spans="1:6" x14ac:dyDescent="0.25">
      <c r="A649" s="136">
        <f>'[2]All Counts'!E649</f>
        <v>9043</v>
      </c>
      <c r="B649" s="136">
        <f>'[2]All Counts'!M649</f>
        <v>80248</v>
      </c>
      <c r="C649" s="136">
        <f>'[2]All Counts'!N649</f>
        <v>13302</v>
      </c>
      <c r="D649" s="136">
        <f>'[2]All Counts'!O649</f>
        <v>18998</v>
      </c>
      <c r="E649" s="136" t="str">
        <f>'[2]All Counts'!P649</f>
        <v>PeMS2016</v>
      </c>
      <c r="F649" s="137"/>
    </row>
    <row r="650" spans="1:6" x14ac:dyDescent="0.25">
      <c r="A650" s="136">
        <f>'[2]All Counts'!E650</f>
        <v>10177</v>
      </c>
      <c r="B650" s="136">
        <f>'[2]All Counts'!M650</f>
        <v>69560</v>
      </c>
      <c r="C650" s="136">
        <f>'[2]All Counts'!N650</f>
        <v>10221</v>
      </c>
      <c r="D650" s="136">
        <f>'[2]All Counts'!O650</f>
        <v>20215</v>
      </c>
      <c r="E650" s="136" t="str">
        <f>'[2]All Counts'!P650</f>
        <v>PeMS2016</v>
      </c>
      <c r="F650" s="137"/>
    </row>
    <row r="651" spans="1:6" x14ac:dyDescent="0.25">
      <c r="A651" s="136">
        <f>'[2]All Counts'!E651</f>
        <v>10791</v>
      </c>
      <c r="B651" s="136">
        <f>'[2]All Counts'!M651</f>
        <v>69503</v>
      </c>
      <c r="C651" s="136">
        <f>'[2]All Counts'!N651</f>
        <v>10176</v>
      </c>
      <c r="D651" s="136">
        <f>'[2]All Counts'!O651</f>
        <v>20233</v>
      </c>
      <c r="E651" s="136" t="str">
        <f>'[2]All Counts'!P651</f>
        <v>PeMS2016</v>
      </c>
      <c r="F651" s="137"/>
    </row>
    <row r="652" spans="1:6" x14ac:dyDescent="0.25">
      <c r="A652" s="136">
        <f>'[2]All Counts'!E652</f>
        <v>7258</v>
      </c>
      <c r="B652" s="136">
        <f>'[2]All Counts'!M652</f>
        <v>50766</v>
      </c>
      <c r="C652" s="136">
        <f>'[2]All Counts'!N652</f>
        <v>8320</v>
      </c>
      <c r="D652" s="136">
        <f>'[2]All Counts'!O652</f>
        <v>14935</v>
      </c>
      <c r="E652" s="136" t="str">
        <f>'[2]All Counts'!P652</f>
        <v>PeMS2016</v>
      </c>
      <c r="F652" s="137"/>
    </row>
    <row r="653" spans="1:6" x14ac:dyDescent="0.25">
      <c r="A653" s="136">
        <f>'[2]All Counts'!E653</f>
        <v>7259</v>
      </c>
      <c r="B653" s="136">
        <f>'[2]All Counts'!M653</f>
        <v>49880</v>
      </c>
      <c r="C653" s="136">
        <f>'[2]All Counts'!N653</f>
        <v>9047</v>
      </c>
      <c r="D653" s="136">
        <f>'[2]All Counts'!O653</f>
        <v>14060</v>
      </c>
      <c r="E653" s="136" t="str">
        <f>'[2]All Counts'!P653</f>
        <v>PeMS2016</v>
      </c>
      <c r="F653" s="137"/>
    </row>
    <row r="654" spans="1:6" x14ac:dyDescent="0.25">
      <c r="A654" s="136">
        <f>'[2]All Counts'!E654</f>
        <v>9012</v>
      </c>
      <c r="B654" s="136">
        <f>'[2]All Counts'!M654</f>
        <v>17181</v>
      </c>
      <c r="C654" s="136">
        <f>'[2]All Counts'!N654</f>
        <v>2521</v>
      </c>
      <c r="D654" s="136">
        <f>'[2]All Counts'!O654</f>
        <v>5914</v>
      </c>
      <c r="E654" s="136" t="str">
        <f>'[2]All Counts'!P654</f>
        <v>SANDAG</v>
      </c>
      <c r="F654" s="137"/>
    </row>
    <row r="655" spans="1:6" x14ac:dyDescent="0.25">
      <c r="A655" s="136">
        <f>'[2]All Counts'!E655</f>
        <v>30782</v>
      </c>
      <c r="B655" s="136">
        <f>'[2]All Counts'!M655</f>
        <v>15613</v>
      </c>
      <c r="C655" s="136">
        <f>'[2]All Counts'!N655</f>
        <v>2374</v>
      </c>
      <c r="D655" s="136">
        <f>'[2]All Counts'!O655</f>
        <v>5332</v>
      </c>
      <c r="E655" s="136" t="str">
        <f>'[2]All Counts'!P655</f>
        <v>SANDAG</v>
      </c>
      <c r="F655" s="137"/>
    </row>
    <row r="656" spans="1:6" x14ac:dyDescent="0.25">
      <c r="A656" s="136">
        <f>'[2]All Counts'!E656</f>
        <v>9142</v>
      </c>
      <c r="B656" s="136">
        <f>'[2]All Counts'!M656</f>
        <v>12993</v>
      </c>
      <c r="C656" s="136">
        <f>'[2]All Counts'!N656</f>
        <v>2265</v>
      </c>
      <c r="D656" s="136">
        <f>'[2]All Counts'!O656</f>
        <v>4233</v>
      </c>
      <c r="E656" s="136" t="str">
        <f>'[2]All Counts'!P656</f>
        <v>SANDAG</v>
      </c>
      <c r="F656" s="137"/>
    </row>
    <row r="657" spans="1:6" x14ac:dyDescent="0.25">
      <c r="A657" s="136">
        <f>'[2]All Counts'!E657</f>
        <v>9516</v>
      </c>
      <c r="B657" s="136">
        <f>'[2]All Counts'!M657</f>
        <v>9252</v>
      </c>
      <c r="C657" s="136">
        <f>'[2]All Counts'!N657</f>
        <v>1902</v>
      </c>
      <c r="D657" s="136">
        <f>'[2]All Counts'!O657</f>
        <v>2769</v>
      </c>
      <c r="E657" s="136" t="str">
        <f>'[2]All Counts'!P657</f>
        <v>SANDAG</v>
      </c>
      <c r="F657" s="137"/>
    </row>
    <row r="658" spans="1:6" x14ac:dyDescent="0.25">
      <c r="A658" s="136">
        <f>'[2]All Counts'!E658</f>
        <v>9510</v>
      </c>
      <c r="B658" s="136">
        <f>'[2]All Counts'!M658</f>
        <v>6601</v>
      </c>
      <c r="C658" s="136">
        <f>'[2]All Counts'!N658</f>
        <v>1923</v>
      </c>
      <c r="D658" s="136">
        <f>'[2]All Counts'!O658</f>
        <v>1552</v>
      </c>
      <c r="E658" s="136" t="str">
        <f>'[2]All Counts'!P658</f>
        <v>SANDAG</v>
      </c>
      <c r="F658" s="137"/>
    </row>
    <row r="659" spans="1:6" x14ac:dyDescent="0.25">
      <c r="A659" s="136">
        <f>'[2]All Counts'!E659</f>
        <v>9488</v>
      </c>
      <c r="B659" s="136">
        <f>'[2]All Counts'!M659</f>
        <v>4893</v>
      </c>
      <c r="C659" s="136">
        <f>'[2]All Counts'!N659</f>
        <v>1728</v>
      </c>
      <c r="D659" s="136">
        <f>'[2]All Counts'!O659</f>
        <v>757</v>
      </c>
      <c r="E659" s="136" t="str">
        <f>'[2]All Counts'!P659</f>
        <v>SANDAG</v>
      </c>
      <c r="F659" s="137"/>
    </row>
    <row r="660" spans="1:6" x14ac:dyDescent="0.25">
      <c r="A660" s="136">
        <f>'[2]All Counts'!E660</f>
        <v>7374</v>
      </c>
      <c r="B660" s="136">
        <f>'[2]All Counts'!M660</f>
        <v>69598</v>
      </c>
      <c r="C660" s="136">
        <f>'[2]All Counts'!N660</f>
        <v>16292</v>
      </c>
      <c r="D660" s="136">
        <f>'[2]All Counts'!O660</f>
        <v>17739</v>
      </c>
      <c r="E660" s="136" t="str">
        <f>'[2]All Counts'!P660</f>
        <v>PeMS2016</v>
      </c>
      <c r="F660" s="137"/>
    </row>
    <row r="661" spans="1:6" x14ac:dyDescent="0.25">
      <c r="A661" s="136">
        <f>'[2]All Counts'!E661</f>
        <v>16162</v>
      </c>
      <c r="B661" s="136">
        <f>'[2]All Counts'!M661</f>
        <v>84632</v>
      </c>
      <c r="C661" s="136">
        <f>'[2]All Counts'!N661</f>
        <v>20495</v>
      </c>
      <c r="D661" s="136">
        <f>'[2]All Counts'!O661</f>
        <v>20825</v>
      </c>
      <c r="E661" s="136" t="str">
        <f>'[2]All Counts'!P661</f>
        <v>PeMS2016</v>
      </c>
      <c r="F661" s="137"/>
    </row>
    <row r="662" spans="1:6" x14ac:dyDescent="0.25">
      <c r="A662" s="136">
        <f>'[2]All Counts'!E662</f>
        <v>16163</v>
      </c>
      <c r="B662" s="136">
        <f>'[2]All Counts'!M662</f>
        <v>95405</v>
      </c>
      <c r="C662" s="136">
        <f>'[2]All Counts'!N662</f>
        <v>21995</v>
      </c>
      <c r="D662" s="136">
        <f>'[2]All Counts'!O662</f>
        <v>25016</v>
      </c>
      <c r="E662" s="136" t="str">
        <f>'[2]All Counts'!P662</f>
        <v>PeMS2016</v>
      </c>
      <c r="F662" s="137"/>
    </row>
    <row r="663" spans="1:6" x14ac:dyDescent="0.25">
      <c r="A663" s="136">
        <f>'[2]All Counts'!E663</f>
        <v>8820</v>
      </c>
      <c r="B663" s="136">
        <f>'[2]All Counts'!M663</f>
        <v>93098</v>
      </c>
      <c r="C663" s="136">
        <f>'[2]All Counts'!N663</f>
        <v>19639</v>
      </c>
      <c r="D663" s="136">
        <f>'[2]All Counts'!O663</f>
        <v>23317</v>
      </c>
      <c r="E663" s="136" t="str">
        <f>'[2]All Counts'!P663</f>
        <v>PeMS2016</v>
      </c>
      <c r="F663" s="137"/>
    </row>
    <row r="664" spans="1:6" x14ac:dyDescent="0.25">
      <c r="A664" s="136">
        <f>'[2]All Counts'!E664</f>
        <v>8823</v>
      </c>
      <c r="B664" s="136">
        <f>'[2]All Counts'!M664</f>
        <v>72199</v>
      </c>
      <c r="C664" s="136">
        <f>'[2]All Counts'!N664</f>
        <v>15683</v>
      </c>
      <c r="D664" s="136">
        <f>'[2]All Counts'!O664</f>
        <v>18036</v>
      </c>
      <c r="E664" s="136" t="str">
        <f>'[2]All Counts'!P664</f>
        <v>PeMS2016</v>
      </c>
      <c r="F664" s="137"/>
    </row>
    <row r="665" spans="1:6" x14ac:dyDescent="0.25">
      <c r="A665" s="136">
        <f>'[2]All Counts'!E665</f>
        <v>15688</v>
      </c>
      <c r="B665" s="136">
        <f>'[2]All Counts'!M665</f>
        <v>89583</v>
      </c>
      <c r="C665" s="136">
        <f>'[2]All Counts'!N665</f>
        <v>17286</v>
      </c>
      <c r="D665" s="136">
        <f>'[2]All Counts'!O665</f>
        <v>23134</v>
      </c>
      <c r="E665" s="136" t="str">
        <f>'[2]All Counts'!P665</f>
        <v>PeMS2016</v>
      </c>
      <c r="F665" s="137"/>
    </row>
    <row r="666" spans="1:6" x14ac:dyDescent="0.25">
      <c r="A666" s="136">
        <f>'[2]All Counts'!E666</f>
        <v>31184</v>
      </c>
      <c r="B666" s="136">
        <f>'[2]All Counts'!M666</f>
        <v>96691</v>
      </c>
      <c r="C666" s="136">
        <f>'[2]All Counts'!N666</f>
        <v>19741</v>
      </c>
      <c r="D666" s="136">
        <f>'[2]All Counts'!O666</f>
        <v>21898</v>
      </c>
      <c r="E666" s="136" t="str">
        <f>'[2]All Counts'!P666</f>
        <v>PeMS2016</v>
      </c>
      <c r="F666" s="137"/>
    </row>
    <row r="667" spans="1:6" x14ac:dyDescent="0.25">
      <c r="A667" s="136">
        <f>'[2]All Counts'!E667</f>
        <v>15705</v>
      </c>
      <c r="B667" s="136">
        <f>'[2]All Counts'!M667</f>
        <v>74548</v>
      </c>
      <c r="C667" s="136">
        <f>'[2]All Counts'!N667</f>
        <v>14577</v>
      </c>
      <c r="D667" s="136">
        <f>'[2]All Counts'!O667</f>
        <v>17086</v>
      </c>
      <c r="E667" s="136" t="str">
        <f>'[2]All Counts'!P667</f>
        <v>PeMS2016</v>
      </c>
      <c r="F667" s="137"/>
    </row>
    <row r="668" spans="1:6" x14ac:dyDescent="0.25">
      <c r="A668" s="136">
        <f>'[2]All Counts'!E668</f>
        <v>25142</v>
      </c>
      <c r="B668" s="136">
        <f>'[2]All Counts'!M668</f>
        <v>91467</v>
      </c>
      <c r="C668" s="136">
        <f>'[2]All Counts'!N668</f>
        <v>16799</v>
      </c>
      <c r="D668" s="136">
        <f>'[2]All Counts'!O668</f>
        <v>21723</v>
      </c>
      <c r="E668" s="136" t="str">
        <f>'[2]All Counts'!P668</f>
        <v>PeMS2016</v>
      </c>
      <c r="F668" s="137"/>
    </row>
    <row r="669" spans="1:6" x14ac:dyDescent="0.25">
      <c r="A669" s="136">
        <f>'[2]All Counts'!E669</f>
        <v>15722</v>
      </c>
      <c r="B669" s="136">
        <f>'[2]All Counts'!M669</f>
        <v>90440</v>
      </c>
      <c r="C669" s="136">
        <f>'[2]All Counts'!N669</f>
        <v>18089</v>
      </c>
      <c r="D669" s="136">
        <f>'[2]All Counts'!O669</f>
        <v>19872</v>
      </c>
      <c r="E669" s="136" t="str">
        <f>'[2]All Counts'!P669</f>
        <v>PeMS2016</v>
      </c>
      <c r="F669" s="137"/>
    </row>
    <row r="670" spans="1:6" x14ac:dyDescent="0.25">
      <c r="A670" s="136">
        <f>'[2]All Counts'!E670</f>
        <v>8887</v>
      </c>
      <c r="B670" s="136">
        <f>'[2]All Counts'!M670</f>
        <v>99194</v>
      </c>
      <c r="C670" s="136">
        <f>'[2]All Counts'!N670</f>
        <v>18032</v>
      </c>
      <c r="D670" s="136">
        <f>'[2]All Counts'!O670</f>
        <v>22727</v>
      </c>
      <c r="E670" s="136" t="str">
        <f>'[2]All Counts'!P670</f>
        <v>PeMS2016</v>
      </c>
      <c r="F670" s="137"/>
    </row>
    <row r="671" spans="1:6" x14ac:dyDescent="0.25">
      <c r="A671" s="136">
        <f>'[2]All Counts'!E671</f>
        <v>16045</v>
      </c>
      <c r="B671" s="136">
        <f>'[2]All Counts'!M671</f>
        <v>51020</v>
      </c>
      <c r="C671" s="136">
        <f>'[2]All Counts'!N671</f>
        <v>10240</v>
      </c>
      <c r="D671" s="136">
        <f>'[2]All Counts'!O671</f>
        <v>10840</v>
      </c>
      <c r="E671" s="136" t="str">
        <f>'[2]All Counts'!P671</f>
        <v>PeMS2016</v>
      </c>
      <c r="F671" s="137"/>
    </row>
    <row r="672" spans="1:6" x14ac:dyDescent="0.25">
      <c r="A672" s="136">
        <f>'[2]All Counts'!E672</f>
        <v>21848</v>
      </c>
      <c r="B672" s="136">
        <f>'[2]All Counts'!M672</f>
        <v>53153</v>
      </c>
      <c r="C672" s="136">
        <f>'[2]All Counts'!N672</f>
        <v>9920</v>
      </c>
      <c r="D672" s="136">
        <f>'[2]All Counts'!O672</f>
        <v>11803</v>
      </c>
      <c r="E672" s="136" t="str">
        <f>'[2]All Counts'!P672</f>
        <v>Caltran</v>
      </c>
      <c r="F672" s="137"/>
    </row>
    <row r="673" spans="1:6" x14ac:dyDescent="0.25">
      <c r="A673" s="136">
        <f>'[2]All Counts'!E673</f>
        <v>28466</v>
      </c>
      <c r="B673" s="136">
        <f>'[2]All Counts'!M673</f>
        <v>45772</v>
      </c>
      <c r="C673" s="136">
        <f>'[2]All Counts'!N673</f>
        <v>5984</v>
      </c>
      <c r="D673" s="136">
        <f>'[2]All Counts'!O673</f>
        <v>12559</v>
      </c>
      <c r="E673" s="136" t="str">
        <f>'[2]All Counts'!P673</f>
        <v>PeMS2016</v>
      </c>
      <c r="F673" s="137"/>
    </row>
    <row r="674" spans="1:6" x14ac:dyDescent="0.25">
      <c r="A674" s="136">
        <f>'[2]All Counts'!E674</f>
        <v>28276</v>
      </c>
      <c r="B674" s="136">
        <f>'[2]All Counts'!M674</f>
        <v>37442</v>
      </c>
      <c r="C674" s="136">
        <f>'[2]All Counts'!N674</f>
        <v>5372</v>
      </c>
      <c r="D674" s="136">
        <f>'[2]All Counts'!O674</f>
        <v>9591</v>
      </c>
      <c r="E674" s="136" t="str">
        <f>'[2]All Counts'!P674</f>
        <v>PeMS2016</v>
      </c>
      <c r="F674" s="137"/>
    </row>
    <row r="675" spans="1:6" x14ac:dyDescent="0.25">
      <c r="A675" s="136">
        <f>'[2]All Counts'!E675</f>
        <v>28281</v>
      </c>
      <c r="B675" s="136">
        <f>'[2]All Counts'!M675</f>
        <v>44693</v>
      </c>
      <c r="C675" s="136">
        <f>'[2]All Counts'!N675</f>
        <v>7255</v>
      </c>
      <c r="D675" s="136">
        <f>'[2]All Counts'!O675</f>
        <v>10970</v>
      </c>
      <c r="E675" s="136" t="str">
        <f>'[2]All Counts'!P675</f>
        <v>PeMS2016</v>
      </c>
      <c r="F675" s="137"/>
    </row>
    <row r="676" spans="1:6" x14ac:dyDescent="0.25">
      <c r="A676" s="136">
        <f>'[2]All Counts'!E676</f>
        <v>11095</v>
      </c>
      <c r="B676" s="136">
        <f>'[2]All Counts'!M676</f>
        <v>48677</v>
      </c>
      <c r="C676" s="136">
        <f>'[2]All Counts'!N676</f>
        <v>8676</v>
      </c>
      <c r="D676" s="136">
        <f>'[2]All Counts'!O676</f>
        <v>11876</v>
      </c>
      <c r="E676" s="136" t="str">
        <f>'[2]All Counts'!P676</f>
        <v>Caltran</v>
      </c>
      <c r="F676" s="137"/>
    </row>
    <row r="677" spans="1:6" x14ac:dyDescent="0.25">
      <c r="A677" s="136">
        <f>'[2]All Counts'!E677</f>
        <v>11103</v>
      </c>
      <c r="B677" s="136">
        <f>'[2]All Counts'!M677</f>
        <v>57136</v>
      </c>
      <c r="C677" s="136">
        <f>'[2]All Counts'!N677</f>
        <v>9001</v>
      </c>
      <c r="D677" s="136">
        <f>'[2]All Counts'!O677</f>
        <v>15241</v>
      </c>
      <c r="E677" s="136" t="str">
        <f>'[2]All Counts'!P677</f>
        <v>PeMS2016</v>
      </c>
      <c r="F677" s="137"/>
    </row>
    <row r="678" spans="1:6" x14ac:dyDescent="0.25">
      <c r="A678" s="136">
        <f>'[2]All Counts'!E678</f>
        <v>7430</v>
      </c>
      <c r="B678" s="136">
        <f>'[2]All Counts'!M678</f>
        <v>57059</v>
      </c>
      <c r="C678" s="136">
        <f>'[2]All Counts'!N678</f>
        <v>8658</v>
      </c>
      <c r="D678" s="136">
        <f>'[2]All Counts'!O678</f>
        <v>15528</v>
      </c>
      <c r="E678" s="136" t="str">
        <f>'[2]All Counts'!P678</f>
        <v>Caltran</v>
      </c>
      <c r="F678" s="137"/>
    </row>
    <row r="679" spans="1:6" x14ac:dyDescent="0.25">
      <c r="A679" s="136">
        <f>'[2]All Counts'!E679</f>
        <v>7497</v>
      </c>
      <c r="B679" s="136">
        <f>'[2]All Counts'!M679</f>
        <v>60316</v>
      </c>
      <c r="C679" s="136">
        <f>'[2]All Counts'!N679</f>
        <v>8690</v>
      </c>
      <c r="D679" s="136">
        <f>'[2]All Counts'!O679</f>
        <v>16404</v>
      </c>
      <c r="E679" s="136" t="str">
        <f>'[2]All Counts'!P679</f>
        <v>Caltran</v>
      </c>
      <c r="F679" s="137"/>
    </row>
    <row r="680" spans="1:6" x14ac:dyDescent="0.25">
      <c r="A680" s="136">
        <f>'[2]All Counts'!E680</f>
        <v>28904</v>
      </c>
      <c r="B680" s="136">
        <f>'[2]All Counts'!M680</f>
        <v>29818</v>
      </c>
      <c r="C680" s="136">
        <f>'[2]All Counts'!N680</f>
        <v>3520</v>
      </c>
      <c r="D680" s="136">
        <f>'[2]All Counts'!O680</f>
        <v>6136</v>
      </c>
      <c r="E680" s="136" t="str">
        <f>'[2]All Counts'!P680</f>
        <v>PeMS2016</v>
      </c>
      <c r="F680" s="137"/>
    </row>
    <row r="681" spans="1:6" x14ac:dyDescent="0.25">
      <c r="A681" s="136">
        <f>'[2]All Counts'!E681</f>
        <v>9028</v>
      </c>
      <c r="B681" s="136">
        <f>'[2]All Counts'!M681</f>
        <v>52885</v>
      </c>
      <c r="C681" s="136">
        <f>'[2]All Counts'!N681</f>
        <v>5614</v>
      </c>
      <c r="D681" s="136">
        <f>'[2]All Counts'!O681</f>
        <v>16332</v>
      </c>
      <c r="E681" s="136" t="str">
        <f>'[2]All Counts'!P681</f>
        <v>Caltran</v>
      </c>
      <c r="F681" s="137"/>
    </row>
    <row r="682" spans="1:6" x14ac:dyDescent="0.25">
      <c r="A682" s="136">
        <f>'[2]All Counts'!E682</f>
        <v>7772</v>
      </c>
      <c r="B682" s="136">
        <f>'[2]All Counts'!M682</f>
        <v>51824</v>
      </c>
      <c r="C682" s="136">
        <f>'[2]All Counts'!N682</f>
        <v>5481</v>
      </c>
      <c r="D682" s="136">
        <f>'[2]All Counts'!O682</f>
        <v>17040</v>
      </c>
      <c r="E682" s="136" t="str">
        <f>'[2]All Counts'!P682</f>
        <v>Caltran</v>
      </c>
      <c r="F682" s="137"/>
    </row>
    <row r="683" spans="1:6" x14ac:dyDescent="0.25">
      <c r="A683" s="136">
        <f>'[2]All Counts'!E683</f>
        <v>7375</v>
      </c>
      <c r="B683" s="136">
        <f>'[2]All Counts'!M683</f>
        <v>51626</v>
      </c>
      <c r="C683" s="136">
        <f>'[2]All Counts'!N683</f>
        <v>5305</v>
      </c>
      <c r="D683" s="136">
        <f>'[2]All Counts'!O683</f>
        <v>17410</v>
      </c>
      <c r="E683" s="136" t="str">
        <f>'[2]All Counts'!P683</f>
        <v>Caltran</v>
      </c>
      <c r="F683" s="137"/>
    </row>
    <row r="684" spans="1:6" x14ac:dyDescent="0.25">
      <c r="A684" s="136">
        <f>'[2]All Counts'!E684</f>
        <v>15239</v>
      </c>
      <c r="B684" s="136">
        <f>'[2]All Counts'!M684</f>
        <v>43172</v>
      </c>
      <c r="C684" s="136">
        <f>'[2]All Counts'!N684</f>
        <v>4824</v>
      </c>
      <c r="D684" s="136">
        <f>'[2]All Counts'!O684</f>
        <v>14034</v>
      </c>
      <c r="E684" s="136" t="str">
        <f>'[2]All Counts'!P684</f>
        <v>PeMS2016</v>
      </c>
      <c r="F684" s="137"/>
    </row>
    <row r="685" spans="1:6" x14ac:dyDescent="0.25">
      <c r="A685" s="136">
        <f>'[2]All Counts'!E685</f>
        <v>11124</v>
      </c>
      <c r="B685" s="136">
        <f>'[2]All Counts'!M685</f>
        <v>45213</v>
      </c>
      <c r="C685" s="136">
        <f>'[2]All Counts'!N685</f>
        <v>4965</v>
      </c>
      <c r="D685" s="136">
        <f>'[2]All Counts'!O685</f>
        <v>14494</v>
      </c>
      <c r="E685" s="136" t="str">
        <f>'[2]All Counts'!P685</f>
        <v>Caltran</v>
      </c>
      <c r="F685" s="137"/>
    </row>
    <row r="686" spans="1:6" x14ac:dyDescent="0.25">
      <c r="A686" s="136">
        <f>'[2]All Counts'!E686</f>
        <v>19481</v>
      </c>
      <c r="B686" s="136">
        <f>'[2]All Counts'!M686</f>
        <v>46785</v>
      </c>
      <c r="C686" s="136">
        <f>'[2]All Counts'!N686</f>
        <v>5416</v>
      </c>
      <c r="D686" s="136">
        <f>'[2]All Counts'!O686</f>
        <v>14757</v>
      </c>
      <c r="E686" s="136" t="str">
        <f>'[2]All Counts'!P686</f>
        <v>PeMS2016</v>
      </c>
      <c r="F686" s="137"/>
    </row>
    <row r="687" spans="1:6" x14ac:dyDescent="0.25">
      <c r="A687" s="136">
        <f>'[2]All Counts'!E687</f>
        <v>7377</v>
      </c>
      <c r="B687" s="136">
        <f>'[2]All Counts'!M687</f>
        <v>45188</v>
      </c>
      <c r="C687" s="136">
        <f>'[2]All Counts'!N687</f>
        <v>6057</v>
      </c>
      <c r="D687" s="136">
        <f>'[2]All Counts'!O687</f>
        <v>12887</v>
      </c>
      <c r="E687" s="136" t="str">
        <f>'[2]All Counts'!P687</f>
        <v>Caltran</v>
      </c>
      <c r="F687" s="137"/>
    </row>
    <row r="688" spans="1:6" x14ac:dyDescent="0.25">
      <c r="A688" s="136">
        <f>'[2]All Counts'!E688</f>
        <v>27229</v>
      </c>
      <c r="B688" s="136">
        <f>'[2]All Counts'!M688</f>
        <v>42647</v>
      </c>
      <c r="C688" s="136">
        <f>'[2]All Counts'!N688</f>
        <v>4805</v>
      </c>
      <c r="D688" s="136">
        <f>'[2]All Counts'!O688</f>
        <v>12478</v>
      </c>
      <c r="E688" s="136" t="str">
        <f>'[2]All Counts'!P688</f>
        <v>Caltran</v>
      </c>
      <c r="F688" s="137"/>
    </row>
    <row r="689" spans="1:6" x14ac:dyDescent="0.25">
      <c r="A689" s="136">
        <f>'[2]All Counts'!E689</f>
        <v>27959</v>
      </c>
      <c r="B689" s="136">
        <f>'[2]All Counts'!M689</f>
        <v>57110</v>
      </c>
      <c r="C689" s="136">
        <f>'[2]All Counts'!N689</f>
        <v>6772</v>
      </c>
      <c r="D689" s="136">
        <f>'[2]All Counts'!O689</f>
        <v>15496</v>
      </c>
      <c r="E689" s="136" t="str">
        <f>'[2]All Counts'!P689</f>
        <v>Caltran</v>
      </c>
      <c r="F689" s="137"/>
    </row>
    <row r="690" spans="1:6" x14ac:dyDescent="0.25">
      <c r="A690" s="136">
        <f>'[2]All Counts'!E690</f>
        <v>28676</v>
      </c>
      <c r="B690" s="136">
        <f>'[2]All Counts'!M690</f>
        <v>70212</v>
      </c>
      <c r="C690" s="136">
        <f>'[2]All Counts'!N690</f>
        <v>9294</v>
      </c>
      <c r="D690" s="136">
        <f>'[2]All Counts'!O690</f>
        <v>18999</v>
      </c>
      <c r="E690" s="136" t="str">
        <f>'[2]All Counts'!P690</f>
        <v>Caltran</v>
      </c>
      <c r="F690" s="137"/>
    </row>
    <row r="691" spans="1:6" x14ac:dyDescent="0.25">
      <c r="A691" s="136">
        <f>'[2]All Counts'!E691</f>
        <v>28678</v>
      </c>
      <c r="B691" s="136">
        <f>'[2]All Counts'!M691</f>
        <v>60476</v>
      </c>
      <c r="C691" s="136">
        <f>'[2]All Counts'!N691</f>
        <v>8647</v>
      </c>
      <c r="D691" s="136">
        <f>'[2]All Counts'!O691</f>
        <v>16037</v>
      </c>
      <c r="E691" s="136" t="str">
        <f>'[2]All Counts'!P691</f>
        <v>PeMS2016</v>
      </c>
      <c r="F691" s="137"/>
    </row>
    <row r="692" spans="1:6" x14ac:dyDescent="0.25">
      <c r="A692" s="136">
        <f>'[2]All Counts'!E692</f>
        <v>14143</v>
      </c>
      <c r="B692" s="136">
        <f>'[2]All Counts'!M692</f>
        <v>64932</v>
      </c>
      <c r="C692" s="136">
        <f>'[2]All Counts'!N692</f>
        <v>9064</v>
      </c>
      <c r="D692" s="136">
        <f>'[2]All Counts'!O692</f>
        <v>17321</v>
      </c>
      <c r="E692" s="136" t="str">
        <f>'[2]All Counts'!P692</f>
        <v>Caltran</v>
      </c>
      <c r="F692" s="137"/>
    </row>
    <row r="693" spans="1:6" x14ac:dyDescent="0.25">
      <c r="A693" s="136">
        <f>'[2]All Counts'!E693</f>
        <v>14151</v>
      </c>
      <c r="B693" s="136">
        <f>'[2]All Counts'!M693</f>
        <v>56930</v>
      </c>
      <c r="C693" s="136">
        <f>'[2]All Counts'!N693</f>
        <v>8580</v>
      </c>
      <c r="D693" s="136">
        <f>'[2]All Counts'!O693</f>
        <v>15033</v>
      </c>
      <c r="E693" s="136" t="str">
        <f>'[2]All Counts'!P693</f>
        <v>PeMS2016</v>
      </c>
      <c r="F693" s="137"/>
    </row>
    <row r="694" spans="1:6" x14ac:dyDescent="0.25">
      <c r="A694" s="136">
        <f>'[2]All Counts'!E694</f>
        <v>14153</v>
      </c>
      <c r="B694" s="136">
        <f>'[2]All Counts'!M694</f>
        <v>59399</v>
      </c>
      <c r="C694" s="136">
        <f>'[2]All Counts'!N694</f>
        <v>9045</v>
      </c>
      <c r="D694" s="136">
        <f>'[2]All Counts'!O694</f>
        <v>15541</v>
      </c>
      <c r="E694" s="136" t="str">
        <f>'[2]All Counts'!P694</f>
        <v>Caltran</v>
      </c>
      <c r="F694" s="137"/>
    </row>
    <row r="695" spans="1:6" x14ac:dyDescent="0.25">
      <c r="A695" s="136">
        <f>'[2]All Counts'!E695</f>
        <v>7514</v>
      </c>
      <c r="B695" s="136">
        <f>'[2]All Counts'!M695</f>
        <v>49729</v>
      </c>
      <c r="C695" s="136">
        <f>'[2]All Counts'!N695</f>
        <v>8254</v>
      </c>
      <c r="D695" s="136">
        <f>'[2]All Counts'!O695</f>
        <v>12664</v>
      </c>
      <c r="E695" s="136" t="str">
        <f>'[2]All Counts'!P695</f>
        <v>PeMS2016</v>
      </c>
      <c r="F695" s="137"/>
    </row>
    <row r="696" spans="1:6" x14ac:dyDescent="0.25">
      <c r="A696" s="136">
        <f>'[2]All Counts'!E696</f>
        <v>7525</v>
      </c>
      <c r="B696" s="136">
        <f>'[2]All Counts'!M696</f>
        <v>55066</v>
      </c>
      <c r="C696" s="136">
        <f>'[2]All Counts'!N696</f>
        <v>9523</v>
      </c>
      <c r="D696" s="136">
        <f>'[2]All Counts'!O696</f>
        <v>13722</v>
      </c>
      <c r="E696" s="136" t="str">
        <f>'[2]All Counts'!P696</f>
        <v>Caltran</v>
      </c>
      <c r="F696" s="137"/>
    </row>
    <row r="697" spans="1:6" x14ac:dyDescent="0.25">
      <c r="A697" s="136">
        <f>'[2]All Counts'!E697</f>
        <v>7636</v>
      </c>
      <c r="B697" s="136">
        <f>'[2]All Counts'!M697</f>
        <v>32687</v>
      </c>
      <c r="C697" s="136">
        <f>'[2]All Counts'!N697</f>
        <v>3583</v>
      </c>
      <c r="D697" s="136">
        <f>'[2]All Counts'!O697</f>
        <v>11173</v>
      </c>
      <c r="E697" s="136" t="str">
        <f>'[2]All Counts'!P697</f>
        <v>PeMS2016</v>
      </c>
      <c r="F697" s="137"/>
    </row>
    <row r="698" spans="1:6" x14ac:dyDescent="0.25">
      <c r="A698" s="136">
        <f>'[2]All Counts'!E698</f>
        <v>27505</v>
      </c>
      <c r="B698" s="136">
        <f>'[2]All Counts'!M698</f>
        <v>39891</v>
      </c>
      <c r="C698" s="136">
        <f>'[2]All Counts'!N698</f>
        <v>4891</v>
      </c>
      <c r="D698" s="136">
        <f>'[2]All Counts'!O698</f>
        <v>11784</v>
      </c>
      <c r="E698" s="136" t="str">
        <f>'[2]All Counts'!P698</f>
        <v>PeMS2016</v>
      </c>
      <c r="F698" s="137"/>
    </row>
    <row r="699" spans="1:6" x14ac:dyDescent="0.25">
      <c r="A699" s="136">
        <f>'[2]All Counts'!E699</f>
        <v>27507</v>
      </c>
      <c r="B699" s="136">
        <f>'[2]All Counts'!M699</f>
        <v>44209</v>
      </c>
      <c r="C699" s="136">
        <f>'[2]All Counts'!N699</f>
        <v>5196</v>
      </c>
      <c r="D699" s="136">
        <f>'[2]All Counts'!O699</f>
        <v>13771</v>
      </c>
      <c r="E699" s="136" t="str">
        <f>'[2]All Counts'!P699</f>
        <v>Caltran</v>
      </c>
      <c r="F699" s="137"/>
    </row>
    <row r="700" spans="1:6" x14ac:dyDescent="0.25">
      <c r="A700" s="136">
        <f>'[2]All Counts'!E700</f>
        <v>29168</v>
      </c>
      <c r="B700" s="136">
        <f>'[2]All Counts'!M700</f>
        <v>35357</v>
      </c>
      <c r="C700" s="136">
        <f>'[2]All Counts'!N700</f>
        <v>4183</v>
      </c>
      <c r="D700" s="136">
        <f>'[2]All Counts'!O700</f>
        <v>10644</v>
      </c>
      <c r="E700" s="136" t="str">
        <f>'[2]All Counts'!P700</f>
        <v>PeMS2016</v>
      </c>
      <c r="F700" s="137"/>
    </row>
    <row r="701" spans="1:6" x14ac:dyDescent="0.25">
      <c r="A701" s="136">
        <f>'[2]All Counts'!E701</f>
        <v>16356</v>
      </c>
      <c r="B701" s="136">
        <f>'[2]All Counts'!M701</f>
        <v>41638</v>
      </c>
      <c r="C701" s="136">
        <f>'[2]All Counts'!N701</f>
        <v>5037</v>
      </c>
      <c r="D701" s="136">
        <f>'[2]All Counts'!O701</f>
        <v>13298</v>
      </c>
      <c r="E701" s="136" t="str">
        <f>'[2]All Counts'!P701</f>
        <v>Caltran</v>
      </c>
      <c r="F701" s="137"/>
    </row>
    <row r="702" spans="1:6" x14ac:dyDescent="0.25">
      <c r="A702" s="136">
        <f>'[2]All Counts'!E702</f>
        <v>29169</v>
      </c>
      <c r="B702" s="136">
        <f>'[2]All Counts'!M702</f>
        <v>34373</v>
      </c>
      <c r="C702" s="136">
        <f>'[2]All Counts'!N702</f>
        <v>3717</v>
      </c>
      <c r="D702" s="136">
        <f>'[2]All Counts'!O702</f>
        <v>11369</v>
      </c>
      <c r="E702" s="136" t="str">
        <f>'[2]All Counts'!P702</f>
        <v>PeMS2016</v>
      </c>
      <c r="F702" s="137"/>
    </row>
    <row r="703" spans="1:6" x14ac:dyDescent="0.25">
      <c r="A703" s="136">
        <f>'[2]All Counts'!E703</f>
        <v>16360</v>
      </c>
      <c r="B703" s="136">
        <f>'[2]All Counts'!M703</f>
        <v>37676</v>
      </c>
      <c r="C703" s="136">
        <f>'[2]All Counts'!N703</f>
        <v>4034</v>
      </c>
      <c r="D703" s="136">
        <f>'[2]All Counts'!O703</f>
        <v>12653</v>
      </c>
      <c r="E703" s="136" t="str">
        <f>'[2]All Counts'!P703</f>
        <v>Caltran</v>
      </c>
      <c r="F703" s="137"/>
    </row>
    <row r="704" spans="1:6" x14ac:dyDescent="0.25">
      <c r="A704" s="136">
        <f>'[2]All Counts'!E704</f>
        <v>16350</v>
      </c>
      <c r="B704" s="136">
        <f>'[2]All Counts'!M704</f>
        <v>38813</v>
      </c>
      <c r="C704" s="136">
        <f>'[2]All Counts'!N704</f>
        <v>4263</v>
      </c>
      <c r="D704" s="136">
        <f>'[2]All Counts'!O704</f>
        <v>12710</v>
      </c>
      <c r="E704" s="136" t="str">
        <f>'[2]All Counts'!P704</f>
        <v>PeMS2016</v>
      </c>
      <c r="F704" s="137"/>
    </row>
    <row r="705" spans="1:6" x14ac:dyDescent="0.25">
      <c r="A705" s="136">
        <f>'[2]All Counts'!E705</f>
        <v>29173</v>
      </c>
      <c r="B705" s="136">
        <f>'[2]All Counts'!M705</f>
        <v>32308</v>
      </c>
      <c r="C705" s="136">
        <f>'[2]All Counts'!N705</f>
        <v>3501</v>
      </c>
      <c r="D705" s="136">
        <f>'[2]All Counts'!O705</f>
        <v>10972</v>
      </c>
      <c r="E705" s="136" t="str">
        <f>'[2]All Counts'!P705</f>
        <v>PeMS2016</v>
      </c>
      <c r="F705" s="137"/>
    </row>
    <row r="706" spans="1:6" x14ac:dyDescent="0.25">
      <c r="A706" s="136">
        <f>'[2]All Counts'!E706</f>
        <v>16353</v>
      </c>
      <c r="B706" s="136">
        <f>'[2]All Counts'!M706</f>
        <v>38278</v>
      </c>
      <c r="C706" s="136">
        <f>'[2]All Counts'!N706</f>
        <v>4534</v>
      </c>
      <c r="D706" s="136">
        <f>'[2]All Counts'!O706</f>
        <v>12737</v>
      </c>
      <c r="E706" s="136" t="str">
        <f>'[2]All Counts'!P706</f>
        <v>Caltran</v>
      </c>
      <c r="F706" s="137"/>
    </row>
    <row r="707" spans="1:6" x14ac:dyDescent="0.25">
      <c r="A707" s="136">
        <f>'[2]All Counts'!E707</f>
        <v>16144</v>
      </c>
      <c r="B707" s="136">
        <f>'[2]All Counts'!M707</f>
        <v>32157</v>
      </c>
      <c r="C707" s="136">
        <f>'[2]All Counts'!N707</f>
        <v>3940</v>
      </c>
      <c r="D707" s="136">
        <f>'[2]All Counts'!O707</f>
        <v>10773</v>
      </c>
      <c r="E707" s="136" t="str">
        <f>'[2]All Counts'!P707</f>
        <v>PeMS2016</v>
      </c>
      <c r="F707" s="137"/>
    </row>
    <row r="708" spans="1:6" x14ac:dyDescent="0.25">
      <c r="A708" s="136">
        <f>'[2]All Counts'!E708</f>
        <v>11379</v>
      </c>
      <c r="B708" s="136">
        <f>'[2]All Counts'!M708</f>
        <v>31454</v>
      </c>
      <c r="C708" s="136">
        <f>'[2]All Counts'!N708</f>
        <v>4570</v>
      </c>
      <c r="D708" s="136">
        <f>'[2]All Counts'!O708</f>
        <v>9505</v>
      </c>
      <c r="E708" s="136" t="str">
        <f>'[2]All Counts'!P708</f>
        <v>PeMS2016</v>
      </c>
      <c r="F708" s="137"/>
    </row>
    <row r="709" spans="1:6" x14ac:dyDescent="0.25">
      <c r="A709" s="136">
        <f>'[2]All Counts'!E709</f>
        <v>16523</v>
      </c>
      <c r="B709" s="136">
        <f>'[2]All Counts'!M709</f>
        <v>34858</v>
      </c>
      <c r="C709" s="136">
        <f>'[2]All Counts'!N709</f>
        <v>5505</v>
      </c>
      <c r="D709" s="136">
        <f>'[2]All Counts'!O709</f>
        <v>10219</v>
      </c>
      <c r="E709" s="136" t="str">
        <f>'[2]All Counts'!P709</f>
        <v>PeMS2016</v>
      </c>
      <c r="F709" s="137"/>
    </row>
    <row r="710" spans="1:6" x14ac:dyDescent="0.25">
      <c r="A710" s="136">
        <f>'[2]All Counts'!E710</f>
        <v>9033</v>
      </c>
      <c r="B710" s="136">
        <f>'[2]All Counts'!M710</f>
        <v>37462</v>
      </c>
      <c r="C710" s="136">
        <f>'[2]All Counts'!N710</f>
        <v>7851</v>
      </c>
      <c r="D710" s="136">
        <f>'[2]All Counts'!O710</f>
        <v>8372</v>
      </c>
      <c r="E710" s="136" t="str">
        <f>'[2]All Counts'!P710</f>
        <v>Caltran</v>
      </c>
      <c r="F710" s="137"/>
    </row>
    <row r="711" spans="1:6" x14ac:dyDescent="0.25">
      <c r="A711" s="136">
        <f>'[2]All Counts'!E711</f>
        <v>13035</v>
      </c>
      <c r="B711" s="136">
        <f>'[2]All Counts'!M711</f>
        <v>53462</v>
      </c>
      <c r="C711" s="136">
        <f>'[2]All Counts'!N711</f>
        <v>8703</v>
      </c>
      <c r="D711" s="136">
        <f>'[2]All Counts'!O711</f>
        <v>13580</v>
      </c>
      <c r="E711" s="136" t="str">
        <f>'[2]All Counts'!P711</f>
        <v>Caltran</v>
      </c>
      <c r="F711" s="137"/>
    </row>
    <row r="712" spans="1:6" x14ac:dyDescent="0.25">
      <c r="A712" s="136">
        <f>'[2]All Counts'!E712</f>
        <v>7724</v>
      </c>
      <c r="B712" s="136">
        <f>'[2]All Counts'!M712</f>
        <v>42960</v>
      </c>
      <c r="C712" s="136">
        <f>'[2]All Counts'!N712</f>
        <v>5359</v>
      </c>
      <c r="D712" s="136">
        <f>'[2]All Counts'!O712</f>
        <v>11465</v>
      </c>
      <c r="E712" s="136" t="str">
        <f>'[2]All Counts'!P712</f>
        <v>Caltran</v>
      </c>
      <c r="F712" s="137"/>
    </row>
    <row r="713" spans="1:6" x14ac:dyDescent="0.25">
      <c r="A713" s="136">
        <f>'[2]All Counts'!E713</f>
        <v>16489</v>
      </c>
      <c r="B713" s="136">
        <f>'[2]All Counts'!M713</f>
        <v>69579</v>
      </c>
      <c r="C713" s="136">
        <f>'[2]All Counts'!N713</f>
        <v>9318</v>
      </c>
      <c r="D713" s="136">
        <f>'[2]All Counts'!O713</f>
        <v>18307</v>
      </c>
      <c r="E713" s="136" t="str">
        <f>'[2]All Counts'!P713</f>
        <v>PeMS2016</v>
      </c>
      <c r="F713" s="137"/>
    </row>
    <row r="714" spans="1:6" x14ac:dyDescent="0.25">
      <c r="A714" s="136">
        <f>'[2]All Counts'!E714</f>
        <v>28535</v>
      </c>
      <c r="B714" s="136">
        <f>'[2]All Counts'!M714</f>
        <v>55866</v>
      </c>
      <c r="C714" s="136">
        <f>'[2]All Counts'!N714</f>
        <v>8299</v>
      </c>
      <c r="D714" s="136">
        <f>'[2]All Counts'!O714</f>
        <v>15065</v>
      </c>
      <c r="E714" s="136" t="str">
        <f>'[2]All Counts'!P714</f>
        <v>PeMS2016</v>
      </c>
      <c r="F714" s="137"/>
    </row>
    <row r="715" spans="1:6" x14ac:dyDescent="0.25">
      <c r="A715" s="136">
        <f>'[2]All Counts'!E715</f>
        <v>27544</v>
      </c>
      <c r="B715" s="136">
        <f>'[2]All Counts'!M715</f>
        <v>63736</v>
      </c>
      <c r="C715" s="136">
        <f>'[2]All Counts'!N715</f>
        <v>8792</v>
      </c>
      <c r="D715" s="136">
        <f>'[2]All Counts'!O715</f>
        <v>16132</v>
      </c>
      <c r="E715" s="136" t="str">
        <f>'[2]All Counts'!P715</f>
        <v>Caltran</v>
      </c>
      <c r="F715" s="137"/>
    </row>
    <row r="716" spans="1:6" x14ac:dyDescent="0.25">
      <c r="A716" s="136">
        <f>'[2]All Counts'!E716</f>
        <v>27245</v>
      </c>
      <c r="B716" s="136">
        <f>'[2]All Counts'!M716</f>
        <v>54153</v>
      </c>
      <c r="C716" s="136">
        <f>'[2]All Counts'!N716</f>
        <v>7688</v>
      </c>
      <c r="D716" s="136">
        <f>'[2]All Counts'!O716</f>
        <v>13752</v>
      </c>
      <c r="E716" s="136" t="str">
        <f>'[2]All Counts'!P716</f>
        <v>PeMS2016</v>
      </c>
      <c r="F716" s="137"/>
    </row>
    <row r="717" spans="1:6" x14ac:dyDescent="0.25">
      <c r="A717" s="136">
        <f>'[2]All Counts'!E717</f>
        <v>8829</v>
      </c>
      <c r="B717" s="136">
        <f>'[2]All Counts'!M717</f>
        <v>72382</v>
      </c>
      <c r="C717" s="136">
        <f>'[2]All Counts'!N717</f>
        <v>10165</v>
      </c>
      <c r="D717" s="136">
        <f>'[2]All Counts'!O717</f>
        <v>18241</v>
      </c>
      <c r="E717" s="136" t="str">
        <f>'[2]All Counts'!P717</f>
        <v>Caltran</v>
      </c>
      <c r="F717" s="137"/>
    </row>
    <row r="718" spans="1:6" x14ac:dyDescent="0.25">
      <c r="A718" s="136">
        <f>'[2]All Counts'!E718</f>
        <v>8831</v>
      </c>
      <c r="B718" s="136">
        <f>'[2]All Counts'!M718</f>
        <v>55236</v>
      </c>
      <c r="C718" s="136">
        <f>'[2]All Counts'!N718</f>
        <v>7948</v>
      </c>
      <c r="D718" s="136">
        <f>'[2]All Counts'!O718</f>
        <v>13844</v>
      </c>
      <c r="E718" s="136" t="str">
        <f>'[2]All Counts'!P718</f>
        <v>PeMS2016</v>
      </c>
      <c r="F718" s="137"/>
    </row>
    <row r="719" spans="1:6" x14ac:dyDescent="0.25">
      <c r="A719" s="136">
        <f>'[2]All Counts'!E719</f>
        <v>8830</v>
      </c>
      <c r="B719" s="136">
        <f>'[2]All Counts'!M719</f>
        <v>53613</v>
      </c>
      <c r="C719" s="136">
        <f>'[2]All Counts'!N719</f>
        <v>7830</v>
      </c>
      <c r="D719" s="136">
        <f>'[2]All Counts'!O719</f>
        <v>13469</v>
      </c>
      <c r="E719" s="136" t="str">
        <f>'[2]All Counts'!P719</f>
        <v>PeMS2016</v>
      </c>
      <c r="F719" s="137"/>
    </row>
    <row r="720" spans="1:6" x14ac:dyDescent="0.25">
      <c r="A720" s="136">
        <f>'[2]All Counts'!E720</f>
        <v>16566</v>
      </c>
      <c r="B720" s="136">
        <f>'[2]All Counts'!M720</f>
        <v>54939</v>
      </c>
      <c r="C720" s="136">
        <f>'[2]All Counts'!N720</f>
        <v>8687</v>
      </c>
      <c r="D720" s="136">
        <f>'[2]All Counts'!O720</f>
        <v>13311</v>
      </c>
      <c r="E720" s="136" t="str">
        <f>'[2]All Counts'!P720</f>
        <v>PeMS2016</v>
      </c>
      <c r="F720" s="137"/>
    </row>
    <row r="721" spans="1:6" x14ac:dyDescent="0.25">
      <c r="A721" s="136">
        <f>'[2]All Counts'!E721</f>
        <v>16565</v>
      </c>
      <c r="B721" s="136">
        <f>'[2]All Counts'!M721</f>
        <v>69059</v>
      </c>
      <c r="C721" s="136">
        <f>'[2]All Counts'!N721</f>
        <v>10925</v>
      </c>
      <c r="D721" s="136">
        <f>'[2]All Counts'!O721</f>
        <v>16661</v>
      </c>
      <c r="E721" s="136" t="str">
        <f>'[2]All Counts'!P721</f>
        <v>Caltran</v>
      </c>
      <c r="F721" s="137"/>
    </row>
    <row r="722" spans="1:6" x14ac:dyDescent="0.25">
      <c r="A722" s="136">
        <f>'[2]All Counts'!E722</f>
        <v>7872</v>
      </c>
      <c r="B722" s="136">
        <f>'[2]All Counts'!M722</f>
        <v>50628</v>
      </c>
      <c r="C722" s="136">
        <f>'[2]All Counts'!N722</f>
        <v>8879</v>
      </c>
      <c r="D722" s="136">
        <f>'[2]All Counts'!O722</f>
        <v>11425</v>
      </c>
      <c r="E722" s="136" t="str">
        <f>'[2]All Counts'!P722</f>
        <v>PeMS2016</v>
      </c>
      <c r="F722" s="137"/>
    </row>
    <row r="723" spans="1:6" x14ac:dyDescent="0.25">
      <c r="A723" s="136">
        <f>'[2]All Counts'!E723</f>
        <v>27247</v>
      </c>
      <c r="B723" s="136">
        <f>'[2]All Counts'!M723</f>
        <v>57274</v>
      </c>
      <c r="C723" s="136">
        <f>'[2]All Counts'!N723</f>
        <v>10884</v>
      </c>
      <c r="D723" s="136">
        <f>'[2]All Counts'!O723</f>
        <v>11810</v>
      </c>
      <c r="E723" s="136" t="str">
        <f>'[2]All Counts'!P723</f>
        <v>PeMS2016</v>
      </c>
      <c r="F723" s="137"/>
    </row>
    <row r="724" spans="1:6" x14ac:dyDescent="0.25">
      <c r="A724" s="136">
        <f>'[2]All Counts'!E724</f>
        <v>7873</v>
      </c>
      <c r="B724" s="136">
        <f>'[2]All Counts'!M724</f>
        <v>68789</v>
      </c>
      <c r="C724" s="136">
        <f>'[2]All Counts'!N724</f>
        <v>14496</v>
      </c>
      <c r="D724" s="136">
        <f>'[2]All Counts'!O724</f>
        <v>13522</v>
      </c>
      <c r="E724" s="136" t="str">
        <f>'[2]All Counts'!P724</f>
        <v>PeMS2016</v>
      </c>
      <c r="F724" s="137"/>
    </row>
    <row r="725" spans="1:6" x14ac:dyDescent="0.25">
      <c r="A725" s="136">
        <f>'[2]All Counts'!E725</f>
        <v>8840</v>
      </c>
      <c r="B725" s="136">
        <f>'[2]All Counts'!M725</f>
        <v>58203</v>
      </c>
      <c r="C725" s="136">
        <f>'[2]All Counts'!N725</f>
        <v>12402</v>
      </c>
      <c r="D725" s="136">
        <f>'[2]All Counts'!O725</f>
        <v>11323</v>
      </c>
      <c r="E725" s="136" t="str">
        <f>'[2]All Counts'!P725</f>
        <v>PeMS2016</v>
      </c>
      <c r="F725" s="137"/>
    </row>
    <row r="726" spans="1:6" x14ac:dyDescent="0.25">
      <c r="A726" s="136">
        <f>'[2]All Counts'!E726</f>
        <v>8841</v>
      </c>
      <c r="B726" s="136">
        <f>'[2]All Counts'!M726</f>
        <v>67828</v>
      </c>
      <c r="C726" s="136">
        <f>'[2]All Counts'!N726</f>
        <v>13820</v>
      </c>
      <c r="D726" s="136">
        <f>'[2]All Counts'!O726</f>
        <v>13576</v>
      </c>
      <c r="E726" s="136" t="str">
        <f>'[2]All Counts'!P726</f>
        <v>Caltran</v>
      </c>
      <c r="F726" s="137"/>
    </row>
    <row r="727" spans="1:6" x14ac:dyDescent="0.25">
      <c r="A727" s="136">
        <f>'[2]All Counts'!E727</f>
        <v>29182</v>
      </c>
      <c r="B727" s="136">
        <f>'[2]All Counts'!M727</f>
        <v>63050</v>
      </c>
      <c r="C727" s="136">
        <f>'[2]All Counts'!N727</f>
        <v>13175</v>
      </c>
      <c r="D727" s="136">
        <f>'[2]All Counts'!O727</f>
        <v>12174</v>
      </c>
      <c r="E727" s="136" t="str">
        <f>'[2]All Counts'!P727</f>
        <v>PeMS2016</v>
      </c>
      <c r="F727" s="137"/>
    </row>
    <row r="728" spans="1:6" x14ac:dyDescent="0.25">
      <c r="A728" s="136">
        <f>'[2]All Counts'!E728</f>
        <v>16428</v>
      </c>
      <c r="B728" s="136">
        <f>'[2]All Counts'!M728</f>
        <v>72061</v>
      </c>
      <c r="C728" s="136">
        <f>'[2]All Counts'!N728</f>
        <v>14402</v>
      </c>
      <c r="D728" s="136">
        <f>'[2]All Counts'!O728</f>
        <v>14152</v>
      </c>
      <c r="E728" s="136" t="str">
        <f>'[2]All Counts'!P728</f>
        <v>Caltran</v>
      </c>
      <c r="F728" s="137"/>
    </row>
    <row r="729" spans="1:6" x14ac:dyDescent="0.25">
      <c r="A729" s="136">
        <f>'[2]All Counts'!E729</f>
        <v>19571</v>
      </c>
      <c r="B729" s="136">
        <f>'[2]All Counts'!M729</f>
        <v>61707</v>
      </c>
      <c r="C729" s="136">
        <f>'[2]All Counts'!N729</f>
        <v>12831</v>
      </c>
      <c r="D729" s="136">
        <f>'[2]All Counts'!O729</f>
        <v>11206</v>
      </c>
      <c r="E729" s="136" t="str">
        <f>'[2]All Counts'!P729</f>
        <v>PeMS2016</v>
      </c>
      <c r="F729" s="137"/>
    </row>
    <row r="730" spans="1:6" x14ac:dyDescent="0.25">
      <c r="A730" s="136">
        <f>'[2]All Counts'!E730</f>
        <v>30792</v>
      </c>
      <c r="B730" s="136">
        <f>'[2]All Counts'!M730</f>
        <v>70277</v>
      </c>
      <c r="C730" s="136">
        <f>'[2]All Counts'!N730</f>
        <v>13852</v>
      </c>
      <c r="D730" s="136">
        <f>'[2]All Counts'!O730</f>
        <v>12855</v>
      </c>
      <c r="E730" s="136" t="str">
        <f>'[2]All Counts'!P730</f>
        <v>PeMS2016</v>
      </c>
      <c r="F730" s="137"/>
    </row>
    <row r="731" spans="1:6" x14ac:dyDescent="0.25">
      <c r="A731" s="136">
        <f>'[2]All Counts'!E731</f>
        <v>16446</v>
      </c>
      <c r="B731" s="136">
        <f>'[2]All Counts'!M731</f>
        <v>73188</v>
      </c>
      <c r="C731" s="136">
        <f>'[2]All Counts'!N731</f>
        <v>13131</v>
      </c>
      <c r="D731" s="136">
        <f>'[2]All Counts'!O731</f>
        <v>15361</v>
      </c>
      <c r="E731" s="136" t="str">
        <f>'[2]All Counts'!P731</f>
        <v>PeMS2016</v>
      </c>
      <c r="F731" s="137"/>
    </row>
    <row r="732" spans="1:6" x14ac:dyDescent="0.25">
      <c r="A732" s="136">
        <f>'[2]All Counts'!E732</f>
        <v>8846</v>
      </c>
      <c r="B732" s="136">
        <f>'[2]All Counts'!M732</f>
        <v>70985</v>
      </c>
      <c r="C732" s="136">
        <f>'[2]All Counts'!N732</f>
        <v>11953</v>
      </c>
      <c r="D732" s="136">
        <f>'[2]All Counts'!O732</f>
        <v>15772</v>
      </c>
      <c r="E732" s="136" t="str">
        <f>'[2]All Counts'!P732</f>
        <v>PeMS2016</v>
      </c>
      <c r="F732" s="137"/>
    </row>
    <row r="733" spans="1:6" x14ac:dyDescent="0.25">
      <c r="A733" s="136">
        <f>'[2]All Counts'!E733</f>
        <v>8042</v>
      </c>
      <c r="B733" s="136">
        <f>'[2]All Counts'!M733</f>
        <v>76592</v>
      </c>
      <c r="C733" s="136">
        <f>'[2]All Counts'!N733</f>
        <v>12561</v>
      </c>
      <c r="D733" s="136">
        <f>'[2]All Counts'!O733</f>
        <v>18047</v>
      </c>
      <c r="E733" s="136" t="str">
        <f>'[2]All Counts'!P733</f>
        <v>PeMS2016</v>
      </c>
      <c r="F733" s="137"/>
    </row>
    <row r="734" spans="1:6" x14ac:dyDescent="0.25">
      <c r="A734" s="136">
        <f>'[2]All Counts'!E734</f>
        <v>12838</v>
      </c>
      <c r="B734" s="136">
        <f>'[2]All Counts'!M734</f>
        <v>91699</v>
      </c>
      <c r="C734" s="136">
        <f>'[2]All Counts'!N734</f>
        <v>14735</v>
      </c>
      <c r="D734" s="136">
        <f>'[2]All Counts'!O734</f>
        <v>21956</v>
      </c>
      <c r="E734" s="136" t="str">
        <f>'[2]All Counts'!P734</f>
        <v>PeMS2016</v>
      </c>
      <c r="F734" s="137"/>
    </row>
    <row r="735" spans="1:6" x14ac:dyDescent="0.25">
      <c r="A735" s="136">
        <f>'[2]All Counts'!E735</f>
        <v>12841</v>
      </c>
      <c r="B735" s="136">
        <f>'[2]All Counts'!M735</f>
        <v>40304</v>
      </c>
      <c r="C735" s="136">
        <f>'[2]All Counts'!N735</f>
        <v>5075</v>
      </c>
      <c r="D735" s="136">
        <f>'[2]All Counts'!O735</f>
        <v>10358</v>
      </c>
      <c r="E735" s="136" t="str">
        <f>'[2]All Counts'!P735</f>
        <v>PeMS2016</v>
      </c>
      <c r="F735" s="137"/>
    </row>
    <row r="736" spans="1:6" x14ac:dyDescent="0.25">
      <c r="A736" s="136">
        <f>'[2]All Counts'!E736</f>
        <v>27855</v>
      </c>
      <c r="B736" s="136">
        <f>'[2]All Counts'!M736</f>
        <v>29656</v>
      </c>
      <c r="C736" s="136">
        <f>'[2]All Counts'!N736</f>
        <v>4997</v>
      </c>
      <c r="D736" s="136">
        <f>'[2]All Counts'!O736</f>
        <v>8022</v>
      </c>
      <c r="E736" s="136" t="str">
        <f>'[2]All Counts'!P736</f>
        <v>Caltran</v>
      </c>
      <c r="F736" s="137"/>
    </row>
    <row r="737" spans="1:6" x14ac:dyDescent="0.25">
      <c r="A737" s="136">
        <f>'[2]All Counts'!E737</f>
        <v>9914</v>
      </c>
      <c r="B737" s="136">
        <f>'[2]All Counts'!M737</f>
        <v>14989</v>
      </c>
      <c r="C737" s="136">
        <f>'[2]All Counts'!N737</f>
        <v>3173</v>
      </c>
      <c r="D737" s="136">
        <f>'[2]All Counts'!O737</f>
        <v>3466</v>
      </c>
      <c r="E737" s="136" t="str">
        <f>'[2]All Counts'!P737</f>
        <v>PeMS2016</v>
      </c>
      <c r="F737" s="137"/>
    </row>
    <row r="738" spans="1:6" x14ac:dyDescent="0.25">
      <c r="A738" s="136">
        <f>'[2]All Counts'!E738</f>
        <v>9903</v>
      </c>
      <c r="B738" s="136">
        <f>'[2]All Counts'!M738</f>
        <v>40484</v>
      </c>
      <c r="C738" s="136">
        <f>'[2]All Counts'!N738</f>
        <v>9020</v>
      </c>
      <c r="D738" s="136">
        <f>'[2]All Counts'!O738</f>
        <v>7641</v>
      </c>
      <c r="E738" s="136" t="str">
        <f>'[2]All Counts'!P738</f>
        <v>Caltran</v>
      </c>
      <c r="F738" s="137"/>
    </row>
    <row r="739" spans="1:6" x14ac:dyDescent="0.25">
      <c r="A739" s="136">
        <f>'[2]All Counts'!E739</f>
        <v>27737</v>
      </c>
      <c r="B739" s="136">
        <f>'[2]All Counts'!M739</f>
        <v>40671</v>
      </c>
      <c r="C739" s="136">
        <f>'[2]All Counts'!N739</f>
        <v>8248</v>
      </c>
      <c r="D739" s="136">
        <f>'[2]All Counts'!O739</f>
        <v>7486</v>
      </c>
      <c r="E739" s="136" t="str">
        <f>'[2]All Counts'!P739</f>
        <v>PeMS2016</v>
      </c>
      <c r="F739" s="137"/>
    </row>
    <row r="740" spans="1:6" x14ac:dyDescent="0.25">
      <c r="A740" s="136">
        <f>'[2]All Counts'!E740</f>
        <v>27720</v>
      </c>
      <c r="B740" s="136">
        <f>'[2]All Counts'!M740</f>
        <v>31643</v>
      </c>
      <c r="C740" s="136">
        <f>'[2]All Counts'!N740</f>
        <v>5257</v>
      </c>
      <c r="D740" s="136">
        <f>'[2]All Counts'!O740</f>
        <v>7398</v>
      </c>
      <c r="E740" s="136" t="str">
        <f>'[2]All Counts'!P740</f>
        <v>PeMS2016</v>
      </c>
      <c r="F740" s="137"/>
    </row>
    <row r="741" spans="1:6" x14ac:dyDescent="0.25">
      <c r="A741" s="136">
        <f>'[2]All Counts'!E741</f>
        <v>9953</v>
      </c>
      <c r="B741" s="136">
        <f>'[2]All Counts'!M741</f>
        <v>29381</v>
      </c>
      <c r="C741" s="136">
        <f>'[2]All Counts'!N741</f>
        <v>4656</v>
      </c>
      <c r="D741" s="136">
        <f>'[2]All Counts'!O741</f>
        <v>5920</v>
      </c>
      <c r="E741" s="136" t="str">
        <f>'[2]All Counts'!P741</f>
        <v>PeMS2016</v>
      </c>
      <c r="F741" s="137"/>
    </row>
    <row r="742" spans="1:6" x14ac:dyDescent="0.25">
      <c r="A742" s="136">
        <f>'[2]All Counts'!E742</f>
        <v>15859</v>
      </c>
      <c r="B742" s="136">
        <f>'[2]All Counts'!M742</f>
        <v>67832</v>
      </c>
      <c r="C742" s="136">
        <f>'[2]All Counts'!N742</f>
        <v>5254</v>
      </c>
      <c r="D742" s="136">
        <f>'[2]All Counts'!O742</f>
        <v>21430</v>
      </c>
      <c r="E742" s="136" t="str">
        <f>'[2]All Counts'!P742</f>
        <v>PeMS2016</v>
      </c>
      <c r="F742" s="137"/>
    </row>
    <row r="743" spans="1:6" x14ac:dyDescent="0.25">
      <c r="A743" s="136">
        <f>'[2]All Counts'!E743</f>
        <v>15855</v>
      </c>
      <c r="B743" s="136">
        <f>'[2]All Counts'!M743</f>
        <v>72071</v>
      </c>
      <c r="C743" s="136">
        <f>'[2]All Counts'!N743</f>
        <v>5803</v>
      </c>
      <c r="D743" s="136">
        <f>'[2]All Counts'!O743</f>
        <v>23078</v>
      </c>
      <c r="E743" s="136" t="str">
        <f>'[2]All Counts'!P743</f>
        <v>PeMS2016</v>
      </c>
      <c r="F743" s="137"/>
    </row>
    <row r="744" spans="1:6" x14ac:dyDescent="0.25">
      <c r="A744" s="136">
        <f>'[2]All Counts'!E744</f>
        <v>31212</v>
      </c>
      <c r="B744" s="136">
        <f>'[2]All Counts'!M744</f>
        <v>80711</v>
      </c>
      <c r="C744" s="136">
        <f>'[2]All Counts'!N744</f>
        <v>7099</v>
      </c>
      <c r="D744" s="136">
        <f>'[2]All Counts'!O744</f>
        <v>25356</v>
      </c>
      <c r="E744" s="136" t="str">
        <f>'[2]All Counts'!P744</f>
        <v>PeMS2016</v>
      </c>
      <c r="F744" s="137"/>
    </row>
    <row r="745" spans="1:6" x14ac:dyDescent="0.25">
      <c r="A745" s="136">
        <f>'[2]All Counts'!E745</f>
        <v>15853</v>
      </c>
      <c r="B745" s="136">
        <f>'[2]All Counts'!M745</f>
        <v>80376</v>
      </c>
      <c r="C745" s="136">
        <f>'[2]All Counts'!N745</f>
        <v>7024</v>
      </c>
      <c r="D745" s="136">
        <f>'[2]All Counts'!O745</f>
        <v>25413</v>
      </c>
      <c r="E745" s="136" t="str">
        <f>'[2]All Counts'!P745</f>
        <v>PeMS2016</v>
      </c>
      <c r="F745" s="137"/>
    </row>
    <row r="746" spans="1:6" x14ac:dyDescent="0.25">
      <c r="A746" s="136">
        <f>'[2]All Counts'!E746</f>
        <v>29052</v>
      </c>
      <c r="B746" s="136">
        <f>'[2]All Counts'!M746</f>
        <v>60594</v>
      </c>
      <c r="C746" s="136">
        <f>'[2]All Counts'!N746</f>
        <v>5087</v>
      </c>
      <c r="D746" s="136">
        <f>'[2]All Counts'!O746</f>
        <v>20068</v>
      </c>
      <c r="E746" s="136" t="str">
        <f>'[2]All Counts'!P746</f>
        <v>PeMS2016</v>
      </c>
      <c r="F746" s="137"/>
    </row>
    <row r="747" spans="1:6" x14ac:dyDescent="0.25">
      <c r="A747" s="136">
        <f>'[2]All Counts'!E747</f>
        <v>29047</v>
      </c>
      <c r="B747" s="136">
        <f>'[2]All Counts'!M747</f>
        <v>65558</v>
      </c>
      <c r="C747" s="136">
        <f>'[2]All Counts'!N747</f>
        <v>7074</v>
      </c>
      <c r="D747" s="136">
        <f>'[2]All Counts'!O747</f>
        <v>17407</v>
      </c>
      <c r="E747" s="136" t="str">
        <f>'[2]All Counts'!P747</f>
        <v>PeMS2016</v>
      </c>
      <c r="F747" s="137"/>
    </row>
    <row r="748" spans="1:6" x14ac:dyDescent="0.25">
      <c r="A748" s="136">
        <f>'[2]All Counts'!E748</f>
        <v>29039</v>
      </c>
      <c r="B748" s="136">
        <f>'[2]All Counts'!M748</f>
        <v>103032</v>
      </c>
      <c r="C748" s="136">
        <f>'[2]All Counts'!N748</f>
        <v>11051</v>
      </c>
      <c r="D748" s="136">
        <f>'[2]All Counts'!O748</f>
        <v>29831</v>
      </c>
      <c r="E748" s="136" t="str">
        <f>'[2]All Counts'!P748</f>
        <v>PeMS2016</v>
      </c>
      <c r="F748" s="137"/>
    </row>
    <row r="749" spans="1:6" x14ac:dyDescent="0.25">
      <c r="A749" s="136">
        <f>'[2]All Counts'!E749</f>
        <v>29035</v>
      </c>
      <c r="B749" s="136">
        <f>'[2]All Counts'!M749</f>
        <v>87766</v>
      </c>
      <c r="C749" s="136">
        <f>'[2]All Counts'!N749</f>
        <v>8723</v>
      </c>
      <c r="D749" s="136">
        <f>'[2]All Counts'!O749</f>
        <v>26851</v>
      </c>
      <c r="E749" s="136" t="str">
        <f>'[2]All Counts'!P749</f>
        <v>PeMS2016</v>
      </c>
      <c r="F749" s="137"/>
    </row>
    <row r="750" spans="1:6" x14ac:dyDescent="0.25">
      <c r="A750" s="136">
        <f>'[2]All Counts'!E750</f>
        <v>29027</v>
      </c>
      <c r="B750" s="136">
        <f>'[2]All Counts'!M750</f>
        <v>92082</v>
      </c>
      <c r="C750" s="136">
        <f>'[2]All Counts'!N750</f>
        <v>9425</v>
      </c>
      <c r="D750" s="136">
        <f>'[2]All Counts'!O750</f>
        <v>27704</v>
      </c>
      <c r="E750" s="136" t="str">
        <f>'[2]All Counts'!P750</f>
        <v>Caltran</v>
      </c>
      <c r="F750" s="137"/>
    </row>
    <row r="751" spans="1:6" x14ac:dyDescent="0.25">
      <c r="A751" s="136">
        <f>'[2]All Counts'!E751</f>
        <v>29023</v>
      </c>
      <c r="B751" s="136">
        <f>'[2]All Counts'!M751</f>
        <v>90365</v>
      </c>
      <c r="C751" s="136">
        <f>'[2]All Counts'!N751</f>
        <v>9370</v>
      </c>
      <c r="D751" s="136">
        <f>'[2]All Counts'!O751</f>
        <v>27341</v>
      </c>
      <c r="E751" s="136" t="str">
        <f>'[2]All Counts'!P751</f>
        <v>PeMS2016</v>
      </c>
      <c r="F751" s="137"/>
    </row>
    <row r="752" spans="1:6" x14ac:dyDescent="0.25">
      <c r="A752" s="136">
        <f>'[2]All Counts'!E752</f>
        <v>29025</v>
      </c>
      <c r="B752" s="136">
        <f>'[2]All Counts'!M752</f>
        <v>71673</v>
      </c>
      <c r="C752" s="136">
        <f>'[2]All Counts'!N752</f>
        <v>7961</v>
      </c>
      <c r="D752" s="136">
        <f>'[2]All Counts'!O752</f>
        <v>21170</v>
      </c>
      <c r="E752" s="136" t="str">
        <f>'[2]All Counts'!P752</f>
        <v>PeMS2016</v>
      </c>
      <c r="F752" s="137"/>
    </row>
    <row r="753" spans="1:6" x14ac:dyDescent="0.25">
      <c r="A753" s="136">
        <f>'[2]All Counts'!E753</f>
        <v>27993</v>
      </c>
      <c r="B753" s="136">
        <f>'[2]All Counts'!M753</f>
        <v>61102</v>
      </c>
      <c r="C753" s="136">
        <f>'[2]All Counts'!N753</f>
        <v>6605</v>
      </c>
      <c r="D753" s="136">
        <f>'[2]All Counts'!O753</f>
        <v>18924</v>
      </c>
      <c r="E753" s="136" t="str">
        <f>'[2]All Counts'!P753</f>
        <v>PeMS2016</v>
      </c>
      <c r="F753" s="137"/>
    </row>
    <row r="754" spans="1:6" x14ac:dyDescent="0.25">
      <c r="A754" s="136">
        <f>'[2]All Counts'!E754</f>
        <v>28002</v>
      </c>
      <c r="B754" s="136">
        <f>'[2]All Counts'!M754</f>
        <v>72360</v>
      </c>
      <c r="C754" s="136">
        <f>'[2]All Counts'!N754</f>
        <v>8231</v>
      </c>
      <c r="D754" s="136">
        <f>'[2]All Counts'!O754</f>
        <v>21485</v>
      </c>
      <c r="E754" s="136" t="str">
        <f>'[2]All Counts'!P754</f>
        <v>Caltran</v>
      </c>
      <c r="F754" s="137"/>
    </row>
    <row r="755" spans="1:6" x14ac:dyDescent="0.25">
      <c r="A755" s="136">
        <f>'[2]All Counts'!E755</f>
        <v>10252</v>
      </c>
      <c r="B755" s="136">
        <f>'[2]All Counts'!M755</f>
        <v>67837</v>
      </c>
      <c r="C755" s="136">
        <f>'[2]All Counts'!N755</f>
        <v>7920</v>
      </c>
      <c r="D755" s="136">
        <f>'[2]All Counts'!O755</f>
        <v>20208</v>
      </c>
      <c r="E755" s="136" t="str">
        <f>'[2]All Counts'!P755</f>
        <v>PeMS2016</v>
      </c>
      <c r="F755" s="137"/>
    </row>
    <row r="756" spans="1:6" x14ac:dyDescent="0.25">
      <c r="A756" s="136">
        <f>'[2]All Counts'!E756</f>
        <v>28012</v>
      </c>
      <c r="B756" s="136">
        <f>'[2]All Counts'!M756</f>
        <v>74942</v>
      </c>
      <c r="C756" s="136">
        <f>'[2]All Counts'!N756</f>
        <v>9226</v>
      </c>
      <c r="D756" s="136">
        <f>'[2]All Counts'!O756</f>
        <v>21715</v>
      </c>
      <c r="E756" s="136" t="str">
        <f>'[2]All Counts'!P756</f>
        <v>Caltran</v>
      </c>
      <c r="F756" s="137"/>
    </row>
    <row r="757" spans="1:6" x14ac:dyDescent="0.25">
      <c r="A757" s="136">
        <f>'[2]All Counts'!E757</f>
        <v>10159</v>
      </c>
      <c r="B757" s="136">
        <f>'[2]All Counts'!M757</f>
        <v>31928</v>
      </c>
      <c r="C757" s="136">
        <f>'[2]All Counts'!N757</f>
        <v>4489</v>
      </c>
      <c r="D757" s="136">
        <f>'[2]All Counts'!O757</f>
        <v>8226</v>
      </c>
      <c r="E757" s="136" t="str">
        <f>'[2]All Counts'!P757</f>
        <v>PeMS2016</v>
      </c>
      <c r="F757" s="137"/>
    </row>
    <row r="758" spans="1:6" x14ac:dyDescent="0.25">
      <c r="A758" s="136">
        <f>'[2]All Counts'!E758</f>
        <v>28623</v>
      </c>
      <c r="B758" s="136">
        <f>'[2]All Counts'!M758</f>
        <v>30556</v>
      </c>
      <c r="C758" s="136">
        <f>'[2]All Counts'!N758</f>
        <v>4287</v>
      </c>
      <c r="D758" s="136">
        <f>'[2]All Counts'!O758</f>
        <v>8655</v>
      </c>
      <c r="E758" s="136" t="str">
        <f>'[2]All Counts'!P758</f>
        <v>Caltran</v>
      </c>
      <c r="F758" s="137"/>
    </row>
    <row r="759" spans="1:6" x14ac:dyDescent="0.25">
      <c r="A759" s="136">
        <f>'[2]All Counts'!E759</f>
        <v>0</v>
      </c>
      <c r="B759" s="136">
        <f>'[2]All Counts'!M759</f>
        <v>0</v>
      </c>
      <c r="C759" s="136">
        <f>'[2]All Counts'!N759</f>
        <v>0</v>
      </c>
      <c r="D759" s="136">
        <f>'[2]All Counts'!O759</f>
        <v>0</v>
      </c>
      <c r="E759" s="136">
        <f>'[2]All Counts'!P759</f>
        <v>0</v>
      </c>
      <c r="F759" s="137"/>
    </row>
    <row r="760" spans="1:6" x14ac:dyDescent="0.25">
      <c r="A760" s="136">
        <f>'[2]All Counts'!E760</f>
        <v>0</v>
      </c>
      <c r="B760" s="136">
        <f>'[2]All Counts'!M760</f>
        <v>0</v>
      </c>
      <c r="C760" s="136">
        <f>'[2]All Counts'!N760</f>
        <v>0</v>
      </c>
      <c r="D760" s="136">
        <f>'[2]All Counts'!O760</f>
        <v>0</v>
      </c>
      <c r="E760" s="136">
        <f>'[2]All Counts'!P760</f>
        <v>0</v>
      </c>
      <c r="F760" s="137"/>
    </row>
    <row r="761" spans="1:6" x14ac:dyDescent="0.25">
      <c r="A761" s="136">
        <f>'[2]All Counts'!E761</f>
        <v>0</v>
      </c>
      <c r="B761" s="136">
        <f>'[2]All Counts'!M761</f>
        <v>0</v>
      </c>
      <c r="C761" s="136">
        <f>'[2]All Counts'!N761</f>
        <v>0</v>
      </c>
      <c r="D761" s="136">
        <f>'[2]All Counts'!O761</f>
        <v>0</v>
      </c>
      <c r="E761" s="136">
        <f>'[2]All Counts'!P761</f>
        <v>0</v>
      </c>
      <c r="F761" s="137"/>
    </row>
    <row r="762" spans="1:6" x14ac:dyDescent="0.25">
      <c r="A762" s="136">
        <f>'[2]All Counts'!E762</f>
        <v>0</v>
      </c>
      <c r="B762" s="136">
        <f>'[2]All Counts'!M762</f>
        <v>0</v>
      </c>
      <c r="C762" s="136">
        <f>'[2]All Counts'!N762</f>
        <v>0</v>
      </c>
      <c r="D762" s="136">
        <f>'[2]All Counts'!O762</f>
        <v>0</v>
      </c>
      <c r="E762" s="136">
        <f>'[2]All Counts'!P762</f>
        <v>0</v>
      </c>
      <c r="F762" s="137"/>
    </row>
    <row r="763" spans="1:6" x14ac:dyDescent="0.25">
      <c r="A763" s="136">
        <f>'[2]All Counts'!E763</f>
        <v>0</v>
      </c>
      <c r="B763" s="136">
        <f>'[2]All Counts'!M763</f>
        <v>0</v>
      </c>
      <c r="C763" s="136">
        <f>'[2]All Counts'!N763</f>
        <v>0</v>
      </c>
      <c r="D763" s="136">
        <f>'[2]All Counts'!O763</f>
        <v>0</v>
      </c>
      <c r="E763" s="136">
        <f>'[2]All Counts'!P763</f>
        <v>0</v>
      </c>
      <c r="F763" s="137"/>
    </row>
    <row r="764" spans="1:6" x14ac:dyDescent="0.25">
      <c r="A764" s="136">
        <f>'[2]All Counts'!E764</f>
        <v>0</v>
      </c>
      <c r="B764" s="136">
        <f>'[2]All Counts'!M764</f>
        <v>0</v>
      </c>
      <c r="C764" s="136">
        <f>'[2]All Counts'!N764</f>
        <v>0</v>
      </c>
      <c r="D764" s="136">
        <f>'[2]All Counts'!O764</f>
        <v>0</v>
      </c>
      <c r="E764" s="136">
        <f>'[2]All Counts'!P764</f>
        <v>0</v>
      </c>
      <c r="F764" s="137"/>
    </row>
    <row r="765" spans="1:6" x14ac:dyDescent="0.25">
      <c r="A765" s="136">
        <f>'[2]All Counts'!E765</f>
        <v>0</v>
      </c>
      <c r="B765" s="136">
        <f>'[2]All Counts'!M765</f>
        <v>0</v>
      </c>
      <c r="C765" s="136">
        <f>'[2]All Counts'!N765</f>
        <v>0</v>
      </c>
      <c r="D765" s="136">
        <f>'[2]All Counts'!O765</f>
        <v>0</v>
      </c>
      <c r="E765" s="136">
        <f>'[2]All Counts'!P765</f>
        <v>0</v>
      </c>
      <c r="F765" s="137"/>
    </row>
    <row r="766" spans="1:6" x14ac:dyDescent="0.25">
      <c r="A766" s="136">
        <f>'[2]All Counts'!E766</f>
        <v>0</v>
      </c>
      <c r="B766" s="136">
        <f>'[2]All Counts'!M766</f>
        <v>0</v>
      </c>
      <c r="C766" s="136">
        <f>'[2]All Counts'!N766</f>
        <v>0</v>
      </c>
      <c r="D766" s="136">
        <f>'[2]All Counts'!O766</f>
        <v>0</v>
      </c>
      <c r="E766" s="136">
        <f>'[2]All Counts'!P766</f>
        <v>0</v>
      </c>
      <c r="F766" s="137"/>
    </row>
    <row r="767" spans="1:6" x14ac:dyDescent="0.25">
      <c r="A767" s="136">
        <f>'[2]All Counts'!E767</f>
        <v>0</v>
      </c>
      <c r="B767" s="136">
        <f>'[2]All Counts'!M767</f>
        <v>0</v>
      </c>
      <c r="C767" s="136">
        <f>'[2]All Counts'!N767</f>
        <v>0</v>
      </c>
      <c r="D767" s="136">
        <f>'[2]All Counts'!O767</f>
        <v>0</v>
      </c>
      <c r="E767" s="136">
        <f>'[2]All Counts'!P767</f>
        <v>0</v>
      </c>
      <c r="F767" s="137"/>
    </row>
    <row r="768" spans="1:6" x14ac:dyDescent="0.25">
      <c r="A768" s="136">
        <f>'[2]All Counts'!E768</f>
        <v>0</v>
      </c>
      <c r="B768" s="136">
        <f>'[2]All Counts'!M768</f>
        <v>0</v>
      </c>
      <c r="C768" s="136">
        <f>'[2]All Counts'!N768</f>
        <v>0</v>
      </c>
      <c r="D768" s="136">
        <f>'[2]All Counts'!O768</f>
        <v>0</v>
      </c>
      <c r="E768" s="136">
        <f>'[2]All Counts'!P768</f>
        <v>0</v>
      </c>
      <c r="F768" s="137"/>
    </row>
    <row r="769" spans="1:6" x14ac:dyDescent="0.25">
      <c r="A769" s="136">
        <f>'[2]All Counts'!E769</f>
        <v>0</v>
      </c>
      <c r="B769" s="136">
        <f>'[2]All Counts'!M769</f>
        <v>0</v>
      </c>
      <c r="C769" s="136">
        <f>'[2]All Counts'!N769</f>
        <v>0</v>
      </c>
      <c r="D769" s="136">
        <f>'[2]All Counts'!O769</f>
        <v>0</v>
      </c>
      <c r="E769" s="136">
        <f>'[2]All Counts'!P769</f>
        <v>0</v>
      </c>
      <c r="F769" s="137"/>
    </row>
    <row r="770" spans="1:6" x14ac:dyDescent="0.25">
      <c r="A770" s="136">
        <f>'[2]All Counts'!E770</f>
        <v>0</v>
      </c>
      <c r="B770" s="136">
        <f>'[2]All Counts'!M770</f>
        <v>0</v>
      </c>
      <c r="C770" s="136">
        <f>'[2]All Counts'!N770</f>
        <v>0</v>
      </c>
      <c r="D770" s="136">
        <f>'[2]All Counts'!O770</f>
        <v>0</v>
      </c>
      <c r="E770" s="136">
        <f>'[2]All Counts'!P770</f>
        <v>0</v>
      </c>
      <c r="F770" s="137"/>
    </row>
    <row r="771" spans="1:6" x14ac:dyDescent="0.25">
      <c r="A771" s="136">
        <f>'[2]All Counts'!E771</f>
        <v>0</v>
      </c>
      <c r="B771" s="136">
        <f>'[2]All Counts'!M771</f>
        <v>0</v>
      </c>
      <c r="C771" s="136">
        <f>'[2]All Counts'!N771</f>
        <v>0</v>
      </c>
      <c r="D771" s="136">
        <f>'[2]All Counts'!O771</f>
        <v>0</v>
      </c>
      <c r="E771" s="136">
        <f>'[2]All Counts'!P771</f>
        <v>0</v>
      </c>
      <c r="F771" s="137"/>
    </row>
    <row r="772" spans="1:6" x14ac:dyDescent="0.25">
      <c r="A772" s="136">
        <f>'[2]All Counts'!E772</f>
        <v>0</v>
      </c>
      <c r="B772" s="136">
        <f>'[2]All Counts'!M772</f>
        <v>0</v>
      </c>
      <c r="C772" s="136">
        <f>'[2]All Counts'!N772</f>
        <v>0</v>
      </c>
      <c r="D772" s="136">
        <f>'[2]All Counts'!O772</f>
        <v>0</v>
      </c>
      <c r="E772" s="136">
        <f>'[2]All Counts'!P772</f>
        <v>0</v>
      </c>
      <c r="F772" s="137"/>
    </row>
    <row r="773" spans="1:6" x14ac:dyDescent="0.25">
      <c r="A773" s="136">
        <f>'[2]All Counts'!E773</f>
        <v>0</v>
      </c>
      <c r="B773" s="136">
        <f>'[2]All Counts'!M773</f>
        <v>0</v>
      </c>
      <c r="C773" s="136">
        <f>'[2]All Counts'!N773</f>
        <v>0</v>
      </c>
      <c r="D773" s="136">
        <f>'[2]All Counts'!O773</f>
        <v>0</v>
      </c>
      <c r="E773" s="136">
        <f>'[2]All Counts'!P773</f>
        <v>0</v>
      </c>
      <c r="F773" s="137"/>
    </row>
    <row r="774" spans="1:6" x14ac:dyDescent="0.25">
      <c r="A774" s="136">
        <f>'[2]All Counts'!E774</f>
        <v>0</v>
      </c>
      <c r="B774" s="136">
        <f>'[2]All Counts'!M774</f>
        <v>0</v>
      </c>
      <c r="C774" s="136">
        <f>'[2]All Counts'!N774</f>
        <v>0</v>
      </c>
      <c r="D774" s="136">
        <f>'[2]All Counts'!O774</f>
        <v>0</v>
      </c>
      <c r="E774" s="136">
        <f>'[2]All Counts'!P774</f>
        <v>0</v>
      </c>
      <c r="F774" s="137"/>
    </row>
    <row r="775" spans="1:6" x14ac:dyDescent="0.25">
      <c r="A775" s="136">
        <f>'[2]All Counts'!E775</f>
        <v>0</v>
      </c>
      <c r="B775" s="136">
        <f>'[2]All Counts'!M775</f>
        <v>0</v>
      </c>
      <c r="C775" s="136">
        <f>'[2]All Counts'!N775</f>
        <v>0</v>
      </c>
      <c r="D775" s="136">
        <f>'[2]All Counts'!O775</f>
        <v>0</v>
      </c>
      <c r="E775" s="136">
        <f>'[2]All Counts'!P775</f>
        <v>0</v>
      </c>
      <c r="F775" s="137"/>
    </row>
    <row r="776" spans="1:6" x14ac:dyDescent="0.25">
      <c r="A776" s="136">
        <f>'[2]All Counts'!E776</f>
        <v>0</v>
      </c>
      <c r="B776" s="136">
        <f>'[2]All Counts'!M776</f>
        <v>0</v>
      </c>
      <c r="C776" s="136">
        <f>'[2]All Counts'!N776</f>
        <v>0</v>
      </c>
      <c r="D776" s="136">
        <f>'[2]All Counts'!O776</f>
        <v>0</v>
      </c>
      <c r="E776" s="136">
        <f>'[2]All Counts'!P776</f>
        <v>0</v>
      </c>
      <c r="F776" s="137"/>
    </row>
    <row r="777" spans="1:6" x14ac:dyDescent="0.25">
      <c r="A777" s="136">
        <f>'[2]All Counts'!E777</f>
        <v>0</v>
      </c>
      <c r="B777" s="136">
        <f>'[2]All Counts'!M777</f>
        <v>0</v>
      </c>
      <c r="C777" s="136">
        <f>'[2]All Counts'!N777</f>
        <v>0</v>
      </c>
      <c r="D777" s="136">
        <f>'[2]All Counts'!O777</f>
        <v>0</v>
      </c>
      <c r="E777" s="136">
        <f>'[2]All Counts'!P777</f>
        <v>0</v>
      </c>
      <c r="F777" s="137"/>
    </row>
    <row r="778" spans="1:6" x14ac:dyDescent="0.25">
      <c r="A778" s="136">
        <f>'[2]All Counts'!E778</f>
        <v>0</v>
      </c>
      <c r="B778" s="136">
        <f>'[2]All Counts'!M778</f>
        <v>0</v>
      </c>
      <c r="C778" s="136">
        <f>'[2]All Counts'!N778</f>
        <v>0</v>
      </c>
      <c r="D778" s="136">
        <f>'[2]All Counts'!O778</f>
        <v>0</v>
      </c>
      <c r="E778" s="136">
        <f>'[2]All Counts'!P778</f>
        <v>0</v>
      </c>
      <c r="F778" s="137"/>
    </row>
    <row r="779" spans="1:6" x14ac:dyDescent="0.25">
      <c r="A779" s="136">
        <f>'[2]All Counts'!E779</f>
        <v>0</v>
      </c>
      <c r="B779" s="136">
        <f>'[2]All Counts'!M779</f>
        <v>0</v>
      </c>
      <c r="C779" s="136">
        <f>'[2]All Counts'!N779</f>
        <v>0</v>
      </c>
      <c r="D779" s="136">
        <f>'[2]All Counts'!O779</f>
        <v>0</v>
      </c>
      <c r="E779" s="136">
        <f>'[2]All Counts'!P779</f>
        <v>0</v>
      </c>
      <c r="F779" s="137"/>
    </row>
    <row r="780" spans="1:6" x14ac:dyDescent="0.25">
      <c r="A780" s="136">
        <f>'[2]All Counts'!E780</f>
        <v>0</v>
      </c>
      <c r="B780" s="136">
        <f>'[2]All Counts'!M780</f>
        <v>0</v>
      </c>
      <c r="C780" s="136">
        <f>'[2]All Counts'!N780</f>
        <v>0</v>
      </c>
      <c r="D780" s="136">
        <f>'[2]All Counts'!O780</f>
        <v>0</v>
      </c>
      <c r="E780" s="136">
        <f>'[2]All Counts'!P780</f>
        <v>0</v>
      </c>
      <c r="F780" s="137"/>
    </row>
    <row r="781" spans="1:6" x14ac:dyDescent="0.25">
      <c r="A781" s="136">
        <f>'[2]All Counts'!E781</f>
        <v>0</v>
      </c>
      <c r="B781" s="136">
        <f>'[2]All Counts'!M781</f>
        <v>0</v>
      </c>
      <c r="C781" s="136">
        <f>'[2]All Counts'!N781</f>
        <v>0</v>
      </c>
      <c r="D781" s="136">
        <f>'[2]All Counts'!O781</f>
        <v>0</v>
      </c>
      <c r="E781" s="136">
        <f>'[2]All Counts'!P781</f>
        <v>0</v>
      </c>
      <c r="F781" s="137"/>
    </row>
    <row r="782" spans="1:6" x14ac:dyDescent="0.25">
      <c r="A782" s="136">
        <f>'[2]All Counts'!E782</f>
        <v>0</v>
      </c>
      <c r="B782" s="136">
        <f>'[2]All Counts'!M782</f>
        <v>0</v>
      </c>
      <c r="C782" s="136">
        <f>'[2]All Counts'!N782</f>
        <v>0</v>
      </c>
      <c r="D782" s="136">
        <f>'[2]All Counts'!O782</f>
        <v>0</v>
      </c>
      <c r="E782" s="136">
        <f>'[2]All Counts'!P782</f>
        <v>0</v>
      </c>
      <c r="F782" s="137"/>
    </row>
    <row r="783" spans="1:6" x14ac:dyDescent="0.25">
      <c r="A783" s="136">
        <f>'[2]All Counts'!E783</f>
        <v>0</v>
      </c>
      <c r="B783" s="136">
        <f>'[2]All Counts'!M783</f>
        <v>0</v>
      </c>
      <c r="C783" s="136">
        <f>'[2]All Counts'!N783</f>
        <v>0</v>
      </c>
      <c r="D783" s="136">
        <f>'[2]All Counts'!O783</f>
        <v>0</v>
      </c>
      <c r="E783" s="136">
        <f>'[2]All Counts'!P783</f>
        <v>0</v>
      </c>
      <c r="F783" s="137"/>
    </row>
    <row r="784" spans="1:6" x14ac:dyDescent="0.25">
      <c r="A784" s="136">
        <f>'[2]All Counts'!E784</f>
        <v>0</v>
      </c>
      <c r="B784" s="136">
        <f>'[2]All Counts'!M784</f>
        <v>0</v>
      </c>
      <c r="C784" s="136">
        <f>'[2]All Counts'!N784</f>
        <v>0</v>
      </c>
      <c r="D784" s="136">
        <f>'[2]All Counts'!O784</f>
        <v>0</v>
      </c>
      <c r="E784" s="136">
        <f>'[2]All Counts'!P784</f>
        <v>0</v>
      </c>
      <c r="F784" s="137"/>
    </row>
    <row r="785" spans="1:6" x14ac:dyDescent="0.25">
      <c r="A785" s="136">
        <f>'[2]All Counts'!E785</f>
        <v>0</v>
      </c>
      <c r="B785" s="136">
        <f>'[2]All Counts'!M785</f>
        <v>0</v>
      </c>
      <c r="C785" s="136">
        <f>'[2]All Counts'!N785</f>
        <v>0</v>
      </c>
      <c r="D785" s="136">
        <f>'[2]All Counts'!O785</f>
        <v>0</v>
      </c>
      <c r="E785" s="136">
        <f>'[2]All Counts'!P785</f>
        <v>0</v>
      </c>
      <c r="F785" s="137"/>
    </row>
    <row r="786" spans="1:6" x14ac:dyDescent="0.25">
      <c r="A786" s="136">
        <f>'[2]All Counts'!E786</f>
        <v>0</v>
      </c>
      <c r="B786" s="136">
        <f>'[2]All Counts'!M786</f>
        <v>0</v>
      </c>
      <c r="C786" s="136">
        <f>'[2]All Counts'!N786</f>
        <v>0</v>
      </c>
      <c r="D786" s="136">
        <f>'[2]All Counts'!O786</f>
        <v>0</v>
      </c>
      <c r="E786" s="136">
        <f>'[2]All Counts'!P786</f>
        <v>0</v>
      </c>
      <c r="F786" s="137"/>
    </row>
    <row r="787" spans="1:6" x14ac:dyDescent="0.25">
      <c r="A787" s="136">
        <f>'[2]All Counts'!E787</f>
        <v>0</v>
      </c>
      <c r="B787" s="136">
        <f>'[2]All Counts'!M787</f>
        <v>0</v>
      </c>
      <c r="C787" s="136">
        <f>'[2]All Counts'!N787</f>
        <v>0</v>
      </c>
      <c r="D787" s="136">
        <f>'[2]All Counts'!O787</f>
        <v>0</v>
      </c>
      <c r="E787" s="136">
        <f>'[2]All Counts'!P787</f>
        <v>0</v>
      </c>
      <c r="F787" s="137"/>
    </row>
    <row r="788" spans="1:6" x14ac:dyDescent="0.25">
      <c r="A788" s="136">
        <f>'[2]All Counts'!E788</f>
        <v>0</v>
      </c>
      <c r="B788" s="136">
        <f>'[2]All Counts'!M788</f>
        <v>0</v>
      </c>
      <c r="C788" s="136">
        <f>'[2]All Counts'!N788</f>
        <v>0</v>
      </c>
      <c r="D788" s="136">
        <f>'[2]All Counts'!O788</f>
        <v>0</v>
      </c>
      <c r="E788" s="136">
        <f>'[2]All Counts'!P788</f>
        <v>0</v>
      </c>
      <c r="F788" s="137"/>
    </row>
    <row r="789" spans="1:6" x14ac:dyDescent="0.25">
      <c r="A789" s="136">
        <f>'[2]All Counts'!E789</f>
        <v>0</v>
      </c>
      <c r="B789" s="136">
        <f>'[2]All Counts'!M789</f>
        <v>0</v>
      </c>
      <c r="C789" s="136">
        <f>'[2]All Counts'!N789</f>
        <v>0</v>
      </c>
      <c r="D789" s="136">
        <f>'[2]All Counts'!O789</f>
        <v>0</v>
      </c>
      <c r="E789" s="136">
        <f>'[2]All Counts'!P789</f>
        <v>0</v>
      </c>
      <c r="F789" s="137"/>
    </row>
    <row r="790" spans="1:6" x14ac:dyDescent="0.25">
      <c r="A790" s="136">
        <f>'[2]All Counts'!E790</f>
        <v>0</v>
      </c>
      <c r="B790" s="136">
        <f>'[2]All Counts'!M790</f>
        <v>0</v>
      </c>
      <c r="C790" s="136">
        <f>'[2]All Counts'!N790</f>
        <v>0</v>
      </c>
      <c r="D790" s="136">
        <f>'[2]All Counts'!O790</f>
        <v>0</v>
      </c>
      <c r="E790" s="136">
        <f>'[2]All Counts'!P790</f>
        <v>0</v>
      </c>
      <c r="F790" s="137"/>
    </row>
    <row r="791" spans="1:6" x14ac:dyDescent="0.25">
      <c r="A791" s="136">
        <f>'[2]All Counts'!E791</f>
        <v>0</v>
      </c>
      <c r="B791" s="136">
        <f>'[2]All Counts'!M791</f>
        <v>0</v>
      </c>
      <c r="C791" s="136">
        <f>'[2]All Counts'!N791</f>
        <v>0</v>
      </c>
      <c r="D791" s="136">
        <f>'[2]All Counts'!O791</f>
        <v>0</v>
      </c>
      <c r="E791" s="136">
        <f>'[2]All Counts'!P791</f>
        <v>0</v>
      </c>
      <c r="F791" s="137"/>
    </row>
    <row r="792" spans="1:6" x14ac:dyDescent="0.25">
      <c r="A792" s="136">
        <f>'[2]All Counts'!E792</f>
        <v>0</v>
      </c>
      <c r="B792" s="136">
        <f>'[2]All Counts'!M792</f>
        <v>0</v>
      </c>
      <c r="C792" s="136">
        <f>'[2]All Counts'!N792</f>
        <v>0</v>
      </c>
      <c r="D792" s="136">
        <f>'[2]All Counts'!O792</f>
        <v>0</v>
      </c>
      <c r="E792" s="136">
        <f>'[2]All Counts'!P792</f>
        <v>0</v>
      </c>
      <c r="F792" s="137"/>
    </row>
    <row r="793" spans="1:6" x14ac:dyDescent="0.25">
      <c r="A793" s="136">
        <f>'[2]All Counts'!E793</f>
        <v>0</v>
      </c>
      <c r="B793" s="136">
        <f>'[2]All Counts'!M793</f>
        <v>0</v>
      </c>
      <c r="C793" s="136">
        <f>'[2]All Counts'!N793</f>
        <v>0</v>
      </c>
      <c r="D793" s="136">
        <f>'[2]All Counts'!O793</f>
        <v>0</v>
      </c>
      <c r="E793" s="136">
        <f>'[2]All Counts'!P793</f>
        <v>0</v>
      </c>
      <c r="F793" s="137"/>
    </row>
    <row r="794" spans="1:6" x14ac:dyDescent="0.25">
      <c r="A794" s="136">
        <f>'[2]All Counts'!E794</f>
        <v>0</v>
      </c>
      <c r="B794" s="136">
        <f>'[2]All Counts'!M794</f>
        <v>0</v>
      </c>
      <c r="C794" s="136">
        <f>'[2]All Counts'!N794</f>
        <v>0</v>
      </c>
      <c r="D794" s="136">
        <f>'[2]All Counts'!O794</f>
        <v>0</v>
      </c>
      <c r="E794" s="136">
        <f>'[2]All Counts'!P794</f>
        <v>0</v>
      </c>
      <c r="F794" s="137"/>
    </row>
    <row r="795" spans="1:6" x14ac:dyDescent="0.25">
      <c r="A795" s="136">
        <f>'[2]All Counts'!E795</f>
        <v>0</v>
      </c>
      <c r="B795" s="136">
        <f>'[2]All Counts'!M795</f>
        <v>0</v>
      </c>
      <c r="C795" s="136">
        <f>'[2]All Counts'!N795</f>
        <v>0</v>
      </c>
      <c r="D795" s="136">
        <f>'[2]All Counts'!O795</f>
        <v>0</v>
      </c>
      <c r="E795" s="136">
        <f>'[2]All Counts'!P795</f>
        <v>0</v>
      </c>
      <c r="F795" s="137"/>
    </row>
    <row r="796" spans="1:6" x14ac:dyDescent="0.25">
      <c r="A796" s="136">
        <f>'[2]All Counts'!E796</f>
        <v>0</v>
      </c>
      <c r="B796" s="136">
        <f>'[2]All Counts'!M796</f>
        <v>0</v>
      </c>
      <c r="C796" s="136">
        <f>'[2]All Counts'!N796</f>
        <v>0</v>
      </c>
      <c r="D796" s="136">
        <f>'[2]All Counts'!O796</f>
        <v>0</v>
      </c>
      <c r="E796" s="136">
        <f>'[2]All Counts'!P796</f>
        <v>0</v>
      </c>
      <c r="F796" s="137"/>
    </row>
    <row r="797" spans="1:6" x14ac:dyDescent="0.25">
      <c r="A797" s="136">
        <f>'[2]All Counts'!E797</f>
        <v>0</v>
      </c>
      <c r="B797" s="136">
        <f>'[2]All Counts'!M797</f>
        <v>0</v>
      </c>
      <c r="C797" s="136">
        <f>'[2]All Counts'!N797</f>
        <v>0</v>
      </c>
      <c r="D797" s="136">
        <f>'[2]All Counts'!O797</f>
        <v>0</v>
      </c>
      <c r="E797" s="136">
        <f>'[2]All Counts'!P797</f>
        <v>0</v>
      </c>
      <c r="F797" s="137"/>
    </row>
    <row r="798" spans="1:6" x14ac:dyDescent="0.25">
      <c r="A798" s="136">
        <f>'[2]All Counts'!E798</f>
        <v>0</v>
      </c>
      <c r="B798" s="136">
        <f>'[2]All Counts'!M798</f>
        <v>0</v>
      </c>
      <c r="C798" s="136">
        <f>'[2]All Counts'!N798</f>
        <v>0</v>
      </c>
      <c r="D798" s="136">
        <f>'[2]All Counts'!O798</f>
        <v>0</v>
      </c>
      <c r="E798" s="136">
        <f>'[2]All Counts'!P798</f>
        <v>0</v>
      </c>
      <c r="F798" s="137"/>
    </row>
    <row r="799" spans="1:6" x14ac:dyDescent="0.25">
      <c r="A799" s="136">
        <f>'[2]All Counts'!E799</f>
        <v>0</v>
      </c>
      <c r="B799" s="136">
        <f>'[2]All Counts'!M799</f>
        <v>0</v>
      </c>
      <c r="C799" s="136">
        <f>'[2]All Counts'!N799</f>
        <v>0</v>
      </c>
      <c r="D799" s="136">
        <f>'[2]All Counts'!O799</f>
        <v>0</v>
      </c>
      <c r="E799" s="136">
        <f>'[2]All Counts'!P799</f>
        <v>0</v>
      </c>
      <c r="F799" s="137"/>
    </row>
    <row r="800" spans="1:6" x14ac:dyDescent="0.25">
      <c r="A800" s="136">
        <f>'[2]All Counts'!E800</f>
        <v>0</v>
      </c>
      <c r="B800" s="136">
        <f>'[2]All Counts'!M800</f>
        <v>0</v>
      </c>
      <c r="C800" s="136">
        <f>'[2]All Counts'!N800</f>
        <v>0</v>
      </c>
      <c r="D800" s="136">
        <f>'[2]All Counts'!O800</f>
        <v>0</v>
      </c>
      <c r="E800" s="136">
        <f>'[2]All Counts'!P800</f>
        <v>0</v>
      </c>
      <c r="F800" s="137"/>
    </row>
    <row r="801" spans="1:6" x14ac:dyDescent="0.25">
      <c r="A801" s="136">
        <f>'[2]All Counts'!E801</f>
        <v>0</v>
      </c>
      <c r="B801" s="136">
        <f>'[2]All Counts'!M801</f>
        <v>0</v>
      </c>
      <c r="C801" s="136">
        <f>'[2]All Counts'!N801</f>
        <v>0</v>
      </c>
      <c r="D801" s="136">
        <f>'[2]All Counts'!O801</f>
        <v>0</v>
      </c>
      <c r="E801" s="136">
        <f>'[2]All Counts'!P801</f>
        <v>0</v>
      </c>
      <c r="F801" s="137"/>
    </row>
    <row r="802" spans="1:6" x14ac:dyDescent="0.25">
      <c r="A802" s="136">
        <f>'[2]All Counts'!E802</f>
        <v>0</v>
      </c>
      <c r="B802" s="136">
        <f>'[2]All Counts'!M802</f>
        <v>0</v>
      </c>
      <c r="C802" s="136">
        <f>'[2]All Counts'!N802</f>
        <v>0</v>
      </c>
      <c r="D802" s="136">
        <f>'[2]All Counts'!O802</f>
        <v>0</v>
      </c>
      <c r="E802" s="136">
        <f>'[2]All Counts'!P802</f>
        <v>0</v>
      </c>
      <c r="F802" s="137"/>
    </row>
    <row r="803" spans="1:6" x14ac:dyDescent="0.25">
      <c r="A803" s="136">
        <f>'[2]All Counts'!E803</f>
        <v>0</v>
      </c>
      <c r="B803" s="136">
        <f>'[2]All Counts'!M803</f>
        <v>0</v>
      </c>
      <c r="C803" s="136">
        <f>'[2]All Counts'!N803</f>
        <v>0</v>
      </c>
      <c r="D803" s="136">
        <f>'[2]All Counts'!O803</f>
        <v>0</v>
      </c>
      <c r="E803" s="136">
        <f>'[2]All Counts'!P803</f>
        <v>0</v>
      </c>
      <c r="F803" s="137"/>
    </row>
    <row r="804" spans="1:6" x14ac:dyDescent="0.25">
      <c r="A804" s="136">
        <f>'[2]All Counts'!E804</f>
        <v>0</v>
      </c>
      <c r="B804" s="136">
        <f>'[2]All Counts'!M804</f>
        <v>0</v>
      </c>
      <c r="C804" s="136">
        <f>'[2]All Counts'!N804</f>
        <v>0</v>
      </c>
      <c r="D804" s="136">
        <f>'[2]All Counts'!O804</f>
        <v>0</v>
      </c>
      <c r="E804" s="136">
        <f>'[2]All Counts'!P804</f>
        <v>0</v>
      </c>
      <c r="F804" s="137"/>
    </row>
    <row r="805" spans="1:6" x14ac:dyDescent="0.25">
      <c r="A805" s="136">
        <f>'[2]All Counts'!E805</f>
        <v>0</v>
      </c>
      <c r="B805" s="136">
        <f>'[2]All Counts'!M805</f>
        <v>0</v>
      </c>
      <c r="C805" s="136">
        <f>'[2]All Counts'!N805</f>
        <v>0</v>
      </c>
      <c r="D805" s="136">
        <f>'[2]All Counts'!O805</f>
        <v>0</v>
      </c>
      <c r="E805" s="136">
        <f>'[2]All Counts'!P805</f>
        <v>0</v>
      </c>
      <c r="F805" s="137"/>
    </row>
    <row r="806" spans="1:6" x14ac:dyDescent="0.25">
      <c r="A806" s="136">
        <f>'[2]All Counts'!E806</f>
        <v>0</v>
      </c>
      <c r="B806" s="136">
        <f>'[2]All Counts'!M806</f>
        <v>0</v>
      </c>
      <c r="C806" s="136">
        <f>'[2]All Counts'!N806</f>
        <v>0</v>
      </c>
      <c r="D806" s="136">
        <f>'[2]All Counts'!O806</f>
        <v>0</v>
      </c>
      <c r="E806" s="136">
        <f>'[2]All Counts'!P806</f>
        <v>0</v>
      </c>
      <c r="F806" s="137"/>
    </row>
    <row r="807" spans="1:6" x14ac:dyDescent="0.25">
      <c r="A807" s="136">
        <f>'[2]All Counts'!E807</f>
        <v>0</v>
      </c>
      <c r="B807" s="136">
        <f>'[2]All Counts'!M807</f>
        <v>0</v>
      </c>
      <c r="C807" s="136">
        <f>'[2]All Counts'!N807</f>
        <v>0</v>
      </c>
      <c r="D807" s="136">
        <f>'[2]All Counts'!O807</f>
        <v>0</v>
      </c>
      <c r="E807" s="136">
        <f>'[2]All Counts'!P807</f>
        <v>0</v>
      </c>
      <c r="F807" s="137"/>
    </row>
    <row r="808" spans="1:6" x14ac:dyDescent="0.25">
      <c r="A808" s="136">
        <f>'[2]All Counts'!E808</f>
        <v>0</v>
      </c>
      <c r="B808" s="136">
        <f>'[2]All Counts'!M808</f>
        <v>0</v>
      </c>
      <c r="C808" s="136">
        <f>'[2]All Counts'!N808</f>
        <v>0</v>
      </c>
      <c r="D808" s="136">
        <f>'[2]All Counts'!O808</f>
        <v>0</v>
      </c>
      <c r="E808" s="136">
        <f>'[2]All Counts'!P808</f>
        <v>0</v>
      </c>
      <c r="F808" s="137"/>
    </row>
    <row r="809" spans="1:6" x14ac:dyDescent="0.25">
      <c r="A809" s="136">
        <f>'[2]All Counts'!E809</f>
        <v>0</v>
      </c>
      <c r="B809" s="136">
        <f>'[2]All Counts'!M809</f>
        <v>0</v>
      </c>
      <c r="C809" s="136">
        <f>'[2]All Counts'!N809</f>
        <v>0</v>
      </c>
      <c r="D809" s="136">
        <f>'[2]All Counts'!O809</f>
        <v>0</v>
      </c>
      <c r="E809" s="136">
        <f>'[2]All Counts'!P809</f>
        <v>0</v>
      </c>
      <c r="F809" s="137"/>
    </row>
    <row r="810" spans="1:6" x14ac:dyDescent="0.25">
      <c r="A810" s="136">
        <f>'[2]All Counts'!E810</f>
        <v>0</v>
      </c>
      <c r="B810" s="136">
        <f>'[2]All Counts'!M810</f>
        <v>0</v>
      </c>
      <c r="C810" s="136">
        <f>'[2]All Counts'!N810</f>
        <v>0</v>
      </c>
      <c r="D810" s="136">
        <f>'[2]All Counts'!O810</f>
        <v>0</v>
      </c>
      <c r="E810" s="136">
        <f>'[2]All Counts'!P810</f>
        <v>0</v>
      </c>
      <c r="F810" s="137"/>
    </row>
    <row r="811" spans="1:6" x14ac:dyDescent="0.25">
      <c r="A811" s="136">
        <f>'[2]All Counts'!E811</f>
        <v>0</v>
      </c>
      <c r="B811" s="136">
        <f>'[2]All Counts'!M811</f>
        <v>0</v>
      </c>
      <c r="C811" s="136">
        <f>'[2]All Counts'!N811</f>
        <v>0</v>
      </c>
      <c r="D811" s="136">
        <f>'[2]All Counts'!O811</f>
        <v>0</v>
      </c>
      <c r="E811" s="136">
        <f>'[2]All Counts'!P811</f>
        <v>0</v>
      </c>
      <c r="F811" s="137"/>
    </row>
    <row r="812" spans="1:6" x14ac:dyDescent="0.25">
      <c r="A812" s="136">
        <f>'[2]All Counts'!E812</f>
        <v>0</v>
      </c>
      <c r="B812" s="136">
        <f>'[2]All Counts'!M812</f>
        <v>0</v>
      </c>
      <c r="C812" s="136">
        <f>'[2]All Counts'!N812</f>
        <v>0</v>
      </c>
      <c r="D812" s="136">
        <f>'[2]All Counts'!O812</f>
        <v>0</v>
      </c>
      <c r="E812" s="136">
        <f>'[2]All Counts'!P812</f>
        <v>0</v>
      </c>
      <c r="F812" s="137"/>
    </row>
    <row r="813" spans="1:6" x14ac:dyDescent="0.25">
      <c r="A813" s="136">
        <f>'[2]All Counts'!E813</f>
        <v>0</v>
      </c>
      <c r="B813" s="136">
        <f>'[2]All Counts'!M813</f>
        <v>0</v>
      </c>
      <c r="C813" s="136">
        <f>'[2]All Counts'!N813</f>
        <v>0</v>
      </c>
      <c r="D813" s="136">
        <f>'[2]All Counts'!O813</f>
        <v>0</v>
      </c>
      <c r="E813" s="136">
        <f>'[2]All Counts'!P813</f>
        <v>0</v>
      </c>
      <c r="F813" s="137"/>
    </row>
    <row r="814" spans="1:6" x14ac:dyDescent="0.25">
      <c r="A814" s="136">
        <f>'[2]All Counts'!E814</f>
        <v>0</v>
      </c>
      <c r="B814" s="136">
        <f>'[2]All Counts'!M814</f>
        <v>0</v>
      </c>
      <c r="C814" s="136">
        <f>'[2]All Counts'!N814</f>
        <v>0</v>
      </c>
      <c r="D814" s="136">
        <f>'[2]All Counts'!O814</f>
        <v>0</v>
      </c>
      <c r="E814" s="136">
        <f>'[2]All Counts'!P814</f>
        <v>0</v>
      </c>
      <c r="F814" s="137"/>
    </row>
    <row r="815" spans="1:6" x14ac:dyDescent="0.25">
      <c r="A815" s="136">
        <f>'[2]All Counts'!E815</f>
        <v>0</v>
      </c>
      <c r="B815" s="136">
        <f>'[2]All Counts'!M815</f>
        <v>0</v>
      </c>
      <c r="C815" s="136">
        <f>'[2]All Counts'!N815</f>
        <v>0</v>
      </c>
      <c r="D815" s="136">
        <f>'[2]All Counts'!O815</f>
        <v>0</v>
      </c>
      <c r="E815" s="136">
        <f>'[2]All Counts'!P815</f>
        <v>0</v>
      </c>
      <c r="F815" s="137"/>
    </row>
    <row r="816" spans="1:6" x14ac:dyDescent="0.25">
      <c r="A816" s="136">
        <f>'[2]All Counts'!E816</f>
        <v>0</v>
      </c>
      <c r="B816" s="136">
        <f>'[2]All Counts'!M816</f>
        <v>0</v>
      </c>
      <c r="C816" s="136">
        <f>'[2]All Counts'!N816</f>
        <v>0</v>
      </c>
      <c r="D816" s="136">
        <f>'[2]All Counts'!O816</f>
        <v>0</v>
      </c>
      <c r="E816" s="136">
        <f>'[2]All Counts'!P816</f>
        <v>0</v>
      </c>
      <c r="F816" s="137"/>
    </row>
    <row r="817" spans="1:6" x14ac:dyDescent="0.25">
      <c r="A817" s="136">
        <f>'[2]All Counts'!E817</f>
        <v>0</v>
      </c>
      <c r="B817" s="136">
        <f>'[2]All Counts'!M817</f>
        <v>0</v>
      </c>
      <c r="C817" s="136">
        <f>'[2]All Counts'!N817</f>
        <v>0</v>
      </c>
      <c r="D817" s="136">
        <f>'[2]All Counts'!O817</f>
        <v>0</v>
      </c>
      <c r="E817" s="136">
        <f>'[2]All Counts'!P817</f>
        <v>0</v>
      </c>
      <c r="F817" s="137"/>
    </row>
    <row r="818" spans="1:6" x14ac:dyDescent="0.25">
      <c r="A818" s="136">
        <f>'[2]All Counts'!E818</f>
        <v>0</v>
      </c>
      <c r="B818" s="136">
        <f>'[2]All Counts'!M818</f>
        <v>0</v>
      </c>
      <c r="C818" s="136">
        <f>'[2]All Counts'!N818</f>
        <v>0</v>
      </c>
      <c r="D818" s="136">
        <f>'[2]All Counts'!O818</f>
        <v>0</v>
      </c>
      <c r="E818" s="136">
        <f>'[2]All Counts'!P818</f>
        <v>0</v>
      </c>
      <c r="F818" s="137"/>
    </row>
    <row r="819" spans="1:6" x14ac:dyDescent="0.25">
      <c r="A819" s="136">
        <f>'[2]All Counts'!E819</f>
        <v>0</v>
      </c>
      <c r="B819" s="136">
        <f>'[2]All Counts'!M819</f>
        <v>0</v>
      </c>
      <c r="C819" s="136">
        <f>'[2]All Counts'!N819</f>
        <v>0</v>
      </c>
      <c r="D819" s="136">
        <f>'[2]All Counts'!O819</f>
        <v>0</v>
      </c>
      <c r="E819" s="136">
        <f>'[2]All Counts'!P819</f>
        <v>0</v>
      </c>
      <c r="F819" s="137"/>
    </row>
    <row r="820" spans="1:6" x14ac:dyDescent="0.25">
      <c r="A820" s="136">
        <f>'[2]All Counts'!E820</f>
        <v>0</v>
      </c>
      <c r="B820" s="136">
        <f>'[2]All Counts'!M820</f>
        <v>0</v>
      </c>
      <c r="C820" s="136">
        <f>'[2]All Counts'!N820</f>
        <v>0</v>
      </c>
      <c r="D820" s="136">
        <f>'[2]All Counts'!O820</f>
        <v>0</v>
      </c>
      <c r="E820" s="136">
        <f>'[2]All Counts'!P820</f>
        <v>0</v>
      </c>
      <c r="F820" s="137"/>
    </row>
    <row r="821" spans="1:6" x14ac:dyDescent="0.25">
      <c r="A821" s="136">
        <f>'[2]All Counts'!E821</f>
        <v>0</v>
      </c>
      <c r="B821" s="136">
        <f>'[2]All Counts'!M821</f>
        <v>0</v>
      </c>
      <c r="C821" s="136">
        <f>'[2]All Counts'!N821</f>
        <v>0</v>
      </c>
      <c r="D821" s="136">
        <f>'[2]All Counts'!O821</f>
        <v>0</v>
      </c>
      <c r="E821" s="136">
        <f>'[2]All Counts'!P821</f>
        <v>0</v>
      </c>
      <c r="F821" s="137"/>
    </row>
    <row r="822" spans="1:6" x14ac:dyDescent="0.25">
      <c r="A822" s="136">
        <f>'[2]All Counts'!E822</f>
        <v>0</v>
      </c>
      <c r="B822" s="136">
        <f>'[2]All Counts'!M822</f>
        <v>0</v>
      </c>
      <c r="C822" s="136">
        <f>'[2]All Counts'!N822</f>
        <v>0</v>
      </c>
      <c r="D822" s="136">
        <f>'[2]All Counts'!O822</f>
        <v>0</v>
      </c>
      <c r="E822" s="136">
        <f>'[2]All Counts'!P822</f>
        <v>0</v>
      </c>
      <c r="F822" s="137"/>
    </row>
    <row r="823" spans="1:6" x14ac:dyDescent="0.25">
      <c r="A823" s="136">
        <f>'[2]All Counts'!E823</f>
        <v>0</v>
      </c>
      <c r="B823" s="136">
        <f>'[2]All Counts'!M823</f>
        <v>0</v>
      </c>
      <c r="C823" s="136">
        <f>'[2]All Counts'!N823</f>
        <v>0</v>
      </c>
      <c r="D823" s="136">
        <f>'[2]All Counts'!O823</f>
        <v>0</v>
      </c>
      <c r="E823" s="136">
        <f>'[2]All Counts'!P823</f>
        <v>0</v>
      </c>
      <c r="F823" s="137"/>
    </row>
    <row r="824" spans="1:6" x14ac:dyDescent="0.25">
      <c r="A824" s="136">
        <f>'[2]All Counts'!E824</f>
        <v>0</v>
      </c>
      <c r="B824" s="136">
        <f>'[2]All Counts'!M824</f>
        <v>0</v>
      </c>
      <c r="C824" s="136">
        <f>'[2]All Counts'!N824</f>
        <v>0</v>
      </c>
      <c r="D824" s="136">
        <f>'[2]All Counts'!O824</f>
        <v>0</v>
      </c>
      <c r="E824" s="136">
        <f>'[2]All Counts'!P824</f>
        <v>0</v>
      </c>
      <c r="F824" s="137"/>
    </row>
    <row r="825" spans="1:6" x14ac:dyDescent="0.25">
      <c r="A825" s="136">
        <f>'[2]All Counts'!E825</f>
        <v>0</v>
      </c>
      <c r="B825" s="136">
        <f>'[2]All Counts'!M825</f>
        <v>0</v>
      </c>
      <c r="C825" s="136">
        <f>'[2]All Counts'!N825</f>
        <v>0</v>
      </c>
      <c r="D825" s="136">
        <f>'[2]All Counts'!O825</f>
        <v>0</v>
      </c>
      <c r="E825" s="136">
        <f>'[2]All Counts'!P825</f>
        <v>0</v>
      </c>
      <c r="F825" s="137"/>
    </row>
    <row r="826" spans="1:6" x14ac:dyDescent="0.25">
      <c r="A826" s="136">
        <f>'[2]All Counts'!E826</f>
        <v>0</v>
      </c>
      <c r="B826" s="136">
        <f>'[2]All Counts'!M826</f>
        <v>0</v>
      </c>
      <c r="C826" s="136">
        <f>'[2]All Counts'!N826</f>
        <v>0</v>
      </c>
      <c r="D826" s="136">
        <f>'[2]All Counts'!O826</f>
        <v>0</v>
      </c>
      <c r="E826" s="136">
        <f>'[2]All Counts'!P826</f>
        <v>0</v>
      </c>
      <c r="F826" s="137"/>
    </row>
    <row r="827" spans="1:6" x14ac:dyDescent="0.25">
      <c r="A827" s="136">
        <f>'[2]All Counts'!E827</f>
        <v>0</v>
      </c>
      <c r="B827" s="136">
        <f>'[2]All Counts'!M827</f>
        <v>0</v>
      </c>
      <c r="C827" s="136">
        <f>'[2]All Counts'!N827</f>
        <v>0</v>
      </c>
      <c r="D827" s="136">
        <f>'[2]All Counts'!O827</f>
        <v>0</v>
      </c>
      <c r="E827" s="136">
        <f>'[2]All Counts'!P827</f>
        <v>0</v>
      </c>
      <c r="F827" s="137"/>
    </row>
    <row r="828" spans="1:6" x14ac:dyDescent="0.25">
      <c r="A828" s="136">
        <f>'[2]All Counts'!E828</f>
        <v>0</v>
      </c>
      <c r="B828" s="136">
        <f>'[2]All Counts'!M828</f>
        <v>0</v>
      </c>
      <c r="C828" s="136">
        <f>'[2]All Counts'!N828</f>
        <v>0</v>
      </c>
      <c r="D828" s="136">
        <f>'[2]All Counts'!O828</f>
        <v>0</v>
      </c>
      <c r="E828" s="136">
        <f>'[2]All Counts'!P828</f>
        <v>0</v>
      </c>
      <c r="F828" s="137"/>
    </row>
    <row r="829" spans="1:6" x14ac:dyDescent="0.25">
      <c r="A829" s="136">
        <f>'[2]All Counts'!E829</f>
        <v>0</v>
      </c>
      <c r="B829" s="136">
        <f>'[2]All Counts'!M829</f>
        <v>0</v>
      </c>
      <c r="C829" s="136">
        <f>'[2]All Counts'!N829</f>
        <v>0</v>
      </c>
      <c r="D829" s="136">
        <f>'[2]All Counts'!O829</f>
        <v>0</v>
      </c>
      <c r="E829" s="136">
        <f>'[2]All Counts'!P829</f>
        <v>0</v>
      </c>
      <c r="F829" s="137"/>
    </row>
    <row r="830" spans="1:6" x14ac:dyDescent="0.25">
      <c r="A830" s="136">
        <f>'[2]All Counts'!E830</f>
        <v>0</v>
      </c>
      <c r="B830" s="136">
        <f>'[2]All Counts'!M830</f>
        <v>0</v>
      </c>
      <c r="C830" s="136">
        <f>'[2]All Counts'!N830</f>
        <v>0</v>
      </c>
      <c r="D830" s="136">
        <f>'[2]All Counts'!O830</f>
        <v>0</v>
      </c>
      <c r="E830" s="136">
        <f>'[2]All Counts'!P830</f>
        <v>0</v>
      </c>
      <c r="F830" s="137"/>
    </row>
    <row r="831" spans="1:6" x14ac:dyDescent="0.25">
      <c r="A831" s="136">
        <f>'[2]All Counts'!E831</f>
        <v>0</v>
      </c>
      <c r="B831" s="136">
        <f>'[2]All Counts'!M831</f>
        <v>0</v>
      </c>
      <c r="C831" s="136">
        <f>'[2]All Counts'!N831</f>
        <v>0</v>
      </c>
      <c r="D831" s="136">
        <f>'[2]All Counts'!O831</f>
        <v>0</v>
      </c>
      <c r="E831" s="136">
        <f>'[2]All Counts'!P831</f>
        <v>0</v>
      </c>
      <c r="F831" s="137"/>
    </row>
    <row r="832" spans="1:6" x14ac:dyDescent="0.25">
      <c r="A832" s="136">
        <f>'[2]All Counts'!E832</f>
        <v>0</v>
      </c>
      <c r="B832" s="136">
        <f>'[2]All Counts'!M832</f>
        <v>0</v>
      </c>
      <c r="C832" s="136">
        <f>'[2]All Counts'!N832</f>
        <v>0</v>
      </c>
      <c r="D832" s="136">
        <f>'[2]All Counts'!O832</f>
        <v>0</v>
      </c>
      <c r="E832" s="136">
        <f>'[2]All Counts'!P832</f>
        <v>0</v>
      </c>
      <c r="F832" s="137"/>
    </row>
    <row r="833" spans="1:6" x14ac:dyDescent="0.25">
      <c r="A833" s="136">
        <f>'[2]All Counts'!E833</f>
        <v>0</v>
      </c>
      <c r="B833" s="136">
        <f>'[2]All Counts'!M833</f>
        <v>0</v>
      </c>
      <c r="C833" s="136">
        <f>'[2]All Counts'!N833</f>
        <v>0</v>
      </c>
      <c r="D833" s="136">
        <f>'[2]All Counts'!O833</f>
        <v>0</v>
      </c>
      <c r="E833" s="136">
        <f>'[2]All Counts'!P833</f>
        <v>0</v>
      </c>
      <c r="F833" s="137"/>
    </row>
    <row r="834" spans="1:6" x14ac:dyDescent="0.25">
      <c r="A834" s="136">
        <f>'[2]All Counts'!E834</f>
        <v>0</v>
      </c>
      <c r="B834" s="136">
        <f>'[2]All Counts'!M834</f>
        <v>0</v>
      </c>
      <c r="C834" s="136">
        <f>'[2]All Counts'!N834</f>
        <v>0</v>
      </c>
      <c r="D834" s="136">
        <f>'[2]All Counts'!O834</f>
        <v>0</v>
      </c>
      <c r="E834" s="136">
        <f>'[2]All Counts'!P834</f>
        <v>0</v>
      </c>
      <c r="F834" s="137"/>
    </row>
    <row r="835" spans="1:6" x14ac:dyDescent="0.25">
      <c r="A835" s="136">
        <f>'[2]All Counts'!E835</f>
        <v>0</v>
      </c>
      <c r="B835" s="136">
        <f>'[2]All Counts'!M835</f>
        <v>0</v>
      </c>
      <c r="C835" s="136">
        <f>'[2]All Counts'!N835</f>
        <v>0</v>
      </c>
      <c r="D835" s="136">
        <f>'[2]All Counts'!O835</f>
        <v>0</v>
      </c>
      <c r="E835" s="136">
        <f>'[2]All Counts'!P835</f>
        <v>0</v>
      </c>
      <c r="F835" s="137"/>
    </row>
    <row r="836" spans="1:6" x14ac:dyDescent="0.25">
      <c r="A836" s="136">
        <f>'[2]All Counts'!E836</f>
        <v>0</v>
      </c>
      <c r="B836" s="136">
        <f>'[2]All Counts'!M836</f>
        <v>0</v>
      </c>
      <c r="C836" s="136">
        <f>'[2]All Counts'!N836</f>
        <v>0</v>
      </c>
      <c r="D836" s="136">
        <f>'[2]All Counts'!O836</f>
        <v>0</v>
      </c>
      <c r="E836" s="136">
        <f>'[2]All Counts'!P836</f>
        <v>0</v>
      </c>
      <c r="F836" s="137"/>
    </row>
    <row r="837" spans="1:6" x14ac:dyDescent="0.25">
      <c r="A837" s="136">
        <f>'[2]All Counts'!E837</f>
        <v>0</v>
      </c>
      <c r="B837" s="136">
        <f>'[2]All Counts'!M837</f>
        <v>0</v>
      </c>
      <c r="C837" s="136">
        <f>'[2]All Counts'!N837</f>
        <v>0</v>
      </c>
      <c r="D837" s="136">
        <f>'[2]All Counts'!O837</f>
        <v>0</v>
      </c>
      <c r="E837" s="136">
        <f>'[2]All Counts'!P837</f>
        <v>0</v>
      </c>
      <c r="F837" s="137"/>
    </row>
    <row r="838" spans="1:6" x14ac:dyDescent="0.25">
      <c r="A838" s="136">
        <f>'[2]All Counts'!E838</f>
        <v>0</v>
      </c>
      <c r="B838" s="136">
        <f>'[2]All Counts'!M838</f>
        <v>0</v>
      </c>
      <c r="C838" s="136">
        <f>'[2]All Counts'!N838</f>
        <v>0</v>
      </c>
      <c r="D838" s="136">
        <f>'[2]All Counts'!O838</f>
        <v>0</v>
      </c>
      <c r="E838" s="136">
        <f>'[2]All Counts'!P838</f>
        <v>0</v>
      </c>
      <c r="F838" s="137"/>
    </row>
    <row r="839" spans="1:6" x14ac:dyDescent="0.25">
      <c r="A839" s="136">
        <f>'[2]All Counts'!E839</f>
        <v>0</v>
      </c>
      <c r="B839" s="136">
        <f>'[2]All Counts'!M839</f>
        <v>0</v>
      </c>
      <c r="C839" s="136">
        <f>'[2]All Counts'!N839</f>
        <v>0</v>
      </c>
      <c r="D839" s="136">
        <f>'[2]All Counts'!O839</f>
        <v>0</v>
      </c>
      <c r="E839" s="136">
        <f>'[2]All Counts'!P839</f>
        <v>0</v>
      </c>
      <c r="F839" s="137"/>
    </row>
    <row r="840" spans="1:6" x14ac:dyDescent="0.25">
      <c r="A840" s="136">
        <f>'[2]All Counts'!E840</f>
        <v>0</v>
      </c>
      <c r="B840" s="136">
        <f>'[2]All Counts'!M840</f>
        <v>0</v>
      </c>
      <c r="C840" s="136">
        <f>'[2]All Counts'!N840</f>
        <v>0</v>
      </c>
      <c r="D840" s="136">
        <f>'[2]All Counts'!O840</f>
        <v>0</v>
      </c>
      <c r="E840" s="136">
        <f>'[2]All Counts'!P840</f>
        <v>0</v>
      </c>
      <c r="F840" s="137"/>
    </row>
    <row r="841" spans="1:6" x14ac:dyDescent="0.25">
      <c r="A841" s="136">
        <f>'[2]All Counts'!E841</f>
        <v>0</v>
      </c>
      <c r="B841" s="136">
        <f>'[2]All Counts'!M841</f>
        <v>0</v>
      </c>
      <c r="C841" s="136">
        <f>'[2]All Counts'!N841</f>
        <v>0</v>
      </c>
      <c r="D841" s="136">
        <f>'[2]All Counts'!O841</f>
        <v>0</v>
      </c>
      <c r="E841" s="136">
        <f>'[2]All Counts'!P841</f>
        <v>0</v>
      </c>
      <c r="F841" s="137"/>
    </row>
    <row r="842" spans="1:6" x14ac:dyDescent="0.25">
      <c r="A842" s="136">
        <f>'[2]All Counts'!E842</f>
        <v>0</v>
      </c>
      <c r="B842" s="136">
        <f>'[2]All Counts'!M842</f>
        <v>0</v>
      </c>
      <c r="C842" s="136">
        <f>'[2]All Counts'!N842</f>
        <v>0</v>
      </c>
      <c r="D842" s="136">
        <f>'[2]All Counts'!O842</f>
        <v>0</v>
      </c>
      <c r="E842" s="136">
        <f>'[2]All Counts'!P842</f>
        <v>0</v>
      </c>
      <c r="F842" s="137"/>
    </row>
    <row r="843" spans="1:6" x14ac:dyDescent="0.25">
      <c r="A843" s="136">
        <f>'[2]All Counts'!E843</f>
        <v>0</v>
      </c>
      <c r="B843" s="136">
        <f>'[2]All Counts'!M843</f>
        <v>0</v>
      </c>
      <c r="C843" s="136">
        <f>'[2]All Counts'!N843</f>
        <v>0</v>
      </c>
      <c r="D843" s="136">
        <f>'[2]All Counts'!O843</f>
        <v>0</v>
      </c>
      <c r="E843" s="136">
        <f>'[2]All Counts'!P843</f>
        <v>0</v>
      </c>
      <c r="F843" s="137"/>
    </row>
    <row r="844" spans="1:6" x14ac:dyDescent="0.25">
      <c r="A844" s="136">
        <f>'[2]All Counts'!E844</f>
        <v>0</v>
      </c>
      <c r="B844" s="136">
        <f>'[2]All Counts'!M844</f>
        <v>0</v>
      </c>
      <c r="C844" s="136">
        <f>'[2]All Counts'!N844</f>
        <v>0</v>
      </c>
      <c r="D844" s="136">
        <f>'[2]All Counts'!O844</f>
        <v>0</v>
      </c>
      <c r="E844" s="136">
        <f>'[2]All Counts'!P844</f>
        <v>0</v>
      </c>
      <c r="F844" s="137"/>
    </row>
    <row r="845" spans="1:6" x14ac:dyDescent="0.25">
      <c r="A845" s="136">
        <f>'[2]All Counts'!E845</f>
        <v>0</v>
      </c>
      <c r="B845" s="136">
        <f>'[2]All Counts'!M845</f>
        <v>0</v>
      </c>
      <c r="C845" s="136">
        <f>'[2]All Counts'!N845</f>
        <v>0</v>
      </c>
      <c r="D845" s="136">
        <f>'[2]All Counts'!O845</f>
        <v>0</v>
      </c>
      <c r="E845" s="136">
        <f>'[2]All Counts'!P845</f>
        <v>0</v>
      </c>
      <c r="F845" s="137"/>
    </row>
    <row r="846" spans="1:6" x14ac:dyDescent="0.25">
      <c r="A846" s="136">
        <f>'[2]All Counts'!E846</f>
        <v>0</v>
      </c>
      <c r="B846" s="136">
        <f>'[2]All Counts'!M846</f>
        <v>0</v>
      </c>
      <c r="C846" s="136">
        <f>'[2]All Counts'!N846</f>
        <v>0</v>
      </c>
      <c r="D846" s="136">
        <f>'[2]All Counts'!O846</f>
        <v>0</v>
      </c>
      <c r="E846" s="136">
        <f>'[2]All Counts'!P846</f>
        <v>0</v>
      </c>
      <c r="F846" s="137"/>
    </row>
    <row r="847" spans="1:6" x14ac:dyDescent="0.25">
      <c r="A847" s="136">
        <f>'[2]All Counts'!E847</f>
        <v>0</v>
      </c>
      <c r="B847" s="136">
        <f>'[2]All Counts'!M847</f>
        <v>0</v>
      </c>
      <c r="C847" s="136">
        <f>'[2]All Counts'!N847</f>
        <v>0</v>
      </c>
      <c r="D847" s="136">
        <f>'[2]All Counts'!O847</f>
        <v>0</v>
      </c>
      <c r="E847" s="136">
        <f>'[2]All Counts'!P847</f>
        <v>0</v>
      </c>
      <c r="F847" s="137"/>
    </row>
    <row r="848" spans="1:6" x14ac:dyDescent="0.25">
      <c r="A848" s="136">
        <f>'[2]All Counts'!E848</f>
        <v>0</v>
      </c>
      <c r="B848" s="136">
        <f>'[2]All Counts'!M848</f>
        <v>0</v>
      </c>
      <c r="C848" s="136">
        <f>'[2]All Counts'!N848</f>
        <v>0</v>
      </c>
      <c r="D848" s="136">
        <f>'[2]All Counts'!O848</f>
        <v>0</v>
      </c>
      <c r="E848" s="136">
        <f>'[2]All Counts'!P848</f>
        <v>0</v>
      </c>
      <c r="F848" s="137"/>
    </row>
    <row r="849" spans="1:6" x14ac:dyDescent="0.25">
      <c r="A849" s="136">
        <f>'[2]All Counts'!E849</f>
        <v>0</v>
      </c>
      <c r="B849" s="136">
        <f>'[2]All Counts'!M849</f>
        <v>0</v>
      </c>
      <c r="C849" s="136">
        <f>'[2]All Counts'!N849</f>
        <v>0</v>
      </c>
      <c r="D849" s="136">
        <f>'[2]All Counts'!O849</f>
        <v>0</v>
      </c>
      <c r="E849" s="136">
        <f>'[2]All Counts'!P849</f>
        <v>0</v>
      </c>
      <c r="F849" s="137"/>
    </row>
    <row r="850" spans="1:6" x14ac:dyDescent="0.25">
      <c r="A850" s="136">
        <f>'[2]All Counts'!E850</f>
        <v>0</v>
      </c>
      <c r="B850" s="136">
        <f>'[2]All Counts'!M850</f>
        <v>0</v>
      </c>
      <c r="C850" s="136">
        <f>'[2]All Counts'!N850</f>
        <v>0</v>
      </c>
      <c r="D850" s="136">
        <f>'[2]All Counts'!O850</f>
        <v>0</v>
      </c>
      <c r="E850" s="136">
        <f>'[2]All Counts'!P850</f>
        <v>0</v>
      </c>
      <c r="F850" s="137"/>
    </row>
    <row r="851" spans="1:6" x14ac:dyDescent="0.25">
      <c r="A851" s="136">
        <f>'[2]All Counts'!E851</f>
        <v>0</v>
      </c>
      <c r="B851" s="136">
        <f>'[2]All Counts'!M851</f>
        <v>0</v>
      </c>
      <c r="C851" s="136">
        <f>'[2]All Counts'!N851</f>
        <v>0</v>
      </c>
      <c r="D851" s="136">
        <f>'[2]All Counts'!O851</f>
        <v>0</v>
      </c>
      <c r="E851" s="136">
        <f>'[2]All Counts'!P851</f>
        <v>0</v>
      </c>
      <c r="F851" s="137"/>
    </row>
    <row r="852" spans="1:6" x14ac:dyDescent="0.25">
      <c r="A852" s="136">
        <f>'[2]All Counts'!E852</f>
        <v>0</v>
      </c>
      <c r="B852" s="136">
        <f>'[2]All Counts'!M852</f>
        <v>0</v>
      </c>
      <c r="C852" s="136">
        <f>'[2]All Counts'!N852</f>
        <v>0</v>
      </c>
      <c r="D852" s="136">
        <f>'[2]All Counts'!O852</f>
        <v>0</v>
      </c>
      <c r="E852" s="136">
        <f>'[2]All Counts'!P852</f>
        <v>0</v>
      </c>
      <c r="F852" s="137"/>
    </row>
    <row r="853" spans="1:6" x14ac:dyDescent="0.25">
      <c r="A853" s="136">
        <f>'[2]All Counts'!E853</f>
        <v>0</v>
      </c>
      <c r="B853" s="136">
        <f>'[2]All Counts'!M853</f>
        <v>0</v>
      </c>
      <c r="C853" s="136">
        <f>'[2]All Counts'!N853</f>
        <v>0</v>
      </c>
      <c r="D853" s="136">
        <f>'[2]All Counts'!O853</f>
        <v>0</v>
      </c>
      <c r="E853" s="136">
        <f>'[2]All Counts'!P853</f>
        <v>0</v>
      </c>
      <c r="F853" s="137"/>
    </row>
    <row r="854" spans="1:6" x14ac:dyDescent="0.25">
      <c r="A854" s="136">
        <f>'[2]All Counts'!E854</f>
        <v>0</v>
      </c>
      <c r="B854" s="136">
        <f>'[2]All Counts'!M854</f>
        <v>0</v>
      </c>
      <c r="C854" s="136">
        <f>'[2]All Counts'!N854</f>
        <v>0</v>
      </c>
      <c r="D854" s="136">
        <f>'[2]All Counts'!O854</f>
        <v>0</v>
      </c>
      <c r="E854" s="136">
        <f>'[2]All Counts'!P854</f>
        <v>0</v>
      </c>
      <c r="F854" s="137"/>
    </row>
    <row r="855" spans="1:6" x14ac:dyDescent="0.25">
      <c r="A855" s="136">
        <f>'[2]All Counts'!E855</f>
        <v>0</v>
      </c>
      <c r="B855" s="136">
        <f>'[2]All Counts'!M855</f>
        <v>0</v>
      </c>
      <c r="C855" s="136">
        <f>'[2]All Counts'!N855</f>
        <v>0</v>
      </c>
      <c r="D855" s="136">
        <f>'[2]All Counts'!O855</f>
        <v>0</v>
      </c>
      <c r="E855" s="136">
        <f>'[2]All Counts'!P855</f>
        <v>0</v>
      </c>
      <c r="F855" s="137"/>
    </row>
    <row r="856" spans="1:6" x14ac:dyDescent="0.25">
      <c r="A856" s="136">
        <f>'[2]All Counts'!E856</f>
        <v>0</v>
      </c>
      <c r="B856" s="136">
        <f>'[2]All Counts'!M856</f>
        <v>0</v>
      </c>
      <c r="C856" s="136">
        <f>'[2]All Counts'!N856</f>
        <v>0</v>
      </c>
      <c r="D856" s="136">
        <f>'[2]All Counts'!O856</f>
        <v>0</v>
      </c>
      <c r="E856" s="136">
        <f>'[2]All Counts'!P856</f>
        <v>0</v>
      </c>
      <c r="F856" s="137"/>
    </row>
    <row r="857" spans="1:6" x14ac:dyDescent="0.25">
      <c r="A857" s="136">
        <f>'[2]All Counts'!E857</f>
        <v>0</v>
      </c>
      <c r="B857" s="136">
        <f>'[2]All Counts'!M857</f>
        <v>0</v>
      </c>
      <c r="C857" s="136">
        <f>'[2]All Counts'!N857</f>
        <v>0</v>
      </c>
      <c r="D857" s="136">
        <f>'[2]All Counts'!O857</f>
        <v>0</v>
      </c>
      <c r="E857" s="136">
        <f>'[2]All Counts'!P857</f>
        <v>0</v>
      </c>
      <c r="F857" s="137"/>
    </row>
    <row r="858" spans="1:6" x14ac:dyDescent="0.25">
      <c r="A858" s="136">
        <f>'[2]All Counts'!E858</f>
        <v>0</v>
      </c>
      <c r="B858" s="136">
        <f>'[2]All Counts'!M858</f>
        <v>0</v>
      </c>
      <c r="C858" s="136">
        <f>'[2]All Counts'!N858</f>
        <v>0</v>
      </c>
      <c r="D858" s="136">
        <f>'[2]All Counts'!O858</f>
        <v>0</v>
      </c>
      <c r="E858" s="136">
        <f>'[2]All Counts'!P858</f>
        <v>0</v>
      </c>
      <c r="F858" s="137"/>
    </row>
    <row r="859" spans="1:6" x14ac:dyDescent="0.25">
      <c r="A859" s="136">
        <f>'[2]All Counts'!E859</f>
        <v>0</v>
      </c>
      <c r="B859" s="136">
        <f>'[2]All Counts'!M859</f>
        <v>0</v>
      </c>
      <c r="C859" s="136">
        <f>'[2]All Counts'!N859</f>
        <v>0</v>
      </c>
      <c r="D859" s="136">
        <f>'[2]All Counts'!O859</f>
        <v>0</v>
      </c>
      <c r="E859" s="136">
        <f>'[2]All Counts'!P859</f>
        <v>0</v>
      </c>
      <c r="F859" s="137"/>
    </row>
    <row r="860" spans="1:6" x14ac:dyDescent="0.25">
      <c r="A860" s="136">
        <f>'[2]All Counts'!E860</f>
        <v>0</v>
      </c>
      <c r="B860" s="136">
        <f>'[2]All Counts'!M860</f>
        <v>0</v>
      </c>
      <c r="C860" s="136">
        <f>'[2]All Counts'!N860</f>
        <v>0</v>
      </c>
      <c r="D860" s="136">
        <f>'[2]All Counts'!O860</f>
        <v>0</v>
      </c>
      <c r="E860" s="136">
        <f>'[2]All Counts'!P860</f>
        <v>0</v>
      </c>
      <c r="F860" s="137"/>
    </row>
    <row r="861" spans="1:6" x14ac:dyDescent="0.25">
      <c r="A861" s="136">
        <f>'[2]All Counts'!E861</f>
        <v>0</v>
      </c>
      <c r="B861" s="136">
        <f>'[2]All Counts'!M861</f>
        <v>0</v>
      </c>
      <c r="C861" s="136">
        <f>'[2]All Counts'!N861</f>
        <v>0</v>
      </c>
      <c r="D861" s="136">
        <f>'[2]All Counts'!O861</f>
        <v>0</v>
      </c>
      <c r="E861" s="136">
        <f>'[2]All Counts'!P861</f>
        <v>0</v>
      </c>
      <c r="F861" s="137"/>
    </row>
    <row r="862" spans="1:6" x14ac:dyDescent="0.25">
      <c r="A862" s="136">
        <f>'[2]All Counts'!E862</f>
        <v>0</v>
      </c>
      <c r="B862" s="136">
        <f>'[2]All Counts'!M862</f>
        <v>0</v>
      </c>
      <c r="C862" s="136">
        <f>'[2]All Counts'!N862</f>
        <v>0</v>
      </c>
      <c r="D862" s="136">
        <f>'[2]All Counts'!O862</f>
        <v>0</v>
      </c>
      <c r="E862" s="136">
        <f>'[2]All Counts'!P862</f>
        <v>0</v>
      </c>
      <c r="F862" s="137"/>
    </row>
    <row r="863" spans="1:6" x14ac:dyDescent="0.25">
      <c r="A863" s="136">
        <f>'[2]All Counts'!E863</f>
        <v>0</v>
      </c>
      <c r="B863" s="136">
        <f>'[2]All Counts'!M863</f>
        <v>0</v>
      </c>
      <c r="C863" s="136">
        <f>'[2]All Counts'!N863</f>
        <v>0</v>
      </c>
      <c r="D863" s="136">
        <f>'[2]All Counts'!O863</f>
        <v>0</v>
      </c>
      <c r="E863" s="136">
        <f>'[2]All Counts'!P863</f>
        <v>0</v>
      </c>
      <c r="F863" s="137"/>
    </row>
    <row r="864" spans="1:6" x14ac:dyDescent="0.25">
      <c r="A864" s="136">
        <f>'[2]All Counts'!E864</f>
        <v>0</v>
      </c>
      <c r="B864" s="136">
        <f>'[2]All Counts'!M864</f>
        <v>0</v>
      </c>
      <c r="C864" s="136">
        <f>'[2]All Counts'!N864</f>
        <v>0</v>
      </c>
      <c r="D864" s="136">
        <f>'[2]All Counts'!O864</f>
        <v>0</v>
      </c>
      <c r="E864" s="136">
        <f>'[2]All Counts'!P864</f>
        <v>0</v>
      </c>
      <c r="F864" s="137"/>
    </row>
    <row r="865" spans="1:6" x14ac:dyDescent="0.25">
      <c r="A865" s="136">
        <f>'[2]All Counts'!E865</f>
        <v>0</v>
      </c>
      <c r="B865" s="136">
        <f>'[2]All Counts'!M865</f>
        <v>0</v>
      </c>
      <c r="C865" s="136">
        <f>'[2]All Counts'!N865</f>
        <v>0</v>
      </c>
      <c r="D865" s="136">
        <f>'[2]All Counts'!O865</f>
        <v>0</v>
      </c>
      <c r="E865" s="136">
        <f>'[2]All Counts'!P865</f>
        <v>0</v>
      </c>
      <c r="F865" s="137"/>
    </row>
    <row r="866" spans="1:6" x14ac:dyDescent="0.25">
      <c r="A866" s="136">
        <f>'[2]All Counts'!E866</f>
        <v>0</v>
      </c>
      <c r="B866" s="136">
        <f>'[2]All Counts'!M866</f>
        <v>0</v>
      </c>
      <c r="C866" s="136">
        <f>'[2]All Counts'!N866</f>
        <v>0</v>
      </c>
      <c r="D866" s="136">
        <f>'[2]All Counts'!O866</f>
        <v>0</v>
      </c>
      <c r="E866" s="136">
        <f>'[2]All Counts'!P866</f>
        <v>0</v>
      </c>
      <c r="F866" s="137"/>
    </row>
    <row r="867" spans="1:6" x14ac:dyDescent="0.25">
      <c r="A867" s="136">
        <f>'[2]All Counts'!E867</f>
        <v>0</v>
      </c>
      <c r="B867" s="136">
        <f>'[2]All Counts'!M867</f>
        <v>0</v>
      </c>
      <c r="C867" s="136">
        <f>'[2]All Counts'!N867</f>
        <v>0</v>
      </c>
      <c r="D867" s="136">
        <f>'[2]All Counts'!O867</f>
        <v>0</v>
      </c>
      <c r="E867" s="136">
        <f>'[2]All Counts'!P867</f>
        <v>0</v>
      </c>
      <c r="F867" s="137"/>
    </row>
    <row r="868" spans="1:6" x14ac:dyDescent="0.25">
      <c r="A868" s="136">
        <f>'[2]All Counts'!E868</f>
        <v>0</v>
      </c>
      <c r="B868" s="136">
        <f>'[2]All Counts'!M868</f>
        <v>0</v>
      </c>
      <c r="C868" s="136">
        <f>'[2]All Counts'!N868</f>
        <v>0</v>
      </c>
      <c r="D868" s="136">
        <f>'[2]All Counts'!O868</f>
        <v>0</v>
      </c>
      <c r="E868" s="136">
        <f>'[2]All Counts'!P868</f>
        <v>0</v>
      </c>
      <c r="F868" s="137"/>
    </row>
    <row r="869" spans="1:6" x14ac:dyDescent="0.25">
      <c r="A869" s="136">
        <f>'[2]All Counts'!E869</f>
        <v>0</v>
      </c>
      <c r="B869" s="136">
        <f>'[2]All Counts'!M869</f>
        <v>0</v>
      </c>
      <c r="C869" s="136">
        <f>'[2]All Counts'!N869</f>
        <v>0</v>
      </c>
      <c r="D869" s="136">
        <f>'[2]All Counts'!O869</f>
        <v>0</v>
      </c>
      <c r="E869" s="136">
        <f>'[2]All Counts'!P869</f>
        <v>0</v>
      </c>
      <c r="F869" s="137"/>
    </row>
    <row r="870" spans="1:6" x14ac:dyDescent="0.25">
      <c r="A870" s="136">
        <f>'[2]All Counts'!E870</f>
        <v>0</v>
      </c>
      <c r="B870" s="136">
        <f>'[2]All Counts'!M870</f>
        <v>0</v>
      </c>
      <c r="C870" s="136">
        <f>'[2]All Counts'!N870</f>
        <v>0</v>
      </c>
      <c r="D870" s="136">
        <f>'[2]All Counts'!O870</f>
        <v>0</v>
      </c>
      <c r="E870" s="136">
        <f>'[2]All Counts'!P870</f>
        <v>0</v>
      </c>
      <c r="F870" s="137"/>
    </row>
    <row r="871" spans="1:6" x14ac:dyDescent="0.25">
      <c r="A871" s="136">
        <f>'[2]All Counts'!E871</f>
        <v>0</v>
      </c>
      <c r="B871" s="136">
        <f>'[2]All Counts'!M871</f>
        <v>0</v>
      </c>
      <c r="C871" s="136">
        <f>'[2]All Counts'!N871</f>
        <v>0</v>
      </c>
      <c r="D871" s="136">
        <f>'[2]All Counts'!O871</f>
        <v>0</v>
      </c>
      <c r="E871" s="136">
        <f>'[2]All Counts'!P871</f>
        <v>0</v>
      </c>
      <c r="F871" s="137"/>
    </row>
    <row r="872" spans="1:6" x14ac:dyDescent="0.25">
      <c r="A872" s="136">
        <f>'[2]All Counts'!E872</f>
        <v>0</v>
      </c>
      <c r="B872" s="136">
        <f>'[2]All Counts'!M872</f>
        <v>0</v>
      </c>
      <c r="C872" s="136">
        <f>'[2]All Counts'!N872</f>
        <v>0</v>
      </c>
      <c r="D872" s="136">
        <f>'[2]All Counts'!O872</f>
        <v>0</v>
      </c>
      <c r="E872" s="136">
        <f>'[2]All Counts'!P872</f>
        <v>0</v>
      </c>
      <c r="F872" s="137"/>
    </row>
    <row r="873" spans="1:6" x14ac:dyDescent="0.25">
      <c r="A873" s="136">
        <f>'[2]All Counts'!E873</f>
        <v>0</v>
      </c>
      <c r="B873" s="136">
        <f>'[2]All Counts'!M873</f>
        <v>0</v>
      </c>
      <c r="C873" s="136">
        <f>'[2]All Counts'!N873</f>
        <v>0</v>
      </c>
      <c r="D873" s="136">
        <f>'[2]All Counts'!O873</f>
        <v>0</v>
      </c>
      <c r="E873" s="136">
        <f>'[2]All Counts'!P873</f>
        <v>0</v>
      </c>
      <c r="F873" s="137"/>
    </row>
    <row r="874" spans="1:6" x14ac:dyDescent="0.25">
      <c r="A874" s="136">
        <f>'[2]All Counts'!E874</f>
        <v>0</v>
      </c>
      <c r="B874" s="136">
        <f>'[2]All Counts'!M874</f>
        <v>0</v>
      </c>
      <c r="C874" s="136">
        <f>'[2]All Counts'!N874</f>
        <v>0</v>
      </c>
      <c r="D874" s="136">
        <f>'[2]All Counts'!O874</f>
        <v>0</v>
      </c>
      <c r="E874" s="136">
        <f>'[2]All Counts'!P874</f>
        <v>0</v>
      </c>
      <c r="F874" s="137"/>
    </row>
    <row r="875" spans="1:6" x14ac:dyDescent="0.25">
      <c r="A875" s="136">
        <f>'[2]All Counts'!E875</f>
        <v>0</v>
      </c>
      <c r="B875" s="136">
        <f>'[2]All Counts'!M875</f>
        <v>0</v>
      </c>
      <c r="C875" s="136">
        <f>'[2]All Counts'!N875</f>
        <v>0</v>
      </c>
      <c r="D875" s="136">
        <f>'[2]All Counts'!O875</f>
        <v>0</v>
      </c>
      <c r="E875" s="136">
        <f>'[2]All Counts'!P875</f>
        <v>0</v>
      </c>
      <c r="F875" s="137"/>
    </row>
    <row r="876" spans="1:6" x14ac:dyDescent="0.25">
      <c r="A876" s="136">
        <f>'[2]All Counts'!E876</f>
        <v>0</v>
      </c>
      <c r="B876" s="136">
        <f>'[2]All Counts'!M876</f>
        <v>0</v>
      </c>
      <c r="C876" s="136">
        <f>'[2]All Counts'!N876</f>
        <v>0</v>
      </c>
      <c r="D876" s="136">
        <f>'[2]All Counts'!O876</f>
        <v>0</v>
      </c>
      <c r="E876" s="136">
        <f>'[2]All Counts'!P876</f>
        <v>0</v>
      </c>
      <c r="F876" s="137"/>
    </row>
    <row r="877" spans="1:6" x14ac:dyDescent="0.25">
      <c r="A877" s="136">
        <f>'[2]All Counts'!E877</f>
        <v>0</v>
      </c>
      <c r="B877" s="136">
        <f>'[2]All Counts'!M877</f>
        <v>0</v>
      </c>
      <c r="C877" s="136">
        <f>'[2]All Counts'!N877</f>
        <v>0</v>
      </c>
      <c r="D877" s="136">
        <f>'[2]All Counts'!O877</f>
        <v>0</v>
      </c>
      <c r="E877" s="136">
        <f>'[2]All Counts'!P877</f>
        <v>0</v>
      </c>
      <c r="F877" s="137"/>
    </row>
    <row r="878" spans="1:6" x14ac:dyDescent="0.25">
      <c r="A878" s="136">
        <f>'[2]All Counts'!E878</f>
        <v>0</v>
      </c>
      <c r="B878" s="136">
        <f>'[2]All Counts'!M878</f>
        <v>0</v>
      </c>
      <c r="C878" s="136">
        <f>'[2]All Counts'!N878</f>
        <v>0</v>
      </c>
      <c r="D878" s="136">
        <f>'[2]All Counts'!O878</f>
        <v>0</v>
      </c>
      <c r="E878" s="136">
        <f>'[2]All Counts'!P878</f>
        <v>0</v>
      </c>
      <c r="F878" s="137"/>
    </row>
    <row r="879" spans="1:6" x14ac:dyDescent="0.25">
      <c r="A879" s="136">
        <f>'[2]All Counts'!E879</f>
        <v>0</v>
      </c>
      <c r="B879" s="136">
        <f>'[2]All Counts'!M879</f>
        <v>0</v>
      </c>
      <c r="C879" s="136">
        <f>'[2]All Counts'!N879</f>
        <v>0</v>
      </c>
      <c r="D879" s="136">
        <f>'[2]All Counts'!O879</f>
        <v>0</v>
      </c>
      <c r="E879" s="136">
        <f>'[2]All Counts'!P879</f>
        <v>0</v>
      </c>
      <c r="F879" s="137"/>
    </row>
    <row r="880" spans="1:6" x14ac:dyDescent="0.25">
      <c r="A880" s="136">
        <f>'[2]All Counts'!E880</f>
        <v>0</v>
      </c>
      <c r="B880" s="136">
        <f>'[2]All Counts'!M880</f>
        <v>0</v>
      </c>
      <c r="C880" s="136">
        <f>'[2]All Counts'!N880</f>
        <v>0</v>
      </c>
      <c r="D880" s="136">
        <f>'[2]All Counts'!O880</f>
        <v>0</v>
      </c>
      <c r="E880" s="136">
        <f>'[2]All Counts'!P880</f>
        <v>0</v>
      </c>
      <c r="F880" s="137"/>
    </row>
    <row r="881" spans="1:6" x14ac:dyDescent="0.25">
      <c r="A881" s="136">
        <f>'[2]All Counts'!E881</f>
        <v>0</v>
      </c>
      <c r="B881" s="136">
        <f>'[2]All Counts'!M881</f>
        <v>0</v>
      </c>
      <c r="C881" s="136">
        <f>'[2]All Counts'!N881</f>
        <v>0</v>
      </c>
      <c r="D881" s="136">
        <f>'[2]All Counts'!O881</f>
        <v>0</v>
      </c>
      <c r="E881" s="136">
        <f>'[2]All Counts'!P881</f>
        <v>0</v>
      </c>
      <c r="F881" s="137"/>
    </row>
    <row r="882" spans="1:6" x14ac:dyDescent="0.25">
      <c r="A882" s="136">
        <f>'[2]All Counts'!E882</f>
        <v>0</v>
      </c>
      <c r="B882" s="136">
        <f>'[2]All Counts'!M882</f>
        <v>0</v>
      </c>
      <c r="C882" s="136">
        <f>'[2]All Counts'!N882</f>
        <v>0</v>
      </c>
      <c r="D882" s="136">
        <f>'[2]All Counts'!O882</f>
        <v>0</v>
      </c>
      <c r="E882" s="136">
        <f>'[2]All Counts'!P882</f>
        <v>0</v>
      </c>
      <c r="F882" s="137"/>
    </row>
    <row r="883" spans="1:6" x14ac:dyDescent="0.25">
      <c r="A883" s="136">
        <f>'[2]All Counts'!E883</f>
        <v>0</v>
      </c>
      <c r="B883" s="136">
        <f>'[2]All Counts'!M883</f>
        <v>0</v>
      </c>
      <c r="C883" s="136">
        <f>'[2]All Counts'!N883</f>
        <v>0</v>
      </c>
      <c r="D883" s="136">
        <f>'[2]All Counts'!O883</f>
        <v>0</v>
      </c>
      <c r="E883" s="136">
        <f>'[2]All Counts'!P883</f>
        <v>0</v>
      </c>
      <c r="F883" s="137"/>
    </row>
    <row r="884" spans="1:6" x14ac:dyDescent="0.25">
      <c r="A884" s="136">
        <f>'[2]All Counts'!E884</f>
        <v>0</v>
      </c>
      <c r="B884" s="136">
        <f>'[2]All Counts'!M884</f>
        <v>0</v>
      </c>
      <c r="C884" s="136">
        <f>'[2]All Counts'!N884</f>
        <v>0</v>
      </c>
      <c r="D884" s="136">
        <f>'[2]All Counts'!O884</f>
        <v>0</v>
      </c>
      <c r="E884" s="136">
        <f>'[2]All Counts'!P884</f>
        <v>0</v>
      </c>
      <c r="F884" s="137"/>
    </row>
    <row r="885" spans="1:6" x14ac:dyDescent="0.25">
      <c r="A885" s="136">
        <f>'[2]All Counts'!E885</f>
        <v>0</v>
      </c>
      <c r="B885" s="136">
        <f>'[2]All Counts'!M885</f>
        <v>0</v>
      </c>
      <c r="C885" s="136">
        <f>'[2]All Counts'!N885</f>
        <v>0</v>
      </c>
      <c r="D885" s="136">
        <f>'[2]All Counts'!O885</f>
        <v>0</v>
      </c>
      <c r="E885" s="136">
        <f>'[2]All Counts'!P885</f>
        <v>0</v>
      </c>
      <c r="F885" s="137"/>
    </row>
    <row r="886" spans="1:6" x14ac:dyDescent="0.25">
      <c r="A886" s="136">
        <f>'[2]All Counts'!E886</f>
        <v>0</v>
      </c>
      <c r="B886" s="136">
        <f>'[2]All Counts'!M886</f>
        <v>0</v>
      </c>
      <c r="C886" s="136">
        <f>'[2]All Counts'!N886</f>
        <v>0</v>
      </c>
      <c r="D886" s="136">
        <f>'[2]All Counts'!O886</f>
        <v>0</v>
      </c>
      <c r="E886" s="136">
        <f>'[2]All Counts'!P886</f>
        <v>0</v>
      </c>
      <c r="F886" s="137"/>
    </row>
    <row r="887" spans="1:6" x14ac:dyDescent="0.25">
      <c r="A887" s="136">
        <f>'[2]All Counts'!E887</f>
        <v>0</v>
      </c>
      <c r="B887" s="136">
        <f>'[2]All Counts'!M887</f>
        <v>0</v>
      </c>
      <c r="C887" s="136">
        <f>'[2]All Counts'!N887</f>
        <v>0</v>
      </c>
      <c r="D887" s="136">
        <f>'[2]All Counts'!O887</f>
        <v>0</v>
      </c>
      <c r="E887" s="136">
        <f>'[2]All Counts'!P887</f>
        <v>0</v>
      </c>
      <c r="F887" s="137"/>
    </row>
    <row r="888" spans="1:6" x14ac:dyDescent="0.25">
      <c r="A888" s="136">
        <f>'[2]All Counts'!E888</f>
        <v>0</v>
      </c>
      <c r="B888" s="136">
        <f>'[2]All Counts'!M888</f>
        <v>0</v>
      </c>
      <c r="C888" s="136">
        <f>'[2]All Counts'!N888</f>
        <v>0</v>
      </c>
      <c r="D888" s="136">
        <f>'[2]All Counts'!O888</f>
        <v>0</v>
      </c>
      <c r="E888" s="136">
        <f>'[2]All Counts'!P888</f>
        <v>0</v>
      </c>
      <c r="F888" s="137"/>
    </row>
    <row r="889" spans="1:6" x14ac:dyDescent="0.25">
      <c r="A889" s="136">
        <f>'[2]All Counts'!E889</f>
        <v>0</v>
      </c>
      <c r="B889" s="136">
        <f>'[2]All Counts'!M889</f>
        <v>0</v>
      </c>
      <c r="C889" s="136">
        <f>'[2]All Counts'!N889</f>
        <v>0</v>
      </c>
      <c r="D889" s="136">
        <f>'[2]All Counts'!O889</f>
        <v>0</v>
      </c>
      <c r="E889" s="136">
        <f>'[2]All Counts'!P889</f>
        <v>0</v>
      </c>
      <c r="F889" s="137"/>
    </row>
    <row r="890" spans="1:6" x14ac:dyDescent="0.25">
      <c r="A890" s="136">
        <f>'[2]All Counts'!E890</f>
        <v>0</v>
      </c>
      <c r="B890" s="136">
        <f>'[2]All Counts'!M890</f>
        <v>0</v>
      </c>
      <c r="C890" s="136">
        <f>'[2]All Counts'!N890</f>
        <v>0</v>
      </c>
      <c r="D890" s="136">
        <f>'[2]All Counts'!O890</f>
        <v>0</v>
      </c>
      <c r="E890" s="136">
        <f>'[2]All Counts'!P890</f>
        <v>0</v>
      </c>
      <c r="F890" s="137"/>
    </row>
    <row r="891" spans="1:6" x14ac:dyDescent="0.25">
      <c r="A891" s="136">
        <f>'[2]All Counts'!E891</f>
        <v>0</v>
      </c>
      <c r="B891" s="136">
        <f>'[2]All Counts'!M891</f>
        <v>0</v>
      </c>
      <c r="C891" s="136">
        <f>'[2]All Counts'!N891</f>
        <v>0</v>
      </c>
      <c r="D891" s="136">
        <f>'[2]All Counts'!O891</f>
        <v>0</v>
      </c>
      <c r="E891" s="136">
        <f>'[2]All Counts'!P891</f>
        <v>0</v>
      </c>
      <c r="F891" s="137"/>
    </row>
    <row r="892" spans="1:6" x14ac:dyDescent="0.25">
      <c r="A892" s="136">
        <f>'[2]All Counts'!E892</f>
        <v>0</v>
      </c>
      <c r="B892" s="136">
        <f>'[2]All Counts'!M892</f>
        <v>0</v>
      </c>
      <c r="C892" s="136">
        <f>'[2]All Counts'!N892</f>
        <v>0</v>
      </c>
      <c r="D892" s="136">
        <f>'[2]All Counts'!O892</f>
        <v>0</v>
      </c>
      <c r="E892" s="136">
        <f>'[2]All Counts'!P892</f>
        <v>0</v>
      </c>
      <c r="F892" s="137"/>
    </row>
    <row r="893" spans="1:6" x14ac:dyDescent="0.25">
      <c r="A893" s="136">
        <f>'[2]All Counts'!E893</f>
        <v>0</v>
      </c>
      <c r="B893" s="136">
        <f>'[2]All Counts'!M893</f>
        <v>0</v>
      </c>
      <c r="C893" s="136">
        <f>'[2]All Counts'!N893</f>
        <v>0</v>
      </c>
      <c r="D893" s="136">
        <f>'[2]All Counts'!O893</f>
        <v>0</v>
      </c>
      <c r="E893" s="136">
        <f>'[2]All Counts'!P893</f>
        <v>0</v>
      </c>
      <c r="F893" s="137"/>
    </row>
    <row r="894" spans="1:6" x14ac:dyDescent="0.25">
      <c r="A894" s="136">
        <f>'[2]All Counts'!E894</f>
        <v>0</v>
      </c>
      <c r="B894" s="136">
        <f>'[2]All Counts'!M894</f>
        <v>0</v>
      </c>
      <c r="C894" s="136">
        <f>'[2]All Counts'!N894</f>
        <v>0</v>
      </c>
      <c r="D894" s="136">
        <f>'[2]All Counts'!O894</f>
        <v>0</v>
      </c>
      <c r="E894" s="136">
        <f>'[2]All Counts'!P894</f>
        <v>0</v>
      </c>
      <c r="F894" s="137"/>
    </row>
    <row r="895" spans="1:6" x14ac:dyDescent="0.25">
      <c r="A895" s="136">
        <f>'[2]All Counts'!E895</f>
        <v>0</v>
      </c>
      <c r="B895" s="136">
        <f>'[2]All Counts'!M895</f>
        <v>0</v>
      </c>
      <c r="C895" s="136">
        <f>'[2]All Counts'!N895</f>
        <v>0</v>
      </c>
      <c r="D895" s="136">
        <f>'[2]All Counts'!O895</f>
        <v>0</v>
      </c>
      <c r="E895" s="136">
        <f>'[2]All Counts'!P895</f>
        <v>0</v>
      </c>
      <c r="F895" s="137"/>
    </row>
    <row r="896" spans="1:6" x14ac:dyDescent="0.25">
      <c r="A896" s="136">
        <f>'[2]All Counts'!E896</f>
        <v>0</v>
      </c>
      <c r="B896" s="136">
        <f>'[2]All Counts'!M896</f>
        <v>0</v>
      </c>
      <c r="C896" s="136">
        <f>'[2]All Counts'!N896</f>
        <v>0</v>
      </c>
      <c r="D896" s="136">
        <f>'[2]All Counts'!O896</f>
        <v>0</v>
      </c>
      <c r="E896" s="136">
        <f>'[2]All Counts'!P896</f>
        <v>0</v>
      </c>
      <c r="F896" s="137"/>
    </row>
    <row r="897" spans="1:6" x14ac:dyDescent="0.25">
      <c r="A897" s="136">
        <f>'[2]All Counts'!E897</f>
        <v>0</v>
      </c>
      <c r="B897" s="136">
        <f>'[2]All Counts'!M897</f>
        <v>0</v>
      </c>
      <c r="C897" s="136">
        <f>'[2]All Counts'!N897</f>
        <v>0</v>
      </c>
      <c r="D897" s="136">
        <f>'[2]All Counts'!O897</f>
        <v>0</v>
      </c>
      <c r="E897" s="136">
        <f>'[2]All Counts'!P897</f>
        <v>0</v>
      </c>
      <c r="F897" s="137"/>
    </row>
    <row r="898" spans="1:6" x14ac:dyDescent="0.25">
      <c r="A898" s="136">
        <f>'[2]All Counts'!E898</f>
        <v>0</v>
      </c>
      <c r="B898" s="136">
        <f>'[2]All Counts'!M898</f>
        <v>0</v>
      </c>
      <c r="C898" s="136">
        <f>'[2]All Counts'!N898</f>
        <v>0</v>
      </c>
      <c r="D898" s="136">
        <f>'[2]All Counts'!O898</f>
        <v>0</v>
      </c>
      <c r="E898" s="136">
        <f>'[2]All Counts'!P898</f>
        <v>0</v>
      </c>
      <c r="F898" s="137"/>
    </row>
    <row r="899" spans="1:6" x14ac:dyDescent="0.25">
      <c r="A899" s="136">
        <f>'[2]All Counts'!E899</f>
        <v>0</v>
      </c>
      <c r="B899" s="136">
        <f>'[2]All Counts'!M899</f>
        <v>0</v>
      </c>
      <c r="C899" s="136">
        <f>'[2]All Counts'!N899</f>
        <v>0</v>
      </c>
      <c r="D899" s="136">
        <f>'[2]All Counts'!O899</f>
        <v>0</v>
      </c>
      <c r="E899" s="136">
        <f>'[2]All Counts'!P899</f>
        <v>0</v>
      </c>
      <c r="F899" s="137"/>
    </row>
    <row r="900" spans="1:6" x14ac:dyDescent="0.25">
      <c r="A900" s="136">
        <f>'[2]All Counts'!E900</f>
        <v>0</v>
      </c>
      <c r="B900" s="136">
        <f>'[2]All Counts'!M900</f>
        <v>0</v>
      </c>
      <c r="C900" s="136">
        <f>'[2]All Counts'!N900</f>
        <v>0</v>
      </c>
      <c r="D900" s="136">
        <f>'[2]All Counts'!O900</f>
        <v>0</v>
      </c>
      <c r="E900" s="136">
        <f>'[2]All Counts'!P900</f>
        <v>0</v>
      </c>
      <c r="F900" s="137"/>
    </row>
    <row r="901" spans="1:6" x14ac:dyDescent="0.25">
      <c r="A901" s="136">
        <f>'[2]All Counts'!E901</f>
        <v>0</v>
      </c>
      <c r="B901" s="136">
        <f>'[2]All Counts'!M901</f>
        <v>0</v>
      </c>
      <c r="C901" s="136">
        <f>'[2]All Counts'!N901</f>
        <v>0</v>
      </c>
      <c r="D901" s="136">
        <f>'[2]All Counts'!O901</f>
        <v>0</v>
      </c>
      <c r="E901" s="136">
        <f>'[2]All Counts'!P901</f>
        <v>0</v>
      </c>
      <c r="F901" s="137"/>
    </row>
    <row r="902" spans="1:6" x14ac:dyDescent="0.25">
      <c r="A902" s="136">
        <f>'[2]All Counts'!E902</f>
        <v>0</v>
      </c>
      <c r="B902" s="136">
        <f>'[2]All Counts'!M902</f>
        <v>0</v>
      </c>
      <c r="C902" s="136">
        <f>'[2]All Counts'!N902</f>
        <v>0</v>
      </c>
      <c r="D902" s="136">
        <f>'[2]All Counts'!O902</f>
        <v>0</v>
      </c>
      <c r="E902" s="136">
        <f>'[2]All Counts'!P902</f>
        <v>0</v>
      </c>
      <c r="F902" s="137"/>
    </row>
    <row r="903" spans="1:6" x14ac:dyDescent="0.25">
      <c r="A903" s="136">
        <f>'[2]All Counts'!E903</f>
        <v>0</v>
      </c>
      <c r="B903" s="136">
        <f>'[2]All Counts'!M903</f>
        <v>0</v>
      </c>
      <c r="C903" s="136">
        <f>'[2]All Counts'!N903</f>
        <v>0</v>
      </c>
      <c r="D903" s="136">
        <f>'[2]All Counts'!O903</f>
        <v>0</v>
      </c>
      <c r="E903" s="136">
        <f>'[2]All Counts'!P903</f>
        <v>0</v>
      </c>
      <c r="F903" s="137"/>
    </row>
    <row r="904" spans="1:6" x14ac:dyDescent="0.25">
      <c r="A904" s="136">
        <f>'[2]All Counts'!E904</f>
        <v>0</v>
      </c>
      <c r="B904" s="136">
        <f>'[2]All Counts'!M904</f>
        <v>0</v>
      </c>
      <c r="C904" s="136">
        <f>'[2]All Counts'!N904</f>
        <v>0</v>
      </c>
      <c r="D904" s="136">
        <f>'[2]All Counts'!O904</f>
        <v>0</v>
      </c>
      <c r="E904" s="136">
        <f>'[2]All Counts'!P904</f>
        <v>0</v>
      </c>
      <c r="F904" s="137"/>
    </row>
    <row r="905" spans="1:6" x14ac:dyDescent="0.25">
      <c r="A905" s="136">
        <f>'[2]All Counts'!E905</f>
        <v>0</v>
      </c>
      <c r="B905" s="136">
        <f>'[2]All Counts'!M905</f>
        <v>0</v>
      </c>
      <c r="C905" s="136">
        <f>'[2]All Counts'!N905</f>
        <v>0</v>
      </c>
      <c r="D905" s="136">
        <f>'[2]All Counts'!O905</f>
        <v>0</v>
      </c>
      <c r="E905" s="136">
        <f>'[2]All Counts'!P905</f>
        <v>0</v>
      </c>
      <c r="F905" s="137"/>
    </row>
    <row r="906" spans="1:6" x14ac:dyDescent="0.25">
      <c r="A906" s="136">
        <f>'[2]All Counts'!E906</f>
        <v>0</v>
      </c>
      <c r="B906" s="136">
        <f>'[2]All Counts'!M906</f>
        <v>0</v>
      </c>
      <c r="C906" s="136">
        <f>'[2]All Counts'!N906</f>
        <v>0</v>
      </c>
      <c r="D906" s="136">
        <f>'[2]All Counts'!O906</f>
        <v>0</v>
      </c>
      <c r="E906" s="136">
        <f>'[2]All Counts'!P906</f>
        <v>0</v>
      </c>
      <c r="F906" s="137"/>
    </row>
    <row r="907" spans="1:6" x14ac:dyDescent="0.25">
      <c r="A907" s="136">
        <f>'[2]All Counts'!E907</f>
        <v>0</v>
      </c>
      <c r="B907" s="136">
        <f>'[2]All Counts'!M907</f>
        <v>0</v>
      </c>
      <c r="C907" s="136">
        <f>'[2]All Counts'!N907</f>
        <v>0</v>
      </c>
      <c r="D907" s="136">
        <f>'[2]All Counts'!O907</f>
        <v>0</v>
      </c>
      <c r="E907" s="136">
        <f>'[2]All Counts'!P907</f>
        <v>0</v>
      </c>
      <c r="F907" s="137"/>
    </row>
    <row r="908" spans="1:6" x14ac:dyDescent="0.25">
      <c r="A908" s="136">
        <f>'[2]All Counts'!E908</f>
        <v>0</v>
      </c>
      <c r="B908" s="136">
        <f>'[2]All Counts'!M908</f>
        <v>0</v>
      </c>
      <c r="C908" s="136">
        <f>'[2]All Counts'!N908</f>
        <v>0</v>
      </c>
      <c r="D908" s="136">
        <f>'[2]All Counts'!O908</f>
        <v>0</v>
      </c>
      <c r="E908" s="136">
        <f>'[2]All Counts'!P908</f>
        <v>0</v>
      </c>
      <c r="F908" s="137"/>
    </row>
    <row r="909" spans="1:6" x14ac:dyDescent="0.25">
      <c r="A909" s="136">
        <f>'[2]All Counts'!E909</f>
        <v>0</v>
      </c>
      <c r="B909" s="136">
        <f>'[2]All Counts'!M909</f>
        <v>0</v>
      </c>
      <c r="C909" s="136">
        <f>'[2]All Counts'!N909</f>
        <v>0</v>
      </c>
      <c r="D909" s="136">
        <f>'[2]All Counts'!O909</f>
        <v>0</v>
      </c>
      <c r="E909" s="136">
        <f>'[2]All Counts'!P909</f>
        <v>0</v>
      </c>
      <c r="F909" s="137"/>
    </row>
    <row r="910" spans="1:6" x14ac:dyDescent="0.25">
      <c r="A910" s="136">
        <f>'[2]All Counts'!E910</f>
        <v>0</v>
      </c>
      <c r="B910" s="136">
        <f>'[2]All Counts'!M910</f>
        <v>0</v>
      </c>
      <c r="C910" s="136">
        <f>'[2]All Counts'!N910</f>
        <v>0</v>
      </c>
      <c r="D910" s="136">
        <f>'[2]All Counts'!O910</f>
        <v>0</v>
      </c>
      <c r="E910" s="136">
        <f>'[2]All Counts'!P910</f>
        <v>0</v>
      </c>
      <c r="F910" s="137"/>
    </row>
    <row r="911" spans="1:6" x14ac:dyDescent="0.25">
      <c r="A911" s="136">
        <f>'[2]All Counts'!E911</f>
        <v>0</v>
      </c>
      <c r="B911" s="136">
        <f>'[2]All Counts'!M911</f>
        <v>0</v>
      </c>
      <c r="C911" s="136">
        <f>'[2]All Counts'!N911</f>
        <v>0</v>
      </c>
      <c r="D911" s="136">
        <f>'[2]All Counts'!O911</f>
        <v>0</v>
      </c>
      <c r="E911" s="136">
        <f>'[2]All Counts'!P911</f>
        <v>0</v>
      </c>
      <c r="F911" s="137"/>
    </row>
    <row r="912" spans="1:6" x14ac:dyDescent="0.25">
      <c r="A912" s="136">
        <f>'[2]All Counts'!E912</f>
        <v>0</v>
      </c>
      <c r="B912" s="136">
        <f>'[2]All Counts'!M912</f>
        <v>0</v>
      </c>
      <c r="C912" s="136">
        <f>'[2]All Counts'!N912</f>
        <v>0</v>
      </c>
      <c r="D912" s="136">
        <f>'[2]All Counts'!O912</f>
        <v>0</v>
      </c>
      <c r="E912" s="136">
        <f>'[2]All Counts'!P912</f>
        <v>0</v>
      </c>
      <c r="F912" s="137"/>
    </row>
    <row r="913" spans="1:6" x14ac:dyDescent="0.25">
      <c r="A913" s="136">
        <f>'[2]All Counts'!E913</f>
        <v>0</v>
      </c>
      <c r="B913" s="136">
        <f>'[2]All Counts'!M913</f>
        <v>0</v>
      </c>
      <c r="C913" s="136">
        <f>'[2]All Counts'!N913</f>
        <v>0</v>
      </c>
      <c r="D913" s="136">
        <f>'[2]All Counts'!O913</f>
        <v>0</v>
      </c>
      <c r="E913" s="136">
        <f>'[2]All Counts'!P913</f>
        <v>0</v>
      </c>
      <c r="F913" s="137"/>
    </row>
    <row r="914" spans="1:6" x14ac:dyDescent="0.25">
      <c r="A914" s="136">
        <f>'[2]All Counts'!E914</f>
        <v>0</v>
      </c>
      <c r="B914" s="136">
        <f>'[2]All Counts'!M914</f>
        <v>0</v>
      </c>
      <c r="C914" s="136">
        <f>'[2]All Counts'!N914</f>
        <v>0</v>
      </c>
      <c r="D914" s="136">
        <f>'[2]All Counts'!O914</f>
        <v>0</v>
      </c>
      <c r="E914" s="136">
        <f>'[2]All Counts'!P914</f>
        <v>0</v>
      </c>
      <c r="F914" s="137"/>
    </row>
  </sheetData>
  <conditionalFormatting sqref="F1:F1048576">
    <cfRule type="cellIs" dxfId="678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L54"/>
  <sheetViews>
    <sheetView showGridLines="0" zoomScale="90" zoomScaleNormal="90" workbookViewId="0">
      <selection activeCell="J26" sqref="J26"/>
    </sheetView>
  </sheetViews>
  <sheetFormatPr defaultRowHeight="15" x14ac:dyDescent="0.25"/>
  <cols>
    <col min="2" max="2" width="15.85546875" style="10" customWidth="1"/>
    <col min="3" max="12" width="12.85546875" customWidth="1"/>
  </cols>
  <sheetData>
    <row r="1" spans="1:12" ht="15.75" thickBot="1" x14ac:dyDescent="0.3">
      <c r="A1" s="25"/>
      <c r="B1" s="238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79"/>
      <c r="C2" s="450" t="s">
        <v>102</v>
      </c>
      <c r="D2" s="451"/>
      <c r="E2" s="451"/>
      <c r="F2" s="451"/>
      <c r="G2" s="452"/>
      <c r="H2" s="453" t="s">
        <v>101</v>
      </c>
      <c r="I2" s="454"/>
      <c r="J2" s="454"/>
      <c r="K2" s="454"/>
      <c r="L2" s="455"/>
    </row>
    <row r="3" spans="1:12" x14ac:dyDescent="0.25">
      <c r="A3" s="25"/>
      <c r="B3" s="280"/>
      <c r="C3" s="281">
        <v>1</v>
      </c>
      <c r="D3" s="281">
        <v>2</v>
      </c>
      <c r="E3" s="281">
        <v>3</v>
      </c>
      <c r="F3" s="281">
        <v>4</v>
      </c>
      <c r="G3" s="82"/>
      <c r="H3" s="282">
        <v>1</v>
      </c>
      <c r="I3" s="281">
        <v>3</v>
      </c>
      <c r="J3" s="281">
        <v>2</v>
      </c>
      <c r="K3" s="281">
        <v>4</v>
      </c>
      <c r="L3" s="283"/>
    </row>
    <row r="4" spans="1:12" x14ac:dyDescent="0.25">
      <c r="A4" s="25"/>
      <c r="B4" s="284" t="s">
        <v>54</v>
      </c>
      <c r="C4" s="285" t="s">
        <v>62</v>
      </c>
      <c r="D4" s="285" t="s">
        <v>63</v>
      </c>
      <c r="E4" s="285" t="s">
        <v>64</v>
      </c>
      <c r="F4" s="285" t="s">
        <v>65</v>
      </c>
      <c r="G4" s="286" t="s">
        <v>55</v>
      </c>
      <c r="H4" s="287" t="s">
        <v>62</v>
      </c>
      <c r="I4" s="285" t="s">
        <v>63</v>
      </c>
      <c r="J4" s="285" t="s">
        <v>64</v>
      </c>
      <c r="K4" s="285" t="s">
        <v>65</v>
      </c>
      <c r="L4" s="288" t="s">
        <v>55</v>
      </c>
    </row>
    <row r="5" spans="1:12" x14ac:dyDescent="0.25">
      <c r="A5" s="25"/>
      <c r="B5" s="289" t="s">
        <v>112</v>
      </c>
      <c r="C5" s="243">
        <f>COUNTIFS(ws[dir],C$3,ws[gap],"&gt;=40%")</f>
        <v>43</v>
      </c>
      <c r="D5" s="243">
        <f>COUNTIFS(ws[dir],D$3,ws[gap],"&gt;=40%")</f>
        <v>17</v>
      </c>
      <c r="E5" s="243">
        <f>COUNTIFS(ws[dir],E$3,ws[gap],"&gt;=40%")</f>
        <v>12</v>
      </c>
      <c r="F5" s="243">
        <f>COUNTIFS(ws[dir],F$3,ws[gap],"&gt;=40%")</f>
        <v>5</v>
      </c>
      <c r="G5" s="290">
        <f>SUM(C5:F5)</f>
        <v>77</v>
      </c>
      <c r="H5" s="291">
        <f>C5/C$21</f>
        <v>0.16731517509727625</v>
      </c>
      <c r="I5" s="292">
        <f t="shared" ref="I5:I14" si="0">D5/D$21</f>
        <v>7.5221238938053103E-2</v>
      </c>
      <c r="J5" s="292">
        <f t="shared" ref="J5:J14" si="1">E5/E$21</f>
        <v>7.9470198675496692E-2</v>
      </c>
      <c r="K5" s="292">
        <f t="shared" ref="K5:K14" si="2">F5/F$21</f>
        <v>4.065040650406504E-2</v>
      </c>
      <c r="L5" s="293">
        <f>G5/G$21</f>
        <v>0.10171730515191546</v>
      </c>
    </row>
    <row r="6" spans="1:12" x14ac:dyDescent="0.25">
      <c r="A6" s="25"/>
      <c r="B6" s="289" t="s">
        <v>114</v>
      </c>
      <c r="C6" s="243">
        <f>COUNTIFS(ws[dir],C$3,ws[gap],"&gt;=30%",ws[gap],"&lt;40%")</f>
        <v>40</v>
      </c>
      <c r="D6" s="243">
        <f>COUNTIFS(ws[dir],D$3,ws[gap],"&gt;=30%",ws[gap],"&lt;40%")</f>
        <v>20</v>
      </c>
      <c r="E6" s="243">
        <f>COUNTIFS(ws[dir],E$3,ws[gap],"&gt;=30%",ws[gap],"&lt;40%")</f>
        <v>4</v>
      </c>
      <c r="F6" s="243">
        <f>COUNTIFS(ws[dir],F$3,ws[gap],"&gt;=30%",ws[gap],"&lt;40%")</f>
        <v>6</v>
      </c>
      <c r="G6" s="290">
        <f t="shared" ref="G6:G14" si="3">SUM(C6:F6)</f>
        <v>70</v>
      </c>
      <c r="H6" s="294">
        <f t="shared" ref="H6:H14" si="4">C6/C$21</f>
        <v>0.1556420233463035</v>
      </c>
      <c r="I6" s="295">
        <f t="shared" si="0"/>
        <v>8.8495575221238937E-2</v>
      </c>
      <c r="J6" s="295">
        <f t="shared" si="1"/>
        <v>2.6490066225165563E-2</v>
      </c>
      <c r="K6" s="295">
        <f t="shared" si="2"/>
        <v>4.878048780487805E-2</v>
      </c>
      <c r="L6" s="296">
        <f t="shared" ref="L6:L14" si="5">G6/G$21</f>
        <v>9.2470277410832233E-2</v>
      </c>
    </row>
    <row r="7" spans="1:12" x14ac:dyDescent="0.25">
      <c r="A7" s="25"/>
      <c r="B7" s="297" t="s">
        <v>56</v>
      </c>
      <c r="C7" s="244">
        <f>COUNTIFS(ws[dir],C$3,ws[gap],"&gt;=20%",ws[gap],"&lt;30%")</f>
        <v>49</v>
      </c>
      <c r="D7" s="244">
        <f>COUNTIFS(ws[dir],D$3,ws[gap],"&gt;=20%",ws[gap],"&lt;30%")</f>
        <v>18</v>
      </c>
      <c r="E7" s="244">
        <f>COUNTIFS(ws[dir],E$3,ws[gap],"&gt;=20%",ws[gap],"&lt;30%")</f>
        <v>17</v>
      </c>
      <c r="F7" s="244">
        <f>COUNTIFS(ws[dir],F$3,ws[gap],"&gt;=20%",ws[gap],"&lt;30%")</f>
        <v>13</v>
      </c>
      <c r="G7" s="298">
        <f t="shared" si="3"/>
        <v>97</v>
      </c>
      <c r="H7" s="299">
        <f t="shared" si="4"/>
        <v>0.19066147859922178</v>
      </c>
      <c r="I7" s="300">
        <f t="shared" si="0"/>
        <v>7.9646017699115043E-2</v>
      </c>
      <c r="J7" s="300">
        <f t="shared" si="1"/>
        <v>0.11258278145695365</v>
      </c>
      <c r="K7" s="300">
        <f t="shared" si="2"/>
        <v>0.10569105691056911</v>
      </c>
      <c r="L7" s="301">
        <f t="shared" si="5"/>
        <v>0.12813738441215325</v>
      </c>
    </row>
    <row r="8" spans="1:12" x14ac:dyDescent="0.25">
      <c r="A8" s="25"/>
      <c r="B8" s="297" t="s">
        <v>57</v>
      </c>
      <c r="C8" s="244">
        <f>COUNTIFS(ws[dir],C$3,ws[gap],"&gt;=10%",ws[gap],"&lt;20%")</f>
        <v>46</v>
      </c>
      <c r="D8" s="244">
        <f>COUNTIFS(ws[dir],D$3,ws[gap],"&gt;=10%",ws[gap],"&lt;20%")</f>
        <v>39</v>
      </c>
      <c r="E8" s="244">
        <f>COUNTIFS(ws[dir],E$3,ws[gap],"&gt;=10%",ws[gap],"&lt;20%")</f>
        <v>15</v>
      </c>
      <c r="F8" s="244">
        <f>COUNTIFS(ws[dir],F$3,ws[gap],"&gt;=10%",ws[gap],"&lt;20%")</f>
        <v>24</v>
      </c>
      <c r="G8" s="298">
        <f t="shared" si="3"/>
        <v>124</v>
      </c>
      <c r="H8" s="299">
        <f t="shared" si="4"/>
        <v>0.17898832684824903</v>
      </c>
      <c r="I8" s="300">
        <f t="shared" si="0"/>
        <v>0.17256637168141592</v>
      </c>
      <c r="J8" s="300">
        <f t="shared" si="1"/>
        <v>9.9337748344370855E-2</v>
      </c>
      <c r="K8" s="300">
        <f t="shared" si="2"/>
        <v>0.1951219512195122</v>
      </c>
      <c r="L8" s="301">
        <f t="shared" si="5"/>
        <v>0.16380449141347425</v>
      </c>
    </row>
    <row r="9" spans="1:12" x14ac:dyDescent="0.25">
      <c r="A9" s="25"/>
      <c r="B9" s="297" t="s">
        <v>58</v>
      </c>
      <c r="C9" s="244">
        <f>COUNTIFS(ws[dir],C$3,ws[gap],"&gt;=0%",ws[gap],"&lt;10%")</f>
        <v>36</v>
      </c>
      <c r="D9" s="244">
        <f>COUNTIFS(ws[dir],D$3,ws[gap],"&gt;=0%",ws[gap],"&lt;10%")</f>
        <v>39</v>
      </c>
      <c r="E9" s="244">
        <f>COUNTIFS(ws[dir],E$3,ws[gap],"&gt;=0%",ws[gap],"&lt;10%")</f>
        <v>27</v>
      </c>
      <c r="F9" s="244">
        <f>COUNTIFS(ws[dir],F$3,ws[gap],"&gt;=0%",ws[gap],"&lt;10%")</f>
        <v>45</v>
      </c>
      <c r="G9" s="298">
        <f t="shared" si="3"/>
        <v>147</v>
      </c>
      <c r="H9" s="299">
        <f t="shared" si="4"/>
        <v>0.14007782101167315</v>
      </c>
      <c r="I9" s="300">
        <f t="shared" si="0"/>
        <v>0.17256637168141592</v>
      </c>
      <c r="J9" s="300">
        <f t="shared" si="1"/>
        <v>0.17880794701986755</v>
      </c>
      <c r="K9" s="300">
        <f>F9/F$21</f>
        <v>0.36585365853658536</v>
      </c>
      <c r="L9" s="301">
        <f t="shared" si="5"/>
        <v>0.19418758256274768</v>
      </c>
    </row>
    <row r="10" spans="1:12" x14ac:dyDescent="0.25">
      <c r="A10" s="25"/>
      <c r="B10" s="302" t="s">
        <v>59</v>
      </c>
      <c r="C10" s="247">
        <f>COUNTIFS(ws[dir],C$3,ws[gap],"&gt;=-10%",ws[gap],"&lt;0%")</f>
        <v>23</v>
      </c>
      <c r="D10" s="247">
        <f>COUNTIFS(ws[dir],D$3,ws[gap],"&gt;=-10%",ws[gap],"&lt;0%")</f>
        <v>51</v>
      </c>
      <c r="E10" s="247">
        <f>COUNTIFS(ws[dir],E$3,ws[gap],"&gt;=-10%",ws[gap],"&lt;0%")</f>
        <v>36</v>
      </c>
      <c r="F10" s="247">
        <f>COUNTIFS(ws[dir],F$3,ws[gap],"&gt;=-10%",ws[gap],"&lt;0%")</f>
        <v>23</v>
      </c>
      <c r="G10" s="303">
        <f t="shared" si="3"/>
        <v>133</v>
      </c>
      <c r="H10" s="304">
        <f t="shared" si="4"/>
        <v>8.9494163424124515E-2</v>
      </c>
      <c r="I10" s="305">
        <f t="shared" si="0"/>
        <v>0.22566371681415928</v>
      </c>
      <c r="J10" s="305">
        <f t="shared" si="1"/>
        <v>0.23841059602649006</v>
      </c>
      <c r="K10" s="305">
        <f t="shared" si="2"/>
        <v>0.18699186991869918</v>
      </c>
      <c r="L10" s="306">
        <f t="shared" si="5"/>
        <v>0.17569352708058125</v>
      </c>
    </row>
    <row r="11" spans="1:12" x14ac:dyDescent="0.25">
      <c r="A11" s="25"/>
      <c r="B11" s="307" t="s">
        <v>60</v>
      </c>
      <c r="C11" s="244">
        <f>COUNTIFS(ws[dir],C$3,ws[gap],"&gt;=-20%",ws[gap],"&lt;-10%")</f>
        <v>11</v>
      </c>
      <c r="D11" s="244">
        <f>COUNTIFS(ws[dir],D$3,ws[gap],"&gt;=-20%",ws[gap],"&lt;-10%")</f>
        <v>25</v>
      </c>
      <c r="E11" s="244">
        <f>COUNTIFS(ws[dir],E$3,ws[gap],"&gt;=-20%",ws[gap],"&lt;-10%")</f>
        <v>21</v>
      </c>
      <c r="F11" s="244">
        <f>COUNTIFS(ws[dir],F$3,ws[gap],"&gt;=-20%",ws[gap],"&lt;-10%")</f>
        <v>7</v>
      </c>
      <c r="G11" s="308">
        <f t="shared" si="3"/>
        <v>64</v>
      </c>
      <c r="H11" s="309">
        <f t="shared" si="4"/>
        <v>4.2801556420233464E-2</v>
      </c>
      <c r="I11" s="310">
        <f t="shared" si="0"/>
        <v>0.11061946902654868</v>
      </c>
      <c r="J11" s="310">
        <f t="shared" si="1"/>
        <v>0.13907284768211919</v>
      </c>
      <c r="K11" s="310">
        <f t="shared" si="2"/>
        <v>5.6910569105691054E-2</v>
      </c>
      <c r="L11" s="311">
        <f t="shared" si="5"/>
        <v>8.4544253632760899E-2</v>
      </c>
    </row>
    <row r="12" spans="1:12" x14ac:dyDescent="0.25">
      <c r="A12" s="25"/>
      <c r="B12" s="307" t="s">
        <v>61</v>
      </c>
      <c r="C12" s="244">
        <f>COUNTIFS(ws[dir],C$3,ws[gap],"&gt;=-30%",ws[gap],"&lt;-20%")</f>
        <v>4</v>
      </c>
      <c r="D12" s="244">
        <f>COUNTIFS(ws[dir],D$3,ws[gap],"&gt;=-30%",ws[gap],"&lt;-20%")</f>
        <v>8</v>
      </c>
      <c r="E12" s="244">
        <f>COUNTIFS(ws[dir],E$3,ws[gap],"&gt;=-30%",ws[gap],"&lt;-20%")</f>
        <v>11</v>
      </c>
      <c r="F12" s="244">
        <f>COUNTIFS(ws[dir],F$3,ws[gap],"&gt;=-30%",ws[gap],"&lt;-20%")</f>
        <v>0</v>
      </c>
      <c r="G12" s="308">
        <f t="shared" si="3"/>
        <v>23</v>
      </c>
      <c r="H12" s="309">
        <f t="shared" si="4"/>
        <v>1.556420233463035E-2</v>
      </c>
      <c r="I12" s="310">
        <f t="shared" si="0"/>
        <v>3.5398230088495575E-2</v>
      </c>
      <c r="J12" s="310">
        <f t="shared" si="1"/>
        <v>7.2847682119205295E-2</v>
      </c>
      <c r="K12" s="310">
        <f t="shared" si="2"/>
        <v>0</v>
      </c>
      <c r="L12" s="311">
        <f t="shared" si="5"/>
        <v>3.0383091149273449E-2</v>
      </c>
    </row>
    <row r="13" spans="1:12" x14ac:dyDescent="0.25">
      <c r="A13" s="25"/>
      <c r="B13" s="312" t="s">
        <v>115</v>
      </c>
      <c r="C13" s="243">
        <f>COUNTIFS(ws[dir],C$3,ws[gap],"&gt;=-40%",ws[gap],"&lt;-30%")</f>
        <v>2</v>
      </c>
      <c r="D13" s="243">
        <f>COUNTIFS(ws[dir],D$3,ws[gap],"&gt;=-40%",ws[gap],"&lt;-30%")</f>
        <v>7</v>
      </c>
      <c r="E13" s="243">
        <f>COUNTIFS(ws[dir],E$3,ws[gap],"&gt;=-40%",ws[gap],"&lt;-30%")</f>
        <v>2</v>
      </c>
      <c r="F13" s="243">
        <f>COUNTIFS(ws[dir],F$3,ws[gap],"&gt;=-40%",ws[gap],"&lt;-30%")</f>
        <v>0</v>
      </c>
      <c r="G13" s="313">
        <f t="shared" si="3"/>
        <v>11</v>
      </c>
      <c r="H13" s="314">
        <f t="shared" si="4"/>
        <v>7.7821011673151752E-3</v>
      </c>
      <c r="I13" s="315">
        <f t="shared" si="0"/>
        <v>3.0973451327433628E-2</v>
      </c>
      <c r="J13" s="315">
        <f t="shared" si="1"/>
        <v>1.3245033112582781E-2</v>
      </c>
      <c r="K13" s="315">
        <f t="shared" si="2"/>
        <v>0</v>
      </c>
      <c r="L13" s="316">
        <f t="shared" si="5"/>
        <v>1.4531043593130779E-2</v>
      </c>
    </row>
    <row r="14" spans="1:12" x14ac:dyDescent="0.25">
      <c r="A14" s="25"/>
      <c r="B14" s="317" t="s">
        <v>116</v>
      </c>
      <c r="C14" s="243">
        <f>COUNTIFS(ws[dir],C$3,ws[gap],"&lt;-40%")</f>
        <v>3</v>
      </c>
      <c r="D14" s="243">
        <f>COUNTIFS(ws[dir],D$3,ws[gap],"&lt;-40%")</f>
        <v>2</v>
      </c>
      <c r="E14" s="243">
        <f>COUNTIFS(ws[dir],E$3,ws[gap],"&lt;-40%")</f>
        <v>6</v>
      </c>
      <c r="F14" s="243">
        <f>COUNTIFS(ws[dir],F$3,ws[gap],"&lt;-40%")</f>
        <v>0</v>
      </c>
      <c r="G14" s="313">
        <f t="shared" si="3"/>
        <v>11</v>
      </c>
      <c r="H14" s="314">
        <f t="shared" si="4"/>
        <v>1.1673151750972763E-2</v>
      </c>
      <c r="I14" s="315">
        <f t="shared" si="0"/>
        <v>8.8495575221238937E-3</v>
      </c>
      <c r="J14" s="315">
        <f t="shared" si="1"/>
        <v>3.9735099337748346E-2</v>
      </c>
      <c r="K14" s="315">
        <f t="shared" si="2"/>
        <v>0</v>
      </c>
      <c r="L14" s="316">
        <f t="shared" si="5"/>
        <v>1.4531043593130779E-2</v>
      </c>
    </row>
    <row r="15" spans="1:12" x14ac:dyDescent="0.25">
      <c r="A15" s="25"/>
      <c r="B15" s="318" t="s">
        <v>108</v>
      </c>
      <c r="C15" s="319">
        <f t="shared" ref="C15:L15" si="6">SUM(C9:C10)</f>
        <v>59</v>
      </c>
      <c r="D15" s="319">
        <f t="shared" si="6"/>
        <v>90</v>
      </c>
      <c r="E15" s="319">
        <f t="shared" si="6"/>
        <v>63</v>
      </c>
      <c r="F15" s="319">
        <f t="shared" si="6"/>
        <v>68</v>
      </c>
      <c r="G15" s="320">
        <f t="shared" si="6"/>
        <v>280</v>
      </c>
      <c r="H15" s="321">
        <f t="shared" si="6"/>
        <v>0.22957198443579768</v>
      </c>
      <c r="I15" s="322">
        <f t="shared" si="6"/>
        <v>0.39823008849557517</v>
      </c>
      <c r="J15" s="322">
        <f t="shared" si="6"/>
        <v>0.41721854304635764</v>
      </c>
      <c r="K15" s="323">
        <f t="shared" si="6"/>
        <v>0.55284552845528456</v>
      </c>
      <c r="L15" s="324">
        <f t="shared" si="6"/>
        <v>0.36988110964332893</v>
      </c>
    </row>
    <row r="16" spans="1:12" x14ac:dyDescent="0.25">
      <c r="A16" s="25"/>
      <c r="B16" s="325" t="s">
        <v>67</v>
      </c>
      <c r="C16" s="326">
        <f t="shared" ref="C16:L16" si="7">SUM(C8:C9,C10:C11)</f>
        <v>116</v>
      </c>
      <c r="D16" s="326">
        <f t="shared" si="7"/>
        <v>154</v>
      </c>
      <c r="E16" s="326">
        <f t="shared" si="7"/>
        <v>99</v>
      </c>
      <c r="F16" s="326">
        <f t="shared" si="7"/>
        <v>99</v>
      </c>
      <c r="G16" s="327">
        <f t="shared" si="7"/>
        <v>468</v>
      </c>
      <c r="H16" s="328">
        <f t="shared" si="7"/>
        <v>0.45136186770428016</v>
      </c>
      <c r="I16" s="329">
        <f t="shared" si="7"/>
        <v>0.68141592920353977</v>
      </c>
      <c r="J16" s="329">
        <f t="shared" si="7"/>
        <v>0.6556291390728477</v>
      </c>
      <c r="K16" s="330">
        <f t="shared" si="7"/>
        <v>0.80487804878048785</v>
      </c>
      <c r="L16" s="331">
        <f t="shared" si="7"/>
        <v>0.61822985468956404</v>
      </c>
    </row>
    <row r="17" spans="1:12" x14ac:dyDescent="0.25">
      <c r="A17" s="25"/>
      <c r="B17" s="332" t="s">
        <v>109</v>
      </c>
      <c r="C17" s="333">
        <f t="shared" ref="C17:L17" si="8">SUM(C7:C12)</f>
        <v>169</v>
      </c>
      <c r="D17" s="333">
        <f t="shared" si="8"/>
        <v>180</v>
      </c>
      <c r="E17" s="333">
        <f t="shared" si="8"/>
        <v>127</v>
      </c>
      <c r="F17" s="333">
        <f t="shared" si="8"/>
        <v>112</v>
      </c>
      <c r="G17" s="334">
        <f t="shared" si="8"/>
        <v>588</v>
      </c>
      <c r="H17" s="335">
        <f t="shared" si="8"/>
        <v>0.65758754863813218</v>
      </c>
      <c r="I17" s="336">
        <f t="shared" si="8"/>
        <v>0.79646017699115057</v>
      </c>
      <c r="J17" s="336">
        <f t="shared" si="8"/>
        <v>0.84105960264900659</v>
      </c>
      <c r="K17" s="337">
        <f t="shared" si="8"/>
        <v>0.91056910569105698</v>
      </c>
      <c r="L17" s="338">
        <f t="shared" si="8"/>
        <v>0.77675033025099072</v>
      </c>
    </row>
    <row r="18" spans="1:12" x14ac:dyDescent="0.25">
      <c r="A18" s="25"/>
      <c r="B18" s="339"/>
      <c r="C18" s="465" t="s">
        <v>137</v>
      </c>
      <c r="D18" s="460"/>
      <c r="E18" s="460"/>
      <c r="F18" s="460"/>
      <c r="G18" s="461"/>
      <c r="H18" s="466" t="s">
        <v>138</v>
      </c>
      <c r="I18" s="460"/>
      <c r="J18" s="460"/>
      <c r="K18" s="460"/>
      <c r="L18" s="467"/>
    </row>
    <row r="19" spans="1:12" s="5" customFormat="1" x14ac:dyDescent="0.25">
      <c r="A19" s="239"/>
      <c r="B19" s="340" t="s">
        <v>139</v>
      </c>
      <c r="C19" s="341">
        <f>SUM(C5:C9)</f>
        <v>214</v>
      </c>
      <c r="D19" s="341">
        <f>SUM(D5:D9)</f>
        <v>133</v>
      </c>
      <c r="E19" s="341">
        <f t="shared" ref="E19:G19" si="9">SUM(E5:E9)</f>
        <v>75</v>
      </c>
      <c r="F19" s="341">
        <f>SUM(F5:F9)</f>
        <v>93</v>
      </c>
      <c r="G19" s="342">
        <f t="shared" si="9"/>
        <v>515</v>
      </c>
      <c r="H19" s="343">
        <f>C19/C$21</f>
        <v>0.83268482490272377</v>
      </c>
      <c r="I19" s="344">
        <f t="shared" ref="I19:I21" si="10">D19/D$21</f>
        <v>0.58849557522123896</v>
      </c>
      <c r="J19" s="344">
        <f t="shared" ref="J19:J21" si="11">E19/E$21</f>
        <v>0.49668874172185429</v>
      </c>
      <c r="K19" s="345">
        <f t="shared" ref="K19:K21" si="12">F19/F$21</f>
        <v>0.75609756097560976</v>
      </c>
      <c r="L19" s="346">
        <f t="shared" ref="L19:L21" si="13">G19/G$21</f>
        <v>0.68031704095112289</v>
      </c>
    </row>
    <row r="20" spans="1:12" s="77" customFormat="1" x14ac:dyDescent="0.25">
      <c r="A20" s="240"/>
      <c r="B20" s="347" t="s">
        <v>140</v>
      </c>
      <c r="C20" s="348">
        <f>SUM(C10:C14)</f>
        <v>43</v>
      </c>
      <c r="D20" s="348">
        <f>SUM(D10:D14)</f>
        <v>93</v>
      </c>
      <c r="E20" s="348">
        <f t="shared" ref="E20:G20" si="14">SUM(E10:E14)</f>
        <v>76</v>
      </c>
      <c r="F20" s="348">
        <f t="shared" si="14"/>
        <v>30</v>
      </c>
      <c r="G20" s="349">
        <f t="shared" si="14"/>
        <v>242</v>
      </c>
      <c r="H20" s="350">
        <f t="shared" ref="H20:H21" si="15">C20/C$21</f>
        <v>0.16731517509727625</v>
      </c>
      <c r="I20" s="351">
        <f t="shared" si="10"/>
        <v>0.41150442477876104</v>
      </c>
      <c r="J20" s="351">
        <f t="shared" si="11"/>
        <v>0.50331125827814571</v>
      </c>
      <c r="K20" s="352">
        <f t="shared" si="12"/>
        <v>0.24390243902439024</v>
      </c>
      <c r="L20" s="353">
        <f t="shared" si="13"/>
        <v>0.31968295904887717</v>
      </c>
    </row>
    <row r="21" spans="1:12" x14ac:dyDescent="0.25">
      <c r="A21" s="25"/>
      <c r="B21" s="354" t="s">
        <v>52</v>
      </c>
      <c r="C21" s="355">
        <f>C19+C20</f>
        <v>257</v>
      </c>
      <c r="D21" s="355">
        <f>D19+D20</f>
        <v>226</v>
      </c>
      <c r="E21" s="355">
        <f t="shared" ref="E21:F21" si="16">E19+E20</f>
        <v>151</v>
      </c>
      <c r="F21" s="355">
        <f t="shared" si="16"/>
        <v>123</v>
      </c>
      <c r="G21" s="356">
        <f>G19+G20</f>
        <v>757</v>
      </c>
      <c r="H21" s="357">
        <f t="shared" si="15"/>
        <v>1</v>
      </c>
      <c r="I21" s="358">
        <f t="shared" si="10"/>
        <v>1</v>
      </c>
      <c r="J21" s="358">
        <f t="shared" si="11"/>
        <v>1</v>
      </c>
      <c r="K21" s="359">
        <f t="shared" si="12"/>
        <v>1</v>
      </c>
      <c r="L21" s="360">
        <f t="shared" si="13"/>
        <v>1</v>
      </c>
    </row>
    <row r="22" spans="1:12" x14ac:dyDescent="0.25">
      <c r="A22" s="25"/>
      <c r="B22" s="361"/>
      <c r="C22" s="462" t="s">
        <v>103</v>
      </c>
      <c r="D22" s="463"/>
      <c r="E22" s="463"/>
      <c r="F22" s="463"/>
      <c r="G22" s="464"/>
      <c r="H22" s="362"/>
      <c r="I22" s="363"/>
      <c r="J22" s="363"/>
      <c r="K22" s="363"/>
      <c r="L22" s="363"/>
    </row>
    <row r="23" spans="1:12" x14ac:dyDescent="0.25">
      <c r="A23" s="25"/>
      <c r="B23" s="364" t="s">
        <v>99</v>
      </c>
      <c r="C23" s="246">
        <f>AVERAGEIFS(ws[gap],ws[dir],C$3,ws[gap],"&gt;=0%")</f>
        <v>0.29347310231982732</v>
      </c>
      <c r="D23" s="246">
        <f>AVERAGEIFS(ws[gap],ws[dir],D$3,ws[gap],"&gt;=0%")</f>
        <v>0.22009005282916647</v>
      </c>
      <c r="E23" s="246">
        <f>AVERAGEIFS(ws[gap],ws[dir],E$3,ws[gap],"&gt;=0%")</f>
        <v>0.22437482763245378</v>
      </c>
      <c r="F23" s="246">
        <f>AVERAGEIFS(ws[gap],ws[dir],F$3,ws[gap],"&gt;=0%")</f>
        <v>0.1477821548793703</v>
      </c>
      <c r="G23" s="365">
        <f>AVERAGEIFS(ws[gap],ws[gap],"&gt;=0%")</f>
        <v>0.2381496570853158</v>
      </c>
      <c r="H23" s="366"/>
      <c r="I23" s="366"/>
      <c r="J23" s="366"/>
      <c r="K23" s="366"/>
      <c r="L23" s="366"/>
    </row>
    <row r="24" spans="1:12" x14ac:dyDescent="0.25">
      <c r="A24" s="25"/>
      <c r="B24" s="367" t="s">
        <v>100</v>
      </c>
      <c r="C24" s="246">
        <f>AVERAGEIFS(ws[gap],ws[dir],C$3,ws[gap],"&lt;0%")</f>
        <v>-0.1267993233936365</v>
      </c>
      <c r="D24" s="246">
        <f>AVERAGEIFS(ws[gap],ws[dir],D$3,ws[gap],"&lt;0%")</f>
        <v>-0.11413580503159833</v>
      </c>
      <c r="E24" s="246">
        <f>AVERAGEIFS(ws[gap],ws[dir],E$3,ws[gap],"&lt;0%")</f>
        <v>-0.13588922726750619</v>
      </c>
      <c r="F24" s="246">
        <f>AVERAGEIFS(ws[gap],ws[dir],F$3,ws[gap],"&lt;0%")</f>
        <v>-5.3828644120560702E-2</v>
      </c>
      <c r="G24" s="365">
        <f>AVERAGEIFS(ws[gap],ws[gap],"&lt;0%")</f>
        <v>-0.11574149326368711</v>
      </c>
      <c r="H24" s="368"/>
      <c r="I24" s="368"/>
      <c r="J24" s="368"/>
      <c r="K24" s="368"/>
      <c r="L24" s="368"/>
    </row>
    <row r="25" spans="1:12" ht="15.75" thickBot="1" x14ac:dyDescent="0.3">
      <c r="A25" s="25"/>
      <c r="B25" s="369" t="s">
        <v>98</v>
      </c>
      <c r="C25" s="245">
        <f>AVERAGEIFS(ws[gap],ws[dir],C$3)</f>
        <v>0.22315514782302212</v>
      </c>
      <c r="D25" s="245">
        <f>AVERAGEIFS(ws[gap],ws[dir],D$3)</f>
        <v>8.2554633443984476E-2</v>
      </c>
      <c r="E25" s="245">
        <f>AVERAGEIFS(ws[gap],ws[dir],E$3)</f>
        <v>4.3049872848367983E-2</v>
      </c>
      <c r="F25" s="248">
        <f>AVERAGEIFS(ws[gap],ws[dir],F$3)</f>
        <v>9.8608789269631E-2</v>
      </c>
      <c r="G25" s="370">
        <f>AVERAGE(ws[gap])</f>
        <v>0.1250166869605355</v>
      </c>
      <c r="H25" s="371"/>
      <c r="I25" s="371"/>
      <c r="J25" s="371"/>
      <c r="K25" s="372"/>
      <c r="L25" s="372"/>
    </row>
    <row r="26" spans="1:12" ht="15.75" thickTop="1" x14ac:dyDescent="0.25">
      <c r="A26" s="25"/>
      <c r="B26" s="456" t="s">
        <v>106</v>
      </c>
      <c r="C26" s="457"/>
      <c r="D26" s="457"/>
      <c r="E26" s="457"/>
      <c r="F26" s="457"/>
      <c r="G26" s="458"/>
      <c r="H26" s="363"/>
      <c r="I26" s="363"/>
      <c r="J26" s="363"/>
      <c r="K26" s="363"/>
      <c r="L26" s="363"/>
    </row>
    <row r="27" spans="1:12" x14ac:dyDescent="0.25">
      <c r="A27" s="25"/>
      <c r="B27" s="373" t="s">
        <v>110</v>
      </c>
      <c r="C27" s="108">
        <f>SQRT(AVERAGEIF(ws[dir],C3,ws[x2]))/AVERAGEIF(ws[dir],C3,ws[count])</f>
        <v>0.32905453113851041</v>
      </c>
      <c r="D27" s="108">
        <f>SQRT(AVERAGEIF(ws[dir],D3,ws[x2]))/AVERAGEIF(ws[dir],D3,ws[count])</f>
        <v>0.22361012423931828</v>
      </c>
      <c r="E27" s="108">
        <f>SQRT(AVERAGEIF(ws[dir],E3,ws[x2]))/AVERAGEIF(ws[dir],E3,ws[count])</f>
        <v>0.19190050163888478</v>
      </c>
      <c r="F27" s="108">
        <f>SQRT(AVERAGEIF(ws[dir],F3,ws[x2]))/AVERAGEIF(ws[dir],F3,ws[count])</f>
        <v>0.14042679513181788</v>
      </c>
      <c r="G27" s="278">
        <f>SQRT(AVERAGE(ws[x2]))/AVERAGE(ws[count])</f>
        <v>0.25506884262527535</v>
      </c>
      <c r="H27" s="374"/>
      <c r="I27" s="374"/>
      <c r="J27" s="374"/>
      <c r="K27" s="374"/>
      <c r="L27" s="374"/>
    </row>
    <row r="28" spans="1:12" x14ac:dyDescent="0.25">
      <c r="A28" s="25"/>
      <c r="B28" s="459" t="s">
        <v>68</v>
      </c>
      <c r="C28" s="460"/>
      <c r="D28" s="460"/>
      <c r="E28" s="460"/>
      <c r="F28" s="460"/>
      <c r="G28" s="461"/>
      <c r="H28" s="363"/>
      <c r="I28" s="363"/>
      <c r="J28" s="363"/>
      <c r="K28" s="363"/>
      <c r="L28" s="363"/>
    </row>
    <row r="29" spans="1:12" ht="15.75" thickBot="1" x14ac:dyDescent="0.3">
      <c r="A29" s="25"/>
      <c r="B29" s="375" t="s">
        <v>111</v>
      </c>
      <c r="C29" s="277">
        <f>B51</f>
        <v>1.2309718218310834</v>
      </c>
      <c r="D29" s="277">
        <f>B52</f>
        <v>1.07091851649126</v>
      </c>
      <c r="E29" s="277">
        <f>B53</f>
        <v>1.0120161845561226</v>
      </c>
      <c r="F29" s="277">
        <f>B54</f>
        <v>1.0769875706982976</v>
      </c>
      <c r="G29" s="249">
        <f>LINEST(ws[flow],ws[count],FALSE)</f>
        <v>1.1213295647545607</v>
      </c>
      <c r="H29" s="374"/>
      <c r="I29" s="374"/>
      <c r="J29" s="374"/>
      <c r="K29" s="374"/>
      <c r="L29" s="374"/>
    </row>
    <row r="30" spans="1:12" ht="15.75" thickTop="1" x14ac:dyDescent="0.25"/>
    <row r="50" spans="1:3" x14ac:dyDescent="0.25">
      <c r="A50" t="s">
        <v>118</v>
      </c>
      <c r="B50" s="10" t="s">
        <v>274</v>
      </c>
    </row>
    <row r="51" spans="1:3" x14ac:dyDescent="0.25">
      <c r="A51">
        <v>1</v>
      </c>
      <c r="B51" s="10" cm="1">
        <f t="array" ref="B51:C51">LINEST((ws[dir]=C3)*(ws[flow]),(ws[dir]=C3)*(ws[count]),FALSE)</f>
        <v>1.2309718218310834</v>
      </c>
      <c r="C51">
        <v>0</v>
      </c>
    </row>
    <row r="52" spans="1:3" x14ac:dyDescent="0.25">
      <c r="A52">
        <v>2</v>
      </c>
      <c r="B52" s="10" cm="1">
        <f t="array" ref="B52:C52">LINEST((ws[dir]=D3)*(ws[flow]),(ws[dir]=D3)*(ws[count]),FALSE)</f>
        <v>1.07091851649126</v>
      </c>
      <c r="C52">
        <v>0</v>
      </c>
    </row>
    <row r="53" spans="1:3" x14ac:dyDescent="0.25">
      <c r="A53">
        <v>3</v>
      </c>
      <c r="B53" s="10" cm="1">
        <f t="array" ref="B53:C53">LINEST((ws[dir]=E3)*(ws[flow]),(ws[dir]=E3)*(ws[count]),FALSE)</f>
        <v>1.0120161845561226</v>
      </c>
      <c r="C53">
        <v>0</v>
      </c>
    </row>
    <row r="54" spans="1:3" x14ac:dyDescent="0.25">
      <c r="A54">
        <v>4</v>
      </c>
      <c r="B54" s="10" cm="1">
        <f t="array" ref="B54:C54">LINEST((ws[dir]=F3)*(ws[flow]),(ws[dir]=F3)*(ws[count]),FALSE)</f>
        <v>1.0769875706982976</v>
      </c>
      <c r="C54">
        <v>0</v>
      </c>
    </row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6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3:Z174"/>
  <sheetViews>
    <sheetView showGridLines="0" zoomScale="90" zoomScaleNormal="90" workbookViewId="0">
      <pane ySplit="1" topLeftCell="A2" activePane="bottomLeft" state="frozen"/>
      <selection activeCell="T19" sqref="T19:X19"/>
      <selection pane="bottomLeft" activeCell="N26" sqref="N26"/>
    </sheetView>
  </sheetViews>
  <sheetFormatPr defaultRowHeight="15" x14ac:dyDescent="0.25"/>
  <cols>
    <col min="1" max="1" width="10.7109375" customWidth="1"/>
    <col min="2" max="2" width="16.140625" style="10" bestFit="1" customWidth="1"/>
    <col min="3" max="11" width="10" style="11" customWidth="1"/>
    <col min="12" max="12" width="11.85546875" style="11" bestFit="1" customWidth="1"/>
    <col min="13" max="13" width="21.140625" style="11" bestFit="1" customWidth="1"/>
    <col min="14" max="14" width="10" style="11" customWidth="1"/>
    <col min="15" max="23" width="10" customWidth="1"/>
    <col min="24" max="24" width="12.5703125" style="136" bestFit="1" customWidth="1"/>
    <col min="25" max="25" width="21.140625" style="136" bestFit="1" customWidth="1"/>
    <col min="26" max="26" width="10" customWidth="1"/>
  </cols>
  <sheetData>
    <row r="3" spans="2:26" x14ac:dyDescent="0.25">
      <c r="B3" s="376"/>
      <c r="C3" s="471" t="s">
        <v>66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4"/>
      <c r="O3" s="460" t="s">
        <v>117</v>
      </c>
      <c r="P3" s="460"/>
      <c r="Q3" s="460"/>
      <c r="R3" s="460"/>
      <c r="S3" s="460"/>
      <c r="T3" s="460"/>
      <c r="U3" s="460"/>
      <c r="V3" s="460"/>
      <c r="W3" s="460"/>
      <c r="X3" s="460"/>
      <c r="Y3" s="460"/>
      <c r="Z3" s="472"/>
    </row>
    <row r="4" spans="2:26" x14ac:dyDescent="0.25">
      <c r="B4" s="377"/>
      <c r="C4" s="72">
        <v>1</v>
      </c>
      <c r="D4" s="72">
        <v>2</v>
      </c>
      <c r="E4" s="72">
        <v>3</v>
      </c>
      <c r="F4" s="72">
        <v>4</v>
      </c>
      <c r="G4" s="72">
        <v>5</v>
      </c>
      <c r="H4" s="72">
        <v>6</v>
      </c>
      <c r="I4" s="72">
        <v>7</v>
      </c>
      <c r="J4" s="72">
        <v>29</v>
      </c>
      <c r="K4" s="72">
        <v>31</v>
      </c>
      <c r="L4" s="241">
        <v>33</v>
      </c>
      <c r="M4" s="241">
        <v>34</v>
      </c>
      <c r="N4" s="82"/>
      <c r="O4" s="378">
        <v>1</v>
      </c>
      <c r="P4" s="72">
        <v>2</v>
      </c>
      <c r="Q4" s="72">
        <v>3</v>
      </c>
      <c r="R4" s="72">
        <v>4</v>
      </c>
      <c r="S4" s="72">
        <v>5</v>
      </c>
      <c r="T4" s="72">
        <v>6</v>
      </c>
      <c r="U4" s="72">
        <v>7</v>
      </c>
      <c r="V4" s="72">
        <v>29</v>
      </c>
      <c r="W4" s="72">
        <v>31</v>
      </c>
      <c r="X4" s="241">
        <v>33</v>
      </c>
      <c r="Y4" s="241">
        <v>34</v>
      </c>
      <c r="Z4" s="72"/>
    </row>
    <row r="5" spans="2:26" x14ac:dyDescent="0.25">
      <c r="B5" s="379" t="s">
        <v>54</v>
      </c>
      <c r="C5" s="380" t="s">
        <v>70</v>
      </c>
      <c r="D5" s="380" t="s">
        <v>69</v>
      </c>
      <c r="E5" s="380" t="s">
        <v>71</v>
      </c>
      <c r="F5" s="380" t="s">
        <v>73</v>
      </c>
      <c r="G5" s="380" t="s">
        <v>72</v>
      </c>
      <c r="H5" s="380" t="s">
        <v>74</v>
      </c>
      <c r="I5" s="380" t="s">
        <v>75</v>
      </c>
      <c r="J5" s="380" t="s">
        <v>142</v>
      </c>
      <c r="K5" s="380" t="s">
        <v>141</v>
      </c>
      <c r="L5" s="381" t="s">
        <v>264</v>
      </c>
      <c r="M5" s="381" t="s">
        <v>266</v>
      </c>
      <c r="N5" s="382" t="s">
        <v>55</v>
      </c>
      <c r="O5" s="383" t="s">
        <v>70</v>
      </c>
      <c r="P5" s="380" t="s">
        <v>69</v>
      </c>
      <c r="Q5" s="380" t="s">
        <v>71</v>
      </c>
      <c r="R5" s="380" t="s">
        <v>73</v>
      </c>
      <c r="S5" s="380" t="s">
        <v>72</v>
      </c>
      <c r="T5" s="380" t="s">
        <v>74</v>
      </c>
      <c r="U5" s="380" t="s">
        <v>75</v>
      </c>
      <c r="V5" s="380" t="s">
        <v>142</v>
      </c>
      <c r="W5" s="380" t="s">
        <v>141</v>
      </c>
      <c r="X5" s="381" t="s">
        <v>264</v>
      </c>
      <c r="Y5" s="381" t="s">
        <v>266</v>
      </c>
      <c r="Z5" s="380" t="s">
        <v>55</v>
      </c>
    </row>
    <row r="6" spans="2:26" x14ac:dyDescent="0.25">
      <c r="B6" s="384" t="s">
        <v>112</v>
      </c>
      <c r="C6" s="106">
        <f>COUNTIFS(ws[corridor],C$4,ws[gap],"&gt;=40%")</f>
        <v>22</v>
      </c>
      <c r="D6" s="106">
        <f>COUNTIFS(ws[corridor],D$4,ws[gap],"&gt;=40%")</f>
        <v>4</v>
      </c>
      <c r="E6" s="106">
        <f>COUNTIFS(ws[corridor],E$4,ws[gap],"&gt;=40%")</f>
        <v>9</v>
      </c>
      <c r="F6" s="106">
        <f>COUNTIFS(ws[corridor],F$4,ws[gap],"&gt;=40%")</f>
        <v>0</v>
      </c>
      <c r="G6" s="106">
        <f>COUNTIFS(ws[corridor],G$4,ws[gap],"&gt;=40%")</f>
        <v>0</v>
      </c>
      <c r="H6" s="106">
        <f>COUNTIFS(ws[corridor],H$4,ws[gap],"&gt;=40%")</f>
        <v>0</v>
      </c>
      <c r="I6" s="106">
        <f>COUNTIFS(ws[corridor],I$4,ws[gap],"&gt;=40%")</f>
        <v>1</v>
      </c>
      <c r="J6" s="106">
        <f>COUNTIFS(ws[corridor],J$4,ws[gap],"&gt;=40%")</f>
        <v>1</v>
      </c>
      <c r="K6" s="106">
        <f>COUNTIFS(ws[corridor],K$4,ws[gap],"&gt;=40%")</f>
        <v>4</v>
      </c>
      <c r="L6" s="106">
        <f>COUNTIFS(ws[corridor],L$4,ws[gap],"&gt;=40%")</f>
        <v>1</v>
      </c>
      <c r="M6" s="106">
        <f>COUNTIFS(ws[corridor],M$4,ws[gap],"&gt;=40%")</f>
        <v>1</v>
      </c>
      <c r="N6" s="385">
        <f t="shared" ref="N6:N15" si="0">SUM(C6:M6)</f>
        <v>43</v>
      </c>
      <c r="O6" s="386">
        <f>C6/C$22</f>
        <v>0.23404255319148937</v>
      </c>
      <c r="P6" s="387">
        <f>D6/D$22</f>
        <v>6.4516129032258063E-2</v>
      </c>
      <c r="Q6" s="387">
        <f t="shared" ref="Q6:Q15" si="1">E6/E$22</f>
        <v>0.21428571428571427</v>
      </c>
      <c r="R6" s="387">
        <f t="shared" ref="R6:R15" si="2">F6/F$22</f>
        <v>0</v>
      </c>
      <c r="S6" s="387">
        <f t="shared" ref="S6:S15" si="3">G6/G$22</f>
        <v>0</v>
      </c>
      <c r="T6" s="387">
        <f t="shared" ref="T6:T15" si="4">H6/H$22</f>
        <v>0</v>
      </c>
      <c r="U6" s="387">
        <f t="shared" ref="U6:U15" si="5">I6/I$22</f>
        <v>1</v>
      </c>
      <c r="V6" s="388">
        <f t="shared" ref="V6:V15" si="6">J6/J$22</f>
        <v>6.6666666666666666E-2</v>
      </c>
      <c r="W6" s="388">
        <f t="shared" ref="W6:W15" si="7">K6/K$22</f>
        <v>0.8</v>
      </c>
      <c r="X6" s="389">
        <f t="shared" ref="X6:X15" si="8">L6/L$22</f>
        <v>0.25</v>
      </c>
      <c r="Y6" s="388">
        <f t="shared" ref="Y6:Y10" si="9">M6/M$22</f>
        <v>1</v>
      </c>
      <c r="Z6" s="390">
        <f t="shared" ref="Z6:Z15" si="10">N6/N$22</f>
        <v>0.16731517509727625</v>
      </c>
    </row>
    <row r="7" spans="2:26" x14ac:dyDescent="0.25">
      <c r="B7" s="384" t="s">
        <v>114</v>
      </c>
      <c r="C7" s="106">
        <f>COUNTIFS(ws[corridor],C$4,ws[gap],"&gt;=30%",ws[gap],"&lt;40%")</f>
        <v>20</v>
      </c>
      <c r="D7" s="106">
        <f>COUNTIFS(ws[corridor],D$4,ws[gap],"&gt;=30%",ws[gap],"&lt;40%")</f>
        <v>10</v>
      </c>
      <c r="E7" s="106">
        <f>COUNTIFS(ws[corridor],E$4,ws[gap],"&gt;=30%",ws[gap],"&lt;40%")</f>
        <v>7</v>
      </c>
      <c r="F7" s="106">
        <f>COUNTIFS(ws[corridor],F$4,ws[gap],"&gt;=30%",ws[gap],"&lt;40%")</f>
        <v>0</v>
      </c>
      <c r="G7" s="106">
        <f>COUNTIFS(ws[corridor],G$4,ws[gap],"&gt;=30%",ws[gap],"&lt;40%")</f>
        <v>1</v>
      </c>
      <c r="H7" s="106">
        <f>COUNTIFS(ws[corridor],H$4,ws[gap],"&gt;=30%",ws[gap],"&lt;40%")</f>
        <v>0</v>
      </c>
      <c r="I7" s="106">
        <f>COUNTIFS(ws[corridor],I$4,ws[gap],"&gt;=30%",ws[gap],"&lt;40%")</f>
        <v>0</v>
      </c>
      <c r="J7" s="106">
        <f>COUNTIFS(ws[corridor],J$4,ws[gap],"&gt;=30%",ws[gap],"&lt;40%")</f>
        <v>1</v>
      </c>
      <c r="K7" s="106">
        <f>COUNTIFS(ws[corridor],K$4,ws[gap],"&gt;=30%",ws[gap],"&lt;40%")</f>
        <v>1</v>
      </c>
      <c r="L7" s="106">
        <f>COUNTIFS(ws[corridor],L$4,ws[gap],"&gt;=30%",ws[gap],"&lt;40%")</f>
        <v>0</v>
      </c>
      <c r="M7" s="106">
        <f>COUNTIFS(ws[corridor],M$4,ws[gap],"&gt;=30%",ws[gap],"&lt;40%")</f>
        <v>0</v>
      </c>
      <c r="N7" s="391">
        <f t="shared" si="0"/>
        <v>40</v>
      </c>
      <c r="O7" s="386">
        <f t="shared" ref="O7:O15" si="11">C7/C$22</f>
        <v>0.21276595744680851</v>
      </c>
      <c r="P7" s="387">
        <f t="shared" ref="P7:P15" si="12">D7/D$22</f>
        <v>0.16129032258064516</v>
      </c>
      <c r="Q7" s="387">
        <f t="shared" si="1"/>
        <v>0.16666666666666666</v>
      </c>
      <c r="R7" s="387">
        <f t="shared" si="2"/>
        <v>0</v>
      </c>
      <c r="S7" s="387">
        <f t="shared" si="3"/>
        <v>0.05</v>
      </c>
      <c r="T7" s="387">
        <f t="shared" si="4"/>
        <v>0</v>
      </c>
      <c r="U7" s="387">
        <f t="shared" si="5"/>
        <v>0</v>
      </c>
      <c r="V7" s="388">
        <f t="shared" si="6"/>
        <v>6.6666666666666666E-2</v>
      </c>
      <c r="W7" s="388">
        <f t="shared" si="7"/>
        <v>0.2</v>
      </c>
      <c r="X7" s="387">
        <f t="shared" si="8"/>
        <v>0</v>
      </c>
      <c r="Y7" s="387">
        <f t="shared" si="9"/>
        <v>0</v>
      </c>
      <c r="Z7" s="387">
        <f t="shared" si="10"/>
        <v>0.1556420233463035</v>
      </c>
    </row>
    <row r="8" spans="2:26" x14ac:dyDescent="0.25">
      <c r="B8" s="392" t="s">
        <v>56</v>
      </c>
      <c r="C8" s="109">
        <f>COUNTIFS(ws[corridor],C$4,ws[gap],"&gt;=20%",ws[gap],"&lt;30%")</f>
        <v>16</v>
      </c>
      <c r="D8" s="109">
        <f>COUNTIFS(ws[corridor],D$4,ws[gap],"&gt;=20%",ws[gap],"&lt;30%")</f>
        <v>23</v>
      </c>
      <c r="E8" s="109">
        <f>COUNTIFS(ws[corridor],E$4,ws[gap],"&gt;=20%",ws[gap],"&lt;30%")</f>
        <v>2</v>
      </c>
      <c r="F8" s="109">
        <f>COUNTIFS(ws[corridor],F$4,ws[gap],"&gt;=20%",ws[gap],"&lt;30%")</f>
        <v>4</v>
      </c>
      <c r="G8" s="109">
        <f>COUNTIFS(ws[corridor],G$4,ws[gap],"&gt;=20%",ws[gap],"&lt;30%")</f>
        <v>1</v>
      </c>
      <c r="H8" s="109">
        <f>COUNTIFS(ws[corridor],H$4,ws[gap],"&gt;=20%",ws[gap],"&lt;30%")</f>
        <v>1</v>
      </c>
      <c r="I8" s="109">
        <f>COUNTIFS(ws[corridor],I$4,ws[gap],"&gt;=20%",ws[gap],"&lt;30%")</f>
        <v>0</v>
      </c>
      <c r="J8" s="109">
        <f>COUNTIFS(ws[corridor],J$4,ws[gap],"&gt;=20%",ws[gap],"&lt;30%")</f>
        <v>1</v>
      </c>
      <c r="K8" s="109">
        <f>COUNTIFS(ws[corridor],K$4,ws[gap],"&gt;=20%",ws[gap],"&lt;30%")</f>
        <v>0</v>
      </c>
      <c r="L8" s="109">
        <f>COUNTIFS(ws[corridor],L$4,ws[gap],"&gt;=20%",ws[gap],"&lt;30%")</f>
        <v>1</v>
      </c>
      <c r="M8" s="109">
        <f>COUNTIFS(ws[corridor],M$4,ws[gap],"&gt;=20%",ws[gap],"&lt;30%")</f>
        <v>0</v>
      </c>
      <c r="N8" s="393">
        <f t="shared" si="0"/>
        <v>49</v>
      </c>
      <c r="O8" s="394">
        <f t="shared" si="11"/>
        <v>0.1702127659574468</v>
      </c>
      <c r="P8" s="395">
        <f t="shared" si="12"/>
        <v>0.37096774193548387</v>
      </c>
      <c r="Q8" s="395">
        <f t="shared" si="1"/>
        <v>4.7619047619047616E-2</v>
      </c>
      <c r="R8" s="395">
        <f t="shared" si="2"/>
        <v>0.4</v>
      </c>
      <c r="S8" s="395">
        <f t="shared" si="3"/>
        <v>0.05</v>
      </c>
      <c r="T8" s="395">
        <f t="shared" si="4"/>
        <v>0.33333333333333331</v>
      </c>
      <c r="U8" s="395">
        <f t="shared" si="5"/>
        <v>0</v>
      </c>
      <c r="V8" s="396">
        <f t="shared" si="6"/>
        <v>6.6666666666666666E-2</v>
      </c>
      <c r="W8" s="396">
        <f t="shared" si="7"/>
        <v>0</v>
      </c>
      <c r="X8" s="395">
        <f t="shared" si="8"/>
        <v>0.25</v>
      </c>
      <c r="Y8" s="395">
        <f t="shared" si="9"/>
        <v>0</v>
      </c>
      <c r="Z8" s="395">
        <f t="shared" si="10"/>
        <v>0.19066147859922178</v>
      </c>
    </row>
    <row r="9" spans="2:26" x14ac:dyDescent="0.25">
      <c r="B9" s="392" t="s">
        <v>57</v>
      </c>
      <c r="C9" s="109">
        <f>COUNTIFS(ws[corridor],C$4,ws[gap],"&gt;=10%",ws[gap],"&lt;20%")</f>
        <v>11</v>
      </c>
      <c r="D9" s="109">
        <f>COUNTIFS(ws[corridor],D$4,ws[gap],"&gt;=10%",ws[gap],"&lt;20%")</f>
        <v>15</v>
      </c>
      <c r="E9" s="109">
        <f>COUNTIFS(ws[corridor],E$4,ws[gap],"&gt;=10%",ws[gap],"&lt;20%")</f>
        <v>8</v>
      </c>
      <c r="F9" s="109">
        <f>COUNTIFS(ws[corridor],F$4,ws[gap],"&gt;=10%",ws[gap],"&lt;20%")</f>
        <v>5</v>
      </c>
      <c r="G9" s="109">
        <f>COUNTIFS(ws[corridor],G$4,ws[gap],"&gt;=10%",ws[gap],"&lt;20%")</f>
        <v>4</v>
      </c>
      <c r="H9" s="109">
        <f>COUNTIFS(ws[corridor],H$4,ws[gap],"&gt;=10%",ws[gap],"&lt;20%")</f>
        <v>0</v>
      </c>
      <c r="I9" s="109">
        <f>COUNTIFS(ws[corridor],I$4,ws[gap],"&gt;=10%",ws[gap],"&lt;20%")</f>
        <v>0</v>
      </c>
      <c r="J9" s="109">
        <f>COUNTIFS(ws[corridor],J$4,ws[gap],"&gt;=10%",ws[gap],"&lt;20%")</f>
        <v>2</v>
      </c>
      <c r="K9" s="109">
        <f>COUNTIFS(ws[corridor],K$4,ws[gap],"&gt;=10%",ws[gap],"&lt;20%")</f>
        <v>0</v>
      </c>
      <c r="L9" s="109">
        <f>COUNTIFS(ws[corridor],L$4,ws[gap],"&gt;=10%",ws[gap],"&lt;20%")</f>
        <v>1</v>
      </c>
      <c r="M9" s="109">
        <f>COUNTIFS(ws[corridor],M$4,ws[gap],"&gt;=10%",ws[gap],"&lt;20%")</f>
        <v>0</v>
      </c>
      <c r="N9" s="393">
        <f t="shared" si="0"/>
        <v>46</v>
      </c>
      <c r="O9" s="394">
        <f t="shared" si="11"/>
        <v>0.11702127659574468</v>
      </c>
      <c r="P9" s="395">
        <f t="shared" si="12"/>
        <v>0.24193548387096775</v>
      </c>
      <c r="Q9" s="395">
        <f t="shared" si="1"/>
        <v>0.19047619047619047</v>
      </c>
      <c r="R9" s="395">
        <f t="shared" si="2"/>
        <v>0.5</v>
      </c>
      <c r="S9" s="395">
        <f t="shared" si="3"/>
        <v>0.2</v>
      </c>
      <c r="T9" s="395">
        <f t="shared" si="4"/>
        <v>0</v>
      </c>
      <c r="U9" s="395">
        <f t="shared" si="5"/>
        <v>0</v>
      </c>
      <c r="V9" s="396">
        <f t="shared" si="6"/>
        <v>0.13333333333333333</v>
      </c>
      <c r="W9" s="396">
        <f t="shared" si="7"/>
        <v>0</v>
      </c>
      <c r="X9" s="395">
        <f t="shared" si="8"/>
        <v>0.25</v>
      </c>
      <c r="Y9" s="395">
        <f t="shared" si="9"/>
        <v>0</v>
      </c>
      <c r="Z9" s="395">
        <f t="shared" si="10"/>
        <v>0.17898832684824903</v>
      </c>
    </row>
    <row r="10" spans="2:26" x14ac:dyDescent="0.25">
      <c r="B10" s="392" t="s">
        <v>58</v>
      </c>
      <c r="C10" s="109">
        <f>COUNTIFS(ws[corridor],C$4,ws[gap],"&gt;=0%",ws[gap],"&lt;10%")</f>
        <v>10</v>
      </c>
      <c r="D10" s="109">
        <f>COUNTIFS(ws[corridor],D$4,ws[gap],"&gt;=0%",ws[gap],"&lt;10%")</f>
        <v>1</v>
      </c>
      <c r="E10" s="109">
        <f>COUNTIFS(ws[corridor],E$4,ws[gap],"&gt;=0%",ws[gap],"&lt;10%")</f>
        <v>10</v>
      </c>
      <c r="F10" s="109">
        <f>COUNTIFS(ws[corridor],F$4,ws[gap],"&gt;=0%",ws[gap],"&lt;10%")</f>
        <v>1</v>
      </c>
      <c r="G10" s="109">
        <f>COUNTIFS(ws[corridor],G$4,ws[gap],"&gt;=0%",ws[gap],"&lt;10%")</f>
        <v>5</v>
      </c>
      <c r="H10" s="109">
        <f>COUNTIFS(ws[corridor],H$4,ws[gap],"&gt;=0%",ws[gap],"&lt;10%")</f>
        <v>1</v>
      </c>
      <c r="I10" s="109">
        <f>COUNTIFS(ws[corridor],I$4,ws[gap],"&gt;=0%",ws[gap],"&lt;10%")</f>
        <v>0</v>
      </c>
      <c r="J10" s="109">
        <f>COUNTIFS(ws[corridor],J$4,ws[gap],"&gt;=0%",ws[gap],"&lt;10%")</f>
        <v>7</v>
      </c>
      <c r="K10" s="109">
        <f>COUNTIFS(ws[corridor],K$4,ws[gap],"&gt;=0%",ws[gap],"&lt;10%")</f>
        <v>0</v>
      </c>
      <c r="L10" s="109">
        <f>COUNTIFS(ws[corridor],L$4,ws[gap],"&gt;=0%",ws[gap],"&lt;10%")</f>
        <v>1</v>
      </c>
      <c r="M10" s="109">
        <f>COUNTIFS(ws[corridor],M$4,ws[gap],"&gt;=0%",ws[gap],"&lt;10%")</f>
        <v>0</v>
      </c>
      <c r="N10" s="393">
        <f t="shared" si="0"/>
        <v>36</v>
      </c>
      <c r="O10" s="394">
        <f t="shared" si="11"/>
        <v>0.10638297872340426</v>
      </c>
      <c r="P10" s="395">
        <f t="shared" si="12"/>
        <v>1.6129032258064516E-2</v>
      </c>
      <c r="Q10" s="395">
        <f t="shared" si="1"/>
        <v>0.23809523809523808</v>
      </c>
      <c r="R10" s="395">
        <f t="shared" si="2"/>
        <v>0.1</v>
      </c>
      <c r="S10" s="395">
        <f t="shared" si="3"/>
        <v>0.25</v>
      </c>
      <c r="T10" s="395">
        <f t="shared" si="4"/>
        <v>0.33333333333333331</v>
      </c>
      <c r="U10" s="395">
        <f t="shared" si="5"/>
        <v>0</v>
      </c>
      <c r="V10" s="396">
        <f t="shared" si="6"/>
        <v>0.46666666666666667</v>
      </c>
      <c r="W10" s="396">
        <f t="shared" si="7"/>
        <v>0</v>
      </c>
      <c r="X10" s="395">
        <f t="shared" si="8"/>
        <v>0.25</v>
      </c>
      <c r="Y10" s="395">
        <f t="shared" si="9"/>
        <v>0</v>
      </c>
      <c r="Z10" s="395">
        <f t="shared" si="10"/>
        <v>0.14007782101167315</v>
      </c>
    </row>
    <row r="11" spans="2:26" x14ac:dyDescent="0.25">
      <c r="B11" s="397" t="s">
        <v>59</v>
      </c>
      <c r="C11" s="107">
        <f>COUNTIFS(ws[corridor],C$4,ws[gap],"&gt;=-10%",ws[gap],"&lt;0%")</f>
        <v>6</v>
      </c>
      <c r="D11" s="107">
        <f>COUNTIFS(ws[corridor],D$4,ws[gap],"&gt;=-10%",ws[gap],"&lt;0%")</f>
        <v>7</v>
      </c>
      <c r="E11" s="107">
        <f>COUNTIFS(ws[corridor],E$4,ws[gap],"&gt;=-10%",ws[gap],"&lt;0%")</f>
        <v>4</v>
      </c>
      <c r="F11" s="107">
        <f>COUNTIFS(ws[corridor],F$4,ws[gap],"&gt;=-10%",ws[gap],"&lt;0%")</f>
        <v>0</v>
      </c>
      <c r="G11" s="107">
        <f>COUNTIFS(ws[corridor],G$4,ws[gap],"&gt;=-10%",ws[gap],"&lt;0%")</f>
        <v>4</v>
      </c>
      <c r="H11" s="107">
        <f>COUNTIFS(ws[corridor],H$4,ws[gap],"&gt;=-10%",ws[gap],"&lt;0%")</f>
        <v>1</v>
      </c>
      <c r="I11" s="107">
        <f>COUNTIFS(ws[corridor],I$4,ws[gap],"&gt;=-10%",ws[gap],"&lt;0%")</f>
        <v>0</v>
      </c>
      <c r="J11" s="107">
        <f>COUNTIFS(ws[corridor],J$4,ws[gap],"&gt;=-10%",ws[gap],"&lt;0%")</f>
        <v>1</v>
      </c>
      <c r="K11" s="107">
        <f>COUNTIFS(ws[corridor],K$4,ws[gap],"&gt;=-10%",ws[gap],"&lt;0%")</f>
        <v>0</v>
      </c>
      <c r="L11" s="107">
        <f>COUNTIFS(ws[corridor],L$4,ws[gap],"&gt;=-10%",ws[gap],"&lt;0%")</f>
        <v>0</v>
      </c>
      <c r="M11" s="107">
        <f>COUNTIFS(ws[corridor],M$4,ws[gap],"&gt;=-10%",ws[gap],"&lt;0%")</f>
        <v>0</v>
      </c>
      <c r="N11" s="398">
        <f t="shared" si="0"/>
        <v>23</v>
      </c>
      <c r="O11" s="399">
        <f t="shared" si="11"/>
        <v>6.3829787234042548E-2</v>
      </c>
      <c r="P11" s="400">
        <f>D11/D$22</f>
        <v>0.11290322580645161</v>
      </c>
      <c r="Q11" s="400">
        <f t="shared" si="1"/>
        <v>9.5238095238095233E-2</v>
      </c>
      <c r="R11" s="400">
        <f t="shared" si="2"/>
        <v>0</v>
      </c>
      <c r="S11" s="400">
        <f t="shared" si="3"/>
        <v>0.2</v>
      </c>
      <c r="T11" s="400">
        <f t="shared" si="4"/>
        <v>0.33333333333333331</v>
      </c>
      <c r="U11" s="400">
        <f t="shared" si="5"/>
        <v>0</v>
      </c>
      <c r="V11" s="401">
        <f t="shared" si="6"/>
        <v>6.6666666666666666E-2</v>
      </c>
      <c r="W11" s="401">
        <f t="shared" si="7"/>
        <v>0</v>
      </c>
      <c r="X11" s="400">
        <f t="shared" si="8"/>
        <v>0</v>
      </c>
      <c r="Y11" s="400">
        <f>M11/M$22</f>
        <v>0</v>
      </c>
      <c r="Z11" s="400">
        <f t="shared" si="10"/>
        <v>8.9494163424124515E-2</v>
      </c>
    </row>
    <row r="12" spans="2:26" x14ac:dyDescent="0.25">
      <c r="B12" s="402" t="s">
        <v>60</v>
      </c>
      <c r="C12" s="109">
        <f>COUNTIFS(ws[corridor],C$4,ws[gap],"&gt;=-20%",ws[gap],"&lt;-10%")</f>
        <v>1</v>
      </c>
      <c r="D12" s="109">
        <f>COUNTIFS(ws[corridor],D$4,ws[gap],"&gt;=-20%",ws[gap],"&lt;-10%")</f>
        <v>2</v>
      </c>
      <c r="E12" s="109">
        <f>COUNTIFS(ws[corridor],E$4,ws[gap],"&gt;=-20%",ws[gap],"&lt;-10%")</f>
        <v>1</v>
      </c>
      <c r="F12" s="109">
        <f>COUNTIFS(ws[corridor],F$4,ws[gap],"&gt;=-20%",ws[gap],"&lt;-10%")</f>
        <v>0</v>
      </c>
      <c r="G12" s="109">
        <f>COUNTIFS(ws[corridor],G$4,ws[gap],"&gt;=-20%",ws[gap],"&lt;-10%")</f>
        <v>5</v>
      </c>
      <c r="H12" s="109">
        <f>COUNTIFS(ws[corridor],H$4,ws[gap],"&gt;=-20%",ws[gap],"&lt;-10%")</f>
        <v>0</v>
      </c>
      <c r="I12" s="109">
        <f>COUNTIFS(ws[corridor],I$4,ws[gap],"&gt;=-20%",ws[gap],"&lt;-10%")</f>
        <v>0</v>
      </c>
      <c r="J12" s="109">
        <f>COUNTIFS(ws[corridor],J$4,ws[gap],"&gt;=-20%",ws[gap],"&lt;-10%")</f>
        <v>2</v>
      </c>
      <c r="K12" s="109">
        <f>COUNTIFS(ws[corridor],K$4,ws[gap],"&gt;=-20%",ws[gap],"&lt;-10%")</f>
        <v>0</v>
      </c>
      <c r="L12" s="109">
        <f>COUNTIFS(ws[corridor],L$4,ws[gap],"&gt;=-20%",ws[gap],"&lt;-10%")</f>
        <v>0</v>
      </c>
      <c r="M12" s="109">
        <f>COUNTIFS(ws[corridor],M$4,ws[gap],"&gt;=-20%",ws[gap],"&lt;-10%")</f>
        <v>0</v>
      </c>
      <c r="N12" s="403">
        <f t="shared" si="0"/>
        <v>11</v>
      </c>
      <c r="O12" s="404">
        <f t="shared" si="11"/>
        <v>1.0638297872340425E-2</v>
      </c>
      <c r="P12" s="405">
        <f t="shared" si="12"/>
        <v>3.2258064516129031E-2</v>
      </c>
      <c r="Q12" s="405">
        <f t="shared" si="1"/>
        <v>2.3809523809523808E-2</v>
      </c>
      <c r="R12" s="405">
        <f t="shared" si="2"/>
        <v>0</v>
      </c>
      <c r="S12" s="405">
        <f t="shared" si="3"/>
        <v>0.25</v>
      </c>
      <c r="T12" s="405">
        <f t="shared" si="4"/>
        <v>0</v>
      </c>
      <c r="U12" s="405">
        <f t="shared" si="5"/>
        <v>0</v>
      </c>
      <c r="V12" s="406">
        <f t="shared" si="6"/>
        <v>0.13333333333333333</v>
      </c>
      <c r="W12" s="406">
        <f t="shared" si="7"/>
        <v>0</v>
      </c>
      <c r="X12" s="405">
        <f t="shared" si="8"/>
        <v>0</v>
      </c>
      <c r="Y12" s="405">
        <f t="shared" ref="Y12:Y15" si="13">M12/M$22</f>
        <v>0</v>
      </c>
      <c r="Z12" s="405">
        <f t="shared" si="10"/>
        <v>4.2801556420233464E-2</v>
      </c>
    </row>
    <row r="13" spans="2:26" x14ac:dyDescent="0.25">
      <c r="B13" s="402" t="s">
        <v>61</v>
      </c>
      <c r="C13" s="109">
        <f>COUNTIFS(ws[corridor],C$4,ws[gap],"&gt;=-30%",ws[gap],"&lt;-20%")</f>
        <v>4</v>
      </c>
      <c r="D13" s="109">
        <f>COUNTIFS(ws[corridor],D$4,ws[gap],"&gt;=-30%",ws[gap],"&lt;-20%")</f>
        <v>0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0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109">
        <f>COUNTIFS(ws[corridor],J$4,ws[gap],"&gt;=-30%",ws[gap],"&lt;-20%")</f>
        <v>0</v>
      </c>
      <c r="K13" s="109">
        <f>COUNTIFS(ws[corridor],K$4,ws[gap],"&gt;=-30%",ws[gap],"&lt;-20%")</f>
        <v>0</v>
      </c>
      <c r="L13" s="109">
        <f>COUNTIFS(ws[corridor],L$4,ws[gap],"&gt;=-30%",ws[gap],"&lt;-20%")</f>
        <v>0</v>
      </c>
      <c r="M13" s="109">
        <f>COUNTIFS(ws[corridor],M$4,ws[gap],"&gt;=-30%",ws[gap],"&lt;-20%")</f>
        <v>0</v>
      </c>
      <c r="N13" s="403">
        <f t="shared" si="0"/>
        <v>4</v>
      </c>
      <c r="O13" s="404">
        <f t="shared" si="11"/>
        <v>4.2553191489361701E-2</v>
      </c>
      <c r="P13" s="405">
        <f t="shared" si="12"/>
        <v>0</v>
      </c>
      <c r="Q13" s="405">
        <f t="shared" si="1"/>
        <v>0</v>
      </c>
      <c r="R13" s="405">
        <f t="shared" si="2"/>
        <v>0</v>
      </c>
      <c r="S13" s="405">
        <f t="shared" si="3"/>
        <v>0</v>
      </c>
      <c r="T13" s="405">
        <f t="shared" si="4"/>
        <v>0</v>
      </c>
      <c r="U13" s="405">
        <f t="shared" si="5"/>
        <v>0</v>
      </c>
      <c r="V13" s="406">
        <f t="shared" si="6"/>
        <v>0</v>
      </c>
      <c r="W13" s="406">
        <f t="shared" si="7"/>
        <v>0</v>
      </c>
      <c r="X13" s="405">
        <f t="shared" si="8"/>
        <v>0</v>
      </c>
      <c r="Y13" s="405">
        <f t="shared" si="13"/>
        <v>0</v>
      </c>
      <c r="Z13" s="405">
        <f t="shared" si="10"/>
        <v>1.556420233463035E-2</v>
      </c>
    </row>
    <row r="14" spans="2:26" x14ac:dyDescent="0.25">
      <c r="B14" s="407" t="s">
        <v>115</v>
      </c>
      <c r="C14" s="106">
        <f>COUNTIFS(ws[corridor],C$4,ws[gap],"&gt;=-40%",ws[gap],"&lt;-30%")</f>
        <v>1</v>
      </c>
      <c r="D14" s="106">
        <f>COUNTIFS(ws[corridor],D$4,ws[gap],"&gt;=-40%",ws[gap],"&lt;-30%")</f>
        <v>0</v>
      </c>
      <c r="E14" s="106">
        <f>COUNTIFS(ws[corridor],E$4,ws[gap],"&gt;=-40%",ws[gap],"&lt;-30%")</f>
        <v>1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106">
        <f>COUNTIFS(ws[corridor],J$4,ws[gap],"&gt;=-40%",ws[gap],"&lt;-30%")</f>
        <v>0</v>
      </c>
      <c r="K14" s="106">
        <f>COUNTIFS(ws[corridor],K$4,ws[gap],"&gt;=-40%",ws[gap],"&lt;-30%")</f>
        <v>0</v>
      </c>
      <c r="L14" s="106">
        <f>COUNTIFS(ws[corridor],L$4,ws[gap],"&gt;=-40%",ws[gap],"&lt;-30%")</f>
        <v>0</v>
      </c>
      <c r="M14" s="106">
        <f>COUNTIFS(ws[corridor],M$4,ws[gap],"&gt;=-40%",ws[gap],"&lt;-30%")</f>
        <v>0</v>
      </c>
      <c r="N14" s="408">
        <f t="shared" si="0"/>
        <v>2</v>
      </c>
      <c r="O14" s="409">
        <f t="shared" si="11"/>
        <v>1.0638297872340425E-2</v>
      </c>
      <c r="P14" s="410">
        <f t="shared" si="12"/>
        <v>0</v>
      </c>
      <c r="Q14" s="410">
        <f t="shared" si="1"/>
        <v>2.3809523809523808E-2</v>
      </c>
      <c r="R14" s="410">
        <f t="shared" si="2"/>
        <v>0</v>
      </c>
      <c r="S14" s="410">
        <f t="shared" si="3"/>
        <v>0</v>
      </c>
      <c r="T14" s="410">
        <f t="shared" si="4"/>
        <v>0</v>
      </c>
      <c r="U14" s="410">
        <f t="shared" si="5"/>
        <v>0</v>
      </c>
      <c r="V14" s="411">
        <f t="shared" si="6"/>
        <v>0</v>
      </c>
      <c r="W14" s="411">
        <f t="shared" si="7"/>
        <v>0</v>
      </c>
      <c r="X14" s="410">
        <f t="shared" si="8"/>
        <v>0</v>
      </c>
      <c r="Y14" s="410">
        <f t="shared" si="13"/>
        <v>0</v>
      </c>
      <c r="Z14" s="410">
        <f t="shared" si="10"/>
        <v>7.7821011673151752E-3</v>
      </c>
    </row>
    <row r="15" spans="2:26" x14ac:dyDescent="0.25">
      <c r="B15" s="407" t="s">
        <v>113</v>
      </c>
      <c r="C15" s="106">
        <f>COUNTIFS(ws[corridor],C$4,ws[gap],"&lt;-40%")</f>
        <v>3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106">
        <f>COUNTIFS(ws[corridor],J$4,ws[gap],"&lt;-40%")</f>
        <v>0</v>
      </c>
      <c r="K15" s="106">
        <f>COUNTIFS(ws[corridor],K$4,ws[gap],"&lt;-40%")</f>
        <v>0</v>
      </c>
      <c r="L15" s="106">
        <f>COUNTIFS(ws[corridor],L$4,ws[gap],"&lt;-40%")</f>
        <v>0</v>
      </c>
      <c r="M15" s="106">
        <f>COUNTIFS(ws[corridor],M$4,ws[gap],"&lt;-40%")</f>
        <v>0</v>
      </c>
      <c r="N15" s="408">
        <f t="shared" si="0"/>
        <v>3</v>
      </c>
      <c r="O15" s="409">
        <f t="shared" si="11"/>
        <v>3.1914893617021274E-2</v>
      </c>
      <c r="P15" s="410">
        <f t="shared" si="12"/>
        <v>0</v>
      </c>
      <c r="Q15" s="410">
        <f t="shared" si="1"/>
        <v>0</v>
      </c>
      <c r="R15" s="410">
        <f t="shared" si="2"/>
        <v>0</v>
      </c>
      <c r="S15" s="410">
        <f t="shared" si="3"/>
        <v>0</v>
      </c>
      <c r="T15" s="410">
        <f t="shared" si="4"/>
        <v>0</v>
      </c>
      <c r="U15" s="410">
        <f t="shared" si="5"/>
        <v>0</v>
      </c>
      <c r="V15" s="411">
        <f t="shared" si="6"/>
        <v>0</v>
      </c>
      <c r="W15" s="411">
        <f t="shared" si="7"/>
        <v>0</v>
      </c>
      <c r="X15" s="412">
        <f t="shared" si="8"/>
        <v>0</v>
      </c>
      <c r="Y15" s="410">
        <f t="shared" si="13"/>
        <v>0</v>
      </c>
      <c r="Z15" s="410">
        <f t="shared" si="10"/>
        <v>1.1673151750972763E-2</v>
      </c>
    </row>
    <row r="16" spans="2:26" x14ac:dyDescent="0.25">
      <c r="B16" s="413" t="s">
        <v>108</v>
      </c>
      <c r="C16" s="319">
        <f t="shared" ref="C16" si="14">SUM(C10:C11)</f>
        <v>16</v>
      </c>
      <c r="D16" s="319">
        <f t="shared" ref="D16:N16" si="15">SUM(D10:D11)</f>
        <v>8</v>
      </c>
      <c r="E16" s="319">
        <f t="shared" si="15"/>
        <v>14</v>
      </c>
      <c r="F16" s="319">
        <f t="shared" si="15"/>
        <v>1</v>
      </c>
      <c r="G16" s="319">
        <f t="shared" si="15"/>
        <v>9</v>
      </c>
      <c r="H16" s="319">
        <f t="shared" si="15"/>
        <v>2</v>
      </c>
      <c r="I16" s="319">
        <f t="shared" si="15"/>
        <v>0</v>
      </c>
      <c r="J16" s="319">
        <f t="shared" si="15"/>
        <v>8</v>
      </c>
      <c r="K16" s="319">
        <f t="shared" si="15"/>
        <v>0</v>
      </c>
      <c r="L16" s="319">
        <f t="shared" si="15"/>
        <v>1</v>
      </c>
      <c r="M16" s="319">
        <f t="shared" si="15"/>
        <v>0</v>
      </c>
      <c r="N16" s="319">
        <f t="shared" si="15"/>
        <v>59</v>
      </c>
      <c r="O16" s="414">
        <f>SUM(O10:O11)</f>
        <v>0.1702127659574468</v>
      </c>
      <c r="P16" s="414">
        <f t="shared" ref="P16:Y16" si="16">SUM(P10:P11)</f>
        <v>0.12903225806451613</v>
      </c>
      <c r="Q16" s="414">
        <f t="shared" si="16"/>
        <v>0.33333333333333331</v>
      </c>
      <c r="R16" s="414">
        <f t="shared" si="16"/>
        <v>0.1</v>
      </c>
      <c r="S16" s="414">
        <f t="shared" si="16"/>
        <v>0.45</v>
      </c>
      <c r="T16" s="414">
        <f t="shared" si="16"/>
        <v>0.66666666666666663</v>
      </c>
      <c r="U16" s="414">
        <f t="shared" si="16"/>
        <v>0</v>
      </c>
      <c r="V16" s="414">
        <f t="shared" si="16"/>
        <v>0.53333333333333333</v>
      </c>
      <c r="W16" s="414">
        <f t="shared" si="16"/>
        <v>0</v>
      </c>
      <c r="X16" s="414">
        <f t="shared" si="16"/>
        <v>0.25</v>
      </c>
      <c r="Y16" s="414">
        <f t="shared" si="16"/>
        <v>0</v>
      </c>
      <c r="Z16" s="322">
        <f>SUM(Z10:Z11)</f>
        <v>0.22957198443579768</v>
      </c>
    </row>
    <row r="17" spans="1:26" x14ac:dyDescent="0.25">
      <c r="B17" s="415" t="s">
        <v>67</v>
      </c>
      <c r="C17" s="326">
        <f t="shared" ref="C17:O17" si="17">SUM(C9:C10,C11:C12)</f>
        <v>28</v>
      </c>
      <c r="D17" s="326">
        <f t="shared" ref="D17:M17" si="18">SUM(D9:D10,D11:D12)</f>
        <v>25</v>
      </c>
      <c r="E17" s="326">
        <f t="shared" si="18"/>
        <v>23</v>
      </c>
      <c r="F17" s="326">
        <f t="shared" si="18"/>
        <v>6</v>
      </c>
      <c r="G17" s="326">
        <f t="shared" si="18"/>
        <v>18</v>
      </c>
      <c r="H17" s="326">
        <f t="shared" si="18"/>
        <v>2</v>
      </c>
      <c r="I17" s="326">
        <f t="shared" si="18"/>
        <v>0</v>
      </c>
      <c r="J17" s="326">
        <f t="shared" si="18"/>
        <v>12</v>
      </c>
      <c r="K17" s="326">
        <f t="shared" si="18"/>
        <v>0</v>
      </c>
      <c r="L17" s="326">
        <f t="shared" si="18"/>
        <v>2</v>
      </c>
      <c r="M17" s="326">
        <f t="shared" si="18"/>
        <v>0</v>
      </c>
      <c r="N17" s="327">
        <f t="shared" si="17"/>
        <v>116</v>
      </c>
      <c r="O17" s="416">
        <f t="shared" si="17"/>
        <v>0.2978723404255319</v>
      </c>
      <c r="P17" s="416">
        <f t="shared" ref="P17:Y17" si="19">SUM(P9:P10,P11:P12)</f>
        <v>0.40322580645161288</v>
      </c>
      <c r="Q17" s="416">
        <f t="shared" si="19"/>
        <v>0.54761904761904756</v>
      </c>
      <c r="R17" s="416">
        <f t="shared" si="19"/>
        <v>0.6</v>
      </c>
      <c r="S17" s="416">
        <f t="shared" si="19"/>
        <v>0.9</v>
      </c>
      <c r="T17" s="416">
        <f t="shared" si="19"/>
        <v>0.66666666666666663</v>
      </c>
      <c r="U17" s="416">
        <f t="shared" si="19"/>
        <v>0</v>
      </c>
      <c r="V17" s="416">
        <f t="shared" si="19"/>
        <v>0.79999999999999993</v>
      </c>
      <c r="W17" s="416">
        <f t="shared" si="19"/>
        <v>0</v>
      </c>
      <c r="X17" s="416">
        <f t="shared" si="19"/>
        <v>0.5</v>
      </c>
      <c r="Y17" s="416">
        <f t="shared" si="19"/>
        <v>0</v>
      </c>
      <c r="Z17" s="417">
        <f>SUM(Z9:Z10,Z11:Z12)</f>
        <v>0.45136186770428016</v>
      </c>
    </row>
    <row r="18" spans="1:26" x14ac:dyDescent="0.25">
      <c r="B18" s="418" t="s">
        <v>109</v>
      </c>
      <c r="C18" s="333">
        <f t="shared" ref="C18:O18" si="20">SUM(C8:C13)</f>
        <v>48</v>
      </c>
      <c r="D18" s="333">
        <f t="shared" ref="D18:M18" si="21">SUM(D8:D13)</f>
        <v>48</v>
      </c>
      <c r="E18" s="333">
        <f t="shared" si="21"/>
        <v>25</v>
      </c>
      <c r="F18" s="333">
        <f t="shared" si="21"/>
        <v>10</v>
      </c>
      <c r="G18" s="333">
        <f t="shared" si="21"/>
        <v>19</v>
      </c>
      <c r="H18" s="333">
        <f t="shared" si="21"/>
        <v>3</v>
      </c>
      <c r="I18" s="333">
        <f t="shared" si="21"/>
        <v>0</v>
      </c>
      <c r="J18" s="333">
        <f t="shared" si="21"/>
        <v>13</v>
      </c>
      <c r="K18" s="333">
        <f t="shared" si="21"/>
        <v>0</v>
      </c>
      <c r="L18" s="333">
        <f t="shared" si="21"/>
        <v>3</v>
      </c>
      <c r="M18" s="333">
        <f t="shared" si="21"/>
        <v>0</v>
      </c>
      <c r="N18" s="334">
        <f t="shared" si="20"/>
        <v>169</v>
      </c>
      <c r="O18" s="419">
        <f t="shared" si="20"/>
        <v>0.51063829787234039</v>
      </c>
      <c r="P18" s="419">
        <f t="shared" ref="P18:Y18" si="22">SUM(P8:P13)</f>
        <v>0.77419354838709675</v>
      </c>
      <c r="Q18" s="419">
        <f t="shared" si="22"/>
        <v>0.59523809523809523</v>
      </c>
      <c r="R18" s="419">
        <f t="shared" si="22"/>
        <v>1</v>
      </c>
      <c r="S18" s="419">
        <f t="shared" si="22"/>
        <v>0.95</v>
      </c>
      <c r="T18" s="419">
        <f t="shared" si="22"/>
        <v>1</v>
      </c>
      <c r="U18" s="419">
        <f t="shared" si="22"/>
        <v>0</v>
      </c>
      <c r="V18" s="419">
        <f t="shared" si="22"/>
        <v>0.8666666666666667</v>
      </c>
      <c r="W18" s="419">
        <f t="shared" si="22"/>
        <v>0</v>
      </c>
      <c r="X18" s="419">
        <f t="shared" si="22"/>
        <v>0.75</v>
      </c>
      <c r="Y18" s="419">
        <f t="shared" si="22"/>
        <v>0</v>
      </c>
      <c r="Z18" s="420">
        <f>SUM(Z8:Z13)</f>
        <v>0.65758754863813218</v>
      </c>
    </row>
    <row r="19" spans="1:26" x14ac:dyDescent="0.25">
      <c r="B19" s="421"/>
      <c r="C19" s="475" t="s">
        <v>137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6"/>
      <c r="N19" s="477"/>
      <c r="O19" s="473" t="s">
        <v>138</v>
      </c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</row>
    <row r="20" spans="1:26" x14ac:dyDescent="0.25">
      <c r="B20" s="422" t="s">
        <v>139</v>
      </c>
      <c r="C20" s="78">
        <f t="shared" ref="C20:S20" si="23">SUM(C6:C10)</f>
        <v>79</v>
      </c>
      <c r="D20" s="78">
        <f t="shared" si="23"/>
        <v>53</v>
      </c>
      <c r="E20" s="78">
        <f t="shared" si="23"/>
        <v>36</v>
      </c>
      <c r="F20" s="78">
        <f t="shared" si="23"/>
        <v>10</v>
      </c>
      <c r="G20" s="78">
        <f t="shared" si="23"/>
        <v>11</v>
      </c>
      <c r="H20" s="78">
        <f t="shared" si="23"/>
        <v>2</v>
      </c>
      <c r="I20" s="78">
        <f t="shared" si="23"/>
        <v>1</v>
      </c>
      <c r="J20" s="78">
        <f t="shared" si="23"/>
        <v>12</v>
      </c>
      <c r="K20" s="78">
        <f t="shared" si="23"/>
        <v>5</v>
      </c>
      <c r="L20" s="78">
        <f t="shared" ref="L20:M20" si="24">SUM(L6:L10)</f>
        <v>4</v>
      </c>
      <c r="M20" s="78">
        <f t="shared" si="24"/>
        <v>1</v>
      </c>
      <c r="N20" s="83">
        <f>SUM(N6:N10)</f>
        <v>214</v>
      </c>
      <c r="O20" s="423">
        <f>SUM(O6:O10)</f>
        <v>0.84042553191489366</v>
      </c>
      <c r="P20" s="424">
        <f t="shared" si="23"/>
        <v>0.85483870967741937</v>
      </c>
      <c r="Q20" s="424">
        <f t="shared" si="23"/>
        <v>0.85714285714285721</v>
      </c>
      <c r="R20" s="424">
        <f t="shared" si="23"/>
        <v>1</v>
      </c>
      <c r="S20" s="424">
        <f t="shared" si="23"/>
        <v>0.55000000000000004</v>
      </c>
      <c r="T20" s="424">
        <f t="shared" ref="T20:U20" si="25">SUM(T6:T10)</f>
        <v>0.66666666666666663</v>
      </c>
      <c r="U20" s="424">
        <f t="shared" si="25"/>
        <v>1</v>
      </c>
      <c r="V20" s="424">
        <f t="shared" ref="V20" si="26">SUM(V6:V10)</f>
        <v>0.8</v>
      </c>
      <c r="W20" s="424">
        <f>SUM(W6:W10)</f>
        <v>1</v>
      </c>
      <c r="X20" s="423">
        <f>SUM(X6:X10)</f>
        <v>1</v>
      </c>
      <c r="Y20" s="424">
        <f t="shared" ref="Y20" si="27">SUM(Y6:Y10)</f>
        <v>1</v>
      </c>
      <c r="Z20" s="424">
        <f>SUM(Z6:Z10)</f>
        <v>0.83268482490272366</v>
      </c>
    </row>
    <row r="21" spans="1:26" x14ac:dyDescent="0.25">
      <c r="B21" s="425" t="s">
        <v>140</v>
      </c>
      <c r="C21" s="79">
        <f t="shared" ref="C21:S21" si="28">SUM(C11:C15)</f>
        <v>15</v>
      </c>
      <c r="D21" s="79">
        <f t="shared" si="28"/>
        <v>9</v>
      </c>
      <c r="E21" s="79">
        <f t="shared" si="28"/>
        <v>6</v>
      </c>
      <c r="F21" s="79">
        <f t="shared" si="28"/>
        <v>0</v>
      </c>
      <c r="G21" s="79">
        <f t="shared" si="28"/>
        <v>9</v>
      </c>
      <c r="H21" s="79">
        <f t="shared" si="28"/>
        <v>1</v>
      </c>
      <c r="I21" s="79">
        <f t="shared" si="28"/>
        <v>0</v>
      </c>
      <c r="J21" s="79">
        <f t="shared" si="28"/>
        <v>3</v>
      </c>
      <c r="K21" s="79">
        <f t="shared" si="28"/>
        <v>0</v>
      </c>
      <c r="L21" s="79">
        <f t="shared" ref="L21:M21" si="29">SUM(L11:L15)</f>
        <v>0</v>
      </c>
      <c r="M21" s="79">
        <f t="shared" si="29"/>
        <v>0</v>
      </c>
      <c r="N21" s="84">
        <f>SUM(N11:N15)</f>
        <v>43</v>
      </c>
      <c r="O21" s="426">
        <f>SUM(O11:O15)</f>
        <v>0.15957446808510636</v>
      </c>
      <c r="P21" s="427">
        <f t="shared" si="28"/>
        <v>0.14516129032258063</v>
      </c>
      <c r="Q21" s="427">
        <f t="shared" si="28"/>
        <v>0.14285714285714285</v>
      </c>
      <c r="R21" s="427">
        <f t="shared" si="28"/>
        <v>0</v>
      </c>
      <c r="S21" s="427">
        <f t="shared" si="28"/>
        <v>0.45</v>
      </c>
      <c r="T21" s="427">
        <f t="shared" ref="T21:U21" si="30">SUM(T11:T15)</f>
        <v>0.33333333333333331</v>
      </c>
      <c r="U21" s="427">
        <f t="shared" si="30"/>
        <v>0</v>
      </c>
      <c r="V21" s="427">
        <f t="shared" ref="V21" si="31">SUM(V11:V15)</f>
        <v>0.2</v>
      </c>
      <c r="W21" s="427">
        <f>SUM(W11:W15)</f>
        <v>0</v>
      </c>
      <c r="X21" s="426">
        <f>SUM(X11:X15)</f>
        <v>0</v>
      </c>
      <c r="Y21" s="427">
        <f t="shared" ref="Y21" si="32">SUM(Y11:Y15)</f>
        <v>0</v>
      </c>
      <c r="Z21" s="427">
        <f>SUM(Z11:Z15)</f>
        <v>0.16731517509727628</v>
      </c>
    </row>
    <row r="22" spans="1:26" x14ac:dyDescent="0.25">
      <c r="B22" s="428" t="s">
        <v>52</v>
      </c>
      <c r="C22" s="429">
        <f>C20+C21</f>
        <v>94</v>
      </c>
      <c r="D22" s="429">
        <f t="shared" ref="D22:Z22" si="33">D20+D21</f>
        <v>62</v>
      </c>
      <c r="E22" s="429">
        <f t="shared" si="33"/>
        <v>42</v>
      </c>
      <c r="F22" s="429">
        <f t="shared" si="33"/>
        <v>10</v>
      </c>
      <c r="G22" s="429">
        <f t="shared" si="33"/>
        <v>20</v>
      </c>
      <c r="H22" s="429">
        <f t="shared" si="33"/>
        <v>3</v>
      </c>
      <c r="I22" s="429">
        <f t="shared" si="33"/>
        <v>1</v>
      </c>
      <c r="J22" s="430">
        <f t="shared" si="33"/>
        <v>15</v>
      </c>
      <c r="K22" s="430">
        <f t="shared" si="33"/>
        <v>5</v>
      </c>
      <c r="L22" s="430">
        <f t="shared" ref="L22:M22" si="34">L20+L21</f>
        <v>4</v>
      </c>
      <c r="M22" s="430">
        <f t="shared" si="34"/>
        <v>1</v>
      </c>
      <c r="N22" s="431">
        <f>N20+N21</f>
        <v>257</v>
      </c>
      <c r="O22" s="432">
        <f t="shared" si="33"/>
        <v>1</v>
      </c>
      <c r="P22" s="358">
        <f t="shared" si="33"/>
        <v>1</v>
      </c>
      <c r="Q22" s="358">
        <f t="shared" si="33"/>
        <v>1</v>
      </c>
      <c r="R22" s="358">
        <f t="shared" si="33"/>
        <v>1</v>
      </c>
      <c r="S22" s="358">
        <f t="shared" si="33"/>
        <v>1</v>
      </c>
      <c r="T22" s="358">
        <f t="shared" ref="T22:U22" si="35">T20+T21</f>
        <v>1</v>
      </c>
      <c r="U22" s="358">
        <f t="shared" si="35"/>
        <v>1</v>
      </c>
      <c r="V22" s="433">
        <f t="shared" ref="V22" si="36">V20+V21</f>
        <v>1</v>
      </c>
      <c r="W22" s="433">
        <f t="shared" si="33"/>
        <v>1</v>
      </c>
      <c r="X22" s="432">
        <f t="shared" ref="X22:Y22" si="37">X20+X21</f>
        <v>1</v>
      </c>
      <c r="Y22" s="358">
        <f t="shared" si="37"/>
        <v>1</v>
      </c>
      <c r="Z22" s="358">
        <f t="shared" si="33"/>
        <v>1</v>
      </c>
    </row>
    <row r="23" spans="1:26" x14ac:dyDescent="0.25">
      <c r="B23" s="471" t="s">
        <v>103</v>
      </c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  <c r="N23" s="461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</row>
    <row r="24" spans="1:26" x14ac:dyDescent="0.25">
      <c r="B24" s="434" t="s">
        <v>99</v>
      </c>
      <c r="C24" s="110">
        <f>IFERROR(AVERAGEIFS(ws[gap],ws[corridor],C$4,ws[gap],"&gt;=0%"),"")</f>
        <v>0.34859451055439733</v>
      </c>
      <c r="D24" s="110">
        <f>IFERROR(AVERAGEIFS(ws[gap],ws[corridor],D$4,ws[gap],"&gt;=0%"),"")</f>
        <v>0.25819049550317152</v>
      </c>
      <c r="E24" s="110">
        <f>IFERROR(AVERAGEIFS(ws[gap],ws[corridor],E$4,ws[gap],"&gt;=0%"),"")</f>
        <v>0.27013490714244259</v>
      </c>
      <c r="F24" s="110">
        <f>IFERROR(AVERAGEIFS(ws[gap],ws[corridor],F$4,ws[gap],"&gt;=0%"),"")</f>
        <v>0.16987901849212167</v>
      </c>
      <c r="G24" s="110">
        <f>IFERROR(AVERAGEIFS(ws[gap],ws[corridor],G$4,ws[gap],"&gt;=0%"),"")</f>
        <v>0.12805432722109014</v>
      </c>
      <c r="H24" s="110">
        <f>IFERROR(AVERAGEIFS(ws[gap],ws[corridor],H$4,ws[gap],"&gt;=0%"),"")</f>
        <v>0.18303603769515542</v>
      </c>
      <c r="I24" s="110">
        <f>IFERROR(AVERAGEIFS(ws[gap],ws[corridor],I$4,ws[gap],"&gt;=0%"),"")</f>
        <v>0.57997009337349392</v>
      </c>
      <c r="J24" s="110">
        <f>IFERROR(AVERAGEIFS(ws[gap],ws[corridor],J$4,ws[gap],"&gt;=0%"),"")</f>
        <v>0.12094290320132402</v>
      </c>
      <c r="K24" s="110">
        <f>IFERROR(AVERAGEIFS(ws[gap],ws[corridor],K$4,ws[gap],"&gt;=0%"),"")</f>
        <v>0.92554685563619932</v>
      </c>
      <c r="L24" s="110">
        <f>IFERROR(AVERAGEIFS(ws[gap],ws[corridor],L$4,ws[gap],"&gt;=0%"),"")</f>
        <v>0.29066656299546645</v>
      </c>
      <c r="M24" s="110">
        <f>IFERROR(AVERAGEIFS(ws[gap],ws[corridor],M$4,ws[gap],"&gt;=0%"),"")</f>
        <v>0.56017932215390331</v>
      </c>
      <c r="N24" s="101">
        <f>AVERAGEIFS(ws[gap],ws[gap],"&gt;=0%",ws[dir],"1")</f>
        <v>0.29347310231982732</v>
      </c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26" s="80" customFormat="1" x14ac:dyDescent="0.25">
      <c r="B25" s="435" t="s">
        <v>100</v>
      </c>
      <c r="C25" s="110">
        <f>IFERROR(AVERAGEIFS(ws[gap],ws[corridor],C$4,ws[gap],"&lt;0%"),"")</f>
        <v>-0.20191176727440407</v>
      </c>
      <c r="D25" s="110">
        <f>IFERROR(AVERAGEIFS(ws[gap],ws[corridor],D$4,ws[gap],"&lt;0%"),"")</f>
        <v>-5.4913669250348844E-2</v>
      </c>
      <c r="E25" s="110">
        <f>IFERROR(AVERAGEIFS(ws[gap],ws[corridor],E$4,ws[gap],"&lt;0%"),"")</f>
        <v>-9.5458614380887166E-2</v>
      </c>
      <c r="F25" s="110" t="str">
        <f>IFERROR(AVERAGEIFS(ws[gap],ws[corridor],F$4,ws[gap],"&lt;0%"),"")</f>
        <v/>
      </c>
      <c r="G25" s="110">
        <f>IFERROR(AVERAGEIFS(ws[gap],ws[corridor],G$4,ws[gap],"&lt;0%"),"")</f>
        <v>-0.11505185975978935</v>
      </c>
      <c r="H25" s="110">
        <f>IFERROR(AVERAGEIFS(ws[gap],ws[corridor],H$4,ws[gap],"&lt;0%"),"")</f>
        <v>-5.1508544304767701E-2</v>
      </c>
      <c r="I25" s="110" t="str">
        <f>IFERROR(AVERAGEIFS(ws[gap],ws[corridor],I$4,ws[gap],"&lt;0%"),"")</f>
        <v/>
      </c>
      <c r="J25" s="113">
        <f>IFERROR(AVERAGEIFS(ws[gap],ws[corridor],J$4,ws[gap],"&lt;0%"),"")</f>
        <v>-8.991480170965753E-2</v>
      </c>
      <c r="K25" s="113" t="str">
        <f>IFERROR(AVERAGEIFS(ws[gap],ws[corridor],K$4,ws[gap],"&lt;0%"),"")</f>
        <v/>
      </c>
      <c r="L25" s="110" t="str">
        <f>IFERROR(AVERAGEIFS(ws[gap],ws[corridor],L$4,ws[gap],"&lt;0%"),"")</f>
        <v/>
      </c>
      <c r="M25" s="110" t="str">
        <f>IFERROR(AVERAGEIFS(ws[gap],ws[corridor],M$4,ws[gap],"&lt;0%"),"")</f>
        <v/>
      </c>
      <c r="N25" s="101">
        <f>AVERAGEIFS(ws[gap],ws[gap],"&lt;0%",ws[dir],"1")</f>
        <v>-0.1267993233936365</v>
      </c>
    </row>
    <row r="26" spans="1:26" ht="15.75" thickBot="1" x14ac:dyDescent="0.3">
      <c r="B26" s="436" t="s">
        <v>98</v>
      </c>
      <c r="C26" s="115">
        <f>AVERAGEIFS(ws[gap],ws[corridor],C$4)</f>
        <v>0.26074776409235451</v>
      </c>
      <c r="D26" s="115">
        <f>AVERAGEIFS(ws[gap],ws[corridor],D$4)</f>
        <v>0.21273989094217663</v>
      </c>
      <c r="E26" s="115">
        <f>AVERAGEIFS(ws[gap],ws[corridor],E$4)</f>
        <v>0.21790726121053827</v>
      </c>
      <c r="F26" s="115">
        <f>AVERAGEIFS(ws[gap],ws[corridor],F$4)</f>
        <v>0.16987901849212167</v>
      </c>
      <c r="G26" s="115">
        <f>AVERAGEIFS(ws[gap],ws[corridor],G$4)</f>
        <v>1.8656543079694367E-2</v>
      </c>
      <c r="H26" s="115">
        <f>AVERAGEIFS(ws[gap],ws[corridor],H$4)</f>
        <v>0.10485451036184772</v>
      </c>
      <c r="I26" s="115">
        <f>AVERAGEIFS(ws[gap],ws[corridor],I$4)</f>
        <v>0.57997009337349392</v>
      </c>
      <c r="J26" s="116">
        <f>AVERAGEIFS(ws[gap],ws[corridor],J$4)</f>
        <v>7.8771362219127727E-2</v>
      </c>
      <c r="K26" s="116">
        <f>AVERAGEIFS(ws[gap],ws[corridor],K$4)</f>
        <v>0.92554685563619932</v>
      </c>
      <c r="L26" s="115">
        <f>AVERAGEIFS(ws[gap],ws[corridor],L$4)</f>
        <v>0.29066656299546645</v>
      </c>
      <c r="M26" s="115">
        <f>AVERAGEIFS(ws[gap],ws[corridor],M$4)</f>
        <v>0.56017932215390331</v>
      </c>
      <c r="N26" s="99">
        <f>AVERAGEIFS(ws[gap], ws[dir],"1")</f>
        <v>0.22315514782302212</v>
      </c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</row>
    <row r="27" spans="1:26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70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</row>
    <row r="28" spans="1:26" ht="15.75" thickBot="1" x14ac:dyDescent="0.3">
      <c r="B28" s="437" t="s">
        <v>107</v>
      </c>
      <c r="C28" s="108">
        <f>SQRT(AVERAGEIF(ws[corridor],C4,ws[x2]))/AVERAGEIF(ws[corridor],C4,ws[count])</f>
        <v>0.39481203211589078</v>
      </c>
      <c r="D28" s="108">
        <f>SQRT(AVERAGEIF(ws[corridor],D4,ws[x2]))/AVERAGEIF(ws[corridor],D4,ws[count])</f>
        <v>0.25933768640894406</v>
      </c>
      <c r="E28" s="108">
        <f>SQRT(AVERAGEIF(ws[corridor],E4,ws[x2]))/AVERAGEIF(ws[corridor],E4,ws[count])</f>
        <v>0.28544946542774219</v>
      </c>
      <c r="F28" s="108">
        <f>SQRT(AVERAGEIF(ws[corridor],F4,ws[x2]))/AVERAGEIF(ws[corridor],F4,ws[count])</f>
        <v>0.18315615874501823</v>
      </c>
      <c r="G28" s="108">
        <f>SQRT(AVERAGEIF(ws[corridor],G4,ws[x2]))/AVERAGEIF(ws[corridor],G4,ws[count])</f>
        <v>0.16783584218146869</v>
      </c>
      <c r="H28" s="108">
        <f>SQRT(AVERAGEIF(ws[corridor],H4,ws[x2]))/AVERAGEIF(ws[corridor],H4,ws[count])</f>
        <v>0.16647492464701041</v>
      </c>
      <c r="I28" s="105">
        <f>SQRT(AVERAGEIF(ws[corridor],I4,ws[x2]))/AVERAGEIF(ws[corridor],I4,ws[count])</f>
        <v>0.57997009337349392</v>
      </c>
      <c r="J28" s="100">
        <f>SQRT(AVERAGEIF(ws[corridor],J4,ws[x2]))/AVERAGEIF(ws[corridor],J4,ws[count])</f>
        <v>0.15433741341851206</v>
      </c>
      <c r="K28" s="100">
        <f>SQRT(AVERAGEIF(ws[corridor],K4,ws[x2]))/AVERAGEIF(ws[corridor],K4,ws[count])</f>
        <v>0.90658225130495662</v>
      </c>
      <c r="L28" s="100">
        <f>SQRT(AVERAGEIF(ws[corridor],L4,ws[x2]))/AVERAGEIF(ws[corridor],L4,ws[count])</f>
        <v>0.33406199484407378</v>
      </c>
      <c r="M28" s="100">
        <f>SQRT(AVERAGEIF(ws[corridor],M4,ws[x2]))/AVERAGEIF(ws[corridor],M4,ws[count])</f>
        <v>0.56017932215390331</v>
      </c>
      <c r="N28" s="104">
        <f>SQRT(AVERAGEIF(ws[dir],1,ws[x2]))/AVERAGEIF(ws[dir],1,ws[count])</f>
        <v>0.32905453113851041</v>
      </c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</row>
    <row r="29" spans="1:26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7"/>
      <c r="N29" s="458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</row>
    <row r="30" spans="1:26" ht="15.75" thickBot="1" x14ac:dyDescent="0.3">
      <c r="B30" s="438" t="s">
        <v>111</v>
      </c>
      <c r="C30" s="275">
        <f>B51</f>
        <v>1.2949266975077243</v>
      </c>
      <c r="D30" s="275">
        <f>B52</f>
        <v>1.2120128697765913</v>
      </c>
      <c r="E30" s="275">
        <f>B53</f>
        <v>1.1793329597502731</v>
      </c>
      <c r="F30" s="275">
        <f>B54</f>
        <v>1.1702678045350186</v>
      </c>
      <c r="G30" s="275">
        <f>B55</f>
        <v>1.0895516413352702</v>
      </c>
      <c r="H30" s="275">
        <f>B56</f>
        <v>1.0926346862325123</v>
      </c>
      <c r="I30" s="275">
        <f>B57</f>
        <v>1.5799700933734939</v>
      </c>
      <c r="J30" s="275">
        <f>B58</f>
        <v>1.0591463981677594</v>
      </c>
      <c r="K30" s="275">
        <f>B59</f>
        <v>1.7961501242126074</v>
      </c>
      <c r="L30" s="275">
        <f>B60</f>
        <v>1.2241529396051012</v>
      </c>
      <c r="M30" s="275">
        <f>B61</f>
        <v>1.5601793221539033</v>
      </c>
      <c r="N30" s="276">
        <f>sum_all!C29</f>
        <v>1.2309718218310834</v>
      </c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</row>
    <row r="31" spans="1:26" ht="15.75" thickTop="1" x14ac:dyDescent="0.25">
      <c r="A31" s="9"/>
      <c r="M31" s="11" t="s">
        <v>39</v>
      </c>
    </row>
    <row r="32" spans="1:26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</v>
      </c>
      <c r="B51" s="10" cm="1">
        <f t="array" ref="B51:C51">LINEST((ws[corridor]=C4)*(ws[flow]),(ws[corridor]=C4)*(ws[count]),FALSE)</f>
        <v>1.2949266975077243</v>
      </c>
      <c r="C51" s="136">
        <v>0</v>
      </c>
    </row>
    <row r="52" spans="1:3" x14ac:dyDescent="0.25">
      <c r="A52" s="136">
        <v>2</v>
      </c>
      <c r="B52" s="10" cm="1">
        <f t="array" ref="B52:C52">LINEST((ws[corridor]=D4)*(ws[flow]),(ws[corridor]=D4)*(ws[count]),FALSE)</f>
        <v>1.2120128697765913</v>
      </c>
      <c r="C52" s="136">
        <v>0</v>
      </c>
    </row>
    <row r="53" spans="1:3" x14ac:dyDescent="0.25">
      <c r="A53" s="136">
        <v>3</v>
      </c>
      <c r="B53" s="10" cm="1">
        <f t="array" ref="B53:C53">LINEST((ws[corridor]=E4)*(ws[flow]),(ws[corridor]=E4)*(ws[count]),FALSE)</f>
        <v>1.1793329597502731</v>
      </c>
      <c r="C53" s="136">
        <v>0</v>
      </c>
    </row>
    <row r="54" spans="1:3" x14ac:dyDescent="0.25">
      <c r="A54" s="136">
        <v>4</v>
      </c>
      <c r="B54" s="10" cm="1">
        <f t="array" ref="B54:C54">LINEST((ws[corridor]=F4)*(ws[flow]),(ws[corridor]=F4)*(ws[count]),FALSE)</f>
        <v>1.1702678045350186</v>
      </c>
      <c r="C54" s="136">
        <v>0</v>
      </c>
    </row>
    <row r="55" spans="1:3" x14ac:dyDescent="0.25">
      <c r="A55" s="136">
        <v>5</v>
      </c>
      <c r="B55" s="10" cm="1">
        <f t="array" ref="B55:C55">LINEST((ws[corridor]=G4)*(ws[flow]),(ws[corridor]=G4)*(ws[count]),FALSE)</f>
        <v>1.0895516413352702</v>
      </c>
      <c r="C55" s="11">
        <v>0</v>
      </c>
    </row>
    <row r="56" spans="1:3" x14ac:dyDescent="0.25">
      <c r="A56" s="274">
        <v>6</v>
      </c>
      <c r="B56" s="10" cm="1">
        <f t="array" ref="B56:C56">LINEST((ws[corridor]=H4)*(ws[flow]),(ws[corridor]=H4)*(ws[count]),FALSE)</f>
        <v>1.0926346862325123</v>
      </c>
      <c r="C56" s="11">
        <v>0</v>
      </c>
    </row>
    <row r="57" spans="1:3" x14ac:dyDescent="0.25">
      <c r="A57" s="11">
        <v>7</v>
      </c>
      <c r="B57" s="10" cm="1">
        <f t="array" ref="B57:C57">LINEST((ws[corridor]=I4)*(ws[flow]),(ws[corridor]=I4)*(ws[count]),FALSE)</f>
        <v>1.5799700933734939</v>
      </c>
      <c r="C57" s="11">
        <v>0</v>
      </c>
    </row>
    <row r="58" spans="1:3" x14ac:dyDescent="0.25">
      <c r="A58" s="11">
        <v>29</v>
      </c>
      <c r="B58" s="10" cm="1">
        <f t="array" ref="B58:C58">LINEST((ws[corridor]=J4)*(ws[flow]),(ws[corridor]=J4)*(ws[count]),FALSE)</f>
        <v>1.0591463981677594</v>
      </c>
      <c r="C58" s="11">
        <v>0</v>
      </c>
    </row>
    <row r="59" spans="1:3" x14ac:dyDescent="0.25">
      <c r="A59" s="11">
        <v>31</v>
      </c>
      <c r="B59" s="10" cm="1">
        <f t="array" ref="B59:C59">LINEST((ws[corridor]=K4)*(ws[flow]),(ws[corridor]=K4)*(ws[count]),FALSE)</f>
        <v>1.7961501242126074</v>
      </c>
      <c r="C59" s="11">
        <v>0</v>
      </c>
    </row>
    <row r="60" spans="1:3" x14ac:dyDescent="0.25">
      <c r="A60" s="11">
        <v>33</v>
      </c>
      <c r="B60" s="10" cm="1">
        <f t="array" ref="B60:C60">LINEST((ws[corridor]=L4)*(ws[flow]),(ws[corridor]=L4)*(ws[count]),FALSE)</f>
        <v>1.2241529396051012</v>
      </c>
      <c r="C60" s="11">
        <v>0</v>
      </c>
    </row>
    <row r="61" spans="1:3" x14ac:dyDescent="0.25">
      <c r="A61" s="11">
        <v>34</v>
      </c>
      <c r="B61" s="10" cm="1">
        <f t="array" ref="B61:C61">LINEST((ws[corridor]=M4)*(ws[flow]),(ws[corridor]=M4)*(ws[count]),FALSE)</f>
        <v>1.5601793221539033</v>
      </c>
      <c r="C61" s="11">
        <v>0</v>
      </c>
    </row>
    <row r="132" spans="1:2" x14ac:dyDescent="0.25">
      <c r="A132" s="4"/>
    </row>
    <row r="133" spans="1:2" x14ac:dyDescent="0.25">
      <c r="A133" s="4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  <c r="B141" s="4"/>
    </row>
    <row r="142" spans="1:2" x14ac:dyDescent="0.25">
      <c r="A142" s="4"/>
      <c r="B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B166" s="4"/>
    </row>
    <row r="167" spans="1:2" x14ac:dyDescent="0.25"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</sheetData>
  <sortState ref="Q11:T16">
    <sortCondition ref="S11:S16"/>
  </sortState>
  <mergeCells count="7">
    <mergeCell ref="B29:N29"/>
    <mergeCell ref="B27:N27"/>
    <mergeCell ref="B23:N23"/>
    <mergeCell ref="O3:Z3"/>
    <mergeCell ref="C3:N3"/>
    <mergeCell ref="O19:Z19"/>
    <mergeCell ref="C19:N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3:X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K28" sqref="K28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1" width="10" style="11" customWidth="1"/>
    <col min="12" max="12" width="11.5703125" style="11" bestFit="1" customWidth="1"/>
    <col min="13" max="13" width="10" style="11" customWidth="1"/>
    <col min="14" max="22" width="10" customWidth="1"/>
    <col min="23" max="23" width="11.5703125" style="136" bestFit="1" customWidth="1"/>
    <col min="24" max="24" width="10" customWidth="1"/>
  </cols>
  <sheetData>
    <row r="3" spans="2:24" x14ac:dyDescent="0.25">
      <c r="B3" s="376"/>
      <c r="C3" s="471" t="s">
        <v>66</v>
      </c>
      <c r="D3" s="463"/>
      <c r="E3" s="463"/>
      <c r="F3" s="463"/>
      <c r="G3" s="463"/>
      <c r="H3" s="463"/>
      <c r="I3" s="463"/>
      <c r="J3" s="463"/>
      <c r="K3" s="463"/>
      <c r="L3" s="463"/>
      <c r="M3" s="464"/>
      <c r="N3" s="460" t="s">
        <v>117</v>
      </c>
      <c r="O3" s="460"/>
      <c r="P3" s="460"/>
      <c r="Q3" s="460"/>
      <c r="R3" s="460"/>
      <c r="S3" s="460"/>
      <c r="T3" s="460"/>
      <c r="U3" s="460"/>
      <c r="V3" s="460"/>
      <c r="W3" s="460"/>
      <c r="X3" s="472"/>
    </row>
    <row r="4" spans="2:24" x14ac:dyDescent="0.25">
      <c r="B4" s="377"/>
      <c r="C4" s="72">
        <v>8</v>
      </c>
      <c r="D4" s="72">
        <v>9</v>
      </c>
      <c r="E4" s="72">
        <v>10</v>
      </c>
      <c r="F4" s="72">
        <v>11</v>
      </c>
      <c r="G4" s="72">
        <v>12</v>
      </c>
      <c r="H4" s="72">
        <v>13</v>
      </c>
      <c r="I4" s="72">
        <v>14</v>
      </c>
      <c r="J4" s="72">
        <v>30</v>
      </c>
      <c r="K4" s="72">
        <v>32</v>
      </c>
      <c r="L4" s="241">
        <v>35</v>
      </c>
      <c r="M4" s="82"/>
      <c r="N4" s="378">
        <v>8</v>
      </c>
      <c r="O4" s="72">
        <v>9</v>
      </c>
      <c r="P4" s="72">
        <v>10</v>
      </c>
      <c r="Q4" s="72">
        <v>11</v>
      </c>
      <c r="R4" s="72">
        <v>12</v>
      </c>
      <c r="S4" s="72">
        <v>13</v>
      </c>
      <c r="T4" s="72">
        <v>14</v>
      </c>
      <c r="U4" s="72">
        <v>30</v>
      </c>
      <c r="V4" s="72">
        <v>32</v>
      </c>
      <c r="W4" s="72">
        <v>35</v>
      </c>
      <c r="X4" s="72"/>
    </row>
    <row r="5" spans="2:24" x14ac:dyDescent="0.25">
      <c r="B5" s="379" t="s">
        <v>54</v>
      </c>
      <c r="C5" s="380" t="s">
        <v>77</v>
      </c>
      <c r="D5" s="380" t="s">
        <v>76</v>
      </c>
      <c r="E5" s="380" t="s">
        <v>78</v>
      </c>
      <c r="F5" s="380" t="s">
        <v>80</v>
      </c>
      <c r="G5" s="380" t="s">
        <v>79</v>
      </c>
      <c r="H5" s="380" t="s">
        <v>81</v>
      </c>
      <c r="I5" s="380" t="s">
        <v>82</v>
      </c>
      <c r="J5" s="380" t="s">
        <v>143</v>
      </c>
      <c r="K5" s="380" t="s">
        <v>144</v>
      </c>
      <c r="L5" s="381" t="s">
        <v>265</v>
      </c>
      <c r="M5" s="382" t="s">
        <v>55</v>
      </c>
      <c r="N5" s="383" t="s">
        <v>77</v>
      </c>
      <c r="O5" s="380" t="s">
        <v>76</v>
      </c>
      <c r="P5" s="380" t="s">
        <v>78</v>
      </c>
      <c r="Q5" s="380" t="s">
        <v>80</v>
      </c>
      <c r="R5" s="380" t="s">
        <v>79</v>
      </c>
      <c r="S5" s="380" t="s">
        <v>81</v>
      </c>
      <c r="T5" s="380" t="s">
        <v>82</v>
      </c>
      <c r="U5" s="380" t="s">
        <v>143</v>
      </c>
      <c r="V5" s="380" t="s">
        <v>144</v>
      </c>
      <c r="W5" s="381" t="s">
        <v>265</v>
      </c>
      <c r="X5" s="380" t="s">
        <v>55</v>
      </c>
    </row>
    <row r="6" spans="2:24" x14ac:dyDescent="0.25">
      <c r="B6" s="384" t="s">
        <v>112</v>
      </c>
      <c r="C6" s="106">
        <f>COUNTIFS(ws[corridor],C$4,ws[gap],"&gt;=40%")</f>
        <v>6</v>
      </c>
      <c r="D6" s="106">
        <f>COUNTIFS(ws[corridor],D$4,ws[gap],"&gt;=40%")</f>
        <v>4</v>
      </c>
      <c r="E6" s="106">
        <f>COUNTIFS(ws[corridor],E$4,ws[gap],"&gt;=40%")</f>
        <v>6</v>
      </c>
      <c r="F6" s="106">
        <f>COUNTIFS(ws[corridor],F$4,ws[gap],"&gt;=40%")</f>
        <v>0</v>
      </c>
      <c r="G6" s="106">
        <f>COUNTIFS(ws[corridor],G$4,ws[gap],"&gt;=40%")</f>
        <v>1</v>
      </c>
      <c r="H6" s="106">
        <f>COUNTIFS(ws[corridor],H$4,ws[gap],"&gt;=40%")</f>
        <v>0</v>
      </c>
      <c r="I6" s="106">
        <f>COUNTIFS(ws[corridor],I$4,ws[gap],"&gt;=40%")</f>
        <v>0</v>
      </c>
      <c r="J6" s="106">
        <f>COUNTIFS(ws[corridor],J$4,ws[gap],"&gt;=40%")</f>
        <v>0</v>
      </c>
      <c r="K6" s="106">
        <f>COUNTIFS(ws[corridor],K$4,ws[gap],"&gt;=40%")</f>
        <v>0</v>
      </c>
      <c r="L6" s="106">
        <f>COUNTIFS(ws[corridor],L$4,ws[gap],"&gt;=40%")</f>
        <v>0</v>
      </c>
      <c r="M6" s="385">
        <f t="shared" ref="M6:M15" si="0">SUM(C6:L6)</f>
        <v>17</v>
      </c>
      <c r="N6" s="386">
        <f>C6/C$22</f>
        <v>8.1081081081081086E-2</v>
      </c>
      <c r="O6" s="387">
        <f>D6/D$22</f>
        <v>6.3492063492063489E-2</v>
      </c>
      <c r="P6" s="387">
        <f>E6/E$22</f>
        <v>0.13953488372093023</v>
      </c>
      <c r="Q6" s="387">
        <f>F6/F$22</f>
        <v>0</v>
      </c>
      <c r="R6" s="387">
        <f>G6/G$22</f>
        <v>5.8823529411764705E-2</v>
      </c>
      <c r="S6" s="387">
        <f t="shared" ref="S6:S15" si="1">H6/H$22</f>
        <v>0</v>
      </c>
      <c r="T6" s="387">
        <f t="shared" ref="T6:T15" si="2">I6/I$22</f>
        <v>0</v>
      </c>
      <c r="U6" s="388">
        <f>J6/J$22</f>
        <v>0</v>
      </c>
      <c r="V6" s="388">
        <f>K6/K$22</f>
        <v>0</v>
      </c>
      <c r="W6" s="389">
        <f>L6/L$22</f>
        <v>0</v>
      </c>
      <c r="X6" s="390">
        <f t="shared" ref="X6:X15" si="3">M6/M$22</f>
        <v>7.5221238938053103E-2</v>
      </c>
    </row>
    <row r="7" spans="2:24" x14ac:dyDescent="0.25">
      <c r="B7" s="384" t="s">
        <v>114</v>
      </c>
      <c r="C7" s="106">
        <f>COUNTIFS(ws[corridor],C$4,ws[gap],"&gt;=30%",ws[gap],"&lt;40%")</f>
        <v>5</v>
      </c>
      <c r="D7" s="106">
        <f>COUNTIFS(ws[corridor],D$4,ws[gap],"&gt;=30%",ws[gap],"&lt;40%")</f>
        <v>4</v>
      </c>
      <c r="E7" s="106">
        <f>COUNTIFS(ws[corridor],E$4,ws[gap],"&gt;=30%",ws[gap],"&lt;40%")</f>
        <v>9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1</v>
      </c>
      <c r="I7" s="106">
        <f>COUNTIFS(ws[corridor],I$4,ws[gap],"&gt;=30%",ws[gap],"&lt;40%")</f>
        <v>0</v>
      </c>
      <c r="J7" s="106">
        <f>COUNTIFS(ws[corridor],J$4,ws[gap],"&gt;=30%",ws[gap],"&lt;40%")</f>
        <v>0</v>
      </c>
      <c r="K7" s="106">
        <f>COUNTIFS(ws[corridor],K$4,ws[gap],"&gt;=30%",ws[gap],"&lt;40%")</f>
        <v>1</v>
      </c>
      <c r="L7" s="106">
        <f>COUNTIFS(ws[corridor],L$4,ws[gap],"&gt;=30%",ws[gap],"&lt;40%")</f>
        <v>0</v>
      </c>
      <c r="M7" s="391">
        <f t="shared" si="0"/>
        <v>20</v>
      </c>
      <c r="N7" s="386">
        <f t="shared" ref="N7:N15" si="4">C7/C$22</f>
        <v>6.7567567567567571E-2</v>
      </c>
      <c r="O7" s="387">
        <f t="shared" ref="O7:O15" si="5">D7/D$22</f>
        <v>6.3492063492063489E-2</v>
      </c>
      <c r="P7" s="387">
        <f t="shared" ref="P7:P15" si="6">E7/E$22</f>
        <v>0.20930232558139536</v>
      </c>
      <c r="Q7" s="387">
        <f t="shared" ref="Q7:Q15" si="7">F7/F$22</f>
        <v>0</v>
      </c>
      <c r="R7" s="387">
        <f t="shared" ref="R7:R15" si="8">G7/G$22</f>
        <v>0</v>
      </c>
      <c r="S7" s="387">
        <f t="shared" si="1"/>
        <v>0.5</v>
      </c>
      <c r="T7" s="387">
        <f t="shared" si="2"/>
        <v>0</v>
      </c>
      <c r="U7" s="388">
        <f t="shared" ref="U7:U15" si="9">J7/J$22</f>
        <v>0</v>
      </c>
      <c r="V7" s="388">
        <f t="shared" ref="V7:V15" si="10">K7/K$22</f>
        <v>0.25</v>
      </c>
      <c r="W7" s="387">
        <f t="shared" ref="W7:W15" si="11">L7/L$22</f>
        <v>0</v>
      </c>
      <c r="X7" s="387">
        <f t="shared" si="3"/>
        <v>8.8495575221238937E-2</v>
      </c>
    </row>
    <row r="8" spans="2:24" x14ac:dyDescent="0.25">
      <c r="B8" s="392" t="s">
        <v>56</v>
      </c>
      <c r="C8" s="109">
        <f>COUNTIFS(ws[corridor],C$4,ws[gap],"&gt;=20%",ws[gap],"&lt;30%")</f>
        <v>5</v>
      </c>
      <c r="D8" s="109">
        <f>COUNTIFS(ws[corridor],D$4,ws[gap],"&gt;=20%",ws[gap],"&lt;30%")</f>
        <v>4</v>
      </c>
      <c r="E8" s="109">
        <f>COUNTIFS(ws[corridor],E$4,ws[gap],"&gt;=20%",ws[gap],"&lt;30%")</f>
        <v>6</v>
      </c>
      <c r="F8" s="109">
        <f>COUNTIFS(ws[corridor],F$4,ws[gap],"&gt;=20%",ws[gap],"&lt;30%")</f>
        <v>1</v>
      </c>
      <c r="G8" s="109">
        <f>COUNTIFS(ws[corridor],G$4,ws[gap],"&gt;=20%",ws[gap],"&lt;30%")</f>
        <v>1</v>
      </c>
      <c r="H8" s="109">
        <f>COUNTIFS(ws[corridor],H$4,ws[gap],"&gt;=20%",ws[gap],"&lt;30%")</f>
        <v>0</v>
      </c>
      <c r="I8" s="109">
        <f>COUNTIFS(ws[corridor],I$4,ws[gap],"&gt;=20%",ws[gap],"&lt;30%")</f>
        <v>0</v>
      </c>
      <c r="J8" s="109">
        <f>COUNTIFS(ws[corridor],J$4,ws[gap],"&gt;=20%",ws[gap],"&lt;30%")</f>
        <v>0</v>
      </c>
      <c r="K8" s="109">
        <f>COUNTIFS(ws[corridor],K$4,ws[gap],"&gt;=20%",ws[gap],"&lt;30%")</f>
        <v>1</v>
      </c>
      <c r="L8" s="109">
        <f>COUNTIFS(ws[corridor],L$4,ws[gap],"&gt;=20%",ws[gap],"&lt;30%")</f>
        <v>0</v>
      </c>
      <c r="M8" s="393">
        <f t="shared" si="0"/>
        <v>18</v>
      </c>
      <c r="N8" s="394">
        <f t="shared" si="4"/>
        <v>6.7567567567567571E-2</v>
      </c>
      <c r="O8" s="395">
        <f t="shared" si="5"/>
        <v>6.3492063492063489E-2</v>
      </c>
      <c r="P8" s="395">
        <f t="shared" si="6"/>
        <v>0.13953488372093023</v>
      </c>
      <c r="Q8" s="395">
        <f t="shared" si="7"/>
        <v>7.6923076923076927E-2</v>
      </c>
      <c r="R8" s="395">
        <f t="shared" si="8"/>
        <v>5.8823529411764705E-2</v>
      </c>
      <c r="S8" s="395">
        <f t="shared" si="1"/>
        <v>0</v>
      </c>
      <c r="T8" s="395">
        <f t="shared" si="2"/>
        <v>0</v>
      </c>
      <c r="U8" s="396">
        <f t="shared" si="9"/>
        <v>0</v>
      </c>
      <c r="V8" s="396">
        <f t="shared" si="10"/>
        <v>0.25</v>
      </c>
      <c r="W8" s="395">
        <f t="shared" si="11"/>
        <v>0</v>
      </c>
      <c r="X8" s="395">
        <f t="shared" si="3"/>
        <v>7.9646017699115043E-2</v>
      </c>
    </row>
    <row r="9" spans="2:24" x14ac:dyDescent="0.25">
      <c r="B9" s="392" t="s">
        <v>57</v>
      </c>
      <c r="C9" s="109">
        <f>COUNTIFS(ws[corridor],C$4,ws[gap],"&gt;=10%",ws[gap],"&lt;20%")</f>
        <v>6</v>
      </c>
      <c r="D9" s="109">
        <f>COUNTIFS(ws[corridor],D$4,ws[gap],"&gt;=10%",ws[gap],"&lt;20%")</f>
        <v>20</v>
      </c>
      <c r="E9" s="109">
        <f>COUNTIFS(ws[corridor],E$4,ws[gap],"&gt;=10%",ws[gap],"&lt;20%")</f>
        <v>9</v>
      </c>
      <c r="F9" s="109">
        <f>COUNTIFS(ws[corridor],F$4,ws[gap],"&gt;=10%",ws[gap],"&lt;20%")</f>
        <v>1</v>
      </c>
      <c r="G9" s="109">
        <f>COUNTIFS(ws[corridor],G$4,ws[gap],"&gt;=10%",ws[gap],"&lt;20%")</f>
        <v>2</v>
      </c>
      <c r="H9" s="109">
        <f>COUNTIFS(ws[corridor],H$4,ws[gap],"&gt;=10%",ws[gap],"&lt;20%")</f>
        <v>0</v>
      </c>
      <c r="I9" s="109">
        <f>COUNTIFS(ws[corridor],I$4,ws[gap],"&gt;=10%",ws[gap],"&lt;20%")</f>
        <v>0</v>
      </c>
      <c r="J9" s="109">
        <f>COUNTIFS(ws[corridor],J$4,ws[gap],"&gt;=10%",ws[gap],"&lt;20%")</f>
        <v>0</v>
      </c>
      <c r="K9" s="109">
        <f>COUNTIFS(ws[corridor],K$4,ws[gap],"&gt;=10%",ws[gap],"&lt;20%")</f>
        <v>1</v>
      </c>
      <c r="L9" s="109">
        <f>COUNTIFS(ws[corridor],L$4,ws[gap],"&gt;=10%",ws[gap],"&lt;20%")</f>
        <v>0</v>
      </c>
      <c r="M9" s="393">
        <f t="shared" si="0"/>
        <v>39</v>
      </c>
      <c r="N9" s="394">
        <f t="shared" si="4"/>
        <v>8.1081081081081086E-2</v>
      </c>
      <c r="O9" s="395">
        <f t="shared" si="5"/>
        <v>0.31746031746031744</v>
      </c>
      <c r="P9" s="395">
        <f t="shared" si="6"/>
        <v>0.20930232558139536</v>
      </c>
      <c r="Q9" s="395">
        <f t="shared" si="7"/>
        <v>7.6923076923076927E-2</v>
      </c>
      <c r="R9" s="395">
        <f t="shared" si="8"/>
        <v>0.11764705882352941</v>
      </c>
      <c r="S9" s="395">
        <f t="shared" si="1"/>
        <v>0</v>
      </c>
      <c r="T9" s="395">
        <f t="shared" si="2"/>
        <v>0</v>
      </c>
      <c r="U9" s="396">
        <f t="shared" si="9"/>
        <v>0</v>
      </c>
      <c r="V9" s="396">
        <f t="shared" si="10"/>
        <v>0.25</v>
      </c>
      <c r="W9" s="395">
        <f t="shared" si="11"/>
        <v>0</v>
      </c>
      <c r="X9" s="395">
        <f t="shared" si="3"/>
        <v>0.17256637168141592</v>
      </c>
    </row>
    <row r="10" spans="2:24" x14ac:dyDescent="0.25">
      <c r="B10" s="392" t="s">
        <v>58</v>
      </c>
      <c r="C10" s="109">
        <f>COUNTIFS(ws[corridor],C$4,ws[gap],"&gt;=0%",ws[gap],"&lt;10%")</f>
        <v>14</v>
      </c>
      <c r="D10" s="109">
        <f>COUNTIFS(ws[corridor],D$4,ws[gap],"&gt;=0%",ws[gap],"&lt;10%")</f>
        <v>9</v>
      </c>
      <c r="E10" s="109">
        <f>COUNTIFS(ws[corridor],E$4,ws[gap],"&gt;=0%",ws[gap],"&lt;10%")</f>
        <v>5</v>
      </c>
      <c r="F10" s="109">
        <f>COUNTIFS(ws[corridor],F$4,ws[gap],"&gt;=0%",ws[gap],"&lt;10%")</f>
        <v>4</v>
      </c>
      <c r="G10" s="109">
        <f>COUNTIFS(ws[corridor],G$4,ws[gap],"&gt;=0%",ws[gap],"&lt;10%")</f>
        <v>4</v>
      </c>
      <c r="H10" s="109">
        <f>COUNTIFS(ws[corridor],H$4,ws[gap],"&gt;=0%",ws[gap],"&lt;10%")</f>
        <v>1</v>
      </c>
      <c r="I10" s="109">
        <f>COUNTIFS(ws[corridor],I$4,ws[gap],"&gt;=0%",ws[gap],"&lt;10%")</f>
        <v>0</v>
      </c>
      <c r="J10" s="109">
        <f>COUNTIFS(ws[corridor],J$4,ws[gap],"&gt;=0%",ws[gap],"&lt;10%")</f>
        <v>1</v>
      </c>
      <c r="K10" s="109">
        <f>COUNTIFS(ws[corridor],K$4,ws[gap],"&gt;=0%",ws[gap],"&lt;10%")</f>
        <v>1</v>
      </c>
      <c r="L10" s="109">
        <f>COUNTIFS(ws[corridor],L$4,ws[gap],"&gt;=0%",ws[gap],"&lt;10%")</f>
        <v>0</v>
      </c>
      <c r="M10" s="393">
        <f t="shared" si="0"/>
        <v>39</v>
      </c>
      <c r="N10" s="394">
        <f t="shared" si="4"/>
        <v>0.1891891891891892</v>
      </c>
      <c r="O10" s="395">
        <f t="shared" si="5"/>
        <v>0.14285714285714285</v>
      </c>
      <c r="P10" s="395">
        <f t="shared" si="6"/>
        <v>0.11627906976744186</v>
      </c>
      <c r="Q10" s="395">
        <f t="shared" si="7"/>
        <v>0.30769230769230771</v>
      </c>
      <c r="R10" s="395">
        <f t="shared" si="8"/>
        <v>0.23529411764705882</v>
      </c>
      <c r="S10" s="395">
        <f t="shared" si="1"/>
        <v>0.5</v>
      </c>
      <c r="T10" s="395">
        <f t="shared" si="2"/>
        <v>0</v>
      </c>
      <c r="U10" s="396">
        <f t="shared" si="9"/>
        <v>0.125</v>
      </c>
      <c r="V10" s="396">
        <f t="shared" si="10"/>
        <v>0.25</v>
      </c>
      <c r="W10" s="395">
        <f t="shared" si="11"/>
        <v>0</v>
      </c>
      <c r="X10" s="395">
        <f t="shared" si="3"/>
        <v>0.17256637168141592</v>
      </c>
    </row>
    <row r="11" spans="2:24" x14ac:dyDescent="0.25">
      <c r="B11" s="397" t="s">
        <v>59</v>
      </c>
      <c r="C11" s="107">
        <f>COUNTIFS(ws[corridor],C$4,ws[gap],"&gt;=-10%",ws[gap],"&lt;0%")</f>
        <v>29</v>
      </c>
      <c r="D11" s="107">
        <f>COUNTIFS(ws[corridor],D$4,ws[gap],"&gt;=-10%",ws[gap],"&lt;0%")</f>
        <v>11</v>
      </c>
      <c r="E11" s="107">
        <f>COUNTIFS(ws[corridor],E$4,ws[gap],"&gt;=-10%",ws[gap],"&lt;0%")</f>
        <v>4</v>
      </c>
      <c r="F11" s="107">
        <f>COUNTIFS(ws[corridor],F$4,ws[gap],"&gt;=-10%",ws[gap],"&lt;0%")</f>
        <v>2</v>
      </c>
      <c r="G11" s="107">
        <f>COUNTIFS(ws[corridor],G$4,ws[gap],"&gt;=-10%",ws[gap],"&lt;0%")</f>
        <v>3</v>
      </c>
      <c r="H11" s="107">
        <f>COUNTIFS(ws[corridor],H$4,ws[gap],"&gt;=-10%",ws[gap],"&lt;0%")</f>
        <v>0</v>
      </c>
      <c r="I11" s="107">
        <f>COUNTIFS(ws[corridor],I$4,ws[gap],"&gt;=-10%",ws[gap],"&lt;0%")</f>
        <v>1</v>
      </c>
      <c r="J11" s="107">
        <f>COUNTIFS(ws[corridor],J$4,ws[gap],"&gt;=-10%",ws[gap],"&lt;0%")</f>
        <v>1</v>
      </c>
      <c r="K11" s="107">
        <f>COUNTIFS(ws[corridor],K$4,ws[gap],"&gt;=-10%",ws[gap],"&lt;0%")</f>
        <v>0</v>
      </c>
      <c r="L11" s="107">
        <f>COUNTIFS(ws[corridor],L$4,ws[gap],"&gt;=-10%",ws[gap],"&lt;0%")</f>
        <v>0</v>
      </c>
      <c r="M11" s="398">
        <f t="shared" si="0"/>
        <v>51</v>
      </c>
      <c r="N11" s="399">
        <f t="shared" si="4"/>
        <v>0.39189189189189189</v>
      </c>
      <c r="O11" s="400">
        <f t="shared" si="5"/>
        <v>0.17460317460317459</v>
      </c>
      <c r="P11" s="400">
        <f t="shared" si="6"/>
        <v>9.3023255813953487E-2</v>
      </c>
      <c r="Q11" s="400">
        <f t="shared" si="7"/>
        <v>0.15384615384615385</v>
      </c>
      <c r="R11" s="400">
        <f t="shared" si="8"/>
        <v>0.17647058823529413</v>
      </c>
      <c r="S11" s="400">
        <f t="shared" si="1"/>
        <v>0</v>
      </c>
      <c r="T11" s="400">
        <f t="shared" si="2"/>
        <v>1</v>
      </c>
      <c r="U11" s="401">
        <f t="shared" si="9"/>
        <v>0.125</v>
      </c>
      <c r="V11" s="401">
        <f t="shared" si="10"/>
        <v>0</v>
      </c>
      <c r="W11" s="400">
        <f t="shared" si="11"/>
        <v>0</v>
      </c>
      <c r="X11" s="400">
        <f t="shared" si="3"/>
        <v>0.22566371681415928</v>
      </c>
    </row>
    <row r="12" spans="2:24" x14ac:dyDescent="0.25">
      <c r="B12" s="402" t="s">
        <v>60</v>
      </c>
      <c r="C12" s="109">
        <f>COUNTIFS(ws[corridor],C$4,ws[gap],"&gt;=-20%",ws[gap],"&lt;-10%")</f>
        <v>6</v>
      </c>
      <c r="D12" s="109">
        <f>COUNTIFS(ws[corridor],D$4,ws[gap],"&gt;=-20%",ws[gap],"&lt;-10%")</f>
        <v>8</v>
      </c>
      <c r="E12" s="109">
        <f>COUNTIFS(ws[corridor],E$4,ws[gap],"&gt;=-20%",ws[gap],"&lt;-10%")</f>
        <v>3</v>
      </c>
      <c r="F12" s="109">
        <f>COUNTIFS(ws[corridor],F$4,ws[gap],"&gt;=-20%",ws[gap],"&lt;-10%")</f>
        <v>2</v>
      </c>
      <c r="G12" s="109">
        <f>COUNTIFS(ws[corridor],G$4,ws[gap],"&gt;=-20%",ws[gap],"&lt;-10%")</f>
        <v>4</v>
      </c>
      <c r="H12" s="109">
        <f>COUNTIFS(ws[corridor],H$4,ws[gap],"&gt;=-20%",ws[gap],"&lt;-10%")</f>
        <v>0</v>
      </c>
      <c r="I12" s="109">
        <f>COUNTIFS(ws[corridor],I$4,ws[gap],"&gt;=-20%",ws[gap],"&lt;-10%")</f>
        <v>0</v>
      </c>
      <c r="J12" s="109">
        <f>COUNTIFS(ws[corridor],J$4,ws[gap],"&gt;=-20%",ws[gap],"&lt;-10%")</f>
        <v>2</v>
      </c>
      <c r="K12" s="109">
        <f>COUNTIFS(ws[corridor],K$4,ws[gap],"&gt;=-20%",ws[gap],"&lt;-10%")</f>
        <v>0</v>
      </c>
      <c r="L12" s="109">
        <f>COUNTIFS(ws[corridor],L$4,ws[gap],"&gt;=-20%",ws[gap],"&lt;-10%")</f>
        <v>0</v>
      </c>
      <c r="M12" s="403">
        <f t="shared" si="0"/>
        <v>25</v>
      </c>
      <c r="N12" s="404">
        <f t="shared" si="4"/>
        <v>8.1081081081081086E-2</v>
      </c>
      <c r="O12" s="405">
        <f t="shared" si="5"/>
        <v>0.12698412698412698</v>
      </c>
      <c r="P12" s="405">
        <f t="shared" si="6"/>
        <v>6.9767441860465115E-2</v>
      </c>
      <c r="Q12" s="405">
        <f t="shared" si="7"/>
        <v>0.15384615384615385</v>
      </c>
      <c r="R12" s="405">
        <f t="shared" si="8"/>
        <v>0.23529411764705882</v>
      </c>
      <c r="S12" s="405">
        <f t="shared" si="1"/>
        <v>0</v>
      </c>
      <c r="T12" s="405">
        <f t="shared" si="2"/>
        <v>0</v>
      </c>
      <c r="U12" s="406">
        <f t="shared" si="9"/>
        <v>0.25</v>
      </c>
      <c r="V12" s="406">
        <f t="shared" si="10"/>
        <v>0</v>
      </c>
      <c r="W12" s="405">
        <f t="shared" si="11"/>
        <v>0</v>
      </c>
      <c r="X12" s="405">
        <f t="shared" si="3"/>
        <v>0.11061946902654868</v>
      </c>
    </row>
    <row r="13" spans="2:24" x14ac:dyDescent="0.25">
      <c r="B13" s="402" t="s">
        <v>61</v>
      </c>
      <c r="C13" s="109">
        <f>COUNTIFS(ws[corridor],C$4,ws[gap],"&gt;=-30%",ws[gap],"&lt;-20%")</f>
        <v>0</v>
      </c>
      <c r="D13" s="109">
        <f>COUNTIFS(ws[corridor],D$4,ws[gap],"&gt;=-30%",ws[gap],"&lt;-20%")</f>
        <v>2</v>
      </c>
      <c r="E13" s="109">
        <f>COUNTIFS(ws[corridor],E$4,ws[gap],"&gt;=-30%",ws[gap],"&lt;-20%")</f>
        <v>0</v>
      </c>
      <c r="F13" s="109">
        <f>COUNTIFS(ws[corridor],F$4,ws[gap],"&gt;=-30%",ws[gap],"&lt;-20%")</f>
        <v>1</v>
      </c>
      <c r="G13" s="109">
        <f>COUNTIFS(ws[corridor],G$4,ws[gap],"&gt;=-30%",ws[gap],"&lt;-20%")</f>
        <v>1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109">
        <f>COUNTIFS(ws[corridor],J$4,ws[gap],"&gt;=-30%",ws[gap],"&lt;-20%")</f>
        <v>3</v>
      </c>
      <c r="K13" s="109">
        <f>COUNTIFS(ws[corridor],K$4,ws[gap],"&gt;=-30%",ws[gap],"&lt;-20%")</f>
        <v>0</v>
      </c>
      <c r="L13" s="109">
        <f>COUNTIFS(ws[corridor],L$4,ws[gap],"&gt;=-30%",ws[gap],"&lt;-20%")</f>
        <v>1</v>
      </c>
      <c r="M13" s="403">
        <f t="shared" si="0"/>
        <v>8</v>
      </c>
      <c r="N13" s="404">
        <f t="shared" si="4"/>
        <v>0</v>
      </c>
      <c r="O13" s="405">
        <f t="shared" si="5"/>
        <v>3.1746031746031744E-2</v>
      </c>
      <c r="P13" s="405">
        <f t="shared" si="6"/>
        <v>0</v>
      </c>
      <c r="Q13" s="405">
        <f t="shared" si="7"/>
        <v>7.6923076923076927E-2</v>
      </c>
      <c r="R13" s="405">
        <f t="shared" si="8"/>
        <v>5.8823529411764705E-2</v>
      </c>
      <c r="S13" s="405">
        <f t="shared" si="1"/>
        <v>0</v>
      </c>
      <c r="T13" s="405">
        <f t="shared" si="2"/>
        <v>0</v>
      </c>
      <c r="U13" s="406">
        <f t="shared" si="9"/>
        <v>0.375</v>
      </c>
      <c r="V13" s="406">
        <f t="shared" si="10"/>
        <v>0</v>
      </c>
      <c r="W13" s="405">
        <f t="shared" si="11"/>
        <v>1</v>
      </c>
      <c r="X13" s="405">
        <f t="shared" si="3"/>
        <v>3.5398230088495575E-2</v>
      </c>
    </row>
    <row r="14" spans="2:24" x14ac:dyDescent="0.25">
      <c r="B14" s="407" t="s">
        <v>115</v>
      </c>
      <c r="C14" s="106">
        <f>COUNTIFS(ws[corridor],C$4,ws[gap],"&gt;=-40%",ws[gap],"&lt;-30%")</f>
        <v>1</v>
      </c>
      <c r="D14" s="106">
        <f>COUNTIFS(ws[corridor],D$4,ws[gap],"&gt;=-40%",ws[gap],"&lt;-30%")</f>
        <v>1</v>
      </c>
      <c r="E14" s="106">
        <f>COUNTIFS(ws[corridor],E$4,ws[gap],"&gt;=-40%",ws[gap],"&lt;-30%")</f>
        <v>1</v>
      </c>
      <c r="F14" s="106">
        <f>COUNTIFS(ws[corridor],F$4,ws[gap],"&gt;=-40%",ws[gap],"&lt;-30%")</f>
        <v>2</v>
      </c>
      <c r="G14" s="106">
        <f>COUNTIFS(ws[corridor],G$4,ws[gap],"&gt;=-40%",ws[gap],"&lt;-30%")</f>
        <v>1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106">
        <f>COUNTIFS(ws[corridor],J$4,ws[gap],"&gt;=-40%",ws[gap],"&lt;-30%")</f>
        <v>1</v>
      </c>
      <c r="K14" s="106">
        <f>COUNTIFS(ws[corridor],K$4,ws[gap],"&gt;=-40%",ws[gap],"&lt;-30%")</f>
        <v>0</v>
      </c>
      <c r="L14" s="106">
        <f>COUNTIFS(ws[corridor],L$4,ws[gap],"&gt;=-40%",ws[gap],"&lt;-30%")</f>
        <v>0</v>
      </c>
      <c r="M14" s="408">
        <f t="shared" si="0"/>
        <v>7</v>
      </c>
      <c r="N14" s="409">
        <f t="shared" si="4"/>
        <v>1.3513513513513514E-2</v>
      </c>
      <c r="O14" s="410">
        <f t="shared" si="5"/>
        <v>1.5873015873015872E-2</v>
      </c>
      <c r="P14" s="410">
        <f t="shared" si="6"/>
        <v>2.3255813953488372E-2</v>
      </c>
      <c r="Q14" s="410">
        <f t="shared" si="7"/>
        <v>0.15384615384615385</v>
      </c>
      <c r="R14" s="410">
        <f t="shared" si="8"/>
        <v>5.8823529411764705E-2</v>
      </c>
      <c r="S14" s="410">
        <f t="shared" si="1"/>
        <v>0</v>
      </c>
      <c r="T14" s="410">
        <f t="shared" si="2"/>
        <v>0</v>
      </c>
      <c r="U14" s="411">
        <f t="shared" si="9"/>
        <v>0.125</v>
      </c>
      <c r="V14" s="411">
        <f t="shared" si="10"/>
        <v>0</v>
      </c>
      <c r="W14" s="410">
        <f t="shared" si="11"/>
        <v>0</v>
      </c>
      <c r="X14" s="410">
        <f t="shared" si="3"/>
        <v>3.0973451327433628E-2</v>
      </c>
    </row>
    <row r="15" spans="2:24" x14ac:dyDescent="0.25">
      <c r="B15" s="407" t="s">
        <v>113</v>
      </c>
      <c r="C15" s="106">
        <f>COUNTIFS(ws[corridor],C$4,ws[gap],"&lt;-40%")</f>
        <v>2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106">
        <f>COUNTIFS(ws[corridor],J$4,ws[gap],"&lt;-40%")</f>
        <v>0</v>
      </c>
      <c r="K15" s="106">
        <f>COUNTIFS(ws[corridor],K$4,ws[gap],"&lt;-40%")</f>
        <v>0</v>
      </c>
      <c r="L15" s="106">
        <f>COUNTIFS(ws[corridor],L$4,ws[gap],"&lt;-40%")</f>
        <v>0</v>
      </c>
      <c r="M15" s="408">
        <f t="shared" si="0"/>
        <v>2</v>
      </c>
      <c r="N15" s="409">
        <f t="shared" si="4"/>
        <v>2.7027027027027029E-2</v>
      </c>
      <c r="O15" s="410">
        <f t="shared" si="5"/>
        <v>0</v>
      </c>
      <c r="P15" s="410">
        <f t="shared" si="6"/>
        <v>0</v>
      </c>
      <c r="Q15" s="410">
        <f t="shared" si="7"/>
        <v>0</v>
      </c>
      <c r="R15" s="410">
        <f t="shared" si="8"/>
        <v>0</v>
      </c>
      <c r="S15" s="410">
        <f t="shared" si="1"/>
        <v>0</v>
      </c>
      <c r="T15" s="410">
        <f t="shared" si="2"/>
        <v>0</v>
      </c>
      <c r="U15" s="411">
        <f t="shared" si="9"/>
        <v>0</v>
      </c>
      <c r="V15" s="411">
        <f t="shared" si="10"/>
        <v>0</v>
      </c>
      <c r="W15" s="410">
        <f t="shared" si="11"/>
        <v>0</v>
      </c>
      <c r="X15" s="410">
        <f t="shared" si="3"/>
        <v>8.8495575221238937E-3</v>
      </c>
    </row>
    <row r="16" spans="2:24" x14ac:dyDescent="0.25">
      <c r="B16" s="413" t="s">
        <v>108</v>
      </c>
      <c r="C16" s="319">
        <f t="shared" ref="C16:R16" si="12">SUM(C10:C11)</f>
        <v>43</v>
      </c>
      <c r="D16" s="319">
        <f t="shared" si="12"/>
        <v>20</v>
      </c>
      <c r="E16" s="319">
        <f t="shared" si="12"/>
        <v>9</v>
      </c>
      <c r="F16" s="319">
        <f t="shared" si="12"/>
        <v>6</v>
      </c>
      <c r="G16" s="319">
        <f t="shared" si="12"/>
        <v>7</v>
      </c>
      <c r="H16" s="319">
        <f t="shared" si="12"/>
        <v>1</v>
      </c>
      <c r="I16" s="319">
        <f t="shared" si="12"/>
        <v>1</v>
      </c>
      <c r="J16" s="439">
        <f t="shared" si="12"/>
        <v>2</v>
      </c>
      <c r="K16" s="439">
        <f t="shared" si="12"/>
        <v>1</v>
      </c>
      <c r="L16" s="439">
        <f t="shared" si="12"/>
        <v>0</v>
      </c>
      <c r="M16" s="320">
        <f t="shared" si="12"/>
        <v>90</v>
      </c>
      <c r="N16" s="414">
        <f>SUM(N10:N11)</f>
        <v>0.58108108108108114</v>
      </c>
      <c r="O16" s="322">
        <f t="shared" si="12"/>
        <v>0.31746031746031744</v>
      </c>
      <c r="P16" s="322">
        <f t="shared" si="12"/>
        <v>0.20930232558139533</v>
      </c>
      <c r="Q16" s="322">
        <f t="shared" si="12"/>
        <v>0.46153846153846156</v>
      </c>
      <c r="R16" s="322">
        <f t="shared" si="12"/>
        <v>0.41176470588235292</v>
      </c>
      <c r="S16" s="322">
        <f t="shared" ref="S16:U16" si="13">SUM(S10:S11)</f>
        <v>0.5</v>
      </c>
      <c r="T16" s="322">
        <f t="shared" si="13"/>
        <v>1</v>
      </c>
      <c r="U16" s="322">
        <f t="shared" si="13"/>
        <v>0.25</v>
      </c>
      <c r="V16" s="440">
        <f>SUM(V10:V11)</f>
        <v>0.25</v>
      </c>
      <c r="W16" s="322">
        <f>SUM(W10:W11)</f>
        <v>0</v>
      </c>
      <c r="X16" s="322">
        <f>SUM(X10:X11)</f>
        <v>0.39823008849557517</v>
      </c>
    </row>
    <row r="17" spans="1:24" x14ac:dyDescent="0.25">
      <c r="B17" s="415" t="s">
        <v>67</v>
      </c>
      <c r="C17" s="326">
        <f t="shared" ref="C17:U17" si="14">SUM(C9:C10,C11:C12)</f>
        <v>55</v>
      </c>
      <c r="D17" s="326">
        <f t="shared" si="14"/>
        <v>48</v>
      </c>
      <c r="E17" s="326">
        <f t="shared" si="14"/>
        <v>21</v>
      </c>
      <c r="F17" s="326">
        <f t="shared" si="14"/>
        <v>9</v>
      </c>
      <c r="G17" s="326">
        <f t="shared" si="14"/>
        <v>13</v>
      </c>
      <c r="H17" s="326">
        <f t="shared" si="14"/>
        <v>1</v>
      </c>
      <c r="I17" s="326">
        <f t="shared" si="14"/>
        <v>1</v>
      </c>
      <c r="J17" s="441">
        <f t="shared" si="14"/>
        <v>4</v>
      </c>
      <c r="K17" s="441">
        <f t="shared" si="14"/>
        <v>2</v>
      </c>
      <c r="L17" s="326">
        <f t="shared" ref="L17" si="15">SUM(L9:L10,L11:L12)</f>
        <v>0</v>
      </c>
      <c r="M17" s="327">
        <f t="shared" si="14"/>
        <v>154</v>
      </c>
      <c r="N17" s="416">
        <f t="shared" si="14"/>
        <v>0.7432432432432432</v>
      </c>
      <c r="O17" s="417">
        <f t="shared" si="14"/>
        <v>0.76190476190476186</v>
      </c>
      <c r="P17" s="417">
        <f t="shared" si="14"/>
        <v>0.48837209302325585</v>
      </c>
      <c r="Q17" s="417">
        <f t="shared" si="14"/>
        <v>0.6923076923076924</v>
      </c>
      <c r="R17" s="417">
        <f t="shared" si="14"/>
        <v>0.76470588235294112</v>
      </c>
      <c r="S17" s="417">
        <f t="shared" ref="S17:T17" si="16">SUM(S9:S10,S11:S12)</f>
        <v>0.5</v>
      </c>
      <c r="T17" s="417">
        <f t="shared" si="16"/>
        <v>1</v>
      </c>
      <c r="U17" s="442">
        <f t="shared" si="14"/>
        <v>0.5</v>
      </c>
      <c r="V17" s="442">
        <f>SUM(V9:V10,V11:V12)</f>
        <v>0.5</v>
      </c>
      <c r="W17" s="417">
        <f t="shared" ref="W17" si="17">SUM(W9:W10,W11:W12)</f>
        <v>0</v>
      </c>
      <c r="X17" s="417">
        <f>SUM(X9:X10,X11:X12)</f>
        <v>0.68141592920353977</v>
      </c>
    </row>
    <row r="18" spans="1:24" x14ac:dyDescent="0.25">
      <c r="B18" s="418" t="s">
        <v>109</v>
      </c>
      <c r="C18" s="333">
        <f t="shared" ref="C18:U18" si="18">SUM(C8:C13)</f>
        <v>60</v>
      </c>
      <c r="D18" s="333">
        <f t="shared" si="18"/>
        <v>54</v>
      </c>
      <c r="E18" s="333">
        <f t="shared" si="18"/>
        <v>27</v>
      </c>
      <c r="F18" s="333">
        <f t="shared" si="18"/>
        <v>11</v>
      </c>
      <c r="G18" s="333">
        <f t="shared" si="18"/>
        <v>15</v>
      </c>
      <c r="H18" s="333">
        <f t="shared" si="18"/>
        <v>1</v>
      </c>
      <c r="I18" s="333">
        <f t="shared" si="18"/>
        <v>1</v>
      </c>
      <c r="J18" s="443">
        <f t="shared" si="18"/>
        <v>7</v>
      </c>
      <c r="K18" s="443">
        <f t="shared" si="18"/>
        <v>3</v>
      </c>
      <c r="L18" s="333">
        <f t="shared" ref="L18" si="19">SUM(L8:L13)</f>
        <v>1</v>
      </c>
      <c r="M18" s="334">
        <f t="shared" si="18"/>
        <v>180</v>
      </c>
      <c r="N18" s="419">
        <f t="shared" si="18"/>
        <v>0.81081081081081074</v>
      </c>
      <c r="O18" s="420">
        <f t="shared" si="18"/>
        <v>0.8571428571428571</v>
      </c>
      <c r="P18" s="420">
        <f t="shared" si="18"/>
        <v>0.62790697674418605</v>
      </c>
      <c r="Q18" s="420">
        <f t="shared" si="18"/>
        <v>0.84615384615384626</v>
      </c>
      <c r="R18" s="420">
        <f t="shared" si="18"/>
        <v>0.88235294117647056</v>
      </c>
      <c r="S18" s="420">
        <f t="shared" ref="S18:T18" si="20">SUM(S8:S13)</f>
        <v>0.5</v>
      </c>
      <c r="T18" s="420">
        <f t="shared" si="20"/>
        <v>1</v>
      </c>
      <c r="U18" s="444">
        <f t="shared" si="18"/>
        <v>0.875</v>
      </c>
      <c r="V18" s="444">
        <f>SUM(V8:V13)</f>
        <v>0.75</v>
      </c>
      <c r="W18" s="445">
        <f t="shared" ref="W18" si="21">SUM(W8:W13)</f>
        <v>1</v>
      </c>
      <c r="X18" s="420">
        <f>SUM(X8:X13)</f>
        <v>0.79646017699115057</v>
      </c>
    </row>
    <row r="19" spans="1:24" x14ac:dyDescent="0.25">
      <c r="B19" s="421"/>
      <c r="C19" s="475" t="s">
        <v>137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7"/>
      <c r="N19" s="473" t="s">
        <v>138</v>
      </c>
      <c r="O19" s="474"/>
      <c r="P19" s="474"/>
      <c r="Q19" s="474"/>
      <c r="R19" s="474"/>
      <c r="S19" s="474"/>
      <c r="T19" s="474"/>
      <c r="U19" s="474"/>
      <c r="V19" s="474"/>
      <c r="W19" s="474"/>
      <c r="X19" s="474"/>
    </row>
    <row r="20" spans="1:24" s="5" customFormat="1" x14ac:dyDescent="0.25">
      <c r="B20" s="422" t="s">
        <v>139</v>
      </c>
      <c r="C20" s="78">
        <f t="shared" ref="C20:U20" si="22">SUM(C6:C10)</f>
        <v>36</v>
      </c>
      <c r="D20" s="78">
        <f t="shared" si="22"/>
        <v>41</v>
      </c>
      <c r="E20" s="78">
        <f t="shared" si="22"/>
        <v>35</v>
      </c>
      <c r="F20" s="78">
        <f t="shared" si="22"/>
        <v>6</v>
      </c>
      <c r="G20" s="78">
        <f t="shared" si="22"/>
        <v>8</v>
      </c>
      <c r="H20" s="78">
        <f t="shared" si="22"/>
        <v>2</v>
      </c>
      <c r="I20" s="78">
        <f t="shared" si="22"/>
        <v>0</v>
      </c>
      <c r="J20" s="78">
        <f t="shared" si="22"/>
        <v>1</v>
      </c>
      <c r="K20" s="78">
        <f t="shared" si="22"/>
        <v>4</v>
      </c>
      <c r="L20" s="78">
        <f t="shared" ref="L20" si="23">SUM(L6:L10)</f>
        <v>0</v>
      </c>
      <c r="M20" s="83">
        <f t="shared" si="22"/>
        <v>133</v>
      </c>
      <c r="N20" s="423">
        <f>SUM(N6:N10)</f>
        <v>0.48648648648648651</v>
      </c>
      <c r="O20" s="424">
        <f t="shared" si="22"/>
        <v>0.6507936507936507</v>
      </c>
      <c r="P20" s="424">
        <f t="shared" si="22"/>
        <v>0.81395348837209303</v>
      </c>
      <c r="Q20" s="424">
        <f t="shared" si="22"/>
        <v>0.46153846153846156</v>
      </c>
      <c r="R20" s="424">
        <f t="shared" si="22"/>
        <v>0.47058823529411764</v>
      </c>
      <c r="S20" s="424">
        <f t="shared" ref="S20:T20" si="24">SUM(S6:S10)</f>
        <v>1</v>
      </c>
      <c r="T20" s="424">
        <f t="shared" si="24"/>
        <v>0</v>
      </c>
      <c r="U20" s="424">
        <f t="shared" si="22"/>
        <v>0.125</v>
      </c>
      <c r="V20" s="424">
        <f>SUM(V6:V10)</f>
        <v>1</v>
      </c>
      <c r="W20" s="423">
        <f>SUM(W6:W10)</f>
        <v>0</v>
      </c>
      <c r="X20" s="424">
        <f>SUM(X6:X10)</f>
        <v>0.58849557522123885</v>
      </c>
    </row>
    <row r="21" spans="1:24" s="80" customFormat="1" x14ac:dyDescent="0.25">
      <c r="B21" s="425" t="s">
        <v>140</v>
      </c>
      <c r="C21" s="79">
        <f t="shared" ref="C21:U21" si="25">SUM(C11:C15)</f>
        <v>38</v>
      </c>
      <c r="D21" s="79">
        <f t="shared" si="25"/>
        <v>22</v>
      </c>
      <c r="E21" s="79">
        <f t="shared" si="25"/>
        <v>8</v>
      </c>
      <c r="F21" s="79">
        <f t="shared" si="25"/>
        <v>7</v>
      </c>
      <c r="G21" s="79">
        <f t="shared" si="25"/>
        <v>9</v>
      </c>
      <c r="H21" s="79">
        <f t="shared" si="25"/>
        <v>0</v>
      </c>
      <c r="I21" s="79">
        <f t="shared" si="25"/>
        <v>1</v>
      </c>
      <c r="J21" s="79">
        <f t="shared" si="25"/>
        <v>7</v>
      </c>
      <c r="K21" s="79">
        <f t="shared" si="25"/>
        <v>0</v>
      </c>
      <c r="L21" s="79">
        <f t="shared" ref="L21" si="26">SUM(L11:L15)</f>
        <v>1</v>
      </c>
      <c r="M21" s="84">
        <f t="shared" si="25"/>
        <v>93</v>
      </c>
      <c r="N21" s="426">
        <f>SUM(N11:N15)</f>
        <v>0.5135135135135136</v>
      </c>
      <c r="O21" s="427">
        <f t="shared" si="25"/>
        <v>0.34920634920634919</v>
      </c>
      <c r="P21" s="427">
        <f t="shared" si="25"/>
        <v>0.18604651162790697</v>
      </c>
      <c r="Q21" s="427">
        <f t="shared" si="25"/>
        <v>0.53846153846153855</v>
      </c>
      <c r="R21" s="427">
        <f t="shared" si="25"/>
        <v>0.52941176470588236</v>
      </c>
      <c r="S21" s="427">
        <f t="shared" ref="S21:T21" si="27">SUM(S11:S15)</f>
        <v>0</v>
      </c>
      <c r="T21" s="427">
        <f t="shared" si="27"/>
        <v>1</v>
      </c>
      <c r="U21" s="427">
        <f t="shared" si="25"/>
        <v>0.875</v>
      </c>
      <c r="V21" s="427">
        <f>SUM(V11:V15)</f>
        <v>0</v>
      </c>
      <c r="W21" s="426">
        <f>SUM(W11:W15)</f>
        <v>1</v>
      </c>
      <c r="X21" s="427">
        <f>SUM(X11:X15)</f>
        <v>0.41150442477876104</v>
      </c>
    </row>
    <row r="22" spans="1:24" x14ac:dyDescent="0.25">
      <c r="B22" s="428" t="s">
        <v>52</v>
      </c>
      <c r="C22" s="429">
        <f>C20+C21</f>
        <v>74</v>
      </c>
      <c r="D22" s="429">
        <f t="shared" ref="D22:X22" si="28">D20+D21</f>
        <v>63</v>
      </c>
      <c r="E22" s="429">
        <f t="shared" si="28"/>
        <v>43</v>
      </c>
      <c r="F22" s="429">
        <f t="shared" si="28"/>
        <v>13</v>
      </c>
      <c r="G22" s="429">
        <f t="shared" si="28"/>
        <v>17</v>
      </c>
      <c r="H22" s="429">
        <f t="shared" si="28"/>
        <v>2</v>
      </c>
      <c r="I22" s="429">
        <f t="shared" si="28"/>
        <v>1</v>
      </c>
      <c r="J22" s="430">
        <f t="shared" si="28"/>
        <v>8</v>
      </c>
      <c r="K22" s="430">
        <f t="shared" si="28"/>
        <v>4</v>
      </c>
      <c r="L22" s="430">
        <f t="shared" ref="L22" si="29">L20+L21</f>
        <v>1</v>
      </c>
      <c r="M22" s="431">
        <f>M20+M21</f>
        <v>226</v>
      </c>
      <c r="N22" s="446">
        <f t="shared" si="28"/>
        <v>1</v>
      </c>
      <c r="O22" s="447">
        <f t="shared" si="28"/>
        <v>0.99999999999999989</v>
      </c>
      <c r="P22" s="447">
        <f t="shared" si="28"/>
        <v>1</v>
      </c>
      <c r="Q22" s="447">
        <f t="shared" si="28"/>
        <v>1</v>
      </c>
      <c r="R22" s="447">
        <f t="shared" si="28"/>
        <v>1</v>
      </c>
      <c r="S22" s="447">
        <f t="shared" ref="S22:T22" si="30">S20+S21</f>
        <v>1</v>
      </c>
      <c r="T22" s="447">
        <f t="shared" si="30"/>
        <v>1</v>
      </c>
      <c r="U22" s="448">
        <f t="shared" si="28"/>
        <v>1</v>
      </c>
      <c r="V22" s="448">
        <f t="shared" si="28"/>
        <v>1</v>
      </c>
      <c r="W22" s="446">
        <f t="shared" ref="W22" si="31">W20+W21</f>
        <v>1</v>
      </c>
      <c r="X22" s="447">
        <f t="shared" si="28"/>
        <v>0.99999999999999989</v>
      </c>
    </row>
    <row r="23" spans="1:24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79"/>
      <c r="K23" s="479"/>
      <c r="L23" s="479"/>
      <c r="M23" s="480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</row>
    <row r="24" spans="1:24" x14ac:dyDescent="0.25">
      <c r="B24" s="422" t="s">
        <v>99</v>
      </c>
      <c r="C24" s="111">
        <f>IFERROR(AVERAGEIFS(ws[gap],ws[corridor],C$4,ws[gap],"&gt;=0%"),"")</f>
        <v>0.20570024071224993</v>
      </c>
      <c r="D24" s="111">
        <f>IFERROR(AVERAGEIFS(ws[gap],ws[corridor],D$4,ws[gap],"&gt;=0%"),"")</f>
        <v>0.22755791857464436</v>
      </c>
      <c r="E24" s="111">
        <f>IFERROR(AVERAGEIFS(ws[gap],ws[corridor],E$4,ws[gap],"&gt;=0%"),"")</f>
        <v>0.26749935612950837</v>
      </c>
      <c r="F24" s="111">
        <f>IFERROR(AVERAGEIFS(ws[gap],ws[corridor],F$4,ws[gap],"&gt;=0%"),"")</f>
        <v>0.10858373007998323</v>
      </c>
      <c r="G24" s="111">
        <f>IFERROR(AVERAGEIFS(ws[gap],ws[corridor],G$4,ws[gap],"&gt;=0%"),"")</f>
        <v>0.16148959395777876</v>
      </c>
      <c r="H24" s="111">
        <f>IFERROR(AVERAGEIFS(ws[gap],ws[corridor],H$4,ws[gap],"&gt;=0%"),"")</f>
        <v>0.17788374296599863</v>
      </c>
      <c r="I24" s="111" t="str">
        <f>IFERROR(AVERAGEIFS(ws[gap],ws[corridor],I$4,ws[gap],"&gt;=0%"),"")</f>
        <v/>
      </c>
      <c r="J24" s="112">
        <f>IFERROR(AVERAGEIFS(ws[gap],ws[corridor],J$4,ws[gap],"&gt;=0%"),"")</f>
        <v>4.7457300983986039E-2</v>
      </c>
      <c r="K24" s="112">
        <f>IFERROR(AVERAGEIFS(ws[gap],ws[corridor],K$4,ws[gap],"&gt;=0%"),"")</f>
        <v>0.20694307887170321</v>
      </c>
      <c r="L24" s="112" t="str">
        <f>IFERROR(AVERAGEIFS(ws[gap],ws[corridor],L$4,ws[gap],"&gt;=0%"),"")</f>
        <v/>
      </c>
      <c r="M24" s="102">
        <f>AVERAGEIFS(ws[gap],ws[gap],"&gt;=0%",ws[dir],"2")</f>
        <v>0.22009005282916647</v>
      </c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</row>
    <row r="25" spans="1:24" s="80" customFormat="1" x14ac:dyDescent="0.25">
      <c r="B25" s="435" t="s">
        <v>100</v>
      </c>
      <c r="C25" s="110">
        <f>IFERROR(AVERAGEIFS(ws[gap],ws[corridor],C$4,ws[gap],"&lt;0%"),"")</f>
        <v>-8.5619872616884238E-2</v>
      </c>
      <c r="D25" s="110">
        <f>IFERROR(AVERAGEIFS(ws[gap],ws[corridor],D$4,ws[gap],"&lt;0%"),"")</f>
        <v>-0.10879175617153707</v>
      </c>
      <c r="E25" s="110">
        <f>IFERROR(AVERAGEIFS(ws[gap],ws[corridor],E$4,ws[gap],"&lt;0%"),"")</f>
        <v>-0.1015076373869004</v>
      </c>
      <c r="F25" s="110">
        <f>IFERROR(AVERAGEIFS(ws[gap],ws[corridor],F$4,ws[gap],"&lt;0%"),"")</f>
        <v>-0.18999765308194691</v>
      </c>
      <c r="G25" s="110">
        <f>IFERROR(AVERAGEIFS(ws[gap],ws[corridor],G$4,ws[gap],"&lt;0%"),"")</f>
        <v>-0.14008276451026133</v>
      </c>
      <c r="H25" s="110" t="str">
        <f>IFERROR(AVERAGEIFS(ws[gap],ws[corridor],H$4,ws[gap],"&lt;0%"),"")</f>
        <v/>
      </c>
      <c r="I25" s="110">
        <f>IFERROR(AVERAGEIFS(ws[gap],ws[corridor],I$4,ws[gap],"&lt;0%"),"")</f>
        <v>-6.3947254513737506E-2</v>
      </c>
      <c r="J25" s="113">
        <f>IFERROR(AVERAGEIFS(ws[gap],ws[corridor],J$4,ws[gap],"&lt;0%"),"")</f>
        <v>-0.17908640197318521</v>
      </c>
      <c r="K25" s="113" t="str">
        <f>IFERROR(AVERAGEIFS(ws[gap],ws[corridor],K$4,ws[gap],"&lt;0%"),"")</f>
        <v/>
      </c>
      <c r="L25" s="113">
        <f>IFERROR(AVERAGEIFS(ws[gap],ws[corridor],L$4,ws[gap],"&lt;0%"),"")</f>
        <v>-0.24731445313601119</v>
      </c>
      <c r="M25" s="101">
        <f>AVERAGEIFS(ws[gap],ws[gap],"&lt;0%",ws[dir],"2")</f>
        <v>-0.11413580503159833</v>
      </c>
    </row>
    <row r="26" spans="1:24" ht="15.75" thickBot="1" x14ac:dyDescent="0.3">
      <c r="B26" s="436" t="s">
        <v>98</v>
      </c>
      <c r="C26" s="115">
        <f>AVERAGEIFS(ws[gap],ws[corridor],C$4)</f>
        <v>5.6103425759451306E-2</v>
      </c>
      <c r="D26" s="115">
        <f>AVERAGEIFS(ws[gap],ws[corridor],D$4)</f>
        <v>0.11010247659978734</v>
      </c>
      <c r="E26" s="115">
        <f>AVERAGEIFS(ws[gap],ws[corridor],E$4)</f>
        <v>0.19884689221947882</v>
      </c>
      <c r="F26" s="115">
        <f>AVERAGEIFS(ws[gap],ws[corridor],F$4)</f>
        <v>-5.2190860853363781E-2</v>
      </c>
      <c r="G26" s="115">
        <f>AVERAGEIFS(ws[gap],ws[corridor],G$4)</f>
        <v>1.8336394746987098E-3</v>
      </c>
      <c r="H26" s="115">
        <f>AVERAGEIFS(ws[gap],ws[corridor],H$4)</f>
        <v>0.17788374296599863</v>
      </c>
      <c r="I26" s="115">
        <f>AVERAGEIFS(ws[gap],ws[corridor],I$4)</f>
        <v>-6.3947254513737506E-2</v>
      </c>
      <c r="J26" s="116">
        <f>AVERAGEIFS(ws[gap],ws[corridor],J$4)</f>
        <v>-0.15076843910353879</v>
      </c>
      <c r="K26" s="116">
        <f>AVERAGEIFS(ws[gap],ws[corridor],K$4)</f>
        <v>0.20694307887170321</v>
      </c>
      <c r="L26" s="116">
        <f>AVERAGEIFS(ws[gap],ws[corridor],L$4)</f>
        <v>-0.24731445313601119</v>
      </c>
      <c r="M26" s="99">
        <f>AVERAGEIFS(ws[gap], ws[dir],"2")</f>
        <v>8.2554633443984476E-2</v>
      </c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</row>
    <row r="27" spans="1:24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70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</row>
    <row r="28" spans="1:24" ht="15.75" thickBot="1" x14ac:dyDescent="0.3">
      <c r="B28" s="437" t="s">
        <v>107</v>
      </c>
      <c r="C28" s="108">
        <f>SQRT(AVERAGEIF(ws[corridor],C4,ws[x2]))/AVERAGEIF(ws[corridor],C4,ws[count])</f>
        <v>0.19013771740158916</v>
      </c>
      <c r="D28" s="108">
        <f>SQRT(AVERAGEIF(ws[corridor],D4,ws[x2]))/AVERAGEIF(ws[corridor],D4,ws[count])</f>
        <v>0.19926172429648653</v>
      </c>
      <c r="E28" s="108">
        <f>SQRT(AVERAGEIF(ws[corridor],E4,ws[x2]))/AVERAGEIF(ws[corridor],E4,ws[count])</f>
        <v>0.27379073688669225</v>
      </c>
      <c r="F28" s="108">
        <f>SQRT(AVERAGEIF(ws[corridor],F4,ws[x2]))/AVERAGEIF(ws[corridor],F4,ws[count])</f>
        <v>0.20963820898051916</v>
      </c>
      <c r="G28" s="108">
        <f>SQRT(AVERAGEIF(ws[corridor],G4,ws[x2]))/AVERAGEIF(ws[corridor],G4,ws[count])</f>
        <v>0.14519700138534514</v>
      </c>
      <c r="H28" s="108">
        <f>SQRT(AVERAGEIF(ws[corridor],H4,ws[x2]))/AVERAGEIF(ws[corridor],H4,ws[count])</f>
        <v>0.27316678442506892</v>
      </c>
      <c r="I28" s="108">
        <f>SQRT(AVERAGEIF(ws[corridor],I4,ws[x2]))/AVERAGEIF(ws[corridor],I4,ws[count])</f>
        <v>6.3947254513737492E-2</v>
      </c>
      <c r="J28" s="108">
        <f>SQRT(AVERAGEIF(ws[corridor],J4,ws[x2]))/AVERAGEIF(ws[corridor],J4,ws[count])</f>
        <v>0.19948212888757189</v>
      </c>
      <c r="K28" s="108">
        <f>SQRT(AVERAGEIF(ws[corridor],K4,ws[x2]))/AVERAGEIF(ws[corridor],K4,ws[count])</f>
        <v>0.21309518194462135</v>
      </c>
      <c r="L28" s="108">
        <f>SQRT(AVERAGEIF(ws[corridor],L4,ws[x2]))/AVERAGEIF(ws[corridor],L4,ws[count])</f>
        <v>0.24731445313601119</v>
      </c>
      <c r="M28" s="108">
        <f>SQRT(AVERAGEIF(ws[dir],2,ws[x2]))/AVERAGEIF(ws[dir],2,ws[count])</f>
        <v>0.22361012423931828</v>
      </c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</row>
    <row r="29" spans="1:24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8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</row>
    <row r="30" spans="1:24" ht="15.75" thickBot="1" x14ac:dyDescent="0.3">
      <c r="B30" s="438" t="s">
        <v>111</v>
      </c>
      <c r="C30" s="275">
        <f>B51</f>
        <v>1.0535390538613105</v>
      </c>
      <c r="D30" s="275">
        <f>B52</f>
        <v>1.045932894224846</v>
      </c>
      <c r="E30" s="275">
        <f>B53</f>
        <v>1.1763352342398861</v>
      </c>
      <c r="F30" s="275">
        <f>B54</f>
        <v>0.92010454460407531</v>
      </c>
      <c r="G30" s="275">
        <f>B55</f>
        <v>0.96023704827150325</v>
      </c>
      <c r="H30" s="275">
        <f>B56</f>
        <v>1.2376884257070335</v>
      </c>
      <c r="I30" s="275">
        <f>B57</f>
        <v>0.93605274548626272</v>
      </c>
      <c r="J30" s="275">
        <f>B58</f>
        <v>0.85005526310487534</v>
      </c>
      <c r="K30" s="275">
        <f>B59</f>
        <v>1.195240096734872</v>
      </c>
      <c r="L30" s="275">
        <f>B60</f>
        <v>0.75268554686398881</v>
      </c>
      <c r="M30" s="276">
        <f>sum_all!D29</f>
        <v>1.07091851649126</v>
      </c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</row>
    <row r="31" spans="1:24" ht="15.75" thickTop="1" x14ac:dyDescent="0.25">
      <c r="A31" s="9"/>
    </row>
    <row r="32" spans="1:24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8</v>
      </c>
      <c r="B51" s="10" cm="1">
        <f t="array" ref="B51:C51">LINEST((ws[corridor]=C4)*(ws[flow]),(ws[corridor]=C4)*(ws[count]),FALSE)</f>
        <v>1.0535390538613105</v>
      </c>
      <c r="C51" s="136">
        <v>0</v>
      </c>
    </row>
    <row r="52" spans="1:3" x14ac:dyDescent="0.25">
      <c r="A52" s="274">
        <v>9</v>
      </c>
      <c r="B52" s="10" cm="1">
        <f t="array" ref="B52:C52">LINEST((ws[corridor]=D4)*(ws[flow]),(ws[corridor]=D4)*(ws[count]),FALSE)</f>
        <v>1.045932894224846</v>
      </c>
      <c r="C52" s="136">
        <v>0</v>
      </c>
    </row>
    <row r="53" spans="1:3" x14ac:dyDescent="0.25">
      <c r="A53" s="11">
        <v>10</v>
      </c>
      <c r="B53" s="10" cm="1">
        <f t="array" ref="B53:C53">LINEST((ws[corridor]=E4)*(ws[flow]),(ws[corridor]=E4)*(ws[count]),FALSE)</f>
        <v>1.1763352342398861</v>
      </c>
      <c r="C53" s="136">
        <v>0</v>
      </c>
    </row>
    <row r="54" spans="1:3" x14ac:dyDescent="0.25">
      <c r="A54" s="11">
        <v>11</v>
      </c>
      <c r="B54" s="10" cm="1">
        <f t="array" ref="B54:C54">LINEST((ws[corridor]=F4)*(ws[flow]),(ws[corridor]=F4)*(ws[count]),FALSE)</f>
        <v>0.92010454460407531</v>
      </c>
      <c r="C54" s="136">
        <v>0</v>
      </c>
    </row>
    <row r="55" spans="1:3" x14ac:dyDescent="0.25">
      <c r="A55" s="11">
        <v>12</v>
      </c>
      <c r="B55" s="10" cm="1">
        <f t="array" ref="B55:C55">LINEST((ws[corridor]=G4)*(ws[flow]),(ws[corridor]=G4)*(ws[count]),FALSE)</f>
        <v>0.96023704827150325</v>
      </c>
      <c r="C55" s="11">
        <v>0</v>
      </c>
    </row>
    <row r="56" spans="1:3" x14ac:dyDescent="0.25">
      <c r="A56" s="11">
        <v>13</v>
      </c>
      <c r="B56" s="10" cm="1">
        <f t="array" ref="B56:C56">LINEST((ws[corridor]=H4)*(ws[flow]),(ws[corridor]=H4)*(ws[count]),FALSE)</f>
        <v>1.2376884257070335</v>
      </c>
      <c r="C56" s="11">
        <v>0</v>
      </c>
    </row>
    <row r="57" spans="1:3" x14ac:dyDescent="0.25">
      <c r="A57" s="11">
        <v>14</v>
      </c>
      <c r="B57" s="10" cm="1">
        <f t="array" ref="B57:C57">LINEST((ws[corridor]=I4)*(ws[flow]),(ws[corridor]=I4)*(ws[count]),FALSE)</f>
        <v>0.93605274548626272</v>
      </c>
      <c r="C57" s="11">
        <v>0</v>
      </c>
    </row>
    <row r="58" spans="1:3" x14ac:dyDescent="0.25">
      <c r="A58" s="11">
        <v>30</v>
      </c>
      <c r="B58" s="10" cm="1">
        <f t="array" ref="B58:C58">LINEST((ws[corridor]=J4)*(ws[flow]),(ws[corridor]=J4)*(ws[count]),FALSE)</f>
        <v>0.85005526310487534</v>
      </c>
      <c r="C58" s="11">
        <v>0</v>
      </c>
    </row>
    <row r="59" spans="1:3" x14ac:dyDescent="0.25">
      <c r="A59" s="11">
        <v>32</v>
      </c>
      <c r="B59" s="10" cm="1">
        <f t="array" ref="B59:C59">LINEST((ws[corridor]=K4)*(ws[flow]),(ws[corridor]=K4)*(ws[count]),FALSE)</f>
        <v>1.195240096734872</v>
      </c>
      <c r="C59" s="11">
        <v>0</v>
      </c>
    </row>
    <row r="60" spans="1:3" x14ac:dyDescent="0.25">
      <c r="A60" s="11">
        <v>35</v>
      </c>
      <c r="B60" s="10" cm="1">
        <f t="array" ref="B60:C60">LINEST((ws[corridor]=L4)*(ws[flow]),(ws[corridor]=L4)*(ws[count]),FALSE)</f>
        <v>0.75268554686398881</v>
      </c>
      <c r="C60" s="11">
        <v>0</v>
      </c>
    </row>
    <row r="61" spans="1:3" x14ac:dyDescent="0.25">
      <c r="A61" s="11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M29"/>
    <mergeCell ref="C3:M3"/>
    <mergeCell ref="N3:X3"/>
    <mergeCell ref="C19:M19"/>
    <mergeCell ref="N19:X19"/>
    <mergeCell ref="B23:M23"/>
    <mergeCell ref="B27:M27"/>
  </mergeCells>
  <pageMargins left="0.7" right="0.7" top="0.75" bottom="0.75" header="0.3" footer="0.3"/>
  <pageSetup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79998168889431442"/>
    <pageSetUpPr fitToPage="1"/>
  </sheetPr>
  <dimension ref="A3:R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H28" sqref="H28"/>
    </sheetView>
  </sheetViews>
  <sheetFormatPr defaultRowHeight="15" x14ac:dyDescent="0.25"/>
  <cols>
    <col min="1" max="1" width="10.7109375" customWidth="1"/>
    <col min="2" max="2" width="16.140625" style="10" bestFit="1" customWidth="1"/>
    <col min="3" max="10" width="10" style="11" customWidth="1"/>
    <col min="11" max="18" width="10" customWidth="1"/>
  </cols>
  <sheetData>
    <row r="3" spans="2:18" x14ac:dyDescent="0.25">
      <c r="B3" s="376"/>
      <c r="C3" s="471" t="s">
        <v>66</v>
      </c>
      <c r="D3" s="463"/>
      <c r="E3" s="463"/>
      <c r="F3" s="463"/>
      <c r="G3" s="463"/>
      <c r="H3" s="463"/>
      <c r="I3" s="463"/>
      <c r="J3" s="464"/>
      <c r="K3" s="460" t="s">
        <v>117</v>
      </c>
      <c r="L3" s="460"/>
      <c r="M3" s="460"/>
      <c r="N3" s="460"/>
      <c r="O3" s="460"/>
      <c r="P3" s="460"/>
      <c r="Q3" s="460"/>
      <c r="R3" s="472"/>
    </row>
    <row r="4" spans="2:18" x14ac:dyDescent="0.25">
      <c r="B4" s="377"/>
      <c r="C4" s="72">
        <v>15</v>
      </c>
      <c r="D4" s="72">
        <v>16</v>
      </c>
      <c r="E4" s="72">
        <v>17</v>
      </c>
      <c r="F4" s="72">
        <v>18</v>
      </c>
      <c r="G4" s="72">
        <v>19</v>
      </c>
      <c r="H4" s="72">
        <v>20</v>
      </c>
      <c r="I4" s="72">
        <v>21</v>
      </c>
      <c r="J4" s="82"/>
      <c r="K4" s="378">
        <v>15</v>
      </c>
      <c r="L4" s="72">
        <v>16</v>
      </c>
      <c r="M4" s="72">
        <v>17</v>
      </c>
      <c r="N4" s="72">
        <v>18</v>
      </c>
      <c r="O4" s="72">
        <v>19</v>
      </c>
      <c r="P4" s="72">
        <v>20</v>
      </c>
      <c r="Q4" s="72">
        <v>21</v>
      </c>
      <c r="R4" s="72"/>
    </row>
    <row r="5" spans="2:18" x14ac:dyDescent="0.25">
      <c r="B5" s="379" t="s">
        <v>54</v>
      </c>
      <c r="C5" s="380" t="s">
        <v>83</v>
      </c>
      <c r="D5" s="380" t="s">
        <v>87</v>
      </c>
      <c r="E5" s="380" t="s">
        <v>84</v>
      </c>
      <c r="F5" s="380" t="s">
        <v>85</v>
      </c>
      <c r="G5" s="380" t="s">
        <v>86</v>
      </c>
      <c r="H5" s="380" t="s">
        <v>88</v>
      </c>
      <c r="I5" s="380" t="s">
        <v>89</v>
      </c>
      <c r="J5" s="382" t="s">
        <v>55</v>
      </c>
      <c r="K5" s="383" t="s">
        <v>83</v>
      </c>
      <c r="L5" s="380" t="s">
        <v>87</v>
      </c>
      <c r="M5" s="380" t="s">
        <v>84</v>
      </c>
      <c r="N5" s="380" t="s">
        <v>85</v>
      </c>
      <c r="O5" s="380" t="s">
        <v>86</v>
      </c>
      <c r="P5" s="380" t="s">
        <v>88</v>
      </c>
      <c r="Q5" s="380" t="s">
        <v>89</v>
      </c>
      <c r="R5" s="380" t="s">
        <v>55</v>
      </c>
    </row>
    <row r="6" spans="2:18" x14ac:dyDescent="0.25">
      <c r="B6" s="384" t="s">
        <v>112</v>
      </c>
      <c r="C6" s="106">
        <f>COUNTIFS(ws[corridor],C$4,ws[gap],"&gt;=40%")</f>
        <v>0</v>
      </c>
      <c r="D6" s="106">
        <f>COUNTIFS(ws[corridor],D$4,ws[gap],"&gt;=40%")</f>
        <v>2</v>
      </c>
      <c r="E6" s="106">
        <f>COUNTIFS(ws[corridor],E$4,ws[gap],"&gt;=40%")</f>
        <v>7</v>
      </c>
      <c r="F6" s="106">
        <f>COUNTIFS(ws[corridor],F$4,ws[gap],"&gt;=40%")</f>
        <v>0</v>
      </c>
      <c r="G6" s="106">
        <f>COUNTIFS(ws[corridor],G$4,ws[gap],"&gt;=40%")</f>
        <v>1</v>
      </c>
      <c r="H6" s="106">
        <f>COUNTIFS(ws[corridor],H$4,ws[gap],"&gt;=40%")</f>
        <v>0</v>
      </c>
      <c r="I6" s="106">
        <f>COUNTIFS(ws[corridor],I$4,ws[gap],"&gt;=40%")</f>
        <v>2</v>
      </c>
      <c r="J6" s="385">
        <f t="shared" ref="J6:J15" si="0">SUM(C6:I6)</f>
        <v>12</v>
      </c>
      <c r="K6" s="386">
        <f t="shared" ref="K6:K15" si="1">C6/C$22</f>
        <v>0</v>
      </c>
      <c r="L6" s="387">
        <f t="shared" ref="L6:L15" si="2">D6/D$22</f>
        <v>7.407407407407407E-2</v>
      </c>
      <c r="M6" s="387">
        <f t="shared" ref="M6:M15" si="3">E6/E$22</f>
        <v>0.3888888888888889</v>
      </c>
      <c r="N6" s="387">
        <f t="shared" ref="N6:N15" si="4">F6/F$22</f>
        <v>0</v>
      </c>
      <c r="O6" s="387">
        <f t="shared" ref="O6:P15" si="5">G6/G$22</f>
        <v>6.6666666666666666E-2</v>
      </c>
      <c r="P6" s="387">
        <f t="shared" si="5"/>
        <v>0</v>
      </c>
      <c r="Q6" s="387">
        <f t="shared" ref="Q6:Q15" si="6">I6/I$22</f>
        <v>0.1</v>
      </c>
      <c r="R6" s="390">
        <f t="shared" ref="R6:R15" si="7">J6/J$22</f>
        <v>7.9470198675496692E-2</v>
      </c>
    </row>
    <row r="7" spans="2:18" x14ac:dyDescent="0.25">
      <c r="B7" s="384" t="s">
        <v>114</v>
      </c>
      <c r="C7" s="106">
        <f>COUNTIFS(ws[corridor],C$4,ws[gap],"&gt;=30%",ws[gap],"&lt;40%")</f>
        <v>0</v>
      </c>
      <c r="D7" s="106">
        <f>COUNTIFS(ws[corridor],D$4,ws[gap],"&gt;=30%",ws[gap],"&lt;40%")</f>
        <v>1</v>
      </c>
      <c r="E7" s="106">
        <f>COUNTIFS(ws[corridor],E$4,ws[gap],"&gt;=30%",ws[gap],"&lt;40%")</f>
        <v>0</v>
      </c>
      <c r="F7" s="106">
        <f>COUNTIFS(ws[corridor],F$4,ws[gap],"&gt;=30%",ws[gap],"&lt;40%")</f>
        <v>0</v>
      </c>
      <c r="G7" s="106">
        <f>COUNTIFS(ws[corridor],G$4,ws[gap],"&gt;=30%",ws[gap],"&lt;40%")</f>
        <v>3</v>
      </c>
      <c r="H7" s="106">
        <f>COUNTIFS(ws[corridor],H$4,ws[gap],"&gt;=30%",ws[gap],"&lt;40%")</f>
        <v>0</v>
      </c>
      <c r="I7" s="106">
        <f>COUNTIFS(ws[corridor],I$4,ws[gap],"&gt;=30%",ws[gap],"&lt;40%")</f>
        <v>0</v>
      </c>
      <c r="J7" s="391">
        <f t="shared" si="0"/>
        <v>4</v>
      </c>
      <c r="K7" s="386">
        <f t="shared" si="1"/>
        <v>0</v>
      </c>
      <c r="L7" s="387">
        <f t="shared" si="2"/>
        <v>3.7037037037037035E-2</v>
      </c>
      <c r="M7" s="387">
        <f t="shared" si="3"/>
        <v>0</v>
      </c>
      <c r="N7" s="387">
        <f t="shared" si="4"/>
        <v>0</v>
      </c>
      <c r="O7" s="387">
        <f t="shared" si="5"/>
        <v>0.2</v>
      </c>
      <c r="P7" s="387">
        <f t="shared" si="5"/>
        <v>0</v>
      </c>
      <c r="Q7" s="387">
        <f t="shared" si="6"/>
        <v>0</v>
      </c>
      <c r="R7" s="387">
        <f t="shared" si="7"/>
        <v>2.6490066225165563E-2</v>
      </c>
    </row>
    <row r="8" spans="2:18" x14ac:dyDescent="0.25">
      <c r="B8" s="392" t="s">
        <v>56</v>
      </c>
      <c r="C8" s="109">
        <f>COUNTIFS(ws[corridor],C$4,ws[gap],"&gt;=20%",ws[gap],"&lt;30%")</f>
        <v>1</v>
      </c>
      <c r="D8" s="109">
        <f>COUNTIFS(ws[corridor],D$4,ws[gap],"&gt;=20%",ws[gap],"&lt;30%")</f>
        <v>6</v>
      </c>
      <c r="E8" s="109">
        <f>COUNTIFS(ws[corridor],E$4,ws[gap],"&gt;=20%",ws[gap],"&lt;30%")</f>
        <v>3</v>
      </c>
      <c r="F8" s="109">
        <f>COUNTIFS(ws[corridor],F$4,ws[gap],"&gt;=20%",ws[gap],"&lt;30%")</f>
        <v>0</v>
      </c>
      <c r="G8" s="109">
        <f>COUNTIFS(ws[corridor],G$4,ws[gap],"&gt;=20%",ws[gap],"&lt;30%")</f>
        <v>5</v>
      </c>
      <c r="H8" s="109">
        <f>COUNTIFS(ws[corridor],H$4,ws[gap],"&gt;=20%",ws[gap],"&lt;30%")</f>
        <v>0</v>
      </c>
      <c r="I8" s="109">
        <f>COUNTIFS(ws[corridor],I$4,ws[gap],"&gt;=20%",ws[gap],"&lt;30%")</f>
        <v>2</v>
      </c>
      <c r="J8" s="393">
        <f t="shared" si="0"/>
        <v>17</v>
      </c>
      <c r="K8" s="394">
        <f t="shared" si="1"/>
        <v>1.9607843137254902E-2</v>
      </c>
      <c r="L8" s="395">
        <f t="shared" si="2"/>
        <v>0.22222222222222221</v>
      </c>
      <c r="M8" s="395">
        <f t="shared" si="3"/>
        <v>0.16666666666666666</v>
      </c>
      <c r="N8" s="395">
        <f t="shared" si="4"/>
        <v>0</v>
      </c>
      <c r="O8" s="395">
        <f t="shared" si="5"/>
        <v>0.33333333333333331</v>
      </c>
      <c r="P8" s="395">
        <f t="shared" si="5"/>
        <v>0</v>
      </c>
      <c r="Q8" s="395">
        <f t="shared" si="6"/>
        <v>0.1</v>
      </c>
      <c r="R8" s="395">
        <f t="shared" si="7"/>
        <v>0.11258278145695365</v>
      </c>
    </row>
    <row r="9" spans="2:18" x14ac:dyDescent="0.25">
      <c r="B9" s="392" t="s">
        <v>57</v>
      </c>
      <c r="C9" s="109">
        <f>COUNTIFS(ws[corridor],C$4,ws[gap],"&gt;=10%",ws[gap],"&lt;20%")</f>
        <v>2</v>
      </c>
      <c r="D9" s="109">
        <f>COUNTIFS(ws[corridor],D$4,ws[gap],"&gt;=10%",ws[gap],"&lt;20%")</f>
        <v>4</v>
      </c>
      <c r="E9" s="109">
        <f>COUNTIFS(ws[corridor],E$4,ws[gap],"&gt;=10%",ws[gap],"&lt;20%")</f>
        <v>2</v>
      </c>
      <c r="F9" s="109">
        <f>COUNTIFS(ws[corridor],F$4,ws[gap],"&gt;=10%",ws[gap],"&lt;20%")</f>
        <v>0</v>
      </c>
      <c r="G9" s="109">
        <f>COUNTIFS(ws[corridor],G$4,ws[gap],"&gt;=10%",ws[gap],"&lt;20%")</f>
        <v>3</v>
      </c>
      <c r="H9" s="109">
        <f>COUNTIFS(ws[corridor],H$4,ws[gap],"&gt;=10%",ws[gap],"&lt;20%")</f>
        <v>1</v>
      </c>
      <c r="I9" s="109">
        <f>COUNTIFS(ws[corridor],I$4,ws[gap],"&gt;=10%",ws[gap],"&lt;20%")</f>
        <v>3</v>
      </c>
      <c r="J9" s="393">
        <f t="shared" si="0"/>
        <v>15</v>
      </c>
      <c r="K9" s="394">
        <f t="shared" si="1"/>
        <v>3.9215686274509803E-2</v>
      </c>
      <c r="L9" s="395">
        <f t="shared" si="2"/>
        <v>0.14814814814814814</v>
      </c>
      <c r="M9" s="395">
        <f t="shared" si="3"/>
        <v>0.1111111111111111</v>
      </c>
      <c r="N9" s="395">
        <f t="shared" si="4"/>
        <v>0</v>
      </c>
      <c r="O9" s="395">
        <f t="shared" si="5"/>
        <v>0.2</v>
      </c>
      <c r="P9" s="395">
        <f t="shared" si="5"/>
        <v>7.6923076923076927E-2</v>
      </c>
      <c r="Q9" s="395">
        <f t="shared" si="6"/>
        <v>0.15</v>
      </c>
      <c r="R9" s="395">
        <f t="shared" si="7"/>
        <v>9.9337748344370855E-2</v>
      </c>
    </row>
    <row r="10" spans="2:18" x14ac:dyDescent="0.25">
      <c r="B10" s="392" t="s">
        <v>58</v>
      </c>
      <c r="C10" s="109">
        <f>COUNTIFS(ws[corridor],C$4,ws[gap],"&gt;=0%",ws[gap],"&lt;10%")</f>
        <v>4</v>
      </c>
      <c r="D10" s="109">
        <f>COUNTIFS(ws[corridor],D$4,ws[gap],"&gt;=0%",ws[gap],"&lt;10%")</f>
        <v>5</v>
      </c>
      <c r="E10" s="109">
        <f>COUNTIFS(ws[corridor],E$4,ws[gap],"&gt;=0%",ws[gap],"&lt;10%")</f>
        <v>4</v>
      </c>
      <c r="F10" s="109">
        <f>COUNTIFS(ws[corridor],F$4,ws[gap],"&gt;=0%",ws[gap],"&lt;10%")</f>
        <v>0</v>
      </c>
      <c r="G10" s="109">
        <f>COUNTIFS(ws[corridor],G$4,ws[gap],"&gt;=0%",ws[gap],"&lt;10%")</f>
        <v>3</v>
      </c>
      <c r="H10" s="109">
        <f>COUNTIFS(ws[corridor],H$4,ws[gap],"&gt;=0%",ws[gap],"&lt;10%")</f>
        <v>1</v>
      </c>
      <c r="I10" s="109">
        <f>COUNTIFS(ws[corridor],I$4,ws[gap],"&gt;=0%",ws[gap],"&lt;10%")</f>
        <v>10</v>
      </c>
      <c r="J10" s="393">
        <f t="shared" si="0"/>
        <v>27</v>
      </c>
      <c r="K10" s="394">
        <f t="shared" si="1"/>
        <v>7.8431372549019607E-2</v>
      </c>
      <c r="L10" s="395">
        <f t="shared" si="2"/>
        <v>0.18518518518518517</v>
      </c>
      <c r="M10" s="395">
        <f t="shared" si="3"/>
        <v>0.22222222222222221</v>
      </c>
      <c r="N10" s="395">
        <f t="shared" si="4"/>
        <v>0</v>
      </c>
      <c r="O10" s="395">
        <f t="shared" si="5"/>
        <v>0.2</v>
      </c>
      <c r="P10" s="395">
        <f t="shared" si="5"/>
        <v>7.6923076923076927E-2</v>
      </c>
      <c r="Q10" s="395">
        <f t="shared" si="6"/>
        <v>0.5</v>
      </c>
      <c r="R10" s="395">
        <f t="shared" si="7"/>
        <v>0.17880794701986755</v>
      </c>
    </row>
    <row r="11" spans="2:18" x14ac:dyDescent="0.25">
      <c r="B11" s="397" t="s">
        <v>59</v>
      </c>
      <c r="C11" s="107">
        <f>COUNTIFS(ws[corridor],C$4,ws[gap],"&gt;=-10%",ws[gap],"&lt;0%")</f>
        <v>18</v>
      </c>
      <c r="D11" s="107">
        <f>COUNTIFS(ws[corridor],D$4,ws[gap],"&gt;=-10%",ws[gap],"&lt;0%")</f>
        <v>9</v>
      </c>
      <c r="E11" s="107">
        <f>COUNTIFS(ws[corridor],E$4,ws[gap],"&gt;=-10%",ws[gap],"&lt;0%")</f>
        <v>1</v>
      </c>
      <c r="F11" s="107">
        <f>COUNTIFS(ws[corridor],F$4,ws[gap],"&gt;=-10%",ws[gap],"&lt;0%")</f>
        <v>0</v>
      </c>
      <c r="G11" s="107">
        <f>COUNTIFS(ws[corridor],G$4,ws[gap],"&gt;=-10%",ws[gap],"&lt;0%")</f>
        <v>0</v>
      </c>
      <c r="H11" s="107">
        <f>COUNTIFS(ws[corridor],H$4,ws[gap],"&gt;=-10%",ws[gap],"&lt;0%")</f>
        <v>5</v>
      </c>
      <c r="I11" s="107">
        <f>COUNTIFS(ws[corridor],I$4,ws[gap],"&gt;=-10%",ws[gap],"&lt;0%")</f>
        <v>3</v>
      </c>
      <c r="J11" s="398">
        <f t="shared" si="0"/>
        <v>36</v>
      </c>
      <c r="K11" s="399">
        <f t="shared" si="1"/>
        <v>0.35294117647058826</v>
      </c>
      <c r="L11" s="400">
        <f t="shared" si="2"/>
        <v>0.33333333333333331</v>
      </c>
      <c r="M11" s="400">
        <f t="shared" si="3"/>
        <v>5.5555555555555552E-2</v>
      </c>
      <c r="N11" s="400">
        <f t="shared" si="4"/>
        <v>0</v>
      </c>
      <c r="O11" s="400">
        <f t="shared" si="5"/>
        <v>0</v>
      </c>
      <c r="P11" s="400">
        <f t="shared" si="5"/>
        <v>0.38461538461538464</v>
      </c>
      <c r="Q11" s="400">
        <f t="shared" si="6"/>
        <v>0.15</v>
      </c>
      <c r="R11" s="400">
        <f t="shared" si="7"/>
        <v>0.23841059602649006</v>
      </c>
    </row>
    <row r="12" spans="2:18" x14ac:dyDescent="0.25">
      <c r="B12" s="402" t="s">
        <v>60</v>
      </c>
      <c r="C12" s="109">
        <f>COUNTIFS(ws[corridor],C$4,ws[gap],"&gt;=-20%",ws[gap],"&lt;-10%")</f>
        <v>17</v>
      </c>
      <c r="D12" s="109">
        <f>COUNTIFS(ws[corridor],D$4,ws[gap],"&gt;=-20%",ws[gap],"&lt;-10%")</f>
        <v>0</v>
      </c>
      <c r="E12" s="109">
        <f>COUNTIFS(ws[corridor],E$4,ws[gap],"&gt;=-20%",ws[gap],"&lt;-10%")</f>
        <v>1</v>
      </c>
      <c r="F12" s="109">
        <f>COUNTIFS(ws[corridor],F$4,ws[gap],"&gt;=-20%",ws[gap],"&lt;-10%")</f>
        <v>2</v>
      </c>
      <c r="G12" s="109">
        <f>COUNTIFS(ws[corridor],G$4,ws[gap],"&gt;=-20%",ws[gap],"&lt;-10%")</f>
        <v>0</v>
      </c>
      <c r="H12" s="109">
        <f>COUNTIFS(ws[corridor],H$4,ws[gap],"&gt;=-20%",ws[gap],"&lt;-10%")</f>
        <v>1</v>
      </c>
      <c r="I12" s="109">
        <f>COUNTIFS(ws[corridor],I$4,ws[gap],"&gt;=-20%",ws[gap],"&lt;-10%")</f>
        <v>0</v>
      </c>
      <c r="J12" s="403">
        <f t="shared" si="0"/>
        <v>21</v>
      </c>
      <c r="K12" s="404">
        <f t="shared" si="1"/>
        <v>0.33333333333333331</v>
      </c>
      <c r="L12" s="405">
        <f t="shared" si="2"/>
        <v>0</v>
      </c>
      <c r="M12" s="405">
        <f t="shared" si="3"/>
        <v>5.5555555555555552E-2</v>
      </c>
      <c r="N12" s="405">
        <f t="shared" si="4"/>
        <v>0.2857142857142857</v>
      </c>
      <c r="O12" s="405">
        <f t="shared" si="5"/>
        <v>0</v>
      </c>
      <c r="P12" s="405">
        <f t="shared" si="5"/>
        <v>7.6923076923076927E-2</v>
      </c>
      <c r="Q12" s="405">
        <f t="shared" si="6"/>
        <v>0</v>
      </c>
      <c r="R12" s="405">
        <f t="shared" si="7"/>
        <v>0.13907284768211919</v>
      </c>
    </row>
    <row r="13" spans="2:18" x14ac:dyDescent="0.25">
      <c r="B13" s="402" t="s">
        <v>61</v>
      </c>
      <c r="C13" s="109">
        <f>COUNTIFS(ws[corridor],C$4,ws[gap],"&gt;=-30%",ws[gap],"&lt;-20%")</f>
        <v>5</v>
      </c>
      <c r="D13" s="109">
        <f>COUNTIFS(ws[corridor],D$4,ws[gap],"&gt;=-30%",ws[gap],"&lt;-20%")</f>
        <v>0</v>
      </c>
      <c r="E13" s="109">
        <f>COUNTIFS(ws[corridor],E$4,ws[gap],"&gt;=-30%",ws[gap],"&lt;-20%")</f>
        <v>0</v>
      </c>
      <c r="F13" s="109">
        <f>COUNTIFS(ws[corridor],F$4,ws[gap],"&gt;=-30%",ws[gap],"&lt;-20%")</f>
        <v>5</v>
      </c>
      <c r="G13" s="109">
        <f>COUNTIFS(ws[corridor],G$4,ws[gap],"&gt;=-30%",ws[gap],"&lt;-20%")</f>
        <v>0</v>
      </c>
      <c r="H13" s="109">
        <f>COUNTIFS(ws[corridor],H$4,ws[gap],"&gt;=-30%",ws[gap],"&lt;-20%")</f>
        <v>1</v>
      </c>
      <c r="I13" s="109">
        <f>COUNTIFS(ws[corridor],I$4,ws[gap],"&gt;=-30%",ws[gap],"&lt;-20%")</f>
        <v>0</v>
      </c>
      <c r="J13" s="403">
        <f t="shared" si="0"/>
        <v>11</v>
      </c>
      <c r="K13" s="404">
        <f t="shared" si="1"/>
        <v>9.8039215686274508E-2</v>
      </c>
      <c r="L13" s="405">
        <f t="shared" si="2"/>
        <v>0</v>
      </c>
      <c r="M13" s="405">
        <f t="shared" si="3"/>
        <v>0</v>
      </c>
      <c r="N13" s="405">
        <f t="shared" si="4"/>
        <v>0.7142857142857143</v>
      </c>
      <c r="O13" s="405">
        <f t="shared" si="5"/>
        <v>0</v>
      </c>
      <c r="P13" s="405">
        <f t="shared" si="5"/>
        <v>7.6923076923076927E-2</v>
      </c>
      <c r="Q13" s="405">
        <f t="shared" si="6"/>
        <v>0</v>
      </c>
      <c r="R13" s="405">
        <f t="shared" si="7"/>
        <v>7.2847682119205295E-2</v>
      </c>
    </row>
    <row r="14" spans="2:18" x14ac:dyDescent="0.25">
      <c r="B14" s="407" t="s">
        <v>115</v>
      </c>
      <c r="C14" s="106">
        <f>COUNTIFS(ws[corridor],C$4,ws[gap],"&gt;=-40%",ws[gap],"&lt;-30%")</f>
        <v>1</v>
      </c>
      <c r="D14" s="106">
        <f>COUNTIFS(ws[corridor],D$4,ws[gap],"&gt;=-40%",ws[gap],"&lt;-30%")</f>
        <v>0</v>
      </c>
      <c r="E14" s="106">
        <f>COUNTIFS(ws[corridor],E$4,ws[gap],"&gt;=-40%",ws[gap],"&lt;-30%")</f>
        <v>0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1</v>
      </c>
      <c r="I14" s="106">
        <f>COUNTIFS(ws[corridor],I$4,ws[gap],"&gt;=-40%",ws[gap],"&lt;-30%")</f>
        <v>0</v>
      </c>
      <c r="J14" s="408">
        <f t="shared" si="0"/>
        <v>2</v>
      </c>
      <c r="K14" s="409">
        <f t="shared" si="1"/>
        <v>1.9607843137254902E-2</v>
      </c>
      <c r="L14" s="410">
        <f t="shared" si="2"/>
        <v>0</v>
      </c>
      <c r="M14" s="410">
        <f t="shared" si="3"/>
        <v>0</v>
      </c>
      <c r="N14" s="410">
        <f t="shared" si="4"/>
        <v>0</v>
      </c>
      <c r="O14" s="410">
        <f t="shared" si="5"/>
        <v>0</v>
      </c>
      <c r="P14" s="410">
        <f t="shared" si="5"/>
        <v>7.6923076923076927E-2</v>
      </c>
      <c r="Q14" s="410">
        <f t="shared" si="6"/>
        <v>0</v>
      </c>
      <c r="R14" s="410">
        <f t="shared" si="7"/>
        <v>1.3245033112582781E-2</v>
      </c>
    </row>
    <row r="15" spans="2:18" x14ac:dyDescent="0.25">
      <c r="B15" s="407" t="s">
        <v>113</v>
      </c>
      <c r="C15" s="106">
        <f>COUNTIFS(ws[corridor],C$4,ws[gap],"&lt;-40%")</f>
        <v>3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3</v>
      </c>
      <c r="I15" s="106">
        <f>COUNTIFS(ws[corridor],I$4,ws[gap],"&lt;-40%")</f>
        <v>0</v>
      </c>
      <c r="J15" s="408">
        <f t="shared" si="0"/>
        <v>6</v>
      </c>
      <c r="K15" s="409">
        <f t="shared" si="1"/>
        <v>5.8823529411764705E-2</v>
      </c>
      <c r="L15" s="410">
        <f t="shared" si="2"/>
        <v>0</v>
      </c>
      <c r="M15" s="410">
        <f t="shared" si="3"/>
        <v>0</v>
      </c>
      <c r="N15" s="410">
        <f t="shared" si="4"/>
        <v>0</v>
      </c>
      <c r="O15" s="410">
        <f t="shared" si="5"/>
        <v>0</v>
      </c>
      <c r="P15" s="410">
        <f t="shared" si="5"/>
        <v>0.23076923076923078</v>
      </c>
      <c r="Q15" s="410">
        <f t="shared" si="6"/>
        <v>0</v>
      </c>
      <c r="R15" s="410">
        <f t="shared" si="7"/>
        <v>3.9735099337748346E-2</v>
      </c>
    </row>
    <row r="16" spans="2:18" x14ac:dyDescent="0.25">
      <c r="B16" s="413" t="s">
        <v>108</v>
      </c>
      <c r="C16" s="319">
        <f t="shared" ref="C16:Q16" si="8">SUM(C10:C11)</f>
        <v>22</v>
      </c>
      <c r="D16" s="319">
        <f t="shared" si="8"/>
        <v>14</v>
      </c>
      <c r="E16" s="319">
        <f t="shared" si="8"/>
        <v>5</v>
      </c>
      <c r="F16" s="319">
        <f t="shared" si="8"/>
        <v>0</v>
      </c>
      <c r="G16" s="319">
        <f t="shared" si="8"/>
        <v>3</v>
      </c>
      <c r="H16" s="319">
        <f t="shared" si="8"/>
        <v>6</v>
      </c>
      <c r="I16" s="319">
        <f t="shared" si="8"/>
        <v>13</v>
      </c>
      <c r="J16" s="320">
        <f t="shared" si="8"/>
        <v>63</v>
      </c>
      <c r="K16" s="414">
        <f>SUM(K10:K11)</f>
        <v>0.43137254901960786</v>
      </c>
      <c r="L16" s="322">
        <f t="shared" si="8"/>
        <v>0.51851851851851849</v>
      </c>
      <c r="M16" s="322">
        <f t="shared" si="8"/>
        <v>0.27777777777777779</v>
      </c>
      <c r="N16" s="322">
        <f t="shared" si="8"/>
        <v>0</v>
      </c>
      <c r="O16" s="322">
        <f t="shared" si="8"/>
        <v>0.2</v>
      </c>
      <c r="P16" s="322">
        <f t="shared" si="8"/>
        <v>0.46153846153846156</v>
      </c>
      <c r="Q16" s="322">
        <f t="shared" si="8"/>
        <v>0.65</v>
      </c>
      <c r="R16" s="322">
        <f>SUM(R10:R11)</f>
        <v>0.41721854304635764</v>
      </c>
    </row>
    <row r="17" spans="1:18" x14ac:dyDescent="0.25">
      <c r="B17" s="415" t="s">
        <v>67</v>
      </c>
      <c r="C17" s="326">
        <f t="shared" ref="C17:Q17" si="9">SUM(C9:C10,C11:C12)</f>
        <v>41</v>
      </c>
      <c r="D17" s="326">
        <f t="shared" si="9"/>
        <v>18</v>
      </c>
      <c r="E17" s="326">
        <f t="shared" si="9"/>
        <v>8</v>
      </c>
      <c r="F17" s="326">
        <f t="shared" si="9"/>
        <v>2</v>
      </c>
      <c r="G17" s="326">
        <f t="shared" si="9"/>
        <v>6</v>
      </c>
      <c r="H17" s="326">
        <f t="shared" si="9"/>
        <v>8</v>
      </c>
      <c r="I17" s="326">
        <f t="shared" si="9"/>
        <v>16</v>
      </c>
      <c r="J17" s="327">
        <f t="shared" si="9"/>
        <v>99</v>
      </c>
      <c r="K17" s="416">
        <f t="shared" si="9"/>
        <v>0.80392156862745101</v>
      </c>
      <c r="L17" s="417">
        <f t="shared" si="9"/>
        <v>0.66666666666666663</v>
      </c>
      <c r="M17" s="417">
        <f t="shared" si="9"/>
        <v>0.44444444444444442</v>
      </c>
      <c r="N17" s="417">
        <f t="shared" si="9"/>
        <v>0.2857142857142857</v>
      </c>
      <c r="O17" s="417">
        <f t="shared" si="9"/>
        <v>0.4</v>
      </c>
      <c r="P17" s="417">
        <f t="shared" ref="P17" si="10">SUM(P9:P10,P11:P12)</f>
        <v>0.61538461538461542</v>
      </c>
      <c r="Q17" s="417">
        <f t="shared" si="9"/>
        <v>0.8</v>
      </c>
      <c r="R17" s="417">
        <f>SUM(R9:R10,R11:R12)</f>
        <v>0.6556291390728477</v>
      </c>
    </row>
    <row r="18" spans="1:18" x14ac:dyDescent="0.25">
      <c r="B18" s="418" t="s">
        <v>109</v>
      </c>
      <c r="C18" s="333">
        <f t="shared" ref="C18:Q18" si="11">SUM(C8:C13)</f>
        <v>47</v>
      </c>
      <c r="D18" s="333">
        <f t="shared" si="11"/>
        <v>24</v>
      </c>
      <c r="E18" s="333">
        <f t="shared" si="11"/>
        <v>11</v>
      </c>
      <c r="F18" s="333">
        <f t="shared" si="11"/>
        <v>7</v>
      </c>
      <c r="G18" s="333">
        <f t="shared" si="11"/>
        <v>11</v>
      </c>
      <c r="H18" s="333">
        <f t="shared" si="11"/>
        <v>9</v>
      </c>
      <c r="I18" s="333">
        <f t="shared" si="11"/>
        <v>18</v>
      </c>
      <c r="J18" s="334">
        <f t="shared" si="11"/>
        <v>127</v>
      </c>
      <c r="K18" s="419">
        <f t="shared" si="11"/>
        <v>0.92156862745098034</v>
      </c>
      <c r="L18" s="420">
        <f t="shared" si="11"/>
        <v>0.88888888888888884</v>
      </c>
      <c r="M18" s="420">
        <f t="shared" si="11"/>
        <v>0.61111111111111116</v>
      </c>
      <c r="N18" s="420">
        <f t="shared" si="11"/>
        <v>1</v>
      </c>
      <c r="O18" s="420">
        <f t="shared" si="11"/>
        <v>0.73333333333333339</v>
      </c>
      <c r="P18" s="420">
        <f t="shared" ref="P18" si="12">SUM(P8:P13)</f>
        <v>0.69230769230769229</v>
      </c>
      <c r="Q18" s="420">
        <f t="shared" si="11"/>
        <v>0.9</v>
      </c>
      <c r="R18" s="420">
        <f>SUM(R8:R13)</f>
        <v>0.84105960264900659</v>
      </c>
    </row>
    <row r="19" spans="1:18" x14ac:dyDescent="0.25">
      <c r="B19" s="421"/>
      <c r="C19" s="475" t="s">
        <v>137</v>
      </c>
      <c r="D19" s="474"/>
      <c r="E19" s="474"/>
      <c r="F19" s="474"/>
      <c r="G19" s="474"/>
      <c r="H19" s="474"/>
      <c r="I19" s="474"/>
      <c r="J19" s="477"/>
      <c r="K19" s="473" t="s">
        <v>138</v>
      </c>
      <c r="L19" s="474"/>
      <c r="M19" s="474"/>
      <c r="N19" s="474"/>
      <c r="O19" s="474"/>
      <c r="P19" s="474"/>
      <c r="Q19" s="474"/>
      <c r="R19" s="474"/>
    </row>
    <row r="20" spans="1:18" s="5" customFormat="1" x14ac:dyDescent="0.25">
      <c r="B20" s="422" t="s">
        <v>139</v>
      </c>
      <c r="C20" s="78">
        <f t="shared" ref="C20:Q20" si="13">SUM(C6:C10)</f>
        <v>7</v>
      </c>
      <c r="D20" s="78">
        <f t="shared" si="13"/>
        <v>18</v>
      </c>
      <c r="E20" s="78">
        <f t="shared" si="13"/>
        <v>16</v>
      </c>
      <c r="F20" s="78">
        <f t="shared" si="13"/>
        <v>0</v>
      </c>
      <c r="G20" s="78">
        <f t="shared" si="13"/>
        <v>15</v>
      </c>
      <c r="H20" s="78">
        <f t="shared" si="13"/>
        <v>2</v>
      </c>
      <c r="I20" s="78">
        <f t="shared" si="13"/>
        <v>17</v>
      </c>
      <c r="J20" s="83">
        <f t="shared" si="13"/>
        <v>75</v>
      </c>
      <c r="K20" s="423">
        <f>SUM(K6:K10)</f>
        <v>0.13725490196078433</v>
      </c>
      <c r="L20" s="424">
        <f t="shared" si="13"/>
        <v>0.66666666666666663</v>
      </c>
      <c r="M20" s="424">
        <f t="shared" si="13"/>
        <v>0.88888888888888895</v>
      </c>
      <c r="N20" s="424">
        <f t="shared" si="13"/>
        <v>0</v>
      </c>
      <c r="O20" s="424">
        <f t="shared" si="13"/>
        <v>1</v>
      </c>
      <c r="P20" s="424">
        <f t="shared" si="13"/>
        <v>0.15384615384615385</v>
      </c>
      <c r="Q20" s="424">
        <f t="shared" si="13"/>
        <v>0.85</v>
      </c>
      <c r="R20" s="424">
        <f>SUM(R6:R10)</f>
        <v>0.49668874172185429</v>
      </c>
    </row>
    <row r="21" spans="1:18" s="80" customFormat="1" x14ac:dyDescent="0.25">
      <c r="B21" s="425" t="s">
        <v>140</v>
      </c>
      <c r="C21" s="79">
        <f t="shared" ref="C21:Q21" si="14">SUM(C11:C15)</f>
        <v>44</v>
      </c>
      <c r="D21" s="79">
        <f t="shared" si="14"/>
        <v>9</v>
      </c>
      <c r="E21" s="79">
        <f t="shared" si="14"/>
        <v>2</v>
      </c>
      <c r="F21" s="79">
        <f t="shared" si="14"/>
        <v>7</v>
      </c>
      <c r="G21" s="79">
        <f t="shared" si="14"/>
        <v>0</v>
      </c>
      <c r="H21" s="79">
        <f t="shared" si="14"/>
        <v>11</v>
      </c>
      <c r="I21" s="79">
        <f t="shared" si="14"/>
        <v>3</v>
      </c>
      <c r="J21" s="84">
        <f t="shared" si="14"/>
        <v>76</v>
      </c>
      <c r="K21" s="426">
        <f>SUM(K11:K15)</f>
        <v>0.86274509803921573</v>
      </c>
      <c r="L21" s="427">
        <f t="shared" si="14"/>
        <v>0.33333333333333331</v>
      </c>
      <c r="M21" s="427">
        <f t="shared" si="14"/>
        <v>0.1111111111111111</v>
      </c>
      <c r="N21" s="427">
        <f t="shared" si="14"/>
        <v>1</v>
      </c>
      <c r="O21" s="427">
        <f t="shared" si="14"/>
        <v>0</v>
      </c>
      <c r="P21" s="427">
        <f t="shared" si="14"/>
        <v>0.84615384615384626</v>
      </c>
      <c r="Q21" s="427">
        <f t="shared" si="14"/>
        <v>0.15</v>
      </c>
      <c r="R21" s="427">
        <f>SUM(R11:R15)</f>
        <v>0.50331125827814571</v>
      </c>
    </row>
    <row r="22" spans="1:18" x14ac:dyDescent="0.25">
      <c r="B22" s="428" t="s">
        <v>52</v>
      </c>
      <c r="C22" s="429">
        <f>C20+C21</f>
        <v>51</v>
      </c>
      <c r="D22" s="429">
        <f t="shared" ref="D22:R22" si="15">D20+D21</f>
        <v>27</v>
      </c>
      <c r="E22" s="429">
        <f t="shared" si="15"/>
        <v>18</v>
      </c>
      <c r="F22" s="429">
        <f t="shared" si="15"/>
        <v>7</v>
      </c>
      <c r="G22" s="429">
        <f t="shared" si="15"/>
        <v>15</v>
      </c>
      <c r="H22" s="429">
        <f t="shared" si="15"/>
        <v>13</v>
      </c>
      <c r="I22" s="429">
        <f t="shared" si="15"/>
        <v>20</v>
      </c>
      <c r="J22" s="431">
        <f>J20+J21</f>
        <v>151</v>
      </c>
      <c r="K22" s="446">
        <f t="shared" si="15"/>
        <v>1</v>
      </c>
      <c r="L22" s="447">
        <f t="shared" si="15"/>
        <v>1</v>
      </c>
      <c r="M22" s="447">
        <f t="shared" si="15"/>
        <v>1</v>
      </c>
      <c r="N22" s="447">
        <f t="shared" si="15"/>
        <v>1</v>
      </c>
      <c r="O22" s="447">
        <f t="shared" si="15"/>
        <v>1</v>
      </c>
      <c r="P22" s="447">
        <f t="shared" si="15"/>
        <v>1</v>
      </c>
      <c r="Q22" s="447">
        <f t="shared" si="15"/>
        <v>1</v>
      </c>
      <c r="R22" s="447">
        <f t="shared" si="15"/>
        <v>1</v>
      </c>
    </row>
    <row r="23" spans="1:18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80"/>
      <c r="K23" s="126"/>
      <c r="L23" s="126"/>
      <c r="M23" s="126"/>
      <c r="N23" s="126"/>
      <c r="O23" s="126"/>
      <c r="P23" s="126"/>
      <c r="Q23" s="126"/>
      <c r="R23" s="126"/>
    </row>
    <row r="24" spans="1:18" x14ac:dyDescent="0.25">
      <c r="B24" s="422" t="s">
        <v>99</v>
      </c>
      <c r="C24" s="111">
        <f>IFERROR(AVERAGEIFS(ws[gap],ws[corridor],C$4,ws[gap],"&gt;=0%"),"")</f>
        <v>9.8852752779413633E-2</v>
      </c>
      <c r="D24" s="111">
        <f>IFERROR(AVERAGEIFS(ws[gap],ws[corridor],D$4,ws[gap],"&gt;=0%"),"")</f>
        <v>0.21357838860906211</v>
      </c>
      <c r="E24" s="111">
        <f>IFERROR(AVERAGEIFS(ws[gap],ws[corridor],E$4,ws[gap],"&gt;=0%"),"")</f>
        <v>0.37813716816699799</v>
      </c>
      <c r="F24" s="111" t="str">
        <f>IFERROR(AVERAGEIFS(ws[gap],ws[corridor],F$4,ws[gap],"&gt;=0%"),"")</f>
        <v/>
      </c>
      <c r="G24" s="111">
        <f>IFERROR(AVERAGEIFS(ws[gap],ws[corridor],G$4,ws[gap],"&gt;=0%"),"")</f>
        <v>0.2324820576559139</v>
      </c>
      <c r="H24" s="111">
        <f>IFERROR(AVERAGEIFS(ws[gap],ws[corridor],H$4,ws[gap],"&gt;=0%"),"")</f>
        <v>6.201903249880758E-2</v>
      </c>
      <c r="I24" s="111">
        <f>IFERROR(AVERAGEIFS(ws[gap],ws[corridor],I$4,ws[gap],"&gt;=0%"),"")</f>
        <v>0.1547216580886315</v>
      </c>
      <c r="J24" s="102">
        <f>AVERAGEIFS(ws[gap],ws[gap],"&gt;=0%",ws[dir],"3")</f>
        <v>0.22437482763245378</v>
      </c>
      <c r="K24" s="126"/>
      <c r="L24" s="126"/>
      <c r="M24" s="126"/>
      <c r="N24" s="126"/>
      <c r="O24" s="126"/>
      <c r="P24" s="126"/>
      <c r="Q24" s="126"/>
      <c r="R24" s="126"/>
    </row>
    <row r="25" spans="1:18" s="80" customFormat="1" x14ac:dyDescent="0.25">
      <c r="B25" s="435" t="s">
        <v>100</v>
      </c>
      <c r="C25" s="110">
        <f>IFERROR(AVERAGEIFS(ws[gap],ws[corridor],C$4,ws[gap],"&lt;0%"),"")</f>
        <v>-0.13569744222987384</v>
      </c>
      <c r="D25" s="110">
        <f>IFERROR(AVERAGEIFS(ws[gap],ws[corridor],D$4,ws[gap],"&lt;0%"),"")</f>
        <v>-5.1273988545019585E-2</v>
      </c>
      <c r="E25" s="110">
        <f>IFERROR(AVERAGEIFS(ws[gap],ws[corridor],E$4,ws[gap],"&lt;0%"),"")</f>
        <v>-7.0926118911235347E-2</v>
      </c>
      <c r="F25" s="110">
        <f>IFERROR(AVERAGEIFS(ws[gap],ws[corridor],F$4,ws[gap],"&lt;0%"),"")</f>
        <v>-0.19755352265290047</v>
      </c>
      <c r="G25" s="110" t="str">
        <f>IFERROR(AVERAGEIFS(ws[gap],ws[corridor],G$4,ws[gap],"&lt;0%"),"")</f>
        <v/>
      </c>
      <c r="H25" s="110">
        <f>IFERROR(AVERAGEIFS(ws[gap],ws[corridor],H$4,ws[gap],"&lt;0%"),"")</f>
        <v>-0.21139133491197407</v>
      </c>
      <c r="I25" s="110">
        <f>IFERROR(AVERAGEIFS(ws[gap],ws[corridor],I$4,ws[gap],"&lt;0%"),"")</f>
        <v>-1.5132112295452416E-2</v>
      </c>
      <c r="J25" s="101">
        <f>AVERAGEIFS(ws[gap],ws[gap],"&lt;0%",ws[dir],"3")</f>
        <v>-0.13588922726750619</v>
      </c>
    </row>
    <row r="26" spans="1:18" ht="15.75" thickBot="1" x14ac:dyDescent="0.3">
      <c r="B26" s="449" t="s">
        <v>98</v>
      </c>
      <c r="C26" s="114">
        <f>AVERAGEIFS(ws[gap],ws[corridor],C$4)</f>
        <v>-0.10350427820899125</v>
      </c>
      <c r="D26" s="114">
        <f>AVERAGEIFS(ws[gap],ws[corridor],D$4)</f>
        <v>0.12529426289103487</v>
      </c>
      <c r="E26" s="114">
        <f>AVERAGEIFS(ws[gap],ws[corridor],E$4)</f>
        <v>0.32824124738052762</v>
      </c>
      <c r="F26" s="114">
        <f>AVERAGEIFS(ws[gap],ws[corridor],F$4)</f>
        <v>-0.19755352265290047</v>
      </c>
      <c r="G26" s="114">
        <f>AVERAGEIFS(ws[gap],ws[corridor],G$4)</f>
        <v>0.2324820576559139</v>
      </c>
      <c r="H26" s="114">
        <f>AVERAGEIFS(ws[gap],ws[corridor],H$4)</f>
        <v>-0.16932820146416153</v>
      </c>
      <c r="I26" s="114">
        <f>AVERAGEIFS(ws[gap],ws[corridor],I$4)</f>
        <v>0.12924359253101891</v>
      </c>
      <c r="J26" s="103">
        <f>AVERAGEIFS(ws[gap], ws[dir],"3")</f>
        <v>4.3049872848367983E-2</v>
      </c>
      <c r="K26" s="126"/>
      <c r="L26" s="126"/>
      <c r="M26" s="126"/>
      <c r="N26" s="126"/>
      <c r="O26" s="126"/>
      <c r="P26" s="126"/>
      <c r="Q26" s="126"/>
      <c r="R26" s="126"/>
    </row>
    <row r="27" spans="1:18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70"/>
      <c r="K27" s="126"/>
      <c r="L27" s="126"/>
      <c r="M27" s="126"/>
      <c r="N27" s="126"/>
      <c r="O27" s="126"/>
      <c r="P27" s="126"/>
      <c r="Q27" s="126"/>
      <c r="R27" s="126"/>
    </row>
    <row r="28" spans="1:18" ht="15.75" thickBot="1" x14ac:dyDescent="0.3">
      <c r="B28" s="437" t="s">
        <v>107</v>
      </c>
      <c r="C28" s="108">
        <f>SQRT(AVERAGEIF(ws[corridor],C4,ws[x2]))/AVERAGEIF(ws[corridor],C4,ws[count])</f>
        <v>0.13014834790995056</v>
      </c>
      <c r="D28" s="108">
        <f>SQRT(AVERAGEIF(ws[corridor],D4,ws[x2]))/AVERAGEIF(ws[corridor],D4,ws[count])</f>
        <v>0.20649824695655783</v>
      </c>
      <c r="E28" s="108">
        <f>SQRT(AVERAGEIF(ws[corridor],E4,ws[x2]))/AVERAGEIF(ws[corridor],E4,ws[count])</f>
        <v>0.39875326575387671</v>
      </c>
      <c r="F28" s="108">
        <f>SQRT(AVERAGEIF(ws[corridor],F4,ws[x2]))/AVERAGEIF(ws[corridor],F4,ws[count])</f>
        <v>0.20811361328781994</v>
      </c>
      <c r="G28" s="108">
        <f>SQRT(AVERAGEIF(ws[corridor],G4,ws[x2]))/AVERAGEIF(ws[corridor],G4,ws[count])</f>
        <v>0.23675216967978105</v>
      </c>
      <c r="H28" s="108">
        <f>SQRT(AVERAGEIF(ws[corridor],H4,ws[x2]))/AVERAGEIF(ws[corridor],H4,ws[count])</f>
        <v>0.20563746251544662</v>
      </c>
      <c r="I28" s="105">
        <f>SQRT(AVERAGEIF(ws[corridor],I4,ws[x2]))/AVERAGEIF(ws[corridor],I4,ws[count])</f>
        <v>0.15073338725427488</v>
      </c>
      <c r="J28" s="104">
        <f>SQRT(AVERAGEIF(ws[dir],3,ws[x2]))/AVERAGEIF(ws[dir],3,ws[count])</f>
        <v>0.19190050163888478</v>
      </c>
      <c r="K28" s="126"/>
      <c r="L28" s="126"/>
      <c r="M28" s="126"/>
      <c r="N28" s="126"/>
      <c r="O28" s="126"/>
      <c r="P28" s="126"/>
      <c r="Q28" s="126"/>
      <c r="R28" s="126"/>
    </row>
    <row r="29" spans="1:18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8"/>
      <c r="K29" s="126"/>
      <c r="L29" s="126"/>
      <c r="M29" s="126"/>
      <c r="N29" s="126"/>
      <c r="O29" s="126"/>
      <c r="P29" s="126"/>
      <c r="Q29" s="126"/>
      <c r="R29" s="126"/>
    </row>
    <row r="30" spans="1:18" ht="15.75" thickBot="1" x14ac:dyDescent="0.3">
      <c r="B30" s="438" t="s">
        <v>111</v>
      </c>
      <c r="C30" s="275">
        <f>B51</f>
        <v>0.94399894041670573</v>
      </c>
      <c r="D30" s="275">
        <f>B52</f>
        <v>1.1239741120154225</v>
      </c>
      <c r="E30" s="275">
        <f>B53</f>
        <v>1.2719362245776424</v>
      </c>
      <c r="F30" s="275">
        <f>B54</f>
        <v>0.79744441402302702</v>
      </c>
      <c r="G30" s="275">
        <f>B55</f>
        <v>1.201979813310633</v>
      </c>
      <c r="H30" s="275">
        <f>B56</f>
        <v>0.88161437810851795</v>
      </c>
      <c r="I30" s="275">
        <f>B57</f>
        <v>1.0891963512017198</v>
      </c>
      <c r="J30" s="276">
        <f>sum_all!E29</f>
        <v>1.0120161845561226</v>
      </c>
      <c r="K30" s="126"/>
      <c r="L30" s="126"/>
      <c r="M30" s="126"/>
      <c r="N30" s="126"/>
      <c r="O30" s="126"/>
      <c r="P30" s="126"/>
      <c r="Q30" s="126"/>
      <c r="R30" s="126"/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15</v>
      </c>
      <c r="B51" s="10" cm="1">
        <f t="array" ref="B51:C51">LINEST((ws[corridor]=C4)*(ws[flow]),(ws[corridor]=C4)*(ws[count]),FALSE)</f>
        <v>0.94399894041670573</v>
      </c>
      <c r="C51" s="136">
        <v>0</v>
      </c>
    </row>
    <row r="52" spans="1:3" x14ac:dyDescent="0.25">
      <c r="A52" s="274">
        <v>16</v>
      </c>
      <c r="B52" s="10" cm="1">
        <f t="array" ref="B52:C52">LINEST((ws[corridor]=D4)*(ws[flow]),(ws[corridor]=D4)*(ws[count]),FALSE)</f>
        <v>1.1239741120154225</v>
      </c>
      <c r="C52" s="136">
        <v>0</v>
      </c>
    </row>
    <row r="53" spans="1:3" x14ac:dyDescent="0.25">
      <c r="A53" s="11">
        <v>17</v>
      </c>
      <c r="B53" s="10" cm="1">
        <f t="array" ref="B53:C53">LINEST((ws[corridor]=E4)*(ws[flow]),(ws[corridor]=E4)*(ws[count]),FALSE)</f>
        <v>1.2719362245776424</v>
      </c>
      <c r="C53" s="136">
        <v>0</v>
      </c>
    </row>
    <row r="54" spans="1:3" x14ac:dyDescent="0.25">
      <c r="A54" s="11">
        <v>18</v>
      </c>
      <c r="B54" s="10" cm="1">
        <f t="array" ref="B54:C54">LINEST((ws[corridor]=F4)*(ws[flow]),(ws[corridor]=F4)*(ws[count]),FALSE)</f>
        <v>0.79744441402302702</v>
      </c>
      <c r="C54" s="136">
        <v>0</v>
      </c>
    </row>
    <row r="55" spans="1:3" x14ac:dyDescent="0.25">
      <c r="A55" s="11">
        <v>19</v>
      </c>
      <c r="B55" s="10" cm="1">
        <f t="array" ref="B55:C55">LINEST((ws[corridor]=G4)*(ws[flow]),(ws[corridor]=G4)*(ws[count]),FALSE)</f>
        <v>1.201979813310633</v>
      </c>
      <c r="C55" s="11">
        <v>0</v>
      </c>
    </row>
    <row r="56" spans="1:3" x14ac:dyDescent="0.25">
      <c r="A56" s="11">
        <v>20</v>
      </c>
      <c r="B56" s="10" cm="1">
        <f t="array" ref="B56:C56">LINEST((ws[corridor]=H4)*(ws[flow]),(ws[corridor]=H4)*(ws[count]),FALSE)</f>
        <v>0.88161437810851795</v>
      </c>
      <c r="C56" s="11">
        <v>0</v>
      </c>
    </row>
    <row r="57" spans="1:3" x14ac:dyDescent="0.25">
      <c r="A57" s="11">
        <v>21</v>
      </c>
      <c r="B57" s="10" cm="1">
        <f t="array" ref="B57:C57">LINEST((ws[corridor]=I4)*(ws[flow]),(ws[corridor]=I4)*(ws[count]),FALSE)</f>
        <v>1.0891963512017198</v>
      </c>
      <c r="C57" s="11">
        <v>0</v>
      </c>
    </row>
    <row r="58" spans="1:3" x14ac:dyDescent="0.25">
      <c r="A58" s="11"/>
    </row>
    <row r="59" spans="1:3" x14ac:dyDescent="0.25">
      <c r="A59" s="11"/>
    </row>
    <row r="60" spans="1:3" x14ac:dyDescent="0.25">
      <c r="A60" s="11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6" tint="0.39997558519241921"/>
    <pageSetUpPr fitToPage="1"/>
  </sheetPr>
  <dimension ref="A3:R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J25" sqref="J25"/>
    </sheetView>
  </sheetViews>
  <sheetFormatPr defaultRowHeight="15" x14ac:dyDescent="0.25"/>
  <cols>
    <col min="1" max="1" width="10.7109375" customWidth="1"/>
    <col min="2" max="2" width="16.140625" style="10" bestFit="1" customWidth="1"/>
    <col min="3" max="10" width="10" style="11" customWidth="1"/>
    <col min="11" max="18" width="10" customWidth="1"/>
  </cols>
  <sheetData>
    <row r="3" spans="2:18" x14ac:dyDescent="0.25">
      <c r="B3" s="376"/>
      <c r="C3" s="471" t="s">
        <v>66</v>
      </c>
      <c r="D3" s="463"/>
      <c r="E3" s="463"/>
      <c r="F3" s="463"/>
      <c r="G3" s="463"/>
      <c r="H3" s="463"/>
      <c r="I3" s="463"/>
      <c r="J3" s="464"/>
      <c r="K3" s="460" t="s">
        <v>117</v>
      </c>
      <c r="L3" s="460"/>
      <c r="M3" s="460"/>
      <c r="N3" s="460"/>
      <c r="O3" s="460"/>
      <c r="P3" s="460"/>
      <c r="Q3" s="460"/>
      <c r="R3" s="472"/>
    </row>
    <row r="4" spans="2:18" x14ac:dyDescent="0.25">
      <c r="B4" s="377"/>
      <c r="C4" s="72">
        <v>22</v>
      </c>
      <c r="D4" s="72">
        <v>23</v>
      </c>
      <c r="E4" s="72">
        <v>24</v>
      </c>
      <c r="F4" s="72">
        <v>25</v>
      </c>
      <c r="G4" s="72">
        <v>26</v>
      </c>
      <c r="H4" s="72">
        <v>27</v>
      </c>
      <c r="I4" s="72">
        <v>28</v>
      </c>
      <c r="J4" s="82"/>
      <c r="K4" s="378">
        <v>22</v>
      </c>
      <c r="L4" s="72">
        <v>23</v>
      </c>
      <c r="M4" s="72">
        <v>24</v>
      </c>
      <c r="N4" s="72">
        <v>25</v>
      </c>
      <c r="O4" s="72">
        <v>26</v>
      </c>
      <c r="P4" s="72">
        <v>27</v>
      </c>
      <c r="Q4" s="72">
        <v>28</v>
      </c>
      <c r="R4" s="72"/>
    </row>
    <row r="5" spans="2:18" x14ac:dyDescent="0.25">
      <c r="B5" s="379" t="s">
        <v>54</v>
      </c>
      <c r="C5" s="380" t="s">
        <v>90</v>
      </c>
      <c r="D5" s="380" t="s">
        <v>94</v>
      </c>
      <c r="E5" s="380" t="s">
        <v>91</v>
      </c>
      <c r="F5" s="380" t="s">
        <v>92</v>
      </c>
      <c r="G5" s="380" t="s">
        <v>93</v>
      </c>
      <c r="H5" s="380" t="s">
        <v>95</v>
      </c>
      <c r="I5" s="380" t="s">
        <v>96</v>
      </c>
      <c r="J5" s="382" t="s">
        <v>55</v>
      </c>
      <c r="K5" s="383" t="s">
        <v>90</v>
      </c>
      <c r="L5" s="380" t="s">
        <v>94</v>
      </c>
      <c r="M5" s="380" t="s">
        <v>91</v>
      </c>
      <c r="N5" s="380" t="s">
        <v>92</v>
      </c>
      <c r="O5" s="380" t="s">
        <v>93</v>
      </c>
      <c r="P5" s="380" t="s">
        <v>95</v>
      </c>
      <c r="Q5" s="380" t="s">
        <v>96</v>
      </c>
      <c r="R5" s="380" t="s">
        <v>55</v>
      </c>
    </row>
    <row r="6" spans="2:18" x14ac:dyDescent="0.25">
      <c r="B6" s="384" t="s">
        <v>112</v>
      </c>
      <c r="C6" s="106">
        <f>COUNTIFS(ws[corridor],C$4,ws[gap],"&gt;=40%")</f>
        <v>1</v>
      </c>
      <c r="D6" s="106">
        <f>COUNTIFS(ws[corridor],D$4,ws[gap],"&gt;=40%")</f>
        <v>1</v>
      </c>
      <c r="E6" s="106">
        <f>COUNTIFS(ws[corridor],E$4,ws[gap],"&gt;=40%")</f>
        <v>1</v>
      </c>
      <c r="F6" s="106">
        <f>COUNTIFS(ws[corridor],F$4,ws[gap],"&gt;=40%")</f>
        <v>0</v>
      </c>
      <c r="G6" s="106">
        <f>COUNTIFS(ws[corridor],G$4,ws[gap],"&gt;=40%")</f>
        <v>0</v>
      </c>
      <c r="H6" s="106">
        <f>COUNTIFS(ws[corridor],H$4,ws[gap],"&gt;=40%")</f>
        <v>2</v>
      </c>
      <c r="I6" s="106">
        <f>COUNTIFS(ws[corridor],I$4,ws[gap],"&gt;=40%")</f>
        <v>0</v>
      </c>
      <c r="J6" s="385">
        <f t="shared" ref="J6:J15" si="0">SUM(C6:I6)</f>
        <v>5</v>
      </c>
      <c r="K6" s="386">
        <f t="shared" ref="K6:K15" si="1">C6/C$22</f>
        <v>2.5000000000000001E-2</v>
      </c>
      <c r="L6" s="387">
        <f t="shared" ref="L6:L15" si="2">D6/D$22</f>
        <v>4.3478260869565216E-2</v>
      </c>
      <c r="M6" s="387">
        <f t="shared" ref="M6:M15" si="3">E6/E$22</f>
        <v>6.25E-2</v>
      </c>
      <c r="N6" s="387">
        <f t="shared" ref="N6:N15" si="4">F6/F$22</f>
        <v>0</v>
      </c>
      <c r="O6" s="387">
        <f t="shared" ref="O6:P15" si="5">G6/G$22</f>
        <v>0</v>
      </c>
      <c r="P6" s="387">
        <f t="shared" si="5"/>
        <v>0.33333333333333331</v>
      </c>
      <c r="Q6" s="387">
        <f t="shared" ref="Q6:Q15" si="6">I6/I$22</f>
        <v>0</v>
      </c>
      <c r="R6" s="390">
        <f t="shared" ref="R6:R15" si="7">J6/J$22</f>
        <v>4.065040650406504E-2</v>
      </c>
    </row>
    <row r="7" spans="2:18" x14ac:dyDescent="0.25">
      <c r="B7" s="384" t="s">
        <v>114</v>
      </c>
      <c r="C7" s="106">
        <f>COUNTIFS(ws[corridor],C$4,ws[gap],"&gt;=30%",ws[gap],"&lt;40%")</f>
        <v>1</v>
      </c>
      <c r="D7" s="106">
        <f>COUNTIFS(ws[corridor],D$4,ws[gap],"&gt;=30%",ws[gap],"&lt;40%")</f>
        <v>2</v>
      </c>
      <c r="E7" s="106">
        <f>COUNTIFS(ws[corridor],E$4,ws[gap],"&gt;=30%",ws[gap],"&lt;40%")</f>
        <v>1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2</v>
      </c>
      <c r="I7" s="106">
        <f>COUNTIFS(ws[corridor],I$4,ws[gap],"&gt;=30%",ws[gap],"&lt;40%")</f>
        <v>0</v>
      </c>
      <c r="J7" s="391">
        <f t="shared" si="0"/>
        <v>6</v>
      </c>
      <c r="K7" s="386">
        <f t="shared" si="1"/>
        <v>2.5000000000000001E-2</v>
      </c>
      <c r="L7" s="387">
        <f t="shared" si="2"/>
        <v>8.6956521739130432E-2</v>
      </c>
      <c r="M7" s="387">
        <f t="shared" si="3"/>
        <v>6.25E-2</v>
      </c>
      <c r="N7" s="387">
        <f t="shared" si="4"/>
        <v>0</v>
      </c>
      <c r="O7" s="387">
        <f t="shared" si="5"/>
        <v>0</v>
      </c>
      <c r="P7" s="387">
        <f t="shared" si="5"/>
        <v>0.33333333333333331</v>
      </c>
      <c r="Q7" s="387">
        <f t="shared" si="6"/>
        <v>0</v>
      </c>
      <c r="R7" s="387">
        <f t="shared" si="7"/>
        <v>4.878048780487805E-2</v>
      </c>
    </row>
    <row r="8" spans="2:18" x14ac:dyDescent="0.25">
      <c r="B8" s="392" t="s">
        <v>56</v>
      </c>
      <c r="C8" s="109">
        <f>COUNTIFS(ws[corridor],C$4,ws[gap],"&gt;=20%",ws[gap],"&lt;30%")</f>
        <v>2</v>
      </c>
      <c r="D8" s="109">
        <f>COUNTIFS(ws[corridor],D$4,ws[gap],"&gt;=20%",ws[gap],"&lt;30%")</f>
        <v>5</v>
      </c>
      <c r="E8" s="109">
        <f>COUNTIFS(ws[corridor],E$4,ws[gap],"&gt;=20%",ws[gap],"&lt;30%")</f>
        <v>4</v>
      </c>
      <c r="F8" s="109">
        <f>COUNTIFS(ws[corridor],F$4,ws[gap],"&gt;=20%",ws[gap],"&lt;30%")</f>
        <v>0</v>
      </c>
      <c r="G8" s="109">
        <f>COUNTIFS(ws[corridor],G$4,ws[gap],"&gt;=20%",ws[gap],"&lt;30%")</f>
        <v>1</v>
      </c>
      <c r="H8" s="109">
        <f>COUNTIFS(ws[corridor],H$4,ws[gap],"&gt;=20%",ws[gap],"&lt;30%")</f>
        <v>0</v>
      </c>
      <c r="I8" s="109">
        <f>COUNTIFS(ws[corridor],I$4,ws[gap],"&gt;=20%",ws[gap],"&lt;30%")</f>
        <v>1</v>
      </c>
      <c r="J8" s="393">
        <f t="shared" si="0"/>
        <v>13</v>
      </c>
      <c r="K8" s="394">
        <f t="shared" si="1"/>
        <v>0.05</v>
      </c>
      <c r="L8" s="395">
        <f t="shared" si="2"/>
        <v>0.21739130434782608</v>
      </c>
      <c r="M8" s="395">
        <f t="shared" si="3"/>
        <v>0.25</v>
      </c>
      <c r="N8" s="395">
        <f t="shared" si="4"/>
        <v>0</v>
      </c>
      <c r="O8" s="395">
        <f t="shared" si="5"/>
        <v>7.6923076923076927E-2</v>
      </c>
      <c r="P8" s="395">
        <f t="shared" si="5"/>
        <v>0</v>
      </c>
      <c r="Q8" s="395">
        <f t="shared" si="6"/>
        <v>5.8823529411764705E-2</v>
      </c>
      <c r="R8" s="395">
        <f t="shared" si="7"/>
        <v>0.10569105691056911</v>
      </c>
    </row>
    <row r="9" spans="2:18" x14ac:dyDescent="0.25">
      <c r="B9" s="392" t="s">
        <v>57</v>
      </c>
      <c r="C9" s="109">
        <f>COUNTIFS(ws[corridor],C$4,ws[gap],"&gt;=10%",ws[gap],"&lt;20%")</f>
        <v>11</v>
      </c>
      <c r="D9" s="109">
        <f>COUNTIFS(ws[corridor],D$4,ws[gap],"&gt;=10%",ws[gap],"&lt;20%")</f>
        <v>2</v>
      </c>
      <c r="E9" s="109">
        <f>COUNTIFS(ws[corridor],E$4,ws[gap],"&gt;=10%",ws[gap],"&lt;20%")</f>
        <v>6</v>
      </c>
      <c r="F9" s="109">
        <f>COUNTIFS(ws[corridor],F$4,ws[gap],"&gt;=10%",ws[gap],"&lt;20%")</f>
        <v>0</v>
      </c>
      <c r="G9" s="109">
        <f>COUNTIFS(ws[corridor],G$4,ws[gap],"&gt;=10%",ws[gap],"&lt;20%")</f>
        <v>1</v>
      </c>
      <c r="H9" s="109">
        <f>COUNTIFS(ws[corridor],H$4,ws[gap],"&gt;=10%",ws[gap],"&lt;20%")</f>
        <v>1</v>
      </c>
      <c r="I9" s="109">
        <f>COUNTIFS(ws[corridor],I$4,ws[gap],"&gt;=10%",ws[gap],"&lt;20%")</f>
        <v>3</v>
      </c>
      <c r="J9" s="393">
        <f t="shared" si="0"/>
        <v>24</v>
      </c>
      <c r="K9" s="394">
        <f t="shared" si="1"/>
        <v>0.27500000000000002</v>
      </c>
      <c r="L9" s="395">
        <f t="shared" si="2"/>
        <v>8.6956521739130432E-2</v>
      </c>
      <c r="M9" s="395">
        <f t="shared" si="3"/>
        <v>0.375</v>
      </c>
      <c r="N9" s="395">
        <f t="shared" si="4"/>
        <v>0</v>
      </c>
      <c r="O9" s="395">
        <f t="shared" si="5"/>
        <v>7.6923076923076927E-2</v>
      </c>
      <c r="P9" s="395">
        <f t="shared" si="5"/>
        <v>0.16666666666666666</v>
      </c>
      <c r="Q9" s="395">
        <f t="shared" si="6"/>
        <v>0.17647058823529413</v>
      </c>
      <c r="R9" s="395">
        <f t="shared" si="7"/>
        <v>0.1951219512195122</v>
      </c>
    </row>
    <row r="10" spans="2:18" x14ac:dyDescent="0.25">
      <c r="B10" s="392" t="s">
        <v>58</v>
      </c>
      <c r="C10" s="109">
        <f>COUNTIFS(ws[corridor],C$4,ws[gap],"&gt;=0%",ws[gap],"&lt;10%")</f>
        <v>14</v>
      </c>
      <c r="D10" s="109">
        <f>COUNTIFS(ws[corridor],D$4,ws[gap],"&gt;=0%",ws[gap],"&lt;10%")</f>
        <v>7</v>
      </c>
      <c r="E10" s="109">
        <f>COUNTIFS(ws[corridor],E$4,ws[gap],"&gt;=0%",ws[gap],"&lt;10%")</f>
        <v>2</v>
      </c>
      <c r="F10" s="109">
        <f>COUNTIFS(ws[corridor],F$4,ws[gap],"&gt;=0%",ws[gap],"&lt;10%")</f>
        <v>7</v>
      </c>
      <c r="G10" s="109">
        <f>COUNTIFS(ws[corridor],G$4,ws[gap],"&gt;=0%",ws[gap],"&lt;10%")</f>
        <v>4</v>
      </c>
      <c r="H10" s="109">
        <f>COUNTIFS(ws[corridor],H$4,ws[gap],"&gt;=0%",ws[gap],"&lt;10%")</f>
        <v>0</v>
      </c>
      <c r="I10" s="109">
        <f>COUNTIFS(ws[corridor],I$4,ws[gap],"&gt;=0%",ws[gap],"&lt;10%")</f>
        <v>11</v>
      </c>
      <c r="J10" s="393">
        <f t="shared" si="0"/>
        <v>45</v>
      </c>
      <c r="K10" s="394">
        <f t="shared" si="1"/>
        <v>0.35</v>
      </c>
      <c r="L10" s="395">
        <f t="shared" si="2"/>
        <v>0.30434782608695654</v>
      </c>
      <c r="M10" s="395">
        <f t="shared" si="3"/>
        <v>0.125</v>
      </c>
      <c r="N10" s="395">
        <f t="shared" si="4"/>
        <v>0.875</v>
      </c>
      <c r="O10" s="395">
        <f t="shared" si="5"/>
        <v>0.30769230769230771</v>
      </c>
      <c r="P10" s="395">
        <f t="shared" si="5"/>
        <v>0</v>
      </c>
      <c r="Q10" s="395">
        <f t="shared" si="6"/>
        <v>0.6470588235294118</v>
      </c>
      <c r="R10" s="395">
        <f t="shared" si="7"/>
        <v>0.36585365853658536</v>
      </c>
    </row>
    <row r="11" spans="2:18" x14ac:dyDescent="0.25">
      <c r="B11" s="397" t="s">
        <v>59</v>
      </c>
      <c r="C11" s="107">
        <f>COUNTIFS(ws[corridor],C$4,ws[gap],"&gt;=-10%",ws[gap],"&lt;0%")</f>
        <v>9</v>
      </c>
      <c r="D11" s="107">
        <f>COUNTIFS(ws[corridor],D$4,ws[gap],"&gt;=-10%",ws[gap],"&lt;0%")</f>
        <v>6</v>
      </c>
      <c r="E11" s="107">
        <f>COUNTIFS(ws[corridor],E$4,ws[gap],"&gt;=-10%",ws[gap],"&lt;0%")</f>
        <v>1</v>
      </c>
      <c r="F11" s="107">
        <f>COUNTIFS(ws[corridor],F$4,ws[gap],"&gt;=-10%",ws[gap],"&lt;0%")</f>
        <v>1</v>
      </c>
      <c r="G11" s="107">
        <f>COUNTIFS(ws[corridor],G$4,ws[gap],"&gt;=-10%",ws[gap],"&lt;0%")</f>
        <v>5</v>
      </c>
      <c r="H11" s="107">
        <f>COUNTIFS(ws[corridor],H$4,ws[gap],"&gt;=-10%",ws[gap],"&lt;0%")</f>
        <v>0</v>
      </c>
      <c r="I11" s="107">
        <f>COUNTIFS(ws[corridor],I$4,ws[gap],"&gt;=-10%",ws[gap],"&lt;0%")</f>
        <v>1</v>
      </c>
      <c r="J11" s="398">
        <f t="shared" si="0"/>
        <v>23</v>
      </c>
      <c r="K11" s="399">
        <f t="shared" si="1"/>
        <v>0.22500000000000001</v>
      </c>
      <c r="L11" s="400">
        <f t="shared" si="2"/>
        <v>0.2608695652173913</v>
      </c>
      <c r="M11" s="400">
        <f t="shared" si="3"/>
        <v>6.25E-2</v>
      </c>
      <c r="N11" s="400">
        <f t="shared" si="4"/>
        <v>0.125</v>
      </c>
      <c r="O11" s="400">
        <f t="shared" si="5"/>
        <v>0.38461538461538464</v>
      </c>
      <c r="P11" s="400">
        <f t="shared" si="5"/>
        <v>0</v>
      </c>
      <c r="Q11" s="400">
        <f t="shared" si="6"/>
        <v>5.8823529411764705E-2</v>
      </c>
      <c r="R11" s="400">
        <f t="shared" si="7"/>
        <v>0.18699186991869918</v>
      </c>
    </row>
    <row r="12" spans="2:18" x14ac:dyDescent="0.25">
      <c r="B12" s="402" t="s">
        <v>60</v>
      </c>
      <c r="C12" s="109">
        <f>COUNTIFS(ws[corridor],C$4,ws[gap],"&gt;=-20%",ws[gap],"&lt;-10%")</f>
        <v>2</v>
      </c>
      <c r="D12" s="109">
        <f>COUNTIFS(ws[corridor],D$4,ws[gap],"&gt;=-20%",ws[gap],"&lt;-10%")</f>
        <v>0</v>
      </c>
      <c r="E12" s="109">
        <f>COUNTIFS(ws[corridor],E$4,ws[gap],"&gt;=-20%",ws[gap],"&lt;-10%")</f>
        <v>1</v>
      </c>
      <c r="F12" s="109">
        <f>COUNTIFS(ws[corridor],F$4,ws[gap],"&gt;=-20%",ws[gap],"&lt;-10%")</f>
        <v>0</v>
      </c>
      <c r="G12" s="109">
        <f>COUNTIFS(ws[corridor],G$4,ws[gap],"&gt;=-20%",ws[gap],"&lt;-10%")</f>
        <v>2</v>
      </c>
      <c r="H12" s="109">
        <f>COUNTIFS(ws[corridor],H$4,ws[gap],"&gt;=-20%",ws[gap],"&lt;-10%")</f>
        <v>1</v>
      </c>
      <c r="I12" s="109">
        <f>COUNTIFS(ws[corridor],I$4,ws[gap],"&gt;=-20%",ws[gap],"&lt;-10%")</f>
        <v>1</v>
      </c>
      <c r="J12" s="403">
        <f t="shared" si="0"/>
        <v>7</v>
      </c>
      <c r="K12" s="404">
        <f t="shared" si="1"/>
        <v>0.05</v>
      </c>
      <c r="L12" s="405">
        <f t="shared" si="2"/>
        <v>0</v>
      </c>
      <c r="M12" s="405">
        <f t="shared" si="3"/>
        <v>6.25E-2</v>
      </c>
      <c r="N12" s="405">
        <f t="shared" si="4"/>
        <v>0</v>
      </c>
      <c r="O12" s="405">
        <f t="shared" si="5"/>
        <v>0.15384615384615385</v>
      </c>
      <c r="P12" s="405">
        <f t="shared" si="5"/>
        <v>0.16666666666666666</v>
      </c>
      <c r="Q12" s="405">
        <f t="shared" si="6"/>
        <v>5.8823529411764705E-2</v>
      </c>
      <c r="R12" s="405">
        <f t="shared" si="7"/>
        <v>5.6910569105691054E-2</v>
      </c>
    </row>
    <row r="13" spans="2:18" x14ac:dyDescent="0.25">
      <c r="B13" s="402" t="s">
        <v>61</v>
      </c>
      <c r="C13" s="109">
        <f>COUNTIFS(ws[corridor],C$4,ws[gap],"&gt;=-30%",ws[gap],"&lt;-20%")</f>
        <v>0</v>
      </c>
      <c r="D13" s="109">
        <f>COUNTIFS(ws[corridor],D$4,ws[gap],"&gt;=-30%",ws[gap],"&lt;-20%")</f>
        <v>0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0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403">
        <f t="shared" si="0"/>
        <v>0</v>
      </c>
      <c r="K13" s="404">
        <f t="shared" si="1"/>
        <v>0</v>
      </c>
      <c r="L13" s="405">
        <f t="shared" si="2"/>
        <v>0</v>
      </c>
      <c r="M13" s="405">
        <f t="shared" si="3"/>
        <v>0</v>
      </c>
      <c r="N13" s="405">
        <f t="shared" si="4"/>
        <v>0</v>
      </c>
      <c r="O13" s="405">
        <f t="shared" si="5"/>
        <v>0</v>
      </c>
      <c r="P13" s="405">
        <f t="shared" si="5"/>
        <v>0</v>
      </c>
      <c r="Q13" s="405">
        <f t="shared" si="6"/>
        <v>0</v>
      </c>
      <c r="R13" s="405">
        <f t="shared" si="7"/>
        <v>0</v>
      </c>
    </row>
    <row r="14" spans="2:18" x14ac:dyDescent="0.25">
      <c r="B14" s="407" t="s">
        <v>115</v>
      </c>
      <c r="C14" s="106">
        <f>COUNTIFS(ws[corridor],C$4,ws[gap],"&gt;=-40%",ws[gap],"&lt;-30%")</f>
        <v>0</v>
      </c>
      <c r="D14" s="106">
        <f>COUNTIFS(ws[corridor],D$4,ws[gap],"&gt;=-40%",ws[gap],"&lt;-30%")</f>
        <v>0</v>
      </c>
      <c r="E14" s="106">
        <f>COUNTIFS(ws[corridor],E$4,ws[gap],"&gt;=-40%",ws[gap],"&lt;-30%")</f>
        <v>0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408">
        <f t="shared" si="0"/>
        <v>0</v>
      </c>
      <c r="K14" s="409">
        <f t="shared" si="1"/>
        <v>0</v>
      </c>
      <c r="L14" s="410">
        <f t="shared" si="2"/>
        <v>0</v>
      </c>
      <c r="M14" s="410">
        <f t="shared" si="3"/>
        <v>0</v>
      </c>
      <c r="N14" s="410">
        <f t="shared" si="4"/>
        <v>0</v>
      </c>
      <c r="O14" s="410">
        <f t="shared" si="5"/>
        <v>0</v>
      </c>
      <c r="P14" s="410">
        <f t="shared" si="5"/>
        <v>0</v>
      </c>
      <c r="Q14" s="410">
        <f t="shared" si="6"/>
        <v>0</v>
      </c>
      <c r="R14" s="410">
        <f t="shared" si="7"/>
        <v>0</v>
      </c>
    </row>
    <row r="15" spans="2:18" x14ac:dyDescent="0.25">
      <c r="B15" s="407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408">
        <f t="shared" si="0"/>
        <v>0</v>
      </c>
      <c r="K15" s="409">
        <f t="shared" si="1"/>
        <v>0</v>
      </c>
      <c r="L15" s="410">
        <f t="shared" si="2"/>
        <v>0</v>
      </c>
      <c r="M15" s="410">
        <f t="shared" si="3"/>
        <v>0</v>
      </c>
      <c r="N15" s="410">
        <f t="shared" si="4"/>
        <v>0</v>
      </c>
      <c r="O15" s="410">
        <f t="shared" si="5"/>
        <v>0</v>
      </c>
      <c r="P15" s="410">
        <f t="shared" si="5"/>
        <v>0</v>
      </c>
      <c r="Q15" s="410">
        <f t="shared" si="6"/>
        <v>0</v>
      </c>
      <c r="R15" s="410">
        <f t="shared" si="7"/>
        <v>0</v>
      </c>
    </row>
    <row r="16" spans="2:18" x14ac:dyDescent="0.25">
      <c r="B16" s="413" t="s">
        <v>108</v>
      </c>
      <c r="C16" s="319">
        <f t="shared" ref="C16:Q16" si="8">SUM(C10:C11)</f>
        <v>23</v>
      </c>
      <c r="D16" s="319">
        <f t="shared" si="8"/>
        <v>13</v>
      </c>
      <c r="E16" s="319">
        <f t="shared" si="8"/>
        <v>3</v>
      </c>
      <c r="F16" s="319">
        <f t="shared" si="8"/>
        <v>8</v>
      </c>
      <c r="G16" s="319">
        <f t="shared" si="8"/>
        <v>9</v>
      </c>
      <c r="H16" s="319">
        <f t="shared" si="8"/>
        <v>0</v>
      </c>
      <c r="I16" s="319">
        <f t="shared" si="8"/>
        <v>12</v>
      </c>
      <c r="J16" s="320">
        <f t="shared" si="8"/>
        <v>68</v>
      </c>
      <c r="K16" s="414">
        <f>SUM(K10:K11)</f>
        <v>0.57499999999999996</v>
      </c>
      <c r="L16" s="322">
        <f t="shared" si="8"/>
        <v>0.56521739130434789</v>
      </c>
      <c r="M16" s="322">
        <f t="shared" si="8"/>
        <v>0.1875</v>
      </c>
      <c r="N16" s="322">
        <f t="shared" si="8"/>
        <v>1</v>
      </c>
      <c r="O16" s="322">
        <f t="shared" si="8"/>
        <v>0.69230769230769229</v>
      </c>
      <c r="P16" s="322">
        <f t="shared" si="8"/>
        <v>0</v>
      </c>
      <c r="Q16" s="322">
        <f t="shared" si="8"/>
        <v>0.70588235294117652</v>
      </c>
      <c r="R16" s="322">
        <f>SUM(R10:R11)</f>
        <v>0.55284552845528456</v>
      </c>
    </row>
    <row r="17" spans="1:18" x14ac:dyDescent="0.25">
      <c r="B17" s="415" t="s">
        <v>67</v>
      </c>
      <c r="C17" s="326">
        <f t="shared" ref="C17:Q17" si="9">SUM(C9:C10,C11:C12)</f>
        <v>36</v>
      </c>
      <c r="D17" s="326">
        <f t="shared" si="9"/>
        <v>15</v>
      </c>
      <c r="E17" s="326">
        <f t="shared" si="9"/>
        <v>10</v>
      </c>
      <c r="F17" s="326">
        <f t="shared" si="9"/>
        <v>8</v>
      </c>
      <c r="G17" s="326">
        <f t="shared" si="9"/>
        <v>12</v>
      </c>
      <c r="H17" s="326">
        <f t="shared" si="9"/>
        <v>2</v>
      </c>
      <c r="I17" s="326">
        <f t="shared" si="9"/>
        <v>16</v>
      </c>
      <c r="J17" s="327">
        <f t="shared" si="9"/>
        <v>99</v>
      </c>
      <c r="K17" s="416">
        <f t="shared" si="9"/>
        <v>0.9</v>
      </c>
      <c r="L17" s="417">
        <f t="shared" si="9"/>
        <v>0.65217391304347827</v>
      </c>
      <c r="M17" s="417">
        <f t="shared" si="9"/>
        <v>0.625</v>
      </c>
      <c r="N17" s="417">
        <f t="shared" si="9"/>
        <v>1</v>
      </c>
      <c r="O17" s="417">
        <f t="shared" si="9"/>
        <v>0.92307692307692313</v>
      </c>
      <c r="P17" s="417">
        <f t="shared" ref="P17" si="10">SUM(P9:P10,P11:P12)</f>
        <v>0.33333333333333331</v>
      </c>
      <c r="Q17" s="417">
        <f t="shared" si="9"/>
        <v>0.94117647058823539</v>
      </c>
      <c r="R17" s="417">
        <f>SUM(R9:R10,R11:R12)</f>
        <v>0.80487804878048785</v>
      </c>
    </row>
    <row r="18" spans="1:18" x14ac:dyDescent="0.25">
      <c r="B18" s="418" t="s">
        <v>109</v>
      </c>
      <c r="C18" s="333">
        <f t="shared" ref="C18:Q18" si="11">SUM(C8:C13)</f>
        <v>38</v>
      </c>
      <c r="D18" s="333">
        <f t="shared" si="11"/>
        <v>20</v>
      </c>
      <c r="E18" s="333">
        <f t="shared" si="11"/>
        <v>14</v>
      </c>
      <c r="F18" s="333">
        <f t="shared" si="11"/>
        <v>8</v>
      </c>
      <c r="G18" s="333">
        <f t="shared" si="11"/>
        <v>13</v>
      </c>
      <c r="H18" s="333">
        <f t="shared" si="11"/>
        <v>2</v>
      </c>
      <c r="I18" s="333">
        <f t="shared" si="11"/>
        <v>17</v>
      </c>
      <c r="J18" s="334">
        <f t="shared" si="11"/>
        <v>112</v>
      </c>
      <c r="K18" s="419">
        <f t="shared" si="11"/>
        <v>0.95000000000000007</v>
      </c>
      <c r="L18" s="420">
        <f t="shared" si="11"/>
        <v>0.86956521739130443</v>
      </c>
      <c r="M18" s="420">
        <f t="shared" si="11"/>
        <v>0.875</v>
      </c>
      <c r="N18" s="420">
        <f t="shared" si="11"/>
        <v>1</v>
      </c>
      <c r="O18" s="420">
        <f t="shared" si="11"/>
        <v>1</v>
      </c>
      <c r="P18" s="420">
        <f t="shared" ref="P18" si="12">SUM(P8:P13)</f>
        <v>0.33333333333333331</v>
      </c>
      <c r="Q18" s="420">
        <f t="shared" si="11"/>
        <v>1</v>
      </c>
      <c r="R18" s="420">
        <f>SUM(R8:R13)</f>
        <v>0.91056910569105698</v>
      </c>
    </row>
    <row r="19" spans="1:18" x14ac:dyDescent="0.25">
      <c r="B19" s="421"/>
      <c r="C19" s="475" t="s">
        <v>137</v>
      </c>
      <c r="D19" s="474"/>
      <c r="E19" s="474"/>
      <c r="F19" s="474"/>
      <c r="G19" s="474"/>
      <c r="H19" s="474"/>
      <c r="I19" s="474"/>
      <c r="J19" s="477"/>
      <c r="K19" s="473" t="s">
        <v>138</v>
      </c>
      <c r="L19" s="474"/>
      <c r="M19" s="474"/>
      <c r="N19" s="474"/>
      <c r="O19" s="474"/>
      <c r="P19" s="474"/>
      <c r="Q19" s="474"/>
      <c r="R19" s="474"/>
    </row>
    <row r="20" spans="1:18" s="5" customFormat="1" x14ac:dyDescent="0.25">
      <c r="B20" s="422" t="s">
        <v>139</v>
      </c>
      <c r="C20" s="78">
        <f t="shared" ref="C20:Q20" si="13">SUM(C6:C10)</f>
        <v>29</v>
      </c>
      <c r="D20" s="78">
        <f t="shared" si="13"/>
        <v>17</v>
      </c>
      <c r="E20" s="78">
        <f t="shared" si="13"/>
        <v>14</v>
      </c>
      <c r="F20" s="78">
        <f t="shared" si="13"/>
        <v>7</v>
      </c>
      <c r="G20" s="78">
        <f t="shared" si="13"/>
        <v>6</v>
      </c>
      <c r="H20" s="78">
        <f t="shared" si="13"/>
        <v>5</v>
      </c>
      <c r="I20" s="78">
        <f t="shared" si="13"/>
        <v>15</v>
      </c>
      <c r="J20" s="83">
        <f t="shared" si="13"/>
        <v>93</v>
      </c>
      <c r="K20" s="423">
        <f>SUM(K6:K10)</f>
        <v>0.72499999999999998</v>
      </c>
      <c r="L20" s="424">
        <f t="shared" si="13"/>
        <v>0.73913043478260865</v>
      </c>
      <c r="M20" s="424">
        <f t="shared" si="13"/>
        <v>0.875</v>
      </c>
      <c r="N20" s="424">
        <f t="shared" si="13"/>
        <v>0.875</v>
      </c>
      <c r="O20" s="424">
        <f t="shared" si="13"/>
        <v>0.46153846153846156</v>
      </c>
      <c r="P20" s="424">
        <f t="shared" si="13"/>
        <v>0.83333333333333326</v>
      </c>
      <c r="Q20" s="424">
        <f t="shared" si="13"/>
        <v>0.88235294117647056</v>
      </c>
      <c r="R20" s="424">
        <f>SUM(R6:R10)</f>
        <v>0.75609756097560976</v>
      </c>
    </row>
    <row r="21" spans="1:18" s="80" customFormat="1" x14ac:dyDescent="0.25">
      <c r="B21" s="425" t="s">
        <v>140</v>
      </c>
      <c r="C21" s="79">
        <f t="shared" ref="C21:Q21" si="14">SUM(C11:C15)</f>
        <v>11</v>
      </c>
      <c r="D21" s="79">
        <f t="shared" si="14"/>
        <v>6</v>
      </c>
      <c r="E21" s="79">
        <f t="shared" si="14"/>
        <v>2</v>
      </c>
      <c r="F21" s="79">
        <f t="shared" si="14"/>
        <v>1</v>
      </c>
      <c r="G21" s="79">
        <f t="shared" si="14"/>
        <v>7</v>
      </c>
      <c r="H21" s="79">
        <f t="shared" si="14"/>
        <v>1</v>
      </c>
      <c r="I21" s="79">
        <f t="shared" si="14"/>
        <v>2</v>
      </c>
      <c r="J21" s="84">
        <f t="shared" si="14"/>
        <v>30</v>
      </c>
      <c r="K21" s="426">
        <f>SUM(K11:K15)</f>
        <v>0.27500000000000002</v>
      </c>
      <c r="L21" s="427">
        <f t="shared" si="14"/>
        <v>0.2608695652173913</v>
      </c>
      <c r="M21" s="427">
        <f t="shared" si="14"/>
        <v>0.125</v>
      </c>
      <c r="N21" s="427">
        <f t="shared" si="14"/>
        <v>0.125</v>
      </c>
      <c r="O21" s="427">
        <f t="shared" si="14"/>
        <v>0.53846153846153855</v>
      </c>
      <c r="P21" s="427">
        <f t="shared" si="14"/>
        <v>0.16666666666666666</v>
      </c>
      <c r="Q21" s="427">
        <f t="shared" si="14"/>
        <v>0.11764705882352941</v>
      </c>
      <c r="R21" s="427">
        <f>SUM(R11:R15)</f>
        <v>0.24390243902439024</v>
      </c>
    </row>
    <row r="22" spans="1:18" x14ac:dyDescent="0.25">
      <c r="B22" s="428" t="s">
        <v>52</v>
      </c>
      <c r="C22" s="429">
        <f>C20+C21</f>
        <v>40</v>
      </c>
      <c r="D22" s="429">
        <f t="shared" ref="D22:R22" si="15">D20+D21</f>
        <v>23</v>
      </c>
      <c r="E22" s="429">
        <f t="shared" si="15"/>
        <v>16</v>
      </c>
      <c r="F22" s="429">
        <f t="shared" si="15"/>
        <v>8</v>
      </c>
      <c r="G22" s="429">
        <f t="shared" si="15"/>
        <v>13</v>
      </c>
      <c r="H22" s="429">
        <f t="shared" si="15"/>
        <v>6</v>
      </c>
      <c r="I22" s="429">
        <f t="shared" si="15"/>
        <v>17</v>
      </c>
      <c r="J22" s="431">
        <f>J20+J21</f>
        <v>123</v>
      </c>
      <c r="K22" s="432">
        <f t="shared" si="15"/>
        <v>1</v>
      </c>
      <c r="L22" s="358">
        <f t="shared" si="15"/>
        <v>1</v>
      </c>
      <c r="M22" s="358">
        <f t="shared" si="15"/>
        <v>1</v>
      </c>
      <c r="N22" s="358">
        <f t="shared" si="15"/>
        <v>1</v>
      </c>
      <c r="O22" s="358">
        <f t="shared" si="15"/>
        <v>1</v>
      </c>
      <c r="P22" s="358">
        <f t="shared" si="15"/>
        <v>0.99999999999999989</v>
      </c>
      <c r="Q22" s="358">
        <f t="shared" si="15"/>
        <v>1</v>
      </c>
      <c r="R22" s="358">
        <f t="shared" si="15"/>
        <v>1</v>
      </c>
    </row>
    <row r="23" spans="1:18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80"/>
      <c r="K23" s="126"/>
      <c r="L23" s="126"/>
      <c r="M23" s="126"/>
      <c r="N23" s="126"/>
      <c r="O23" s="126"/>
      <c r="P23" s="126"/>
      <c r="Q23" s="126"/>
      <c r="R23" s="126"/>
    </row>
    <row r="24" spans="1:18" x14ac:dyDescent="0.25">
      <c r="B24" s="422" t="s">
        <v>99</v>
      </c>
      <c r="C24" s="111">
        <f>IFERROR(AVERAGEIFS(ws[gap],ws[corridor],C$4,ws[gap],"&gt;=0%"),"")</f>
        <v>0.12252561274512021</v>
      </c>
      <c r="D24" s="111">
        <f>IFERROR(AVERAGEIFS(ws[gap],ws[corridor],D$4,ws[gap],"&gt;=0%"),"")</f>
        <v>0.17943155244326942</v>
      </c>
      <c r="E24" s="111">
        <f>IFERROR(AVERAGEIFS(ws[gap],ws[corridor],E$4,ws[gap],"&gt;=0%"),"")</f>
        <v>0.25424841021293776</v>
      </c>
      <c r="F24" s="111">
        <f>IFERROR(AVERAGEIFS(ws[gap],ws[corridor],F$4,ws[gap],"&gt;=0%"),"")</f>
        <v>2.5020837844768305E-2</v>
      </c>
      <c r="G24" s="111">
        <f>IFERROR(AVERAGEIFS(ws[gap],ws[corridor],G$4,ws[gap],"&gt;=0%"),"")</f>
        <v>9.4223478663259419E-2</v>
      </c>
      <c r="H24" s="111">
        <f>IFERROR(AVERAGEIFS(ws[gap],ws[corridor],H$4,ws[gap],"&gt;=0%"),"")</f>
        <v>0.33378121137849459</v>
      </c>
      <c r="I24" s="111">
        <f>IFERROR(AVERAGEIFS(ws[gap],ws[corridor],I$4,ws[gap],"&gt;=0%"),"")</f>
        <v>7.8086047058055608E-2</v>
      </c>
      <c r="J24" s="102">
        <f>AVERAGEIFS(ws[gap],ws[gap],"&gt;=0%",ws[dir],"4")</f>
        <v>0.1477821548793703</v>
      </c>
      <c r="K24" s="126"/>
      <c r="L24" s="126"/>
      <c r="M24" s="126"/>
      <c r="N24" s="126"/>
      <c r="O24" s="126"/>
      <c r="P24" s="126"/>
      <c r="Q24" s="126"/>
      <c r="R24" s="126"/>
    </row>
    <row r="25" spans="1:18" s="80" customFormat="1" x14ac:dyDescent="0.25">
      <c r="B25" s="435" t="s">
        <v>100</v>
      </c>
      <c r="C25" s="110">
        <f>IFERROR(AVERAGEIFS(ws[gap],ws[corridor],C$4,ws[gap],"&lt;0%"),"")</f>
        <v>-4.4474808235326908E-2</v>
      </c>
      <c r="D25" s="110">
        <f>IFERROR(AVERAGEIFS(ws[gap],ws[corridor],D$4,ws[gap],"&lt;0%"),"")</f>
        <v>-3.8115356015853995E-2</v>
      </c>
      <c r="E25" s="110">
        <f>IFERROR(AVERAGEIFS(ws[gap],ws[corridor],E$4,ws[gap],"&lt;0%"),"")</f>
        <v>-9.4230692944947847E-2</v>
      </c>
      <c r="F25" s="110">
        <f>IFERROR(AVERAGEIFS(ws[gap],ws[corridor],F$4,ws[gap],"&lt;0%"),"")</f>
        <v>-2.0208094847097069E-2</v>
      </c>
      <c r="G25" s="110">
        <f>IFERROR(AVERAGEIFS(ws[gap],ws[corridor],G$4,ws[gap],"&lt;0%"),"")</f>
        <v>-6.1627634070969446E-2</v>
      </c>
      <c r="H25" s="110">
        <f>IFERROR(AVERAGEIFS(ws[gap],ws[corridor],H$4,ws[gap],"&lt;0%"),"")</f>
        <v>-0.12880922675143358</v>
      </c>
      <c r="I25" s="110">
        <f>IFERROR(AVERAGEIFS(ws[gap],ws[corridor],I$4,ws[gap],"&lt;0%"),"")</f>
        <v>-6.403607547394452E-2</v>
      </c>
      <c r="J25" s="101">
        <f>AVERAGEIFS(ws[gap],ws[gap],"&lt;0%",ws[dir],"4")</f>
        <v>-5.3828644120560702E-2</v>
      </c>
    </row>
    <row r="26" spans="1:18" ht="15.75" thickBot="1" x14ac:dyDescent="0.3">
      <c r="B26" s="449" t="s">
        <v>98</v>
      </c>
      <c r="C26" s="114">
        <f>AVERAGEIFS(ws[gap],ws[corridor],C$4)</f>
        <v>7.6600496975497229E-2</v>
      </c>
      <c r="D26" s="114">
        <f>AVERAGEIFS(ws[gap],ws[corridor],D$4)</f>
        <v>0.12268018501915026</v>
      </c>
      <c r="E26" s="114">
        <f>AVERAGEIFS(ws[gap],ws[corridor],E$4)</f>
        <v>0.21068852231820206</v>
      </c>
      <c r="F26" s="114">
        <f>AVERAGEIFS(ws[gap],ws[corridor],F$4)</f>
        <v>1.9367221258285133E-2</v>
      </c>
      <c r="G26" s="114">
        <f>AVERAGEIFS(ws[gap],ws[corridor],G$4)</f>
        <v>1.0303648729443875E-2</v>
      </c>
      <c r="H26" s="114">
        <f>AVERAGEIFS(ws[gap],ws[corridor],H$4)</f>
        <v>0.25668280502350654</v>
      </c>
      <c r="I26" s="114">
        <f>AVERAGEIFS(ws[gap],ws[corridor],I$4)</f>
        <v>6.1365797348408538E-2</v>
      </c>
      <c r="J26" s="103">
        <f>AVERAGEIFS(ws[gap], ws[dir],"4")</f>
        <v>9.8608789269631E-2</v>
      </c>
      <c r="K26" s="126"/>
      <c r="L26" s="126"/>
      <c r="M26" s="126"/>
      <c r="N26" s="126"/>
      <c r="O26" s="126"/>
      <c r="P26" s="126"/>
      <c r="Q26" s="126"/>
      <c r="R26" s="126"/>
    </row>
    <row r="27" spans="1:18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70"/>
      <c r="K27" s="126"/>
      <c r="L27" s="126"/>
      <c r="M27" s="126"/>
      <c r="N27" s="126"/>
      <c r="O27" s="126"/>
      <c r="P27" s="126"/>
      <c r="Q27" s="126"/>
      <c r="R27" s="126"/>
    </row>
    <row r="28" spans="1:18" ht="15.75" thickBot="1" x14ac:dyDescent="0.3">
      <c r="B28" s="437" t="s">
        <v>107</v>
      </c>
      <c r="C28" s="108">
        <f>SQRT(AVERAGEIF(ws[corridor],C4,ws[x2]))/AVERAGEIF(ws[corridor],C4,ws[count])</f>
        <v>0.12053946101057282</v>
      </c>
      <c r="D28" s="108">
        <f>SQRT(AVERAGEIF(ws[corridor],D4,ws[x2]))/AVERAGEIF(ws[corridor],D4,ws[count])</f>
        <v>0.18037573296629508</v>
      </c>
      <c r="E28" s="108">
        <f>SQRT(AVERAGEIF(ws[corridor],E4,ws[x2]))/AVERAGEIF(ws[corridor],E4,ws[count])</f>
        <v>0.23912902400494074</v>
      </c>
      <c r="F28" s="108">
        <f>SQRT(AVERAGEIF(ws[corridor],F4,ws[x2]))/AVERAGEIF(ws[corridor],F4,ws[count])</f>
        <v>3.2305393502189375E-2</v>
      </c>
      <c r="G28" s="108">
        <f>SQRT(AVERAGEIF(ws[corridor],G4,ws[x2]))/AVERAGEIF(ws[corridor],G4,ws[count])</f>
        <v>9.5950394349686788E-2</v>
      </c>
      <c r="H28" s="108">
        <f>SQRT(AVERAGEIF(ws[corridor],H4,ws[x2]))/AVERAGEIF(ws[corridor],H4,ws[count])</f>
        <v>0.33685690054767548</v>
      </c>
      <c r="I28" s="105">
        <f>SQRT(AVERAGEIF(ws[corridor],I4,ws[x2]))/AVERAGEIF(ws[corridor],I4,ws[count])</f>
        <v>8.2551470554620851E-2</v>
      </c>
      <c r="J28" s="104">
        <f>SQRT(AVERAGEIF(ws[dir],4,ws[x2]))/AVERAGEIF(ws[dir],4,ws[count])</f>
        <v>0.14042679513181788</v>
      </c>
      <c r="K28" s="126"/>
      <c r="L28" s="126"/>
      <c r="M28" s="126"/>
      <c r="N28" s="126"/>
      <c r="O28" s="126"/>
      <c r="P28" s="126"/>
      <c r="Q28" s="126"/>
      <c r="R28" s="126"/>
    </row>
    <row r="29" spans="1:18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8"/>
      <c r="K29" s="126"/>
      <c r="L29" s="126"/>
      <c r="M29" s="126"/>
      <c r="N29" s="126"/>
      <c r="O29" s="126"/>
      <c r="P29" s="126"/>
      <c r="Q29" s="126"/>
      <c r="R29" s="126"/>
    </row>
    <row r="30" spans="1:18" ht="15.75" thickBot="1" x14ac:dyDescent="0.3">
      <c r="B30" s="438" t="s">
        <v>111</v>
      </c>
      <c r="C30" s="275">
        <f>B51</f>
        <v>1.0703429425841826</v>
      </c>
      <c r="D30" s="275">
        <f>B52</f>
        <v>1.0997012974208891</v>
      </c>
      <c r="E30" s="275">
        <f>B53</f>
        <v>1.1831760769777184</v>
      </c>
      <c r="F30" s="275">
        <f>B54</f>
        <v>1.0159557565580331</v>
      </c>
      <c r="G30" s="275">
        <f>B55</f>
        <v>1.016040477839725</v>
      </c>
      <c r="H30" s="275">
        <f>B56</f>
        <v>1.2467226977109336</v>
      </c>
      <c r="I30" s="275">
        <f>B57</f>
        <v>1.0607285355109548</v>
      </c>
      <c r="J30" s="276">
        <f>sum_all!F29</f>
        <v>1.0769875706982976</v>
      </c>
      <c r="K30" s="126"/>
      <c r="L30" s="126"/>
      <c r="M30" s="126"/>
      <c r="N30" s="126"/>
      <c r="O30" s="126"/>
      <c r="P30" s="126"/>
      <c r="Q30" s="126"/>
      <c r="R30" s="126"/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15</v>
      </c>
      <c r="B51" s="10" cm="1">
        <f t="array" ref="B51:C51">LINEST((ws[corridor]=C4)*(ws[flow]),(ws[corridor]=C4)*(ws[count]),FALSE)</f>
        <v>1.0703429425841826</v>
      </c>
      <c r="C51" s="136">
        <v>0</v>
      </c>
    </row>
    <row r="52" spans="1:3" x14ac:dyDescent="0.25">
      <c r="A52" s="274">
        <v>16</v>
      </c>
      <c r="B52" s="10" cm="1">
        <f t="array" ref="B52:C52">LINEST((ws[corridor]=D4)*(ws[flow]),(ws[corridor]=D4)*(ws[count]),FALSE)</f>
        <v>1.0997012974208891</v>
      </c>
      <c r="C52" s="136">
        <v>0</v>
      </c>
    </row>
    <row r="53" spans="1:3" x14ac:dyDescent="0.25">
      <c r="A53" s="11">
        <v>17</v>
      </c>
      <c r="B53" s="10" cm="1">
        <f t="array" ref="B53:C53">LINEST((ws[corridor]=E4)*(ws[flow]),(ws[corridor]=E4)*(ws[count]),FALSE)</f>
        <v>1.1831760769777184</v>
      </c>
      <c r="C53" s="136">
        <v>0</v>
      </c>
    </row>
    <row r="54" spans="1:3" x14ac:dyDescent="0.25">
      <c r="A54" s="11">
        <v>18</v>
      </c>
      <c r="B54" s="10" cm="1">
        <f t="array" ref="B54:C54">LINEST((ws[corridor]=F4)*(ws[flow]),(ws[corridor]=F4)*(ws[count]),FALSE)</f>
        <v>1.0159557565580331</v>
      </c>
      <c r="C54" s="136">
        <v>0</v>
      </c>
    </row>
    <row r="55" spans="1:3" x14ac:dyDescent="0.25">
      <c r="A55" s="11">
        <v>19</v>
      </c>
      <c r="B55" s="10" cm="1">
        <f t="array" ref="B55:C55">LINEST((ws[corridor]=G4)*(ws[flow]),(ws[corridor]=G4)*(ws[count]),FALSE)</f>
        <v>1.016040477839725</v>
      </c>
      <c r="C55" s="11">
        <v>0</v>
      </c>
    </row>
    <row r="56" spans="1:3" x14ac:dyDescent="0.25">
      <c r="A56" s="11">
        <v>20</v>
      </c>
      <c r="B56" s="10" cm="1">
        <f t="array" ref="B56:C56">LINEST((ws[corridor]=H4)*(ws[flow]),(ws[corridor]=H4)*(ws[count]),FALSE)</f>
        <v>1.2467226977109336</v>
      </c>
      <c r="C56" s="11">
        <v>0</v>
      </c>
    </row>
    <row r="57" spans="1:3" x14ac:dyDescent="0.25">
      <c r="A57" s="11">
        <v>21</v>
      </c>
      <c r="B57" s="10" cm="1">
        <f t="array" ref="B57:C57">LINEST((ws[corridor]=I4)*(ws[flow]),(ws[corridor]=I4)*(ws[count]),FALSE)</f>
        <v>1.0607285355109548</v>
      </c>
      <c r="C57" s="11">
        <v>0</v>
      </c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39997558519241921"/>
  </sheetPr>
  <dimension ref="A1:AI103"/>
  <sheetViews>
    <sheetView showGridLines="0" zoomScale="80" zoomScaleNormal="80" workbookViewId="0">
      <pane ySplit="1" topLeftCell="A2" activePane="bottomLeft" state="frozen"/>
      <selection activeCell="AF15" sqref="AF15"/>
      <selection pane="bottomLeft" activeCell="N13" sqref="N13"/>
    </sheetView>
  </sheetViews>
  <sheetFormatPr defaultRowHeight="15" x14ac:dyDescent="0.25"/>
  <cols>
    <col min="1" max="1" width="10.85546875" style="43" bestFit="1" customWidth="1"/>
    <col min="2" max="2" width="9.14062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7" width="19.5703125" style="53" bestFit="1" customWidth="1"/>
    <col min="8" max="8" width="8.85546875" style="48" bestFit="1" customWidth="1"/>
    <col min="9" max="9" width="8" style="48" bestFit="1" customWidth="1"/>
    <col min="10" max="10" width="8.42578125" style="47" bestFit="1" customWidth="1"/>
    <col min="11" max="11" width="10.7109375" style="47" bestFit="1" customWidth="1"/>
    <col min="12" max="12" width="12" style="44" bestFit="1" customWidth="1"/>
    <col min="13" max="14" width="12.28515625" style="44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71">
        <f>SQRT(AVERAGE(c_1[x2]))/AVERAGE(c_1[count])</f>
        <v>0.39481203211589078</v>
      </c>
      <c r="O1" s="69">
        <f>LINEST(c_1[flow],c_1[count],FALSE)</f>
        <v>1.294926697507724</v>
      </c>
      <c r="P1" s="69">
        <f>RSQ(c_1[flow],c_1[count])</f>
        <v>0.72470012386227323</v>
      </c>
      <c r="Q1" s="19">
        <f>IFERROR(AVERAGEIF(c_1[gap],"&gt;=0",c_1[gap]),0)</f>
        <v>0.34859451055439733</v>
      </c>
      <c r="R1" s="20">
        <f>IFERROR(AVERAGEIF(c_1[gap],"&lt;0",c_1[gap]),0)</f>
        <v>-0.20191176727440407</v>
      </c>
      <c r="S1" s="13">
        <f>AVERAGE(c_1[gap])</f>
        <v>0.26074776409235451</v>
      </c>
      <c r="T1" s="18">
        <f>COUNTIFS(c_1[gap],"&lt;10%",c_1[gap],"&gt;=-10%")/COUNTA(c_1[gap])</f>
        <v>0.1702127659574468</v>
      </c>
      <c r="U1" s="18">
        <f>COUNTIFS(c_1[gap],"&lt;20%",c_1[gap],"&gt;=-20%")/COUNTA(c_1[gap])</f>
        <v>0.2978723404255319</v>
      </c>
      <c r="V1" s="18">
        <f>COUNTIFS(c_1[gap],"&lt;30%",c_1[gap],"&gt;=-30%")/COUNTA(c_1[gap])</f>
        <v>0.51063829787234039</v>
      </c>
      <c r="W1" s="19">
        <f>COUNTIF(c_1[gap],"&gt;=0")/COUNTA(c_1[gap])</f>
        <v>0.84042553191489366</v>
      </c>
      <c r="X1" s="21">
        <f>COUNTIF(c_1[gap],"&lt;0")/COUNTA(c_1[gap])</f>
        <v>0.15957446808510639</v>
      </c>
      <c r="Y1" s="6" t="str">
        <f>"%Link(+)="&amp;TEXT(W1,"0%")</f>
        <v>%Link(+)=84%</v>
      </c>
      <c r="Z1" s="6" t="str">
        <f>"%Link(-)="&amp;TEXT(X1,"0%")</f>
        <v>%Link(-)=16%</v>
      </c>
      <c r="AA1" s="17" t="str">
        <f>"AvgGap(+)="&amp;TEXT(Q1,"0%")</f>
        <v>AvgGap(+)=35%</v>
      </c>
      <c r="AB1" t="str">
        <f>"AvgGap(-)="&amp;TEXT(R1,"0%")</f>
        <v>AvgGap(-)=-20%</v>
      </c>
      <c r="AC1" t="str">
        <f>"AvgGap(±)="&amp;TEXT(S1,"0%")</f>
        <v>AvgGap(±)=26%</v>
      </c>
      <c r="AD1" t="str">
        <f>"GapIn(±10%)="&amp;TEXT(T1,"0%")</f>
        <v>GapIn(±10%)=17%</v>
      </c>
      <c r="AE1" t="str">
        <f>"GapIn(±20%)="&amp;TEXT(U1,"0%")</f>
        <v>GapIn(±20%)=30%</v>
      </c>
      <c r="AF1" t="str">
        <f>"GapIn(±30%)="&amp;TEXT(V1,"0%")</f>
        <v>GapIn(±30%)=51%</v>
      </c>
      <c r="AG1" t="str">
        <f>"Linear Slope="&amp;TEXT(O1,"#.###")</f>
        <v>Linear Slope=1.295</v>
      </c>
      <c r="AH1" t="str">
        <f>"RMSE="&amp;TEXT(N1,"0%")</f>
        <v>RMSE=39%</v>
      </c>
      <c r="AI1" s="41" t="str">
        <f>CONCATENATE(Y1," ",Z1," ",AA1,"  ",AB1,"  ",AC1,"  ",AD1,"  ",AE1,"  ",AF1,"  ",AG1," ",AH1)</f>
        <v>%Link(+)=84% %Link(-)=16% AvgGap(+)=35%  AvgGap(-)=-20%  AvgGap(±)=26%  GapIn(±10%)=17%  GapIn(±20%)=30%  GapIn(±30%)=51%  Linear Slope=1.295 RMSE=39%</v>
      </c>
    </row>
    <row r="2" spans="1:35" x14ac:dyDescent="0.25">
      <c r="A2" s="43">
        <f>'[2]I-5 NB'!C2</f>
        <v>1</v>
      </c>
      <c r="B2" s="43" t="str">
        <f>'[2]I-5 NB'!H2</f>
        <v>I-5 NB</v>
      </c>
      <c r="C2" s="126">
        <f>'[2]I-5 NB'!E2</f>
        <v>9919</v>
      </c>
      <c r="D2" s="188">
        <f>'[2]I-5 NB'!I2</f>
        <v>1</v>
      </c>
      <c r="E2" s="189">
        <f>'[2]I-5 NB'!J2</f>
        <v>0</v>
      </c>
      <c r="F2" s="189" t="str">
        <f>'[2]I-5 NB'!K2</f>
        <v>MEXICAN BORDER</v>
      </c>
      <c r="G2" s="189" t="str">
        <f>'[2]I-5 NB'!L2</f>
        <v>EAST SAN YSIDRO</v>
      </c>
      <c r="H2" s="197">
        <f>'[2]I-5 NB'!O2</f>
        <v>6959</v>
      </c>
      <c r="I2" s="198">
        <f>VLOOKUP(c_1[[#This Row],[hwycov_id]],readme!D:G,4,FALSE)</f>
        <v>3575.4819339999999</v>
      </c>
      <c r="J2" s="49">
        <f t="shared" ref="J2" si="0">I2/H2-1</f>
        <v>-0.4862075105618624</v>
      </c>
      <c r="K2" s="190" t="str">
        <f>'[2]I-5 NB'!P2</f>
        <v>PeMS2016</v>
      </c>
      <c r="L2" s="148">
        <f t="shared" ref="L2" si="1">POWER((I2-H2),2)</f>
        <v>11448194.502948381</v>
      </c>
      <c r="N2" s="242"/>
      <c r="S2" s="6"/>
    </row>
    <row r="3" spans="1:35" x14ac:dyDescent="0.25">
      <c r="A3" s="43">
        <f>'[2]I-5 NB'!C3</f>
        <v>1</v>
      </c>
      <c r="B3" s="43" t="str">
        <f>'[2]I-5 NB'!H3</f>
        <v>I-5 NB</v>
      </c>
      <c r="C3" s="126">
        <f>'[2]I-5 NB'!E3</f>
        <v>27694</v>
      </c>
      <c r="D3" s="188">
        <f>'[2]I-5 NB'!I3</f>
        <v>4</v>
      </c>
      <c r="E3" s="189">
        <f>'[2]I-5 NB'!J3</f>
        <v>0</v>
      </c>
      <c r="F3" s="189" t="str">
        <f>'[2]I-5 NB'!K3</f>
        <v>I-805 NB</v>
      </c>
      <c r="G3" s="189" t="str">
        <f>'[2]I-5 NB'!L3</f>
        <v>VIA DE SAN YSIDRO</v>
      </c>
      <c r="H3" s="197">
        <f>'[2]I-5 NB'!O3</f>
        <v>3216</v>
      </c>
      <c r="I3" s="198">
        <f>VLOOKUP(c_1[[#This Row],[hwycov_id]],readme!D:G,4,FALSE)</f>
        <v>1747.1206050000001</v>
      </c>
      <c r="J3" s="49">
        <f t="shared" ref="J3:J66" si="2">I3/H3-1</f>
        <v>-0.45674110541044777</v>
      </c>
      <c r="K3" s="190" t="str">
        <f>'[2]I-5 NB'!P3</f>
        <v>Caltran</v>
      </c>
      <c r="L3" s="148">
        <f t="shared" ref="L3:L66" si="3">POWER((I3-H3),2)</f>
        <v>2157606.6770555656</v>
      </c>
    </row>
    <row r="4" spans="1:35" x14ac:dyDescent="0.25">
      <c r="A4" s="43">
        <f>'[2]I-5 NB'!C4</f>
        <v>1</v>
      </c>
      <c r="B4" s="43" t="str">
        <f>'[2]I-5 NB'!H4</f>
        <v>I-5 NB</v>
      </c>
      <c r="C4" s="126">
        <f>'[2]I-5 NB'!E4</f>
        <v>27154</v>
      </c>
      <c r="D4" s="188">
        <f>'[2]I-5 NB'!I4</f>
        <v>5</v>
      </c>
      <c r="E4" s="189">
        <f>'[2]I-5 NB'!J4</f>
        <v>0</v>
      </c>
      <c r="F4" s="189" t="str">
        <f>'[2]I-5 NB'!K4</f>
        <v>VIA DE SAN YSIDRO</v>
      </c>
      <c r="G4" s="189" t="str">
        <f>'[2]I-5 NB'!L4</f>
        <v>VIA DE SAN YSIDRO</v>
      </c>
      <c r="H4" s="197">
        <f>'[2]I-5 NB'!O4</f>
        <v>3094</v>
      </c>
      <c r="I4" s="198">
        <f>VLOOKUP(c_1[[#This Row],[hwycov_id]],readme!D:G,4,FALSE)</f>
        <v>1684.1098629999999</v>
      </c>
      <c r="J4" s="49">
        <f t="shared" si="2"/>
        <v>-0.45568524143503564</v>
      </c>
      <c r="K4" s="190" t="str">
        <f>'[2]I-5 NB'!P4</f>
        <v>PeMS2016</v>
      </c>
      <c r="L4" s="148">
        <f t="shared" si="3"/>
        <v>1987790.1984098791</v>
      </c>
    </row>
    <row r="5" spans="1:35" x14ac:dyDescent="0.25">
      <c r="A5" s="43">
        <f>'[2]I-5 NB'!C5</f>
        <v>1</v>
      </c>
      <c r="B5" s="43" t="str">
        <f>'[2]I-5 NB'!H5</f>
        <v>I-5 NB</v>
      </c>
      <c r="C5" s="126">
        <f>'[2]I-5 NB'!E5</f>
        <v>27884</v>
      </c>
      <c r="D5" s="188">
        <f>'[2]I-5 NB'!I5</f>
        <v>6</v>
      </c>
      <c r="E5" s="189">
        <f>'[2]I-5 NB'!J5</f>
        <v>0</v>
      </c>
      <c r="F5" s="189" t="str">
        <f>'[2]I-5 NB'!K5</f>
        <v>VIA DE SAN YSIDRO</v>
      </c>
      <c r="G5" s="189" t="str">
        <f>'[2]I-5 NB'!L5</f>
        <v>SAN YSIDRO</v>
      </c>
      <c r="H5" s="197">
        <f>'[2]I-5 NB'!O5</f>
        <v>4940</v>
      </c>
      <c r="I5" s="198">
        <f>VLOOKUP(c_1[[#This Row],[hwycov_id]],readme!D:G,4,FALSE)</f>
        <v>3501.806885</v>
      </c>
      <c r="J5" s="49">
        <f t="shared" si="2"/>
        <v>-0.29113220951417007</v>
      </c>
      <c r="K5" s="190" t="str">
        <f>'[2]I-5 NB'!P5</f>
        <v>PeMS2016</v>
      </c>
      <c r="L5" s="148">
        <f t="shared" si="3"/>
        <v>2068399.4360334033</v>
      </c>
    </row>
    <row r="6" spans="1:35" x14ac:dyDescent="0.25">
      <c r="A6" s="43">
        <f>'[2]I-5 NB'!C6</f>
        <v>1</v>
      </c>
      <c r="B6" s="43" t="str">
        <f>'[2]I-5 NB'!H6</f>
        <v>I-5 NB</v>
      </c>
      <c r="C6" s="126">
        <f>'[2]I-5 NB'!E6</f>
        <v>27883</v>
      </c>
      <c r="D6" s="188">
        <f>'[2]I-5 NB'!I6</f>
        <v>7</v>
      </c>
      <c r="E6" s="189">
        <f>'[2]I-5 NB'!J6</f>
        <v>0</v>
      </c>
      <c r="F6" s="189" t="str">
        <f>'[2]I-5 NB'!K6</f>
        <v>SAN YSIDRO</v>
      </c>
      <c r="G6" s="189" t="str">
        <f>'[2]I-5 NB'!L6</f>
        <v>SAN YSIDRO</v>
      </c>
      <c r="H6" s="197">
        <f>'[2]I-5 NB'!O6</f>
        <v>4161</v>
      </c>
      <c r="I6" s="198">
        <f>VLOOKUP(c_1[[#This Row],[hwycov_id]],readme!D:G,4,FALSE)</f>
        <v>3249.4638669999999</v>
      </c>
      <c r="J6" s="49">
        <f t="shared" si="2"/>
        <v>-0.21906660249939924</v>
      </c>
      <c r="K6" s="190" t="str">
        <f>'[2]I-5 NB'!P6</f>
        <v>PeMS2016</v>
      </c>
      <c r="L6" s="148">
        <f t="shared" si="3"/>
        <v>830898.12176459376</v>
      </c>
    </row>
    <row r="7" spans="1:35" x14ac:dyDescent="0.25">
      <c r="A7" s="43">
        <f>'[2]I-5 NB'!C7</f>
        <v>1</v>
      </c>
      <c r="B7" s="43" t="str">
        <f>'[2]I-5 NB'!H7</f>
        <v>I-5 NB</v>
      </c>
      <c r="C7" s="126">
        <f>'[2]I-5 NB'!E7</f>
        <v>27875</v>
      </c>
      <c r="D7" s="188">
        <f>'[2]I-5 NB'!I7</f>
        <v>9</v>
      </c>
      <c r="E7" s="189">
        <f>'[2]I-5 NB'!J7</f>
        <v>0</v>
      </c>
      <c r="F7" s="189" t="str">
        <f>'[2]I-5 NB'!K7</f>
        <v>SR-905 EB</v>
      </c>
      <c r="G7" s="189" t="str">
        <f>'[2]I-5 NB'!L7</f>
        <v>SR-905 WB</v>
      </c>
      <c r="H7" s="197">
        <f>'[2]I-5 NB'!O7</f>
        <v>6313</v>
      </c>
      <c r="I7" s="198">
        <f>VLOOKUP(c_1[[#This Row],[hwycov_id]],readme!D:G,4,FALSE)</f>
        <v>4346.4350590000004</v>
      </c>
      <c r="J7" s="49">
        <f t="shared" si="2"/>
        <v>-0.31151036607001414</v>
      </c>
      <c r="K7" s="190" t="str">
        <f>'[2]I-5 NB'!P7</f>
        <v>PeMS2016</v>
      </c>
      <c r="L7" s="148">
        <f t="shared" si="3"/>
        <v>3867377.6671703318</v>
      </c>
    </row>
    <row r="8" spans="1:35" x14ac:dyDescent="0.25">
      <c r="A8" s="43">
        <f>'[2]I-5 NB'!C8</f>
        <v>1</v>
      </c>
      <c r="B8" s="43" t="str">
        <f>'[2]I-5 NB'!H8</f>
        <v>I-5 NB</v>
      </c>
      <c r="C8" s="126">
        <f>'[2]I-5 NB'!E8</f>
        <v>27877</v>
      </c>
      <c r="D8" s="188">
        <f>'[2]I-5 NB'!I8</f>
        <v>10</v>
      </c>
      <c r="E8" s="189">
        <f>'[2]I-5 NB'!J8</f>
        <v>0</v>
      </c>
      <c r="F8" s="189" t="str">
        <f>'[2]I-5 NB'!K8</f>
        <v>SR-905 EB</v>
      </c>
      <c r="G8" s="189" t="str">
        <f>'[2]I-5 NB'!L8</f>
        <v>SR-905 WB</v>
      </c>
      <c r="H8" s="197">
        <f>'[2]I-5 NB'!O8</f>
        <v>6417</v>
      </c>
      <c r="I8" s="198">
        <f>VLOOKUP(c_1[[#This Row],[hwycov_id]],readme!D:G,4,FALSE)</f>
        <v>4644.5898440000001</v>
      </c>
      <c r="J8" s="49">
        <f t="shared" si="2"/>
        <v>-0.27620541623811745</v>
      </c>
      <c r="K8" s="190" t="str">
        <f>'[2]I-5 NB'!P8</f>
        <v>PeMS2016</v>
      </c>
      <c r="L8" s="148">
        <f t="shared" si="3"/>
        <v>3141437.7610919438</v>
      </c>
    </row>
    <row r="9" spans="1:35" x14ac:dyDescent="0.25">
      <c r="A9" s="43">
        <f>'[2]I-5 NB'!C9</f>
        <v>1</v>
      </c>
      <c r="B9" s="43" t="str">
        <f>'[2]I-5 NB'!H9</f>
        <v>I-5 NB</v>
      </c>
      <c r="C9" s="126">
        <f>'[2]I-5 NB'!E9</f>
        <v>20464</v>
      </c>
      <c r="D9" s="188">
        <f>'[2]I-5 NB'!I9</f>
        <v>13</v>
      </c>
      <c r="E9" s="189">
        <f>'[2]I-5 NB'!J9</f>
        <v>0</v>
      </c>
      <c r="F9" s="189" t="str">
        <f>'[2]I-5 NB'!K9</f>
        <v>CORONADO</v>
      </c>
      <c r="G9" s="189" t="str">
        <f>'[2]I-5 NB'!L9</f>
        <v>PALM</v>
      </c>
      <c r="H9" s="197">
        <f>'[2]I-5 NB'!O9</f>
        <v>13335</v>
      </c>
      <c r="I9" s="198">
        <f>VLOOKUP(c_1[[#This Row],[hwycov_id]],readme!D:G,4,FALSE)</f>
        <v>10422.435546999999</v>
      </c>
      <c r="J9" s="49">
        <f t="shared" si="2"/>
        <v>-0.21841503209598812</v>
      </c>
      <c r="K9" s="190" t="str">
        <f>'[2]I-5 NB'!P9</f>
        <v>PeMS2016</v>
      </c>
      <c r="L9" s="148">
        <f t="shared" si="3"/>
        <v>8483031.6928791944</v>
      </c>
    </row>
    <row r="10" spans="1:35" x14ac:dyDescent="0.25">
      <c r="A10" s="43">
        <f>'[2]I-5 NB'!C10</f>
        <v>1</v>
      </c>
      <c r="B10" s="43" t="str">
        <f>'[2]I-5 NB'!H10</f>
        <v>I-5 NB</v>
      </c>
      <c r="C10" s="126">
        <f>'[2]I-5 NB'!E10</f>
        <v>27903</v>
      </c>
      <c r="D10" s="188">
        <f>'[2]I-5 NB'!I10</f>
        <v>14</v>
      </c>
      <c r="E10" s="189">
        <f>'[2]I-5 NB'!J10</f>
        <v>0</v>
      </c>
      <c r="F10" s="189" t="str">
        <f>'[2]I-5 NB'!K10</f>
        <v>PALM</v>
      </c>
      <c r="G10" s="189" t="str">
        <f>'[2]I-5 NB'!L10</f>
        <v>PALM</v>
      </c>
      <c r="H10" s="197">
        <f>'[2]I-5 NB'!O10</f>
        <v>9582</v>
      </c>
      <c r="I10" s="198">
        <f>VLOOKUP(c_1[[#This Row],[hwycov_id]],readme!D:G,4,FALSE)</f>
        <v>8579.2246090000008</v>
      </c>
      <c r="J10" s="49">
        <f t="shared" si="2"/>
        <v>-0.10465199238154865</v>
      </c>
      <c r="K10" s="190" t="str">
        <f>'[2]I-5 NB'!P10</f>
        <v>PeMS2016</v>
      </c>
      <c r="L10" s="148">
        <f t="shared" si="3"/>
        <v>1005558.4847952013</v>
      </c>
    </row>
    <row r="11" spans="1:35" x14ac:dyDescent="0.25">
      <c r="A11" s="43">
        <f>'[2]I-5 NB'!C11</f>
        <v>1</v>
      </c>
      <c r="B11" s="43" t="str">
        <f>'[2]I-5 NB'!H11</f>
        <v>I-5 NB</v>
      </c>
      <c r="C11" s="126">
        <f>'[2]I-5 NB'!E11</f>
        <v>27914</v>
      </c>
      <c r="D11" s="188">
        <f>'[2]I-5 NB'!I11</f>
        <v>15</v>
      </c>
      <c r="E11" s="189">
        <f>'[2]I-5 NB'!J11</f>
        <v>0</v>
      </c>
      <c r="F11" s="189" t="str">
        <f>'[2]I-5 NB'!K11</f>
        <v>PALM</v>
      </c>
      <c r="G11" s="189" t="str">
        <f>'[2]I-5 NB'!L11</f>
        <v>MAIN</v>
      </c>
      <c r="H11" s="197">
        <f>'[2]I-5 NB'!O11</f>
        <v>15901</v>
      </c>
      <c r="I11" s="198">
        <f>VLOOKUP(c_1[[#This Row],[hwycov_id]],readme!D:G,4,FALSE)</f>
        <v>15074.466796999999</v>
      </c>
      <c r="J11" s="49">
        <f t="shared" si="2"/>
        <v>-5.197995113514875E-2</v>
      </c>
      <c r="K11" s="190" t="str">
        <f>'[2]I-5 NB'!P11</f>
        <v>Caltran</v>
      </c>
      <c r="L11" s="148">
        <f t="shared" si="3"/>
        <v>683157.13566144067</v>
      </c>
    </row>
    <row r="12" spans="1:35" x14ac:dyDescent="0.25">
      <c r="A12" s="43">
        <f>'[2]I-5 NB'!C12</f>
        <v>1</v>
      </c>
      <c r="B12" s="43" t="str">
        <f>'[2]I-5 NB'!H12</f>
        <v>I-5 NB</v>
      </c>
      <c r="C12" s="126">
        <f>'[2]I-5 NB'!E12</f>
        <v>27916</v>
      </c>
      <c r="D12" s="188">
        <f>'[2]I-5 NB'!I12</f>
        <v>16</v>
      </c>
      <c r="E12" s="189">
        <f>'[2]I-5 NB'!J12</f>
        <v>0</v>
      </c>
      <c r="F12" s="189" t="str">
        <f>'[2]I-5 NB'!K12</f>
        <v>MAIN</v>
      </c>
      <c r="G12" s="189" t="str">
        <f>'[2]I-5 NB'!L12</f>
        <v>MAIN</v>
      </c>
      <c r="H12" s="197">
        <f>'[2]I-5 NB'!O12</f>
        <v>15095</v>
      </c>
      <c r="I12" s="198">
        <f>VLOOKUP(c_1[[#This Row],[hwycov_id]],readme!D:G,4,FALSE)</f>
        <v>14822.768555000001</v>
      </c>
      <c r="J12" s="49">
        <f t="shared" si="2"/>
        <v>-1.8034544219940329E-2</v>
      </c>
      <c r="K12" s="190" t="str">
        <f>'[2]I-5 NB'!P12</f>
        <v>PeMS2016</v>
      </c>
      <c r="L12" s="148">
        <f t="shared" si="3"/>
        <v>74109.959646787713</v>
      </c>
    </row>
    <row r="13" spans="1:35" x14ac:dyDescent="0.25">
      <c r="A13" s="43">
        <f>'[2]I-5 NB'!C13</f>
        <v>1</v>
      </c>
      <c r="B13" s="43" t="str">
        <f>'[2]I-5 NB'!H13</f>
        <v>I-5 NB</v>
      </c>
      <c r="C13" s="126">
        <f>'[2]I-5 NB'!E13</f>
        <v>27921</v>
      </c>
      <c r="D13" s="188">
        <f>'[2]I-5 NB'!I13</f>
        <v>18</v>
      </c>
      <c r="E13" s="189">
        <f>'[2]I-5 NB'!J13</f>
        <v>0</v>
      </c>
      <c r="F13" s="189" t="str">
        <f>'[2]I-5 NB'!K13</f>
        <v>PALOMAR</v>
      </c>
      <c r="G13" s="189" t="str">
        <f>'[2]I-5 NB'!L13</f>
        <v>PALOMAR</v>
      </c>
      <c r="H13" s="197">
        <f>'[2]I-5 NB'!O13</f>
        <v>13340</v>
      </c>
      <c r="I13" s="198">
        <f>VLOOKUP(c_1[[#This Row],[hwycov_id]],readme!D:G,4,FALSE)</f>
        <v>15181.166015999999</v>
      </c>
      <c r="J13" s="49">
        <f t="shared" si="2"/>
        <v>0.13801844197901048</v>
      </c>
      <c r="K13" s="190" t="str">
        <f>'[2]I-5 NB'!P13</f>
        <v>PeMS2016</v>
      </c>
      <c r="L13" s="148">
        <f t="shared" si="3"/>
        <v>3389892.2984733093</v>
      </c>
    </row>
    <row r="14" spans="1:35" x14ac:dyDescent="0.25">
      <c r="A14" s="43">
        <f>'[2]I-5 NB'!C14</f>
        <v>1</v>
      </c>
      <c r="B14" s="43" t="str">
        <f>'[2]I-5 NB'!H14</f>
        <v>I-5 NB</v>
      </c>
      <c r="C14" s="126">
        <f>'[2]I-5 NB'!E14</f>
        <v>27925</v>
      </c>
      <c r="D14" s="188">
        <f>'[2]I-5 NB'!I14</f>
        <v>19</v>
      </c>
      <c r="E14" s="189">
        <f>'[2]I-5 NB'!J14</f>
        <v>0</v>
      </c>
      <c r="F14" s="189" t="str">
        <f>'[2]I-5 NB'!K14</f>
        <v>PALOMAR</v>
      </c>
      <c r="G14" s="189" t="str">
        <f>'[2]I-5 NB'!L14</f>
        <v>INDUSTRIAL</v>
      </c>
      <c r="H14" s="197">
        <f>'[2]I-5 NB'!O14</f>
        <v>16048</v>
      </c>
      <c r="I14" s="198">
        <f>VLOOKUP(c_1[[#This Row],[hwycov_id]],readme!D:G,4,FALSE)</f>
        <v>17924.015625</v>
      </c>
      <c r="J14" s="49">
        <f t="shared" si="2"/>
        <v>0.11690027573529416</v>
      </c>
      <c r="K14" s="190" t="str">
        <f>'[2]I-5 NB'!P14</f>
        <v>PeMS2016</v>
      </c>
      <c r="L14" s="148">
        <f t="shared" si="3"/>
        <v>3519434.6252441406</v>
      </c>
    </row>
    <row r="15" spans="1:35" x14ac:dyDescent="0.25">
      <c r="A15" s="43">
        <f>'[2]I-5 NB'!C15</f>
        <v>1</v>
      </c>
      <c r="B15" s="43" t="str">
        <f>'[2]I-5 NB'!H15</f>
        <v>I-5 NB</v>
      </c>
      <c r="C15" s="126">
        <f>'[2]I-5 NB'!E15</f>
        <v>27929</v>
      </c>
      <c r="D15" s="188">
        <f>'[2]I-5 NB'!I15</f>
        <v>20</v>
      </c>
      <c r="E15" s="189">
        <f>'[2]I-5 NB'!J15</f>
        <v>0</v>
      </c>
      <c r="F15" s="189" t="str">
        <f>'[2]I-5 NB'!K15</f>
        <v>INDUSTRIAL</v>
      </c>
      <c r="G15" s="189" t="str">
        <f>'[2]I-5 NB'!L15</f>
        <v>INDUSTRIAL</v>
      </c>
      <c r="H15" s="197">
        <f>'[2]I-5 NB'!O15</f>
        <v>13856</v>
      </c>
      <c r="I15" s="198">
        <f>VLOOKUP(c_1[[#This Row],[hwycov_id]],readme!D:G,4,FALSE)</f>
        <v>16651.548827999999</v>
      </c>
      <c r="J15" s="49">
        <f t="shared" si="2"/>
        <v>0.20175727684757505</v>
      </c>
      <c r="K15" s="190" t="str">
        <f>'[2]I-5 NB'!P15</f>
        <v>PeMS2016</v>
      </c>
      <c r="L15" s="148">
        <f t="shared" si="3"/>
        <v>7815093.2497321684</v>
      </c>
    </row>
    <row r="16" spans="1:35" x14ac:dyDescent="0.25">
      <c r="A16" s="43">
        <f>'[2]I-5 NB'!C16</f>
        <v>1</v>
      </c>
      <c r="B16" s="43" t="str">
        <f>'[2]I-5 NB'!H16</f>
        <v>I-5 NB</v>
      </c>
      <c r="C16" s="126">
        <f>'[2]I-5 NB'!E16</f>
        <v>27933</v>
      </c>
      <c r="D16" s="188">
        <f>'[2]I-5 NB'!I16</f>
        <v>22</v>
      </c>
      <c r="E16" s="189">
        <f>'[2]I-5 NB'!J16</f>
        <v>0</v>
      </c>
      <c r="F16" s="189" t="str">
        <f>'[2]I-5 NB'!K16</f>
        <v>J</v>
      </c>
      <c r="G16" s="189" t="str">
        <f>'[2]I-5 NB'!L16</f>
        <v>J</v>
      </c>
      <c r="H16" s="197">
        <f>'[2]I-5 NB'!O16</f>
        <v>16098</v>
      </c>
      <c r="I16" s="198">
        <f>VLOOKUP(c_1[[#This Row],[hwycov_id]],readme!D:G,4,FALSE)</f>
        <v>18884.558593999998</v>
      </c>
      <c r="J16" s="49">
        <f t="shared" si="2"/>
        <v>0.17309967660578951</v>
      </c>
      <c r="K16" s="190" t="str">
        <f>'[2]I-5 NB'!P16</f>
        <v>PeMS2016</v>
      </c>
      <c r="L16" s="148">
        <f t="shared" si="3"/>
        <v>7764908.7977952473</v>
      </c>
    </row>
    <row r="17" spans="1:12" x14ac:dyDescent="0.25">
      <c r="A17" s="43">
        <f>'[2]I-5 NB'!C17</f>
        <v>1</v>
      </c>
      <c r="B17" s="43" t="str">
        <f>'[2]I-5 NB'!H17</f>
        <v>I-5 NB</v>
      </c>
      <c r="C17" s="126">
        <f>'[2]I-5 NB'!E17</f>
        <v>27941</v>
      </c>
      <c r="D17" s="188">
        <f>'[2]I-5 NB'!I17</f>
        <v>24</v>
      </c>
      <c r="E17" s="189">
        <f>'[2]I-5 NB'!J17</f>
        <v>0</v>
      </c>
      <c r="F17" s="189" t="str">
        <f>'[2]I-5 NB'!K17</f>
        <v>H</v>
      </c>
      <c r="G17" s="189" t="str">
        <f>'[2]I-5 NB'!L17</f>
        <v>H</v>
      </c>
      <c r="H17" s="197">
        <f>'[2]I-5 NB'!O17</f>
        <v>16472</v>
      </c>
      <c r="I17" s="198">
        <f>VLOOKUP(c_1[[#This Row],[hwycov_id]],readme!D:G,4,FALSE)</f>
        <v>19877.478515999999</v>
      </c>
      <c r="J17" s="49">
        <f t="shared" si="2"/>
        <v>0.20674347474502186</v>
      </c>
      <c r="K17" s="190" t="str">
        <f>'[2]I-5 NB'!P17</f>
        <v>PeMS2016</v>
      </c>
      <c r="L17" s="148">
        <f t="shared" si="3"/>
        <v>11597283.922937557</v>
      </c>
    </row>
    <row r="18" spans="1:12" x14ac:dyDescent="0.25">
      <c r="A18" s="43">
        <f>'[2]I-5 NB'!C18</f>
        <v>1</v>
      </c>
      <c r="B18" s="43" t="str">
        <f>'[2]I-5 NB'!H18</f>
        <v>I-5 NB</v>
      </c>
      <c r="C18" s="126">
        <f>'[2]I-5 NB'!E18</f>
        <v>27946</v>
      </c>
      <c r="D18" s="188">
        <f>'[2]I-5 NB'!I18</f>
        <v>26</v>
      </c>
      <c r="E18" s="189">
        <f>'[2]I-5 NB'!J18</f>
        <v>0</v>
      </c>
      <c r="F18" s="189" t="str">
        <f>'[2]I-5 NB'!K18</f>
        <v>E ST</v>
      </c>
      <c r="G18" s="189" t="str">
        <f>'[2]I-5 NB'!L18</f>
        <v>E ST</v>
      </c>
      <c r="H18" s="197">
        <f>'[2]I-5 NB'!O18</f>
        <v>16589</v>
      </c>
      <c r="I18" s="198">
        <f>VLOOKUP(c_1[[#This Row],[hwycov_id]],readme!D:G,4,FALSE)</f>
        <v>20735.953125</v>
      </c>
      <c r="J18" s="49">
        <f t="shared" si="2"/>
        <v>0.24998210410513</v>
      </c>
      <c r="K18" s="190" t="str">
        <f>'[2]I-5 NB'!P18</f>
        <v>PeMS2016</v>
      </c>
      <c r="L18" s="148">
        <f t="shared" si="3"/>
        <v>17197220.220947266</v>
      </c>
    </row>
    <row r="19" spans="1:12" x14ac:dyDescent="0.25">
      <c r="A19" s="43">
        <f>'[2]I-5 NB'!C19</f>
        <v>1</v>
      </c>
      <c r="B19" s="43" t="str">
        <f>'[2]I-5 NB'!H19</f>
        <v>I-5 NB</v>
      </c>
      <c r="C19" s="126">
        <f>'[2]I-5 NB'!E19</f>
        <v>27948</v>
      </c>
      <c r="D19" s="188">
        <f>'[2]I-5 NB'!I19</f>
        <v>27</v>
      </c>
      <c r="E19" s="189">
        <f>'[2]I-5 NB'!J19</f>
        <v>0</v>
      </c>
      <c r="F19" s="189" t="str">
        <f>'[2]I-5 NB'!K19</f>
        <v>E ST</v>
      </c>
      <c r="G19" s="189" t="str">
        <f>'[2]I-5 NB'!L19</f>
        <v>SR-54 EB</v>
      </c>
      <c r="H19" s="197">
        <f>'[2]I-5 NB'!O19</f>
        <v>16211</v>
      </c>
      <c r="I19" s="198">
        <f>VLOOKUP(c_1[[#This Row],[hwycov_id]],readme!D:G,4,FALSE)</f>
        <v>15642.276367</v>
      </c>
      <c r="J19" s="49">
        <f t="shared" si="2"/>
        <v>-3.5082575596816934E-2</v>
      </c>
      <c r="K19" s="190" t="str">
        <f>'[2]I-5 NB'!P19</f>
        <v>PeMS2016</v>
      </c>
      <c r="L19" s="148">
        <f t="shared" si="3"/>
        <v>323446.57073271822</v>
      </c>
    </row>
    <row r="20" spans="1:12" x14ac:dyDescent="0.25">
      <c r="A20" s="43">
        <f>'[2]I-5 NB'!C20</f>
        <v>1</v>
      </c>
      <c r="B20" s="43" t="str">
        <f>'[2]I-5 NB'!H20</f>
        <v>I-5 NB</v>
      </c>
      <c r="C20" s="126">
        <f>'[2]I-5 NB'!E20</f>
        <v>28695</v>
      </c>
      <c r="D20" s="188">
        <f>'[2]I-5 NB'!I20</f>
        <v>31</v>
      </c>
      <c r="E20" s="189">
        <f>'[2]I-5 NB'!J20</f>
        <v>0</v>
      </c>
      <c r="F20" s="189" t="str">
        <f>'[2]I-5 NB'!K20</f>
        <v>24TH</v>
      </c>
      <c r="G20" s="189" t="str">
        <f>'[2]I-5 NB'!L20</f>
        <v>24TH</v>
      </c>
      <c r="H20" s="197">
        <f>'[2]I-5 NB'!O20</f>
        <v>13780</v>
      </c>
      <c r="I20" s="198">
        <f>VLOOKUP(c_1[[#This Row],[hwycov_id]],readme!D:G,4,FALSE)</f>
        <v>20966.109375</v>
      </c>
      <c r="J20" s="49">
        <f t="shared" si="2"/>
        <v>0.52148834361393326</v>
      </c>
      <c r="K20" s="190" t="str">
        <f>'[2]I-5 NB'!P20</f>
        <v>PeMS2016</v>
      </c>
      <c r="L20" s="148">
        <f t="shared" si="3"/>
        <v>51640167.949462891</v>
      </c>
    </row>
    <row r="21" spans="1:12" x14ac:dyDescent="0.25">
      <c r="A21" s="43">
        <f>'[2]I-5 NB'!C21</f>
        <v>1</v>
      </c>
      <c r="B21" s="43" t="str">
        <f>'[2]I-5 NB'!H21</f>
        <v>I-5 NB</v>
      </c>
      <c r="C21" s="126">
        <f>'[2]I-5 NB'!E21</f>
        <v>28718</v>
      </c>
      <c r="D21" s="188">
        <f>'[2]I-5 NB'!I21</f>
        <v>34</v>
      </c>
      <c r="E21" s="189">
        <f>'[2]I-5 NB'!J21</f>
        <v>0</v>
      </c>
      <c r="F21" s="189" t="str">
        <f>'[2]I-5 NB'!K21</f>
        <v>CIVIC CENTER</v>
      </c>
      <c r="G21" s="189" t="str">
        <f>'[2]I-5 NB'!L21</f>
        <v>CIVIC CENTER</v>
      </c>
      <c r="H21" s="197">
        <f>'[2]I-5 NB'!O21</f>
        <v>15393</v>
      </c>
      <c r="I21" s="198">
        <f>VLOOKUP(c_1[[#This Row],[hwycov_id]],readme!D:G,4,FALSE)</f>
        <v>20088.693359000001</v>
      </c>
      <c r="J21" s="49">
        <f t="shared" si="2"/>
        <v>0.30505381400636655</v>
      </c>
      <c r="K21" s="190" t="str">
        <f>'[2]I-5 NB'!P21</f>
        <v>PeMS2016</v>
      </c>
      <c r="L21" s="148">
        <f t="shared" si="3"/>
        <v>22049536.12175671</v>
      </c>
    </row>
    <row r="22" spans="1:12" x14ac:dyDescent="0.25">
      <c r="A22" s="43">
        <f>'[2]I-5 NB'!C22</f>
        <v>1</v>
      </c>
      <c r="B22" s="43" t="str">
        <f>'[2]I-5 NB'!H22</f>
        <v>I-5 NB</v>
      </c>
      <c r="C22" s="126">
        <f>'[2]I-5 NB'!E22</f>
        <v>28725</v>
      </c>
      <c r="D22" s="188">
        <f>'[2]I-5 NB'!I22</f>
        <v>35</v>
      </c>
      <c r="E22" s="189">
        <f>'[2]I-5 NB'!J22</f>
        <v>0</v>
      </c>
      <c r="F22" s="189" t="str">
        <f>'[2]I-5 NB'!K22</f>
        <v>CIVIC CENTER</v>
      </c>
      <c r="G22" s="189" t="str">
        <f>'[2]I-5 NB'!L22</f>
        <v>CIVIC CENTER</v>
      </c>
      <c r="H22" s="197">
        <f>'[2]I-5 NB'!O22</f>
        <v>13528</v>
      </c>
      <c r="I22" s="198">
        <f>VLOOKUP(c_1[[#This Row],[hwycov_id]],readme!D:G,4,FALSE)</f>
        <v>22583.847656000002</v>
      </c>
      <c r="J22" s="49">
        <f t="shared" si="2"/>
        <v>0.66941511354228278</v>
      </c>
      <c r="K22" s="190" t="str">
        <f>'[2]I-5 NB'!P22</f>
        <v>PeMS2016</v>
      </c>
      <c r="L22" s="148">
        <f t="shared" si="3"/>
        <v>82008376.768680722</v>
      </c>
    </row>
    <row r="23" spans="1:12" x14ac:dyDescent="0.25">
      <c r="A23" s="43">
        <f>'[2]I-5 NB'!C23</f>
        <v>1</v>
      </c>
      <c r="B23" s="43" t="str">
        <f>'[2]I-5 NB'!H23</f>
        <v>I-5 NB</v>
      </c>
      <c r="C23" s="126">
        <f>'[2]I-5 NB'!E23</f>
        <v>28727</v>
      </c>
      <c r="D23" s="188">
        <f>'[2]I-5 NB'!I23</f>
        <v>36</v>
      </c>
      <c r="E23" s="189">
        <f>'[2]I-5 NB'!J23</f>
        <v>0</v>
      </c>
      <c r="F23" s="189" t="str">
        <f>'[2]I-5 NB'!K23</f>
        <v>CIVIC CENTER</v>
      </c>
      <c r="G23" s="189" t="str">
        <f>'[2]I-5 NB'!L23</f>
        <v>MAIN</v>
      </c>
      <c r="H23" s="197">
        <f>'[2]I-5 NB'!O23</f>
        <v>18512</v>
      </c>
      <c r="I23" s="198">
        <f>VLOOKUP(c_1[[#This Row],[hwycov_id]],readme!D:G,4,FALSE)</f>
        <v>26484.007812</v>
      </c>
      <c r="J23" s="49">
        <f t="shared" si="2"/>
        <v>0.43064000713050987</v>
      </c>
      <c r="K23" s="190" t="str">
        <f>'[2]I-5 NB'!P23</f>
        <v>Caltran</v>
      </c>
      <c r="L23" s="148">
        <f t="shared" si="3"/>
        <v>63552908.554589026</v>
      </c>
    </row>
    <row r="24" spans="1:12" x14ac:dyDescent="0.25">
      <c r="A24" s="43">
        <f>'[2]I-5 NB'!C24</f>
        <v>1</v>
      </c>
      <c r="B24" s="43" t="str">
        <f>'[2]I-5 NB'!H24</f>
        <v>I-5 NB</v>
      </c>
      <c r="C24" s="126">
        <f>'[2]I-5 NB'!E24</f>
        <v>20465</v>
      </c>
      <c r="D24" s="188">
        <f>'[2]I-5 NB'!I24</f>
        <v>38</v>
      </c>
      <c r="E24" s="189">
        <f>'[2]I-5 NB'!J24</f>
        <v>0</v>
      </c>
      <c r="F24" s="189" t="str">
        <f>'[2]I-5 NB'!K24</f>
        <v>MAIN</v>
      </c>
      <c r="G24" s="189" t="str">
        <f>'[2]I-5 NB'!L24</f>
        <v>SR-15 NB</v>
      </c>
      <c r="H24" s="197">
        <f>'[2]I-5 NB'!O24</f>
        <v>19491</v>
      </c>
      <c r="I24" s="198">
        <f>VLOOKUP(c_1[[#This Row],[hwycov_id]],readme!D:G,4,FALSE)</f>
        <v>26961.078125</v>
      </c>
      <c r="J24" s="49">
        <f t="shared" si="2"/>
        <v>0.38325781771073819</v>
      </c>
      <c r="K24" s="190" t="str">
        <f>'[2]I-5 NB'!P24</f>
        <v>PeMS2016</v>
      </c>
      <c r="L24" s="148">
        <f t="shared" si="3"/>
        <v>55802067.193603516</v>
      </c>
    </row>
    <row r="25" spans="1:12" x14ac:dyDescent="0.25">
      <c r="A25" s="43">
        <f>'[2]I-5 NB'!C25</f>
        <v>1</v>
      </c>
      <c r="B25" s="43" t="str">
        <f>'[2]I-5 NB'!H25</f>
        <v>I-5 NB</v>
      </c>
      <c r="C25" s="126">
        <f>'[2]I-5 NB'!E25</f>
        <v>20466</v>
      </c>
      <c r="D25" s="188">
        <f>'[2]I-5 NB'!I25</f>
        <v>39</v>
      </c>
      <c r="E25" s="189">
        <f>'[2]I-5 NB'!J25</f>
        <v>0</v>
      </c>
      <c r="F25" s="189" t="str">
        <f>'[2]I-5 NB'!K25</f>
        <v>SR-15 NB</v>
      </c>
      <c r="G25" s="189" t="str">
        <f>'[2]I-5 NB'!L25</f>
        <v>SR-15 SB</v>
      </c>
      <c r="H25" s="197">
        <f>'[2]I-5 NB'!O25</f>
        <v>13222</v>
      </c>
      <c r="I25" s="198">
        <f>VLOOKUP(c_1[[#This Row],[hwycov_id]],readme!D:G,4,FALSE)</f>
        <v>17586.066406000002</v>
      </c>
      <c r="J25" s="49">
        <f t="shared" si="2"/>
        <v>0.33006098971411291</v>
      </c>
      <c r="K25" s="190" t="str">
        <f>'[2]I-5 NB'!P25</f>
        <v>PeMS2016</v>
      </c>
      <c r="L25" s="148">
        <f t="shared" si="3"/>
        <v>19045075.595977772</v>
      </c>
    </row>
    <row r="26" spans="1:12" x14ac:dyDescent="0.25">
      <c r="A26" s="43">
        <f>'[2]I-5 NB'!C26</f>
        <v>1</v>
      </c>
      <c r="B26" s="43" t="str">
        <f>'[2]I-5 NB'!H26</f>
        <v>I-5 NB</v>
      </c>
      <c r="C26" s="126">
        <f>'[2]I-5 NB'!E26</f>
        <v>28735</v>
      </c>
      <c r="D26" s="188">
        <f>'[2]I-5 NB'!I26</f>
        <v>40</v>
      </c>
      <c r="E26" s="189">
        <f>'[2]I-5 NB'!J26</f>
        <v>0</v>
      </c>
      <c r="F26" s="189" t="str">
        <f>'[2]I-5 NB'!K26</f>
        <v>SR-15 SB</v>
      </c>
      <c r="G26" s="189" t="str">
        <f>'[2]I-5 NB'!L26</f>
        <v>NATIONAL</v>
      </c>
      <c r="H26" s="197">
        <f>'[2]I-5 NB'!O26</f>
        <v>13512</v>
      </c>
      <c r="I26" s="198">
        <f>VLOOKUP(c_1[[#This Row],[hwycov_id]],readme!D:G,4,FALSE)</f>
        <v>20065.240234000001</v>
      </c>
      <c r="J26" s="49">
        <f t="shared" si="2"/>
        <v>0.4849940966548254</v>
      </c>
      <c r="K26" s="190" t="str">
        <f>'[2]I-5 NB'!P26</f>
        <v>PeMS2016</v>
      </c>
      <c r="L26" s="148">
        <f t="shared" si="3"/>
        <v>42944957.564516388</v>
      </c>
    </row>
    <row r="27" spans="1:12" x14ac:dyDescent="0.25">
      <c r="A27" s="43">
        <f>'[2]I-5 NB'!C27</f>
        <v>1</v>
      </c>
      <c r="B27" s="43" t="str">
        <f>'[2]I-5 NB'!H27</f>
        <v>I-5 NB</v>
      </c>
      <c r="C27" s="126">
        <f>'[2]I-5 NB'!E27</f>
        <v>20467</v>
      </c>
      <c r="D27" s="188">
        <f>'[2]I-5 NB'!I27</f>
        <v>41</v>
      </c>
      <c r="E27" s="189">
        <f>'[2]I-5 NB'!J27</f>
        <v>0</v>
      </c>
      <c r="F27" s="189" t="str">
        <f>'[2]I-5 NB'!K27</f>
        <v>NATIONAL</v>
      </c>
      <c r="G27" s="189" t="str">
        <f>'[2]I-5 NB'!L27</f>
        <v>28TH</v>
      </c>
      <c r="H27" s="197">
        <f>'[2]I-5 NB'!O27</f>
        <v>16004</v>
      </c>
      <c r="I27" s="198">
        <f>VLOOKUP(c_1[[#This Row],[hwycov_id]],readme!D:G,4,FALSE)</f>
        <v>18888.876952999999</v>
      </c>
      <c r="J27" s="49">
        <f t="shared" si="2"/>
        <v>0.18025974462634342</v>
      </c>
      <c r="K27" s="190" t="str">
        <f>'[2]I-5 NB'!P27</f>
        <v>PeMS2016</v>
      </c>
      <c r="L27" s="148">
        <f t="shared" si="3"/>
        <v>8322515.0339505589</v>
      </c>
    </row>
    <row r="28" spans="1:12" x14ac:dyDescent="0.25">
      <c r="A28" s="43">
        <f>'[2]I-5 NB'!C28</f>
        <v>1</v>
      </c>
      <c r="B28" s="43" t="str">
        <f>'[2]I-5 NB'!H28</f>
        <v>I-5 NB</v>
      </c>
      <c r="C28" s="126">
        <f>'[2]I-5 NB'!E28</f>
        <v>27792</v>
      </c>
      <c r="D28" s="188">
        <f>'[2]I-5 NB'!I28</f>
        <v>47</v>
      </c>
      <c r="E28" s="189">
        <f>'[2]I-5 NB'!J28</f>
        <v>0</v>
      </c>
      <c r="F28" s="189" t="str">
        <f>'[2]I-5 NB'!K28</f>
        <v>SR-75 NB</v>
      </c>
      <c r="G28" s="189" t="str">
        <f>'[2]I-5 NB'!L28</f>
        <v>IMPERIAL</v>
      </c>
      <c r="H28" s="197">
        <f>'[2]I-5 NB'!O28</f>
        <v>17494</v>
      </c>
      <c r="I28" s="198">
        <f>VLOOKUP(c_1[[#This Row],[hwycov_id]],readme!D:G,4,FALSE)</f>
        <v>23526.082031000002</v>
      </c>
      <c r="J28" s="49">
        <f t="shared" si="2"/>
        <v>0.34480862187035566</v>
      </c>
      <c r="K28" s="190" t="str">
        <f>'[2]I-5 NB'!P28</f>
        <v>PeMS2016</v>
      </c>
      <c r="L28" s="148">
        <f t="shared" si="3"/>
        <v>36386013.628713109</v>
      </c>
    </row>
    <row r="29" spans="1:12" x14ac:dyDescent="0.25">
      <c r="A29" s="43">
        <f>'[2]I-5 NB'!C29</f>
        <v>1</v>
      </c>
      <c r="B29" s="43" t="str">
        <f>'[2]I-5 NB'!H29</f>
        <v>I-5 NB</v>
      </c>
      <c r="C29" s="126">
        <f>'[2]I-5 NB'!E29</f>
        <v>27807</v>
      </c>
      <c r="D29" s="188">
        <f>'[2]I-5 NB'!I29</f>
        <v>50</v>
      </c>
      <c r="E29" s="189">
        <f>'[2]I-5 NB'!J29</f>
        <v>0</v>
      </c>
      <c r="F29" s="189" t="str">
        <f>'[2]I-5 NB'!K29</f>
        <v>19TH</v>
      </c>
      <c r="G29" s="189" t="str">
        <f>'[2]I-5 NB'!L29</f>
        <v>PERSHING</v>
      </c>
      <c r="H29" s="197">
        <f>'[2]I-5 NB'!O29</f>
        <v>17981</v>
      </c>
      <c r="I29" s="198">
        <f>VLOOKUP(c_1[[#This Row],[hwycov_id]],readme!D:G,4,FALSE)</f>
        <v>23077.027343999998</v>
      </c>
      <c r="J29" s="49">
        <f t="shared" si="2"/>
        <v>0.28341178710861459</v>
      </c>
      <c r="K29" s="190" t="str">
        <f>'[2]I-5 NB'!P29</f>
        <v>Caltran</v>
      </c>
      <c r="L29" s="148">
        <f t="shared" si="3"/>
        <v>25969494.690795675</v>
      </c>
    </row>
    <row r="30" spans="1:12" x14ac:dyDescent="0.25">
      <c r="A30" s="43">
        <f>'[2]I-5 NB'!C30</f>
        <v>1</v>
      </c>
      <c r="B30" s="43" t="str">
        <f>'[2]I-5 NB'!H30</f>
        <v>I-5 NB</v>
      </c>
      <c r="C30" s="126">
        <f>'[2]I-5 NB'!E30</f>
        <v>30862</v>
      </c>
      <c r="D30" s="188">
        <f>'[2]I-5 NB'!I30</f>
        <v>53</v>
      </c>
      <c r="E30" s="189">
        <f>'[2]I-5 NB'!J30</f>
        <v>0</v>
      </c>
      <c r="F30" s="189" t="str">
        <f>'[2]I-5 NB'!K30</f>
        <v>SR-94 WB</v>
      </c>
      <c r="G30" s="189" t="str">
        <f>'[2]I-5 NB'!L30</f>
        <v>PERSHING</v>
      </c>
      <c r="H30" s="197">
        <f>'[2]I-5 NB'!O30</f>
        <v>16768</v>
      </c>
      <c r="I30" s="198">
        <f>VLOOKUP(c_1[[#This Row],[hwycov_id]],readme!D:G,4,FALSE)</f>
        <v>26549.888672000001</v>
      </c>
      <c r="J30" s="49">
        <f t="shared" si="2"/>
        <v>0.58336645229007633</v>
      </c>
      <c r="K30" s="190" t="str">
        <f>'[2]I-5 NB'!P30</f>
        <v>PeMS2016</v>
      </c>
      <c r="L30" s="148">
        <f t="shared" si="3"/>
        <v>95685345.991401941</v>
      </c>
    </row>
    <row r="31" spans="1:12" x14ac:dyDescent="0.25">
      <c r="A31" s="43">
        <f>'[2]I-5 NB'!C31</f>
        <v>1</v>
      </c>
      <c r="B31" s="43" t="str">
        <f>'[2]I-5 NB'!H31</f>
        <v>I-5 NB</v>
      </c>
      <c r="C31" s="126">
        <f>'[2]I-5 NB'!E31</f>
        <v>27825</v>
      </c>
      <c r="D31" s="188">
        <f>'[2]I-5 NB'!I31</f>
        <v>56</v>
      </c>
      <c r="E31" s="189">
        <f>'[2]I-5 NB'!J31</f>
        <v>0</v>
      </c>
      <c r="F31" s="189" t="str">
        <f>'[2]I-5 NB'!K31</f>
        <v>PERSHING</v>
      </c>
      <c r="G31" s="189" t="str">
        <f>'[2]I-5 NB'!L31</f>
        <v>PARK</v>
      </c>
      <c r="H31" s="197">
        <f>'[2]I-5 NB'!O31</f>
        <v>25692</v>
      </c>
      <c r="I31" s="198">
        <f>VLOOKUP(c_1[[#This Row],[hwycov_id]],readme!D:G,4,FALSE)</f>
        <v>29806.384765999999</v>
      </c>
      <c r="J31" s="49">
        <f t="shared" si="2"/>
        <v>0.16014264230110542</v>
      </c>
      <c r="K31" s="190" t="str">
        <f>'[2]I-5 NB'!P31</f>
        <v>PeMS2016</v>
      </c>
      <c r="L31" s="148">
        <f t="shared" si="3"/>
        <v>16928162.002692867</v>
      </c>
    </row>
    <row r="32" spans="1:12" x14ac:dyDescent="0.25">
      <c r="A32" s="43">
        <f>'[2]I-5 NB'!C32</f>
        <v>1</v>
      </c>
      <c r="B32" s="43" t="str">
        <f>'[2]I-5 NB'!H32</f>
        <v>I-5 NB</v>
      </c>
      <c r="C32" s="126">
        <f>'[2]I-5 NB'!E32</f>
        <v>27832</v>
      </c>
      <c r="D32" s="188">
        <f>'[2]I-5 NB'!I32</f>
        <v>58</v>
      </c>
      <c r="E32" s="189">
        <f>'[2]I-5 NB'!J32</f>
        <v>0</v>
      </c>
      <c r="F32" s="189" t="str">
        <f>'[2]I-5 NB'!K32</f>
        <v>PARK</v>
      </c>
      <c r="G32" s="189" t="str">
        <f>'[2]I-5 NB'!L32</f>
        <v>PARK</v>
      </c>
      <c r="H32" s="197">
        <f>'[2]I-5 NB'!O32</f>
        <v>24518</v>
      </c>
      <c r="I32" s="198">
        <f>VLOOKUP(c_1[[#This Row],[hwycov_id]],readme!D:G,4,FALSE)</f>
        <v>24912.363281000002</v>
      </c>
      <c r="J32" s="49">
        <f t="shared" si="2"/>
        <v>1.6084643160127365E-2</v>
      </c>
      <c r="K32" s="190" t="str">
        <f>'[2]I-5 NB'!P32</f>
        <v>PeMS2016</v>
      </c>
      <c r="L32" s="148">
        <f t="shared" si="3"/>
        <v>155522.39740108632</v>
      </c>
    </row>
    <row r="33" spans="1:33" x14ac:dyDescent="0.25">
      <c r="A33" s="43">
        <f>'[2]I-5 NB'!C33</f>
        <v>1</v>
      </c>
      <c r="B33" s="43" t="str">
        <f>'[2]I-5 NB'!H33</f>
        <v>I-5 NB</v>
      </c>
      <c r="C33" s="126">
        <f>'[2]I-5 NB'!E33</f>
        <v>29232</v>
      </c>
      <c r="D33" s="188">
        <f>'[2]I-5 NB'!I33</f>
        <v>59</v>
      </c>
      <c r="E33" s="189">
        <f>'[2]I-5 NB'!J33</f>
        <v>0</v>
      </c>
      <c r="F33" s="189" t="str">
        <f>'[2]I-5 NB'!K33</f>
        <v>PARK</v>
      </c>
      <c r="G33" s="189" t="str">
        <f>'[2]I-5 NB'!L33</f>
        <v>06TH</v>
      </c>
      <c r="H33" s="197">
        <f>'[2]I-5 NB'!O33</f>
        <v>16511</v>
      </c>
      <c r="I33" s="198">
        <f>VLOOKUP(c_1[[#This Row],[hwycov_id]],readme!D:G,4,FALSE)</f>
        <v>20386.878906000002</v>
      </c>
      <c r="J33" s="49">
        <f t="shared" si="2"/>
        <v>0.2347452550420932</v>
      </c>
      <c r="K33" s="190" t="str">
        <f>'[2]I-5 NB'!P33</f>
        <v>PeMS2016</v>
      </c>
      <c r="L33" s="148">
        <f t="shared" si="3"/>
        <v>15022437.29397577</v>
      </c>
    </row>
    <row r="34" spans="1:33" x14ac:dyDescent="0.25">
      <c r="A34" s="43">
        <f>'[2]I-5 NB'!C34</f>
        <v>1</v>
      </c>
      <c r="B34" s="43" t="str">
        <f>'[2]I-5 NB'!H34</f>
        <v>I-5 NB</v>
      </c>
      <c r="C34" s="126">
        <f>'[2]I-5 NB'!E34</f>
        <v>29756</v>
      </c>
      <c r="D34" s="188">
        <f>'[2]I-5 NB'!I34</f>
        <v>61</v>
      </c>
      <c r="E34" s="189">
        <f>'[2]I-5 NB'!J34</f>
        <v>0</v>
      </c>
      <c r="F34" s="189" t="str">
        <f>'[2]I-5 NB'!K34</f>
        <v>HAWTHORN</v>
      </c>
      <c r="G34" s="189" t="str">
        <f>'[2]I-5 NB'!L34</f>
        <v>01ST</v>
      </c>
      <c r="H34" s="197">
        <f>'[2]I-5 NB'!O34</f>
        <v>17069</v>
      </c>
      <c r="I34" s="198">
        <f>VLOOKUP(c_1[[#This Row],[hwycov_id]],readme!D:G,4,FALSE)</f>
        <v>18601.316406000002</v>
      </c>
      <c r="J34" s="49">
        <f t="shared" si="2"/>
        <v>8.9771890913351804E-2</v>
      </c>
      <c r="K34" s="190" t="str">
        <f>'[2]I-5 NB'!P34</f>
        <v>PeMS2016</v>
      </c>
      <c r="L34" s="148">
        <f t="shared" si="3"/>
        <v>2347993.5680967621</v>
      </c>
    </row>
    <row r="35" spans="1:33" x14ac:dyDescent="0.25">
      <c r="A35" s="43">
        <f>'[2]I-5 NB'!C35</f>
        <v>1</v>
      </c>
      <c r="B35" s="43" t="str">
        <f>'[2]I-5 NB'!H35</f>
        <v>I-5 NB</v>
      </c>
      <c r="C35" s="126">
        <f>'[2]I-5 NB'!E35</f>
        <v>30864</v>
      </c>
      <c r="D35" s="188">
        <f>'[2]I-5 NB'!I35</f>
        <v>63</v>
      </c>
      <c r="E35" s="189">
        <f>'[2]I-5 NB'!J35</f>
        <v>0</v>
      </c>
      <c r="F35" s="189" t="str">
        <f>'[2]I-5 NB'!K35</f>
        <v>01ST</v>
      </c>
      <c r="G35" s="189" t="str">
        <f>'[2]I-5 NB'!L35</f>
        <v>HAWTHORN</v>
      </c>
      <c r="H35" s="197">
        <f>'[2]I-5 NB'!O35</f>
        <v>22881</v>
      </c>
      <c r="I35" s="198">
        <f>VLOOKUP(c_1[[#This Row],[hwycov_id]],readme!D:G,4,FALSE)</f>
        <v>23477.322265999999</v>
      </c>
      <c r="J35" s="49">
        <f t="shared" si="2"/>
        <v>2.6061897032472414E-2</v>
      </c>
      <c r="K35" s="190" t="str">
        <f>'[2]I-5 NB'!P35</f>
        <v>PeMS2016</v>
      </c>
      <c r="L35" s="148">
        <f t="shared" si="3"/>
        <v>355600.24492737383</v>
      </c>
    </row>
    <row r="36" spans="1:33" x14ac:dyDescent="0.25">
      <c r="A36" s="43">
        <f>'[2]I-5 NB'!C36</f>
        <v>1</v>
      </c>
      <c r="B36" s="43" t="str">
        <f>'[2]I-5 NB'!H36</f>
        <v>I-5 NB</v>
      </c>
      <c r="C36" s="126">
        <f>'[2]I-5 NB'!E36</f>
        <v>20529</v>
      </c>
      <c r="D36" s="188">
        <f>'[2]I-5 NB'!I36</f>
        <v>66</v>
      </c>
      <c r="E36" s="189">
        <f>'[2]I-5 NB'!J36</f>
        <v>0</v>
      </c>
      <c r="F36" s="189" t="str">
        <f>'[2]I-5 NB'!K36</f>
        <v>INDIA</v>
      </c>
      <c r="G36" s="189" t="str">
        <f>'[2]I-5 NB'!L36</f>
        <v>PACIFIC</v>
      </c>
      <c r="H36" s="197">
        <f>'[2]I-5 NB'!O36</f>
        <v>18567</v>
      </c>
      <c r="I36" s="198">
        <f>VLOOKUP(c_1[[#This Row],[hwycov_id]],readme!D:G,4,FALSE)</f>
        <v>24870.359375</v>
      </c>
      <c r="J36" s="49">
        <f t="shared" si="2"/>
        <v>0.33949261458501634</v>
      </c>
      <c r="K36" s="190" t="str">
        <f>'[2]I-5 NB'!P36</f>
        <v>PeMS2016</v>
      </c>
      <c r="L36" s="148">
        <f t="shared" si="3"/>
        <v>39732339.410400391</v>
      </c>
    </row>
    <row r="37" spans="1:33" x14ac:dyDescent="0.25">
      <c r="A37" s="43">
        <f>'[2]I-5 NB'!C37</f>
        <v>1</v>
      </c>
      <c r="B37" s="43" t="str">
        <f>'[2]I-5 NB'!H37</f>
        <v>I-5 NB</v>
      </c>
      <c r="C37" s="126">
        <f>'[2]I-5 NB'!E37</f>
        <v>20549</v>
      </c>
      <c r="D37" s="188">
        <f>'[2]I-5 NB'!I37</f>
        <v>67</v>
      </c>
      <c r="E37" s="189">
        <f>'[2]I-5 NB'!J37</f>
        <v>0</v>
      </c>
      <c r="F37" s="189" t="str">
        <f>'[2]I-5 NB'!K37</f>
        <v>PACIFIC</v>
      </c>
      <c r="G37" s="189" t="str">
        <f>'[2]I-5 NB'!L37</f>
        <v>INDIA</v>
      </c>
      <c r="H37" s="197">
        <f>'[2]I-5 NB'!O37</f>
        <v>18612</v>
      </c>
      <c r="I37" s="198">
        <f>VLOOKUP(c_1[[#This Row],[hwycov_id]],readme!D:G,4,FALSE)</f>
        <v>20102.849609000001</v>
      </c>
      <c r="J37" s="49">
        <f t="shared" si="2"/>
        <v>8.0101526380829569E-2</v>
      </c>
      <c r="K37" s="190" t="str">
        <f>'[2]I-5 NB'!P37</f>
        <v>PeMS2016</v>
      </c>
      <c r="L37" s="148">
        <f t="shared" si="3"/>
        <v>2222632.5566554554</v>
      </c>
    </row>
    <row r="38" spans="1:33" x14ac:dyDescent="0.25">
      <c r="A38" s="43">
        <f>'[2]I-5 NB'!C38</f>
        <v>1</v>
      </c>
      <c r="B38" s="43" t="str">
        <f>'[2]I-5 NB'!H38</f>
        <v>I-5 NB</v>
      </c>
      <c r="C38" s="126">
        <f>'[2]I-5 NB'!E38</f>
        <v>20588</v>
      </c>
      <c r="D38" s="188">
        <f>'[2]I-5 NB'!I38</f>
        <v>68</v>
      </c>
      <c r="E38" s="189">
        <f>'[2]I-5 NB'!J38</f>
        <v>0</v>
      </c>
      <c r="F38" s="189" t="str">
        <f>'[2]I-5 NB'!K38</f>
        <v>INDIA</v>
      </c>
      <c r="G38" s="189" t="str">
        <f>'[2]I-5 NB'!L38</f>
        <v>INDIA</v>
      </c>
      <c r="H38" s="197">
        <f>'[2]I-5 NB'!O38</f>
        <v>17424</v>
      </c>
      <c r="I38" s="198">
        <f>VLOOKUP(c_1[[#This Row],[hwycov_id]],readme!D:G,4,FALSE)</f>
        <v>18593.142577999999</v>
      </c>
      <c r="J38" s="49">
        <f t="shared" si="2"/>
        <v>6.7099551078971587E-2</v>
      </c>
      <c r="K38" s="190" t="str">
        <f>'[2]I-5 NB'!P38</f>
        <v>PeMS2016</v>
      </c>
      <c r="L38" s="148">
        <f t="shared" si="3"/>
        <v>1366894.3676924838</v>
      </c>
    </row>
    <row r="39" spans="1:33" x14ac:dyDescent="0.25">
      <c r="A39" s="43">
        <f>'[2]I-5 NB'!C39</f>
        <v>1</v>
      </c>
      <c r="B39" s="43" t="str">
        <f>'[2]I-5 NB'!H39</f>
        <v>I-5 NB</v>
      </c>
      <c r="C39" s="126">
        <f>'[2]I-5 NB'!E39</f>
        <v>10969</v>
      </c>
      <c r="D39" s="188">
        <f>'[2]I-5 NB'!I39</f>
        <v>69</v>
      </c>
      <c r="E39" s="189">
        <f>'[2]I-5 NB'!J39</f>
        <v>0</v>
      </c>
      <c r="F39" s="189" t="str">
        <f>'[2]I-5 NB'!K39</f>
        <v>INDIA</v>
      </c>
      <c r="G39" s="189" t="str">
        <f>'[2]I-5 NB'!L39</f>
        <v>WASHINGTON</v>
      </c>
      <c r="H39" s="197">
        <f>'[2]I-5 NB'!O39</f>
        <v>19134</v>
      </c>
      <c r="I39" s="198">
        <f>VLOOKUP(c_1[[#This Row],[hwycov_id]],readme!D:G,4,FALSE)</f>
        <v>20273.744140999999</v>
      </c>
      <c r="J39" s="49">
        <f t="shared" si="2"/>
        <v>5.9566433626005999E-2</v>
      </c>
      <c r="K39" s="190" t="str">
        <f>'[2]I-5 NB'!P39</f>
        <v>PeMS2016</v>
      </c>
      <c r="L39" s="148">
        <f t="shared" si="3"/>
        <v>1299016.7069438261</v>
      </c>
    </row>
    <row r="40" spans="1:33" x14ac:dyDescent="0.25">
      <c r="A40" s="43">
        <f>'[2]I-5 NB'!C40</f>
        <v>1</v>
      </c>
      <c r="B40" s="43" t="str">
        <f>'[2]I-5 NB'!H40</f>
        <v>I-5 NB</v>
      </c>
      <c r="C40" s="126">
        <f>'[2]I-5 NB'!E40</f>
        <v>30813</v>
      </c>
      <c r="D40" s="188">
        <f>'[2]I-5 NB'!I40</f>
        <v>71</v>
      </c>
      <c r="E40" s="189">
        <f>'[2]I-5 NB'!J40</f>
        <v>0</v>
      </c>
      <c r="F40" s="189" t="str">
        <f>'[2]I-5 NB'!K40</f>
        <v>OLD TOWN</v>
      </c>
      <c r="G40" s="189" t="str">
        <f>'[2]I-5 NB'!L40</f>
        <v>OLD TOWN</v>
      </c>
      <c r="H40" s="197">
        <f>'[2]I-5 NB'!O40</f>
        <v>21648</v>
      </c>
      <c r="I40" s="198">
        <f>VLOOKUP(c_1[[#This Row],[hwycov_id]],readme!D:G,4,FALSE)</f>
        <v>20985.71875</v>
      </c>
      <c r="J40" s="49">
        <f t="shared" si="2"/>
        <v>-3.0593184127864048E-2</v>
      </c>
      <c r="K40" s="190" t="str">
        <f>'[2]I-5 NB'!P40</f>
        <v>PeMS2016</v>
      </c>
      <c r="L40" s="148">
        <f t="shared" si="3"/>
        <v>438616.4541015625</v>
      </c>
    </row>
    <row r="41" spans="1:33" x14ac:dyDescent="0.25">
      <c r="A41" s="43">
        <f>'[2]I-5 NB'!C41</f>
        <v>1</v>
      </c>
      <c r="B41" s="43" t="str">
        <f>'[2]I-5 NB'!H41</f>
        <v>I-5 NB</v>
      </c>
      <c r="C41" s="126">
        <f>'[2]I-5 NB'!E41</f>
        <v>10966</v>
      </c>
      <c r="D41" s="188">
        <f>'[2]I-5 NB'!I41</f>
        <v>73</v>
      </c>
      <c r="E41" s="189">
        <f>'[2]I-5 NB'!J41</f>
        <v>0</v>
      </c>
      <c r="F41" s="189" t="str">
        <f>'[2]I-5 NB'!K41</f>
        <v>OLD TOWN</v>
      </c>
      <c r="G41" s="189" t="str">
        <f>'[2]I-5 NB'!L41</f>
        <v>OLD TOWN</v>
      </c>
      <c r="H41" s="197">
        <f>'[2]I-5 NB'!O41</f>
        <v>21758</v>
      </c>
      <c r="I41" s="198">
        <f>VLOOKUP(c_1[[#This Row],[hwycov_id]],readme!D:G,4,FALSE)</f>
        <v>20985.71875</v>
      </c>
      <c r="J41" s="49">
        <f t="shared" si="2"/>
        <v>-3.5494128596378349E-2</v>
      </c>
      <c r="K41" s="190" t="str">
        <f>'[2]I-5 NB'!P41</f>
        <v>PeMS2016</v>
      </c>
      <c r="L41" s="148">
        <f t="shared" si="3"/>
        <v>596418.3291015625</v>
      </c>
    </row>
    <row r="42" spans="1:33" x14ac:dyDescent="0.25">
      <c r="A42" s="43">
        <f>'[2]I-5 NB'!C42</f>
        <v>1</v>
      </c>
      <c r="B42" s="43" t="str">
        <f>'[2]I-5 NB'!H42</f>
        <v>I-5 NB</v>
      </c>
      <c r="C42" s="126">
        <f>'[2]I-5 NB'!E42</f>
        <v>20600</v>
      </c>
      <c r="D42" s="188">
        <f>'[2]I-5 NB'!I42</f>
        <v>75</v>
      </c>
      <c r="E42" s="189">
        <f>'[2]I-5 NB'!J42</f>
        <v>0</v>
      </c>
      <c r="F42" s="189" t="str">
        <f>'[2]I-5 NB'!K42</f>
        <v>I-8 EB</v>
      </c>
      <c r="G42" s="189" t="str">
        <f>'[2]I-5 NB'!L42</f>
        <v>CAM DEL RIO WEST</v>
      </c>
      <c r="H42" s="197">
        <f>'[2]I-5 NB'!O42</f>
        <v>16826</v>
      </c>
      <c r="I42" s="198">
        <f>VLOOKUP(c_1[[#This Row],[hwycov_id]],readme!D:G,4,FALSE)</f>
        <v>16188.6875</v>
      </c>
      <c r="J42" s="49">
        <f t="shared" si="2"/>
        <v>-3.787664923332934E-2</v>
      </c>
      <c r="K42" s="190" t="str">
        <f>'[2]I-5 NB'!P42</f>
        <v>PeMS2016</v>
      </c>
      <c r="L42" s="148">
        <f t="shared" si="3"/>
        <v>406167.22265625</v>
      </c>
      <c r="AG42" t="s">
        <v>39</v>
      </c>
    </row>
    <row r="43" spans="1:33" x14ac:dyDescent="0.25">
      <c r="A43" s="43">
        <f>'[2]I-5 NB'!C43</f>
        <v>1</v>
      </c>
      <c r="B43" s="43" t="str">
        <f>'[2]I-5 NB'!H43</f>
        <v>I-5 NB</v>
      </c>
      <c r="C43" s="126">
        <f>'[2]I-5 NB'!E43</f>
        <v>26708</v>
      </c>
      <c r="D43" s="188">
        <f>'[2]I-5 NB'!I43</f>
        <v>81</v>
      </c>
      <c r="E43" s="189">
        <f>'[2]I-5 NB'!J43</f>
        <v>0</v>
      </c>
      <c r="F43" s="189" t="str">
        <f>'[2]I-5 NB'!K43</f>
        <v>TECOLOTE</v>
      </c>
      <c r="G43" s="189" t="str">
        <f>'[2]I-5 NB'!L43</f>
        <v>TECOLOTE</v>
      </c>
      <c r="H43" s="197">
        <f>'[2]I-5 NB'!O43</f>
        <v>21260</v>
      </c>
      <c r="I43" s="198">
        <f>VLOOKUP(c_1[[#This Row],[hwycov_id]],readme!D:G,4,FALSE)</f>
        <v>24569.109375</v>
      </c>
      <c r="J43" s="49">
        <f t="shared" si="2"/>
        <v>0.15564954727187197</v>
      </c>
      <c r="K43" s="190" t="str">
        <f>'[2]I-5 NB'!P43</f>
        <v>PeMS2016</v>
      </c>
      <c r="L43" s="148">
        <f t="shared" si="3"/>
        <v>10950204.855712891</v>
      </c>
    </row>
    <row r="44" spans="1:33" ht="15.75" x14ac:dyDescent="0.25">
      <c r="A44" s="43">
        <f>'[2]I-5 NB'!C44</f>
        <v>1</v>
      </c>
      <c r="B44" s="43" t="str">
        <f>'[2]I-5 NB'!H44</f>
        <v>I-5 NB</v>
      </c>
      <c r="C44" s="126">
        <f>'[2]I-5 NB'!E44</f>
        <v>8790</v>
      </c>
      <c r="D44" s="188">
        <f>'[2]I-5 NB'!I44</f>
        <v>85</v>
      </c>
      <c r="E44" s="189">
        <f>'[2]I-5 NB'!J44</f>
        <v>0</v>
      </c>
      <c r="F44" s="189" t="str">
        <f>'[2]I-5 NB'!K44</f>
        <v>TECOLOTE</v>
      </c>
      <c r="G44" s="189" t="str">
        <f>'[2]I-5 NB'!L44</f>
        <v>CLAIREMONT</v>
      </c>
      <c r="H44" s="197">
        <f>'[2]I-5 NB'!O44</f>
        <v>18096</v>
      </c>
      <c r="I44" s="198">
        <f>VLOOKUP(c_1[[#This Row],[hwycov_id]],readme!D:G,4,FALSE)</f>
        <v>27119.654297000001</v>
      </c>
      <c r="J44" s="49">
        <f t="shared" si="2"/>
        <v>0.4986546362179487</v>
      </c>
      <c r="K44" s="190" t="str">
        <f>'[2]I-5 NB'!P44</f>
        <v>PeMS2016</v>
      </c>
      <c r="L44" s="148">
        <f t="shared" si="3"/>
        <v>81426336.871766582</v>
      </c>
      <c r="Q44" s="8"/>
    </row>
    <row r="45" spans="1:33" x14ac:dyDescent="0.25">
      <c r="A45" s="43">
        <f>'[2]I-5 NB'!C45</f>
        <v>1</v>
      </c>
      <c r="B45" s="43" t="str">
        <f>'[2]I-5 NB'!H45</f>
        <v>I-5 NB</v>
      </c>
      <c r="C45" s="126">
        <f>'[2]I-5 NB'!E45</f>
        <v>8784</v>
      </c>
      <c r="D45" s="188">
        <f>'[2]I-5 NB'!I45</f>
        <v>86</v>
      </c>
      <c r="E45" s="189">
        <f>'[2]I-5 NB'!J45</f>
        <v>0</v>
      </c>
      <c r="F45" s="189" t="str">
        <f>'[2]I-5 NB'!K45</f>
        <v>CLAIREMONT</v>
      </c>
      <c r="G45" s="189" t="str">
        <f>'[2]I-5 NB'!L45</f>
        <v>CLAIREMONT</v>
      </c>
      <c r="H45" s="197">
        <f>'[2]I-5 NB'!O45</f>
        <v>22959</v>
      </c>
      <c r="I45" s="198">
        <f>VLOOKUP(c_1[[#This Row],[hwycov_id]],readme!D:G,4,FALSE)</f>
        <v>24965.744140999999</v>
      </c>
      <c r="J45" s="49">
        <f t="shared" si="2"/>
        <v>8.7405555163552417E-2</v>
      </c>
      <c r="K45" s="190" t="str">
        <f>'[2]I-5 NB'!P45</f>
        <v>PeMS2016</v>
      </c>
      <c r="L45" s="148">
        <f t="shared" si="3"/>
        <v>4027022.0474378248</v>
      </c>
    </row>
    <row r="46" spans="1:33" x14ac:dyDescent="0.25">
      <c r="A46" s="43">
        <f>'[2]I-5 NB'!C46</f>
        <v>1</v>
      </c>
      <c r="B46" s="43" t="str">
        <f>'[2]I-5 NB'!H46</f>
        <v>I-5 NB</v>
      </c>
      <c r="C46" s="126">
        <f>'[2]I-5 NB'!E46</f>
        <v>20640</v>
      </c>
      <c r="D46" s="188">
        <f>'[2]I-5 NB'!I46</f>
        <v>88</v>
      </c>
      <c r="E46" s="189">
        <f>'[2]I-5 NB'!J46</f>
        <v>0</v>
      </c>
      <c r="F46" s="189" t="str">
        <f>'[2]I-5 NB'!K46</f>
        <v>MISSION BAY</v>
      </c>
      <c r="G46" s="189" t="str">
        <f>'[2]I-5 NB'!L46</f>
        <v>BALBOA</v>
      </c>
      <c r="H46" s="197">
        <f>'[2]I-5 NB'!O46</f>
        <v>17572</v>
      </c>
      <c r="I46" s="198">
        <f>VLOOKUP(c_1[[#This Row],[hwycov_id]],readme!D:G,4,FALSE)</f>
        <v>20442.128906000002</v>
      </c>
      <c r="J46" s="49">
        <f t="shared" si="2"/>
        <v>0.16333535772820396</v>
      </c>
      <c r="K46" s="190" t="str">
        <f>'[2]I-5 NB'!P46</f>
        <v>PeMS2016</v>
      </c>
      <c r="L46" s="148">
        <f t="shared" si="3"/>
        <v>8237639.9370567668</v>
      </c>
    </row>
    <row r="47" spans="1:33" x14ac:dyDescent="0.25">
      <c r="A47" s="43">
        <f>'[2]I-5 NB'!C47</f>
        <v>1</v>
      </c>
      <c r="B47" s="43" t="str">
        <f>'[2]I-5 NB'!H47</f>
        <v>I-5 NB</v>
      </c>
      <c r="C47" s="126">
        <f>'[2]I-5 NB'!E47</f>
        <v>8781</v>
      </c>
      <c r="D47" s="188">
        <f>'[2]I-5 NB'!I47</f>
        <v>89</v>
      </c>
      <c r="E47" s="189">
        <f>'[2]I-5 NB'!J47</f>
        <v>0</v>
      </c>
      <c r="F47" s="189" t="str">
        <f>'[2]I-5 NB'!K47</f>
        <v>BALBOA</v>
      </c>
      <c r="G47" s="189" t="str">
        <f>'[2]I-5 NB'!L47</f>
        <v>MISSION BAY</v>
      </c>
      <c r="H47" s="197">
        <f>'[2]I-5 NB'!O47</f>
        <v>15363</v>
      </c>
      <c r="I47" s="198">
        <f>VLOOKUP(c_1[[#This Row],[hwycov_id]],readme!D:G,4,FALSE)</f>
        <v>17086.748047000001</v>
      </c>
      <c r="J47" s="49">
        <f t="shared" si="2"/>
        <v>0.1122012658334961</v>
      </c>
      <c r="K47" s="190" t="str">
        <f>'[2]I-5 NB'!P47</f>
        <v>PeMS2016</v>
      </c>
      <c r="L47" s="148">
        <f t="shared" si="3"/>
        <v>2971307.3295363174</v>
      </c>
    </row>
    <row r="48" spans="1:33" x14ac:dyDescent="0.25">
      <c r="A48" s="43">
        <f>'[2]I-5 NB'!C48</f>
        <v>1</v>
      </c>
      <c r="B48" s="43" t="str">
        <f>'[2]I-5 NB'!H48</f>
        <v>I-5 NB</v>
      </c>
      <c r="C48" s="126">
        <f>'[2]I-5 NB'!E48</f>
        <v>26014</v>
      </c>
      <c r="D48" s="188">
        <f>'[2]I-5 NB'!I48</f>
        <v>91</v>
      </c>
      <c r="E48" s="189">
        <f>'[2]I-5 NB'!J48</f>
        <v>0</v>
      </c>
      <c r="F48" s="189" t="str">
        <f>'[2]I-5 NB'!K48</f>
        <v>MISSION BAY</v>
      </c>
      <c r="G48" s="189" t="str">
        <f>'[2]I-5 NB'!L48</f>
        <v>SR-52 WB</v>
      </c>
      <c r="H48" s="197">
        <f>'[2]I-5 NB'!O48</f>
        <v>19336</v>
      </c>
      <c r="I48" s="198">
        <f>VLOOKUP(c_1[[#This Row],[hwycov_id]],readme!D:G,4,FALSE)</f>
        <v>20734.320312</v>
      </c>
      <c r="J48" s="49">
        <f t="shared" si="2"/>
        <v>7.2316937939594483E-2</v>
      </c>
      <c r="K48" s="190" t="str">
        <f>'[2]I-5 NB'!P48</f>
        <v>Caltran</v>
      </c>
      <c r="L48" s="148">
        <f t="shared" si="3"/>
        <v>1955299.6949517769</v>
      </c>
    </row>
    <row r="49" spans="1:16" x14ac:dyDescent="0.25">
      <c r="A49" s="43">
        <f>'[2]I-5 NB'!C49</f>
        <v>1</v>
      </c>
      <c r="B49" s="43" t="str">
        <f>'[2]I-5 NB'!H49</f>
        <v>I-5 NB</v>
      </c>
      <c r="C49" s="126">
        <f>'[2]I-5 NB'!E49</f>
        <v>12010</v>
      </c>
      <c r="D49" s="188">
        <f>'[2]I-5 NB'!I49</f>
        <v>92</v>
      </c>
      <c r="E49" s="189">
        <f>'[2]I-5 NB'!J49</f>
        <v>0</v>
      </c>
      <c r="F49" s="189" t="str">
        <f>'[2]I-5 NB'!K49</f>
        <v>SR-52 WB</v>
      </c>
      <c r="G49" s="189" t="str">
        <f>'[2]I-5 NB'!L49</f>
        <v>SR-52 EB</v>
      </c>
      <c r="H49" s="197">
        <f>'[2]I-5 NB'!O49</f>
        <v>14218</v>
      </c>
      <c r="I49" s="198">
        <f>VLOOKUP(c_1[[#This Row],[hwycov_id]],readme!D:G,4,FALSE)</f>
        <v>18711.841797000001</v>
      </c>
      <c r="J49" s="49">
        <f t="shared" si="2"/>
        <v>0.31606708376705583</v>
      </c>
      <c r="K49" s="190" t="str">
        <f>'[2]I-5 NB'!P49</f>
        <v>PeMS2016</v>
      </c>
      <c r="L49" s="148">
        <f t="shared" si="3"/>
        <v>20194614.096464198</v>
      </c>
      <c r="M49" s="45"/>
    </row>
    <row r="50" spans="1:16" s="12" customFormat="1" x14ac:dyDescent="0.25">
      <c r="A50" s="43">
        <f>'[2]I-5 NB'!C50</f>
        <v>1</v>
      </c>
      <c r="B50" s="43" t="str">
        <f>'[2]I-5 NB'!H50</f>
        <v>I-5 NB</v>
      </c>
      <c r="C50" s="126">
        <f>'[2]I-5 NB'!E50</f>
        <v>12007</v>
      </c>
      <c r="D50" s="188">
        <f>'[2]I-5 NB'!I50</f>
        <v>93</v>
      </c>
      <c r="E50" s="189">
        <f>'[2]I-5 NB'!J50</f>
        <v>0</v>
      </c>
      <c r="F50" s="189" t="str">
        <f>'[2]I-5 NB'!K50</f>
        <v>SR-52 EB</v>
      </c>
      <c r="G50" s="189" t="str">
        <f>'[2]I-5 NB'!L50</f>
        <v>SR-52 WB</v>
      </c>
      <c r="H50" s="197">
        <f>'[2]I-5 NB'!O50</f>
        <v>13075</v>
      </c>
      <c r="I50" s="198">
        <f>VLOOKUP(c_1[[#This Row],[hwycov_id]],readme!D:G,4,FALSE)</f>
        <v>17324.595702999999</v>
      </c>
      <c r="J50" s="49">
        <f t="shared" si="2"/>
        <v>0.32501687977055438</v>
      </c>
      <c r="K50" s="190" t="str">
        <f>'[2]I-5 NB'!P50</f>
        <v>PeMS2016</v>
      </c>
      <c r="L50" s="148">
        <f t="shared" si="3"/>
        <v>18059063.638956055</v>
      </c>
      <c r="M50" s="45"/>
      <c r="N50" s="45"/>
      <c r="O50" s="28"/>
      <c r="P50" s="28"/>
    </row>
    <row r="51" spans="1:16" s="12" customFormat="1" x14ac:dyDescent="0.25">
      <c r="A51" s="43">
        <f>'[2]I-5 NB'!C51</f>
        <v>1</v>
      </c>
      <c r="B51" s="43" t="str">
        <f>'[2]I-5 NB'!H51</f>
        <v>I-5 NB</v>
      </c>
      <c r="C51" s="126">
        <f>'[2]I-5 NB'!E51</f>
        <v>15020</v>
      </c>
      <c r="D51" s="188">
        <f>'[2]I-5 NB'!I51</f>
        <v>95</v>
      </c>
      <c r="E51" s="189">
        <f>'[2]I-5 NB'!J51</f>
        <v>0</v>
      </c>
      <c r="F51" s="189" t="str">
        <f>'[2]I-5 NB'!K51</f>
        <v>GILMAN</v>
      </c>
      <c r="G51" s="189" t="str">
        <f>'[2]I-5 NB'!L51</f>
        <v>GILMAN</v>
      </c>
      <c r="H51" s="197">
        <f>'[2]I-5 NB'!O51</f>
        <v>15069</v>
      </c>
      <c r="I51" s="198">
        <f>VLOOKUP(c_1[[#This Row],[hwycov_id]],readme!D:G,4,FALSE)</f>
        <v>18539.802734000001</v>
      </c>
      <c r="J51" s="49">
        <f t="shared" si="2"/>
        <v>0.23032734315482117</v>
      </c>
      <c r="K51" s="190" t="str">
        <f>'[2]I-5 NB'!P51</f>
        <v>PeMS2016</v>
      </c>
      <c r="L51" s="148">
        <f t="shared" si="3"/>
        <v>12046471.61834188</v>
      </c>
      <c r="M51" s="45"/>
      <c r="N51" s="45"/>
      <c r="O51" s="28"/>
      <c r="P51" s="28"/>
    </row>
    <row r="52" spans="1:16" s="12" customFormat="1" x14ac:dyDescent="0.25">
      <c r="A52" s="43">
        <f>'[2]I-5 NB'!C52</f>
        <v>1</v>
      </c>
      <c r="B52" s="43" t="str">
        <f>'[2]I-5 NB'!H52</f>
        <v>I-5 NB</v>
      </c>
      <c r="C52" s="126">
        <f>'[2]I-5 NB'!E52</f>
        <v>15036</v>
      </c>
      <c r="D52" s="188">
        <f>'[2]I-5 NB'!I52</f>
        <v>96</v>
      </c>
      <c r="E52" s="189">
        <f>'[2]I-5 NB'!J52</f>
        <v>0</v>
      </c>
      <c r="F52" s="189" t="str">
        <f>'[2]I-5 NB'!K52</f>
        <v>GILMAN</v>
      </c>
      <c r="G52" s="189" t="str">
        <f>'[2]I-5 NB'!L52</f>
        <v>NOBEL</v>
      </c>
      <c r="H52" s="197">
        <f>'[2]I-5 NB'!O52</f>
        <v>13386</v>
      </c>
      <c r="I52" s="198">
        <f>VLOOKUP(c_1[[#This Row],[hwycov_id]],readme!D:G,4,FALSE)</f>
        <v>19409.296875</v>
      </c>
      <c r="J52" s="49">
        <f t="shared" si="2"/>
        <v>0.44996988458090548</v>
      </c>
      <c r="K52" s="190" t="str">
        <f>'[2]I-5 NB'!P52</f>
        <v>PeMS2016</v>
      </c>
      <c r="L52" s="148">
        <f t="shared" si="3"/>
        <v>36280105.244384766</v>
      </c>
      <c r="M52" s="45"/>
      <c r="N52" s="45"/>
      <c r="O52" s="28"/>
      <c r="P52" s="28"/>
    </row>
    <row r="53" spans="1:16" s="12" customFormat="1" x14ac:dyDescent="0.25">
      <c r="A53" s="43">
        <f>'[2]I-5 NB'!C53</f>
        <v>1</v>
      </c>
      <c r="B53" s="43" t="str">
        <f>'[2]I-5 NB'!H53</f>
        <v>I-5 NB</v>
      </c>
      <c r="C53" s="126">
        <f>'[2]I-5 NB'!E53</f>
        <v>15038</v>
      </c>
      <c r="D53" s="188">
        <f>'[2]I-5 NB'!I53</f>
        <v>98</v>
      </c>
      <c r="E53" s="189">
        <f>'[2]I-5 NB'!J53</f>
        <v>0</v>
      </c>
      <c r="F53" s="189" t="str">
        <f>'[2]I-5 NB'!K53</f>
        <v>LA JOLLA VILLAGE</v>
      </c>
      <c r="G53" s="189" t="str">
        <f>'[2]I-5 NB'!L53</f>
        <v>LA JOLLA VILLAGE</v>
      </c>
      <c r="H53" s="197">
        <f>'[2]I-5 NB'!O53</f>
        <v>15159</v>
      </c>
      <c r="I53" s="198">
        <f>VLOOKUP(c_1[[#This Row],[hwycov_id]],readme!D:G,4,FALSE)</f>
        <v>15634.189453000001</v>
      </c>
      <c r="J53" s="49">
        <f t="shared" si="2"/>
        <v>3.134701847087551E-2</v>
      </c>
      <c r="K53" s="190" t="str">
        <f>'[2]I-5 NB'!P53</f>
        <v>PeMS2016</v>
      </c>
      <c r="L53" s="148">
        <f t="shared" si="3"/>
        <v>225805.01624244003</v>
      </c>
      <c r="M53" s="44"/>
      <c r="N53" s="45"/>
      <c r="O53" s="28"/>
      <c r="P53" s="28"/>
    </row>
    <row r="54" spans="1:16" x14ac:dyDescent="0.25">
      <c r="A54" s="43">
        <f>'[2]I-5 NB'!C54</f>
        <v>1</v>
      </c>
      <c r="B54" s="43" t="str">
        <f>'[2]I-5 NB'!H54</f>
        <v>I-5 NB</v>
      </c>
      <c r="C54" s="126">
        <f>'[2]I-5 NB'!E54</f>
        <v>14290</v>
      </c>
      <c r="D54" s="188">
        <f>'[2]I-5 NB'!I54</f>
        <v>102</v>
      </c>
      <c r="E54" s="189">
        <f>'[2]I-5 NB'!J54</f>
        <v>0</v>
      </c>
      <c r="F54" s="189" t="str">
        <f>'[2]I-5 NB'!K54</f>
        <v>GENESEE</v>
      </c>
      <c r="G54" s="189" t="str">
        <f>'[2]I-5 NB'!L54</f>
        <v>GENESEE</v>
      </c>
      <c r="H54" s="197">
        <f>'[2]I-5 NB'!O54</f>
        <v>18001</v>
      </c>
      <c r="I54" s="198">
        <f>VLOOKUP(c_1[[#This Row],[hwycov_id]],readme!D:G,4,FALSE)</f>
        <v>19797.003906000002</v>
      </c>
      <c r="J54" s="49">
        <f t="shared" si="2"/>
        <v>9.9772451863785472E-2</v>
      </c>
      <c r="K54" s="190" t="str">
        <f>'[2]I-5 NB'!P54</f>
        <v>PeMS2016</v>
      </c>
      <c r="L54" s="148">
        <f t="shared" si="3"/>
        <v>3225630.0303672631</v>
      </c>
    </row>
    <row r="55" spans="1:16" x14ac:dyDescent="0.25">
      <c r="A55" s="43">
        <f>'[2]I-5 NB'!C55</f>
        <v>1</v>
      </c>
      <c r="B55" s="43" t="str">
        <f>'[2]I-5 NB'!H55</f>
        <v>I-5 NB</v>
      </c>
      <c r="C55" s="126">
        <f>'[2]I-5 NB'!E55</f>
        <v>8896</v>
      </c>
      <c r="D55" s="188">
        <f>'[2]I-5 NB'!I55</f>
        <v>105</v>
      </c>
      <c r="E55" s="189">
        <f>'[2]I-5 NB'!J55</f>
        <v>0</v>
      </c>
      <c r="F55" s="189" t="str">
        <f>'[2]I-5 NB'!K55</f>
        <v>SORRENTO VALLEY</v>
      </c>
      <c r="G55" s="189" t="str">
        <f>'[2]I-5 NB'!L55</f>
        <v>I-805 NB</v>
      </c>
      <c r="H55" s="197">
        <f>'[2]I-5 NB'!O55</f>
        <v>18088</v>
      </c>
      <c r="I55" s="198">
        <f>VLOOKUP(c_1[[#This Row],[hwycov_id]],readme!D:G,4,FALSE)</f>
        <v>23667.734375</v>
      </c>
      <c r="J55" s="49">
        <f t="shared" si="2"/>
        <v>0.3084771326293676</v>
      </c>
      <c r="K55" s="190" t="str">
        <f>'[2]I-5 NB'!P55</f>
        <v>Caltran</v>
      </c>
      <c r="L55" s="148">
        <f t="shared" si="3"/>
        <v>31133435.695556641</v>
      </c>
    </row>
    <row r="56" spans="1:16" x14ac:dyDescent="0.25">
      <c r="A56" s="43">
        <f>'[2]I-5 NB'!C56</f>
        <v>1</v>
      </c>
      <c r="B56" s="43" t="str">
        <f>'[2]I-5 NB'!H56</f>
        <v>I-5 NB</v>
      </c>
      <c r="C56" s="126">
        <f>'[2]I-5 NB'!E56</f>
        <v>14265</v>
      </c>
      <c r="D56" s="188">
        <f>'[2]I-5 NB'!I56</f>
        <v>106</v>
      </c>
      <c r="E56" s="189">
        <f>'[2]I-5 NB'!J56</f>
        <v>0</v>
      </c>
      <c r="F56" s="189" t="str">
        <f>'[2]I-5 NB'!K56</f>
        <v>I-805 NB</v>
      </c>
      <c r="G56" s="189" t="str">
        <f>'[2]I-5 NB'!L56</f>
        <v>I-805 NB</v>
      </c>
      <c r="H56" s="197">
        <f>'[2]I-5 NB'!O56</f>
        <v>7722</v>
      </c>
      <c r="I56" s="198">
        <f>VLOOKUP(c_1[[#This Row],[hwycov_id]],readme!D:G,4,FALSE)</f>
        <v>15294.254883</v>
      </c>
      <c r="J56" s="49">
        <f t="shared" si="2"/>
        <v>0.98060798795648796</v>
      </c>
      <c r="K56" s="190" t="str">
        <f>'[2]I-5 NB'!P56</f>
        <v>PeMS2016</v>
      </c>
      <c r="L56" s="148">
        <f t="shared" si="3"/>
        <v>57339044.013117336</v>
      </c>
    </row>
    <row r="57" spans="1:16" x14ac:dyDescent="0.25">
      <c r="A57" s="43">
        <f>'[2]I-5 NB'!C57</f>
        <v>1</v>
      </c>
      <c r="B57" s="43" t="str">
        <f>'[2]I-5 NB'!H57</f>
        <v>I-5 NB</v>
      </c>
      <c r="C57" s="126">
        <f>'[2]I-5 NB'!E57</f>
        <v>4887</v>
      </c>
      <c r="D57" s="188">
        <f>'[2]I-5 NB'!I57</f>
        <v>108</v>
      </c>
      <c r="E57" s="189">
        <f>'[2]I-5 NB'!J57</f>
        <v>0</v>
      </c>
      <c r="F57" s="189" t="str">
        <f>'[2]I-5 NB'!K57</f>
        <v>I-805 NB</v>
      </c>
      <c r="G57" s="189">
        <f>'[2]I-5 NB'!L57</f>
        <v>0</v>
      </c>
      <c r="H57" s="197">
        <f>'[2]I-5 NB'!O57</f>
        <v>21677</v>
      </c>
      <c r="I57" s="198">
        <f>VLOOKUP(c_1[[#This Row],[hwycov_id]],readme!D:G,4,FALSE)</f>
        <v>33521.027344000002</v>
      </c>
      <c r="J57" s="49">
        <f t="shared" si="2"/>
        <v>0.54638683138810729</v>
      </c>
      <c r="K57" s="190" t="str">
        <f>'[2]I-5 NB'!P57</f>
        <v>Caltran</v>
      </c>
      <c r="L57" s="148">
        <f t="shared" si="3"/>
        <v>140280983.72541973</v>
      </c>
    </row>
    <row r="58" spans="1:16" x14ac:dyDescent="0.25">
      <c r="A58" s="43">
        <f>'[2]I-5 NB'!C58</f>
        <v>1</v>
      </c>
      <c r="B58" s="43" t="str">
        <f>'[2]I-5 NB'!H58</f>
        <v>I-5 NB</v>
      </c>
      <c r="C58" s="126">
        <f>'[2]I-5 NB'!E58</f>
        <v>26279</v>
      </c>
      <c r="D58" s="188">
        <f>'[2]I-5 NB'!I58</f>
        <v>109</v>
      </c>
      <c r="E58" s="189">
        <f>'[2]I-5 NB'!J58</f>
        <v>0</v>
      </c>
      <c r="F58" s="189" t="str">
        <f>'[2]I-5 NB'!K58</f>
        <v>I-805 NB</v>
      </c>
      <c r="G58" s="189">
        <f>'[2]I-5 NB'!L58</f>
        <v>0</v>
      </c>
      <c r="H58" s="197">
        <f>'[2]I-5 NB'!O58</f>
        <v>19035</v>
      </c>
      <c r="I58" s="198">
        <f>VLOOKUP(c_1[[#This Row],[hwycov_id]],readme!D:G,4,FALSE)</f>
        <v>33521.027344000002</v>
      </c>
      <c r="J58" s="49">
        <f t="shared" si="2"/>
        <v>0.76102061171526136</v>
      </c>
      <c r="K58" s="190" t="str">
        <f>'[2]I-5 NB'!P58</f>
        <v>PeMS2016</v>
      </c>
      <c r="L58" s="148">
        <f t="shared" si="3"/>
        <v>209844988.21111575</v>
      </c>
    </row>
    <row r="59" spans="1:16" x14ac:dyDescent="0.25">
      <c r="A59" s="43">
        <f>'[2]I-5 NB'!C59</f>
        <v>1</v>
      </c>
      <c r="B59" s="43" t="str">
        <f>'[2]I-5 NB'!H59</f>
        <v>I-5 NB</v>
      </c>
      <c r="C59" s="126">
        <f>'[2]I-5 NB'!E59</f>
        <v>14262</v>
      </c>
      <c r="D59" s="188">
        <f>'[2]I-5 NB'!I59</f>
        <v>111</v>
      </c>
      <c r="E59" s="189">
        <f>'[2]I-5 NB'!J59</f>
        <v>0</v>
      </c>
      <c r="F59" s="189" t="str">
        <f>'[2]I-5 NB'!K59</f>
        <v>I-805 NB</v>
      </c>
      <c r="G59" s="189">
        <f>'[2]I-5 NB'!L59</f>
        <v>0</v>
      </c>
      <c r="H59" s="197">
        <f>'[2]I-5 NB'!O59</f>
        <v>18033</v>
      </c>
      <c r="I59" s="198">
        <f>VLOOKUP(c_1[[#This Row],[hwycov_id]],readme!D:G,4,FALSE)</f>
        <v>31562.857422000001</v>
      </c>
      <c r="J59" s="49">
        <f t="shared" si="2"/>
        <v>0.75028322641823331</v>
      </c>
      <c r="K59" s="190" t="str">
        <f>'[2]I-5 NB'!P59</f>
        <v>PeMS2016</v>
      </c>
      <c r="L59" s="148">
        <f t="shared" si="3"/>
        <v>183057041.85964853</v>
      </c>
    </row>
    <row r="60" spans="1:16" x14ac:dyDescent="0.25">
      <c r="A60" s="43">
        <f>'[2]I-5 NB'!C60</f>
        <v>1</v>
      </c>
      <c r="B60" s="43" t="str">
        <f>'[2]I-5 NB'!H60</f>
        <v>I-5 NB</v>
      </c>
      <c r="C60" s="126">
        <f>'[2]I-5 NB'!E60</f>
        <v>22603</v>
      </c>
      <c r="D60" s="188">
        <f>'[2]I-5 NB'!I60</f>
        <v>112</v>
      </c>
      <c r="E60" s="189">
        <f>'[2]I-5 NB'!J60</f>
        <v>0</v>
      </c>
      <c r="F60" s="189" t="str">
        <f>'[2]I-5 NB'!K60</f>
        <v>CARMEL VALLEY</v>
      </c>
      <c r="G60" s="189" t="str">
        <f>'[2]I-5 NB'!L60</f>
        <v>CARMEL VALLEY</v>
      </c>
      <c r="H60" s="197">
        <f>'[2]I-5 NB'!O60</f>
        <v>14712</v>
      </c>
      <c r="I60" s="198">
        <f>VLOOKUP(c_1[[#This Row],[hwycov_id]],readme!D:G,4,FALSE)</f>
        <v>29994.886718999998</v>
      </c>
      <c r="J60" s="49">
        <f t="shared" si="2"/>
        <v>1.0388041543637847</v>
      </c>
      <c r="K60" s="190" t="str">
        <f>'[2]I-5 NB'!P60</f>
        <v>PeMS2016</v>
      </c>
      <c r="L60" s="148">
        <f t="shared" si="3"/>
        <v>233566626.46578655</v>
      </c>
    </row>
    <row r="61" spans="1:16" x14ac:dyDescent="0.25">
      <c r="A61" s="43">
        <f>'[2]I-5 NB'!C61</f>
        <v>1</v>
      </c>
      <c r="B61" s="43" t="str">
        <f>'[2]I-5 NB'!H61</f>
        <v>I-5 NB</v>
      </c>
      <c r="C61" s="126">
        <f>'[2]I-5 NB'!E61</f>
        <v>14248</v>
      </c>
      <c r="D61" s="188">
        <f>'[2]I-5 NB'!I61</f>
        <v>115</v>
      </c>
      <c r="E61" s="189">
        <f>'[2]I-5 NB'!J61</f>
        <v>0</v>
      </c>
      <c r="F61" s="189" t="str">
        <f>'[2]I-5 NB'!K61</f>
        <v>CARMEL VALLEY</v>
      </c>
      <c r="G61" s="189" t="str">
        <f>'[2]I-5 NB'!L61</f>
        <v>DEL MAR HEIGHTS</v>
      </c>
      <c r="H61" s="197">
        <f>'[2]I-5 NB'!O61</f>
        <v>13753</v>
      </c>
      <c r="I61" s="198">
        <f>VLOOKUP(c_1[[#This Row],[hwycov_id]],readme!D:G,4,FALSE)</f>
        <v>34674.292969000002</v>
      </c>
      <c r="J61" s="49">
        <f t="shared" si="2"/>
        <v>1.521216677743038</v>
      </c>
      <c r="K61" s="190" t="str">
        <f>'[2]I-5 NB'!P61</f>
        <v>PeMS2016</v>
      </c>
      <c r="L61" s="148">
        <f t="shared" si="3"/>
        <v>437700499.49472892</v>
      </c>
    </row>
    <row r="62" spans="1:16" x14ac:dyDescent="0.25">
      <c r="A62" s="43">
        <f>'[2]I-5 NB'!C62</f>
        <v>1</v>
      </c>
      <c r="B62" s="43" t="str">
        <f>'[2]I-5 NB'!H62</f>
        <v>I-5 NB</v>
      </c>
      <c r="C62" s="126">
        <f>'[2]I-5 NB'!E62</f>
        <v>13861</v>
      </c>
      <c r="D62" s="188">
        <f>'[2]I-5 NB'!I62</f>
        <v>117</v>
      </c>
      <c r="E62" s="189">
        <f>'[2]I-5 NB'!J62</f>
        <v>0</v>
      </c>
      <c r="F62" s="189" t="str">
        <f>'[2]I-5 NB'!K62</f>
        <v>DEL MAR HEIGHTS</v>
      </c>
      <c r="G62" s="189" t="str">
        <f>'[2]I-5 NB'!L62</f>
        <v>DEL MAR HEIGHTS</v>
      </c>
      <c r="H62" s="197">
        <f>'[2]I-5 NB'!O62</f>
        <v>20207</v>
      </c>
      <c r="I62" s="198">
        <f>VLOOKUP(c_1[[#This Row],[hwycov_id]],readme!D:G,4,FALSE)</f>
        <v>30935.710938</v>
      </c>
      <c r="J62" s="49">
        <f t="shared" si="2"/>
        <v>0.53094031464344038</v>
      </c>
      <c r="K62" s="190" t="str">
        <f>'[2]I-5 NB'!P62</f>
        <v>PeMS2016</v>
      </c>
      <c r="L62" s="148">
        <f t="shared" si="3"/>
        <v>115105238.39116085</v>
      </c>
    </row>
    <row r="63" spans="1:16" x14ac:dyDescent="0.25">
      <c r="A63" s="43">
        <f>'[2]I-5 NB'!C63</f>
        <v>1</v>
      </c>
      <c r="B63" s="43" t="str">
        <f>'[2]I-5 NB'!H63</f>
        <v>I-5 NB</v>
      </c>
      <c r="C63" s="126">
        <f>'[2]I-5 NB'!E63</f>
        <v>25387</v>
      </c>
      <c r="D63" s="188">
        <f>'[2]I-5 NB'!I63</f>
        <v>118</v>
      </c>
      <c r="E63" s="189">
        <f>'[2]I-5 NB'!J63</f>
        <v>1</v>
      </c>
      <c r="F63" s="189" t="str">
        <f>'[2]I-5 NB'!K63</f>
        <v>DEL MAR HEIGHTS</v>
      </c>
      <c r="G63" s="189" t="str">
        <f>'[2]I-5 NB'!L63</f>
        <v>VIA DE LA VALLE</v>
      </c>
      <c r="H63" s="197">
        <f>'[2]I-5 NB'!O63</f>
        <v>19331</v>
      </c>
      <c r="I63" s="198">
        <f>VLOOKUP(c_1[[#This Row],[hwycov_id]],readme!D:G,4,FALSE)</f>
        <v>33859.6875</v>
      </c>
      <c r="J63" s="49">
        <f t="shared" si="2"/>
        <v>0.75157454347938546</v>
      </c>
      <c r="K63" s="190" t="str">
        <f>'[2]I-5 NB'!P63</f>
        <v>PeMS2016</v>
      </c>
      <c r="L63" s="148">
        <f t="shared" si="3"/>
        <v>211082760.47265625</v>
      </c>
    </row>
    <row r="64" spans="1:16" x14ac:dyDescent="0.25">
      <c r="A64" s="43">
        <f>'[2]I-5 NB'!C64</f>
        <v>1</v>
      </c>
      <c r="B64" s="43" t="str">
        <f>'[2]I-5 NB'!H64</f>
        <v>I-5 NB</v>
      </c>
      <c r="C64" s="126">
        <f>'[2]I-5 NB'!E64</f>
        <v>13869</v>
      </c>
      <c r="D64" s="188">
        <f>'[2]I-5 NB'!I64</f>
        <v>120</v>
      </c>
      <c r="E64" s="189">
        <f>'[2]I-5 NB'!J64</f>
        <v>0</v>
      </c>
      <c r="F64" s="189" t="str">
        <f>'[2]I-5 NB'!K64</f>
        <v>VIA DE LA VALLE</v>
      </c>
      <c r="G64" s="189" t="str">
        <f>'[2]I-5 NB'!L64</f>
        <v>VIA DE LA VALLE</v>
      </c>
      <c r="H64" s="197">
        <f>'[2]I-5 NB'!O64</f>
        <v>19682</v>
      </c>
      <c r="I64" s="198">
        <f>VLOOKUP(c_1[[#This Row],[hwycov_id]],readme!D:G,4,FALSE)</f>
        <v>30474.693359000001</v>
      </c>
      <c r="J64" s="49">
        <f t="shared" si="2"/>
        <v>0.54835348841581144</v>
      </c>
      <c r="K64" s="190" t="str">
        <f>'[2]I-5 NB'!P64</f>
        <v>PeMS2016</v>
      </c>
      <c r="L64" s="148">
        <f t="shared" si="3"/>
        <v>116482229.94140272</v>
      </c>
    </row>
    <row r="65" spans="1:12" x14ac:dyDescent="0.25">
      <c r="A65" s="43">
        <f>'[2]I-5 NB'!C65</f>
        <v>1</v>
      </c>
      <c r="B65" s="43" t="str">
        <f>'[2]I-5 NB'!H65</f>
        <v>I-5 NB</v>
      </c>
      <c r="C65" s="126">
        <f>'[2]I-5 NB'!E65</f>
        <v>13600</v>
      </c>
      <c r="D65" s="188">
        <f>'[2]I-5 NB'!I65</f>
        <v>122</v>
      </c>
      <c r="E65" s="189">
        <f>'[2]I-5 NB'!J65</f>
        <v>0</v>
      </c>
      <c r="F65" s="189" t="str">
        <f>'[2]I-5 NB'!K65</f>
        <v>VIA DE LA VALLE</v>
      </c>
      <c r="G65" s="189" t="str">
        <f>'[2]I-5 NB'!L65</f>
        <v>LOMAS SANTA FE</v>
      </c>
      <c r="H65" s="197">
        <f>'[2]I-5 NB'!O65</f>
        <v>26077</v>
      </c>
      <c r="I65" s="198">
        <f>VLOOKUP(c_1[[#This Row],[hwycov_id]],readme!D:G,4,FALSE)</f>
        <v>32117.257812</v>
      </c>
      <c r="J65" s="49">
        <f t="shared" si="2"/>
        <v>0.2316316221958048</v>
      </c>
      <c r="K65" s="190" t="str">
        <f>'[2]I-5 NB'!P65</f>
        <v>Caltran</v>
      </c>
      <c r="L65" s="148">
        <f t="shared" si="3"/>
        <v>36484714.435427025</v>
      </c>
    </row>
    <row r="66" spans="1:12" x14ac:dyDescent="0.25">
      <c r="A66" s="43">
        <f>'[2]I-5 NB'!C66</f>
        <v>1</v>
      </c>
      <c r="B66" s="43" t="str">
        <f>'[2]I-5 NB'!H66</f>
        <v>I-5 NB</v>
      </c>
      <c r="C66" s="126">
        <f>'[2]I-5 NB'!E66</f>
        <v>26293</v>
      </c>
      <c r="D66" s="188">
        <f>'[2]I-5 NB'!I66</f>
        <v>123</v>
      </c>
      <c r="E66" s="189">
        <f>'[2]I-5 NB'!J66</f>
        <v>0</v>
      </c>
      <c r="F66" s="189" t="str">
        <f>'[2]I-5 NB'!K66</f>
        <v>LOMAS SANTA FE</v>
      </c>
      <c r="G66" s="189" t="str">
        <f>'[2]I-5 NB'!L66</f>
        <v>LOMAS SANTA FE</v>
      </c>
      <c r="H66" s="197">
        <f>'[2]I-5 NB'!O66</f>
        <v>20329</v>
      </c>
      <c r="I66" s="198">
        <f>VLOOKUP(c_1[[#This Row],[hwycov_id]],readme!D:G,4,FALSE)</f>
        <v>29805.939452999999</v>
      </c>
      <c r="J66" s="49">
        <f t="shared" si="2"/>
        <v>0.46617833897387961</v>
      </c>
      <c r="K66" s="190" t="str">
        <f>'[2]I-5 NB'!P66</f>
        <v>PeMS2016</v>
      </c>
      <c r="L66" s="148">
        <f t="shared" si="3"/>
        <v>89812381.395827919</v>
      </c>
    </row>
    <row r="67" spans="1:12" x14ac:dyDescent="0.25">
      <c r="A67" s="43">
        <f>'[2]I-5 NB'!C67</f>
        <v>1</v>
      </c>
      <c r="B67" s="43" t="str">
        <f>'[2]I-5 NB'!H67</f>
        <v>I-5 NB</v>
      </c>
      <c r="C67" s="126">
        <f>'[2]I-5 NB'!E67</f>
        <v>9872</v>
      </c>
      <c r="D67" s="188">
        <f>'[2]I-5 NB'!I67</f>
        <v>125</v>
      </c>
      <c r="E67" s="189">
        <f>'[2]I-5 NB'!J67</f>
        <v>0</v>
      </c>
      <c r="F67" s="189" t="str">
        <f>'[2]I-5 NB'!K67</f>
        <v>LOMAS SANTA FE</v>
      </c>
      <c r="G67" s="189" t="str">
        <f>'[2]I-5 NB'!L67</f>
        <v>MANCHESTER</v>
      </c>
      <c r="H67" s="197">
        <f>'[2]I-5 NB'!O67</f>
        <v>21633</v>
      </c>
      <c r="I67" s="198">
        <f>VLOOKUP(c_1[[#This Row],[hwycov_id]],readme!D:G,4,FALSE)</f>
        <v>37820.757812000003</v>
      </c>
      <c r="J67" s="49">
        <f t="shared" ref="J67:J91" si="4">I67/H67-1</f>
        <v>0.74829001118661331</v>
      </c>
      <c r="K67" s="190" t="str">
        <f>'[2]I-5 NB'!P67</f>
        <v>PeMS2016</v>
      </c>
      <c r="L67" s="148">
        <f t="shared" ref="L67:L91" si="5">POWER((I67-H67),2)</f>
        <v>262043502.97996715</v>
      </c>
    </row>
    <row r="68" spans="1:12" x14ac:dyDescent="0.25">
      <c r="A68" s="43">
        <f>'[2]I-5 NB'!C68</f>
        <v>1</v>
      </c>
      <c r="B68" s="43" t="str">
        <f>'[2]I-5 NB'!H68</f>
        <v>I-5 NB</v>
      </c>
      <c r="C68" s="126">
        <f>'[2]I-5 NB'!E68</f>
        <v>13527</v>
      </c>
      <c r="D68" s="188">
        <f>'[2]I-5 NB'!I68</f>
        <v>127</v>
      </c>
      <c r="E68" s="189">
        <f>'[2]I-5 NB'!J68</f>
        <v>0</v>
      </c>
      <c r="F68" s="189" t="str">
        <f>'[2]I-5 NB'!K68</f>
        <v>MANCHESTER</v>
      </c>
      <c r="G68" s="189" t="str">
        <f>'[2]I-5 NB'!L68</f>
        <v>MANCHESTER</v>
      </c>
      <c r="H68" s="197">
        <f>'[2]I-5 NB'!O68</f>
        <v>23882</v>
      </c>
      <c r="I68" s="198">
        <f>VLOOKUP(c_1[[#This Row],[hwycov_id]],readme!D:G,4,FALSE)</f>
        <v>33316.832030999998</v>
      </c>
      <c r="J68" s="49">
        <f t="shared" si="4"/>
        <v>0.39506038150071165</v>
      </c>
      <c r="K68" s="190" t="str">
        <f>'[2]I-5 NB'!P68</f>
        <v>PeMS2016</v>
      </c>
      <c r="L68" s="148">
        <f t="shared" si="5"/>
        <v>89016055.453183547</v>
      </c>
    </row>
    <row r="69" spans="1:12" x14ac:dyDescent="0.25">
      <c r="A69" s="43">
        <f>'[2]I-5 NB'!C69</f>
        <v>1</v>
      </c>
      <c r="B69" s="43" t="str">
        <f>'[2]I-5 NB'!H69</f>
        <v>I-5 NB</v>
      </c>
      <c r="C69" s="126">
        <f>'[2]I-5 NB'!E69</f>
        <v>13593</v>
      </c>
      <c r="D69" s="188">
        <f>'[2]I-5 NB'!I69</f>
        <v>128</v>
      </c>
      <c r="E69" s="189">
        <f>'[2]I-5 NB'!J69</f>
        <v>0</v>
      </c>
      <c r="F69" s="189" t="str">
        <f>'[2]I-5 NB'!K69</f>
        <v>MANCHESTER</v>
      </c>
      <c r="G69" s="189" t="str">
        <f>'[2]I-5 NB'!L69</f>
        <v>BIRMINGHAM</v>
      </c>
      <c r="H69" s="197">
        <f>'[2]I-5 NB'!O69</f>
        <v>22187</v>
      </c>
      <c r="I69" s="198">
        <f>VLOOKUP(c_1[[#This Row],[hwycov_id]],readme!D:G,4,FALSE)</f>
        <v>33322.902344000002</v>
      </c>
      <c r="J69" s="49">
        <f t="shared" si="4"/>
        <v>0.50191113462838599</v>
      </c>
      <c r="K69" s="190" t="str">
        <f>'[2]I-5 NB'!P69</f>
        <v>PeMS2016</v>
      </c>
      <c r="L69" s="148">
        <f t="shared" si="5"/>
        <v>124008321.01510474</v>
      </c>
    </row>
    <row r="70" spans="1:12" x14ac:dyDescent="0.25">
      <c r="A70" s="43">
        <f>'[2]I-5 NB'!C70</f>
        <v>1</v>
      </c>
      <c r="B70" s="43" t="str">
        <f>'[2]I-5 NB'!H70</f>
        <v>I-5 NB</v>
      </c>
      <c r="C70" s="126">
        <f>'[2]I-5 NB'!E70</f>
        <v>25842</v>
      </c>
      <c r="D70" s="188">
        <f>'[2]I-5 NB'!I70</f>
        <v>129</v>
      </c>
      <c r="E70" s="189">
        <f>'[2]I-5 NB'!J70</f>
        <v>0</v>
      </c>
      <c r="F70" s="189" t="str">
        <f>'[2]I-5 NB'!K70</f>
        <v>BIRMINGHAM</v>
      </c>
      <c r="G70" s="189" t="str">
        <f>'[2]I-5 NB'!L70</f>
        <v>BIRMINGHAM</v>
      </c>
      <c r="H70" s="197">
        <f>'[2]I-5 NB'!O70</f>
        <v>22833</v>
      </c>
      <c r="I70" s="198">
        <f>VLOOKUP(c_1[[#This Row],[hwycov_id]],readme!D:G,4,FALSE)</f>
        <v>30507.140625</v>
      </c>
      <c r="J70" s="49">
        <f t="shared" si="4"/>
        <v>0.33609865654973059</v>
      </c>
      <c r="K70" s="190" t="str">
        <f>'[2]I-5 NB'!P70</f>
        <v>PeMS2016</v>
      </c>
      <c r="L70" s="148">
        <f t="shared" si="5"/>
        <v>58892434.332275391</v>
      </c>
    </row>
    <row r="71" spans="1:12" x14ac:dyDescent="0.25">
      <c r="A71" s="43">
        <f>'[2]I-5 NB'!C71</f>
        <v>1</v>
      </c>
      <c r="B71" s="43" t="str">
        <f>'[2]I-5 NB'!H71</f>
        <v>I-5 NB</v>
      </c>
      <c r="C71" s="126">
        <f>'[2]I-5 NB'!E71</f>
        <v>26523</v>
      </c>
      <c r="D71" s="188">
        <f>'[2]I-5 NB'!I71</f>
        <v>132</v>
      </c>
      <c r="E71" s="189">
        <f>'[2]I-5 NB'!J71</f>
        <v>0</v>
      </c>
      <c r="F71" s="189" t="str">
        <f>'[2]I-5 NB'!K71</f>
        <v>SANTA FE</v>
      </c>
      <c r="G71" s="189" t="str">
        <f>'[2]I-5 NB'!L71</f>
        <v>SANTA FE</v>
      </c>
      <c r="H71" s="197">
        <f>'[2]I-5 NB'!O71</f>
        <v>21979</v>
      </c>
      <c r="I71" s="198">
        <f>VLOOKUP(c_1[[#This Row],[hwycov_id]],readme!D:G,4,FALSE)</f>
        <v>29582.496093999998</v>
      </c>
      <c r="J71" s="49">
        <f t="shared" si="4"/>
        <v>0.34594367778333845</v>
      </c>
      <c r="K71" s="190" t="str">
        <f>'[2]I-5 NB'!P71</f>
        <v>PeMS2016</v>
      </c>
      <c r="L71" s="148">
        <f t="shared" si="5"/>
        <v>57813152.851473227</v>
      </c>
    </row>
    <row r="72" spans="1:12" x14ac:dyDescent="0.25">
      <c r="A72" s="43">
        <f>'[2]I-5 NB'!C72</f>
        <v>1</v>
      </c>
      <c r="B72" s="43" t="str">
        <f>'[2]I-5 NB'!H72</f>
        <v>I-5 NB</v>
      </c>
      <c r="C72" s="126">
        <f>'[2]I-5 NB'!E72</f>
        <v>13581</v>
      </c>
      <c r="D72" s="188">
        <f>'[2]I-5 NB'!I72</f>
        <v>133</v>
      </c>
      <c r="E72" s="189">
        <f>'[2]I-5 NB'!J72</f>
        <v>0</v>
      </c>
      <c r="F72" s="189" t="str">
        <f>'[2]I-5 NB'!K72</f>
        <v>SANTA FE</v>
      </c>
      <c r="G72" s="189" t="str">
        <f>'[2]I-5 NB'!L72</f>
        <v>SANTA FE</v>
      </c>
      <c r="H72" s="197">
        <f>'[2]I-5 NB'!O72</f>
        <v>22879</v>
      </c>
      <c r="I72" s="198">
        <f>VLOOKUP(c_1[[#This Row],[hwycov_id]],readme!D:G,4,FALSE)</f>
        <v>29582.496093999998</v>
      </c>
      <c r="J72" s="49">
        <f t="shared" si="4"/>
        <v>0.29299777499016555</v>
      </c>
      <c r="K72" s="190" t="str">
        <f>'[2]I-5 NB'!P72</f>
        <v>PeMS2016</v>
      </c>
      <c r="L72" s="148">
        <f t="shared" si="5"/>
        <v>44936859.882273234</v>
      </c>
    </row>
    <row r="73" spans="1:12" x14ac:dyDescent="0.25">
      <c r="A73" s="43">
        <f>'[2]I-5 NB'!C73</f>
        <v>1</v>
      </c>
      <c r="B73" s="43" t="str">
        <f>'[2]I-5 NB'!H73</f>
        <v>I-5 NB</v>
      </c>
      <c r="C73" s="126">
        <f>'[2]I-5 NB'!E73</f>
        <v>13579</v>
      </c>
      <c r="D73" s="188">
        <f>'[2]I-5 NB'!I73</f>
        <v>134</v>
      </c>
      <c r="E73" s="189">
        <f>'[2]I-5 NB'!J73</f>
        <v>0</v>
      </c>
      <c r="F73" s="189" t="str">
        <f>'[2]I-5 NB'!K73</f>
        <v>SANTA FE</v>
      </c>
      <c r="G73" s="189" t="str">
        <f>'[2]I-5 NB'!L73</f>
        <v>ENCINITAS</v>
      </c>
      <c r="H73" s="197">
        <f>'[2]I-5 NB'!O73</f>
        <v>21038</v>
      </c>
      <c r="I73" s="198">
        <f>VLOOKUP(c_1[[#This Row],[hwycov_id]],readme!D:G,4,FALSE)</f>
        <v>30674.664062</v>
      </c>
      <c r="J73" s="49">
        <f t="shared" si="4"/>
        <v>0.45805989457172736</v>
      </c>
      <c r="K73" s="190" t="str">
        <f>'[2]I-5 NB'!P73</f>
        <v>PeMS2016</v>
      </c>
      <c r="L73" s="148">
        <f t="shared" si="5"/>
        <v>92865294.243842334</v>
      </c>
    </row>
    <row r="74" spans="1:12" x14ac:dyDescent="0.25">
      <c r="A74" s="43">
        <f>'[2]I-5 NB'!C74</f>
        <v>1</v>
      </c>
      <c r="B74" s="43" t="str">
        <f>'[2]I-5 NB'!H74</f>
        <v>I-5 NB</v>
      </c>
      <c r="C74" s="126">
        <f>'[2]I-5 NB'!E74</f>
        <v>615</v>
      </c>
      <c r="D74" s="188">
        <f>'[2]I-5 NB'!I74</f>
        <v>135</v>
      </c>
      <c r="E74" s="189">
        <f>'[2]I-5 NB'!J74</f>
        <v>0</v>
      </c>
      <c r="F74" s="189" t="str">
        <f>'[2]I-5 NB'!K74</f>
        <v>ENCINITAS</v>
      </c>
      <c r="G74" s="189" t="str">
        <f>'[2]I-5 NB'!L74</f>
        <v>ENCINITAS</v>
      </c>
      <c r="H74" s="197">
        <f>'[2]I-5 NB'!O74</f>
        <v>22142</v>
      </c>
      <c r="I74" s="198">
        <f>VLOOKUP(c_1[[#This Row],[hwycov_id]],readme!D:G,4,FALSE)</f>
        <v>28702.935547000001</v>
      </c>
      <c r="J74" s="49">
        <f t="shared" si="4"/>
        <v>0.29631178515942547</v>
      </c>
      <c r="K74" s="190" t="str">
        <f>'[2]I-5 NB'!P74</f>
        <v>PeMS2016</v>
      </c>
      <c r="L74" s="148">
        <f t="shared" si="5"/>
        <v>43045875.251888201</v>
      </c>
    </row>
    <row r="75" spans="1:12" x14ac:dyDescent="0.25">
      <c r="A75" s="43">
        <f>'[2]I-5 NB'!C75</f>
        <v>1</v>
      </c>
      <c r="B75" s="43" t="str">
        <f>'[2]I-5 NB'!H75</f>
        <v>I-5 NB</v>
      </c>
      <c r="C75" s="126">
        <f>'[2]I-5 NB'!E75</f>
        <v>16275</v>
      </c>
      <c r="D75" s="188">
        <f>'[2]I-5 NB'!I75</f>
        <v>138</v>
      </c>
      <c r="E75" s="189">
        <f>'[2]I-5 NB'!J75</f>
        <v>0</v>
      </c>
      <c r="F75" s="189" t="str">
        <f>'[2]I-5 NB'!K75</f>
        <v>ENCINITAS</v>
      </c>
      <c r="G75" s="189" t="str">
        <f>'[2]I-5 NB'!L75</f>
        <v>LEUCADIA</v>
      </c>
      <c r="H75" s="197">
        <f>'[2]I-5 NB'!O75</f>
        <v>22564</v>
      </c>
      <c r="I75" s="198">
        <f>VLOOKUP(c_1[[#This Row],[hwycov_id]],readme!D:G,4,FALSE)</f>
        <v>30655.644531000002</v>
      </c>
      <c r="J75" s="49">
        <f t="shared" si="4"/>
        <v>0.3586086035720617</v>
      </c>
      <c r="K75" s="190" t="str">
        <f>'[2]I-5 NB'!P75</f>
        <v>PeMS2016</v>
      </c>
      <c r="L75" s="148">
        <f t="shared" si="5"/>
        <v>65474711.21606224</v>
      </c>
    </row>
    <row r="76" spans="1:12" x14ac:dyDescent="0.25">
      <c r="A76" s="43">
        <f>'[2]I-5 NB'!C76</f>
        <v>1</v>
      </c>
      <c r="B76" s="43" t="str">
        <f>'[2]I-5 NB'!H76</f>
        <v>I-5 NB</v>
      </c>
      <c r="C76" s="126">
        <f>'[2]I-5 NB'!E76</f>
        <v>16290</v>
      </c>
      <c r="D76" s="188">
        <f>'[2]I-5 NB'!I76</f>
        <v>139</v>
      </c>
      <c r="E76" s="189">
        <f>'[2]I-5 NB'!J76</f>
        <v>0</v>
      </c>
      <c r="F76" s="189" t="str">
        <f>'[2]I-5 NB'!K76</f>
        <v>LEUCADIA</v>
      </c>
      <c r="G76" s="189" t="str">
        <f>'[2]I-5 NB'!L76</f>
        <v>LEUCADIA</v>
      </c>
      <c r="H76" s="197">
        <f>'[2]I-5 NB'!O76</f>
        <v>21530</v>
      </c>
      <c r="I76" s="198">
        <f>VLOOKUP(c_1[[#This Row],[hwycov_id]],readme!D:G,4,FALSE)</f>
        <v>28770.027343999998</v>
      </c>
      <c r="J76" s="49">
        <f t="shared" si="4"/>
        <v>0.33627623520668837</v>
      </c>
      <c r="K76" s="190" t="str">
        <f>'[2]I-5 NB'!P76</f>
        <v>PeMS2016</v>
      </c>
      <c r="L76" s="148">
        <f t="shared" si="5"/>
        <v>52417995.941867672</v>
      </c>
    </row>
    <row r="77" spans="1:12" x14ac:dyDescent="0.25">
      <c r="A77" s="43">
        <f>'[2]I-5 NB'!C77</f>
        <v>1</v>
      </c>
      <c r="B77" s="43" t="str">
        <f>'[2]I-5 NB'!H77</f>
        <v>I-5 NB</v>
      </c>
      <c r="C77" s="126">
        <f>'[2]I-5 NB'!E77</f>
        <v>16291</v>
      </c>
      <c r="D77" s="188">
        <f>'[2]I-5 NB'!I77</f>
        <v>140</v>
      </c>
      <c r="E77" s="189">
        <f>'[2]I-5 NB'!J77</f>
        <v>0</v>
      </c>
      <c r="F77" s="189" t="str">
        <f>'[2]I-5 NB'!K77</f>
        <v>LEUCADIA</v>
      </c>
      <c r="G77" s="189" t="str">
        <f>'[2]I-5 NB'!L77</f>
        <v>LA COSTA</v>
      </c>
      <c r="H77" s="197">
        <f>'[2]I-5 NB'!O77</f>
        <v>22460</v>
      </c>
      <c r="I77" s="198">
        <f>VLOOKUP(c_1[[#This Row],[hwycov_id]],readme!D:G,4,FALSE)</f>
        <v>30049.851562</v>
      </c>
      <c r="J77" s="49">
        <f t="shared" si="4"/>
        <v>0.33792749608192341</v>
      </c>
      <c r="K77" s="190" t="str">
        <f>'[2]I-5 NB'!P77</f>
        <v>PeMS2016</v>
      </c>
      <c r="L77" s="148">
        <f t="shared" si="5"/>
        <v>57605846.733193837</v>
      </c>
    </row>
    <row r="78" spans="1:12" x14ac:dyDescent="0.25">
      <c r="A78" s="43">
        <f>'[2]I-5 NB'!C78</f>
        <v>1</v>
      </c>
      <c r="B78" s="43" t="str">
        <f>'[2]I-5 NB'!H78</f>
        <v>I-5 NB</v>
      </c>
      <c r="C78" s="126">
        <f>'[2]I-5 NB'!E78</f>
        <v>671</v>
      </c>
      <c r="D78" s="188">
        <f>'[2]I-5 NB'!I78</f>
        <v>141</v>
      </c>
      <c r="E78" s="189">
        <f>'[2]I-5 NB'!J78</f>
        <v>0</v>
      </c>
      <c r="F78" s="189" t="str">
        <f>'[2]I-5 NB'!K78</f>
        <v>LA COSTA</v>
      </c>
      <c r="G78" s="189" t="str">
        <f>'[2]I-5 NB'!L78</f>
        <v>LA COSTA</v>
      </c>
      <c r="H78" s="197">
        <f>'[2]I-5 NB'!O78</f>
        <v>20344</v>
      </c>
      <c r="I78" s="198">
        <f>VLOOKUP(c_1[[#This Row],[hwycov_id]],readme!D:G,4,FALSE)</f>
        <v>27788.960938</v>
      </c>
      <c r="J78" s="49">
        <f t="shared" si="4"/>
        <v>0.36595364421942578</v>
      </c>
      <c r="K78" s="190" t="str">
        <f>'[2]I-5 NB'!P78</f>
        <v>PeMS2016</v>
      </c>
      <c r="L78" s="148">
        <f t="shared" si="5"/>
        <v>55427443.368345842</v>
      </c>
    </row>
    <row r="79" spans="1:12" x14ac:dyDescent="0.25">
      <c r="A79" s="43">
        <f>'[2]I-5 NB'!C79</f>
        <v>1</v>
      </c>
      <c r="B79" s="43" t="str">
        <f>'[2]I-5 NB'!H79</f>
        <v>I-5 NB</v>
      </c>
      <c r="C79" s="126">
        <f>'[2]I-5 NB'!E79</f>
        <v>8770</v>
      </c>
      <c r="D79" s="188">
        <f>'[2]I-5 NB'!I79</f>
        <v>142</v>
      </c>
      <c r="E79" s="189">
        <f>'[2]I-5 NB'!J79</f>
        <v>0</v>
      </c>
      <c r="F79" s="189" t="str">
        <f>'[2]I-5 NB'!K79</f>
        <v>LA COSTA</v>
      </c>
      <c r="G79" s="189" t="str">
        <f>'[2]I-5 NB'!L79</f>
        <v>POINSETTIA</v>
      </c>
      <c r="H79" s="197">
        <f>'[2]I-5 NB'!O79</f>
        <v>18707</v>
      </c>
      <c r="I79" s="198">
        <f>VLOOKUP(c_1[[#This Row],[hwycov_id]],readme!D:G,4,FALSE)</f>
        <v>29446.910156000002</v>
      </c>
      <c r="J79" s="49">
        <f t="shared" si="4"/>
        <v>0.5741118381354573</v>
      </c>
      <c r="K79" s="190" t="str">
        <f>'[2]I-5 NB'!P79</f>
        <v>PeMS2016</v>
      </c>
      <c r="L79" s="148">
        <f t="shared" si="5"/>
        <v>115345670.15895198</v>
      </c>
    </row>
    <row r="80" spans="1:12" x14ac:dyDescent="0.25">
      <c r="A80" s="43">
        <f>'[2]I-5 NB'!C80</f>
        <v>1</v>
      </c>
      <c r="B80" s="43" t="str">
        <f>'[2]I-5 NB'!H80</f>
        <v>I-5 NB</v>
      </c>
      <c r="C80" s="126">
        <f>'[2]I-5 NB'!E80</f>
        <v>26546</v>
      </c>
      <c r="D80" s="188">
        <f>'[2]I-5 NB'!I80</f>
        <v>143</v>
      </c>
      <c r="E80" s="189">
        <f>'[2]I-5 NB'!J80</f>
        <v>0</v>
      </c>
      <c r="F80" s="189" t="str">
        <f>'[2]I-5 NB'!K80</f>
        <v>POINSETTIA</v>
      </c>
      <c r="G80" s="189" t="str">
        <f>'[2]I-5 NB'!L80</f>
        <v>POINSETTIA</v>
      </c>
      <c r="H80" s="197">
        <f>'[2]I-5 NB'!O80</f>
        <v>19631</v>
      </c>
      <c r="I80" s="198">
        <f>VLOOKUP(c_1[[#This Row],[hwycov_id]],readme!D:G,4,FALSE)</f>
        <v>26676.529297000001</v>
      </c>
      <c r="J80" s="49">
        <f t="shared" si="4"/>
        <v>0.35889813544903482</v>
      </c>
      <c r="K80" s="190" t="str">
        <f>'[2]I-5 NB'!P80</f>
        <v>PeMS2016</v>
      </c>
      <c r="L80" s="148">
        <f t="shared" si="5"/>
        <v>49639483.074885331</v>
      </c>
    </row>
    <row r="81" spans="1:12" x14ac:dyDescent="0.25">
      <c r="A81" s="43">
        <f>'[2]I-5 NB'!C81</f>
        <v>1</v>
      </c>
      <c r="B81" s="43" t="str">
        <f>'[2]I-5 NB'!H81</f>
        <v>I-5 NB</v>
      </c>
      <c r="C81" s="126">
        <f>'[2]I-5 NB'!E81</f>
        <v>13279</v>
      </c>
      <c r="D81" s="188">
        <f>'[2]I-5 NB'!I81</f>
        <v>145</v>
      </c>
      <c r="E81" s="189">
        <f>'[2]I-5 NB'!J81</f>
        <v>0</v>
      </c>
      <c r="F81" s="189" t="str">
        <f>'[2]I-5 NB'!K81</f>
        <v>POINSETTIA</v>
      </c>
      <c r="G81" s="189" t="str">
        <f>'[2]I-5 NB'!L81</f>
        <v>PALOMAR AIRPORT</v>
      </c>
      <c r="H81" s="197">
        <f>'[2]I-5 NB'!O81</f>
        <v>20084</v>
      </c>
      <c r="I81" s="198">
        <f>VLOOKUP(c_1[[#This Row],[hwycov_id]],readme!D:G,4,FALSE)</f>
        <v>27984.470702999999</v>
      </c>
      <c r="J81" s="49">
        <f t="shared" si="4"/>
        <v>0.39337137537343159</v>
      </c>
      <c r="K81" s="190" t="str">
        <f>'[2]I-5 NB'!P81</f>
        <v>PeMS2016</v>
      </c>
      <c r="L81" s="148">
        <f t="shared" si="5"/>
        <v>62417437.328961298</v>
      </c>
    </row>
    <row r="82" spans="1:12" x14ac:dyDescent="0.25">
      <c r="A82" s="43">
        <f>'[2]I-5 NB'!C82</f>
        <v>1</v>
      </c>
      <c r="B82" s="43" t="str">
        <f>'[2]I-5 NB'!H82</f>
        <v>I-5 NB</v>
      </c>
      <c r="C82" s="126">
        <f>'[2]I-5 NB'!E82</f>
        <v>13277</v>
      </c>
      <c r="D82" s="188">
        <f>'[2]I-5 NB'!I82</f>
        <v>146</v>
      </c>
      <c r="E82" s="189">
        <f>'[2]I-5 NB'!J82</f>
        <v>0</v>
      </c>
      <c r="F82" s="189" t="str">
        <f>'[2]I-5 NB'!K82</f>
        <v>PALOMAR AIRPORT</v>
      </c>
      <c r="G82" s="189" t="str">
        <f>'[2]I-5 NB'!L82</f>
        <v>PALOMAR AIRPORT</v>
      </c>
      <c r="H82" s="197">
        <f>'[2]I-5 NB'!O82</f>
        <v>18732</v>
      </c>
      <c r="I82" s="198">
        <f>VLOOKUP(c_1[[#This Row],[hwycov_id]],readme!D:G,4,FALSE)</f>
        <v>25315.132812</v>
      </c>
      <c r="J82" s="49">
        <f t="shared" si="4"/>
        <v>0.35143779692504795</v>
      </c>
      <c r="K82" s="190" t="str">
        <f>'[2]I-5 NB'!P82</f>
        <v>PeMS2016</v>
      </c>
      <c r="L82" s="148">
        <f t="shared" si="5"/>
        <v>43337637.620431028</v>
      </c>
    </row>
    <row r="83" spans="1:12" x14ac:dyDescent="0.25">
      <c r="A83" s="43">
        <f>'[2]I-5 NB'!C83</f>
        <v>1</v>
      </c>
      <c r="B83" s="43" t="str">
        <f>'[2]I-5 NB'!H83</f>
        <v>I-5 NB</v>
      </c>
      <c r="C83" s="126">
        <f>'[2]I-5 NB'!E83</f>
        <v>673</v>
      </c>
      <c r="D83" s="188">
        <f>'[2]I-5 NB'!I83</f>
        <v>148</v>
      </c>
      <c r="E83" s="189">
        <f>'[2]I-5 NB'!J83</f>
        <v>0</v>
      </c>
      <c r="F83" s="189" t="str">
        <f>'[2]I-5 NB'!K83</f>
        <v>CANNON</v>
      </c>
      <c r="G83" s="189" t="str">
        <f>'[2]I-5 NB'!L83</f>
        <v>CANNON</v>
      </c>
      <c r="H83" s="197">
        <f>'[2]I-5 NB'!O83</f>
        <v>20930</v>
      </c>
      <c r="I83" s="198">
        <f>VLOOKUP(c_1[[#This Row],[hwycov_id]],readme!D:G,4,FALSE)</f>
        <v>26519.716797000001</v>
      </c>
      <c r="J83" s="49">
        <f t="shared" si="4"/>
        <v>0.2670672143812709</v>
      </c>
      <c r="K83" s="190" t="str">
        <f>'[2]I-5 NB'!P83</f>
        <v>PeMS2016</v>
      </c>
      <c r="L83" s="148">
        <f t="shared" si="5"/>
        <v>31244933.870663948</v>
      </c>
    </row>
    <row r="84" spans="1:12" x14ac:dyDescent="0.25">
      <c r="A84" s="43">
        <f>'[2]I-5 NB'!C84</f>
        <v>1</v>
      </c>
      <c r="B84" s="43" t="str">
        <f>'[2]I-5 NB'!H84</f>
        <v>I-5 NB</v>
      </c>
      <c r="C84" s="126">
        <f>'[2]I-5 NB'!E84</f>
        <v>8768</v>
      </c>
      <c r="D84" s="188">
        <f>'[2]I-5 NB'!I84</f>
        <v>149</v>
      </c>
      <c r="E84" s="189">
        <f>'[2]I-5 NB'!J84</f>
        <v>0</v>
      </c>
      <c r="F84" s="189" t="str">
        <f>'[2]I-5 NB'!K84</f>
        <v>CANNON</v>
      </c>
      <c r="G84" s="189" t="str">
        <f>'[2]I-5 NB'!L84</f>
        <v>TAMARACK</v>
      </c>
      <c r="H84" s="197">
        <f>'[2]I-5 NB'!O84</f>
        <v>24173</v>
      </c>
      <c r="I84" s="198">
        <f>VLOOKUP(c_1[[#This Row],[hwycov_id]],readme!D:G,4,FALSE)</f>
        <v>29920.449218999998</v>
      </c>
      <c r="J84" s="49">
        <f t="shared" si="4"/>
        <v>0.2377631745749389</v>
      </c>
      <c r="K84" s="190" t="str">
        <f>'[2]I-5 NB'!P84</f>
        <v>PeMS2016</v>
      </c>
      <c r="L84" s="148">
        <f t="shared" si="5"/>
        <v>33033172.524983689</v>
      </c>
    </row>
    <row r="85" spans="1:12" x14ac:dyDescent="0.25">
      <c r="A85" s="43">
        <f>'[2]I-5 NB'!C85</f>
        <v>1</v>
      </c>
      <c r="B85" s="43" t="str">
        <f>'[2]I-5 NB'!H85</f>
        <v>I-5 NB</v>
      </c>
      <c r="C85" s="126">
        <f>'[2]I-5 NB'!E85</f>
        <v>26547</v>
      </c>
      <c r="D85" s="188">
        <f>'[2]I-5 NB'!I85</f>
        <v>150</v>
      </c>
      <c r="E85" s="189">
        <f>'[2]I-5 NB'!J85</f>
        <v>0</v>
      </c>
      <c r="F85" s="189" t="str">
        <f>'[2]I-5 NB'!K85</f>
        <v>TAMARACK</v>
      </c>
      <c r="G85" s="189" t="str">
        <f>'[2]I-5 NB'!L85</f>
        <v>TAMARACK</v>
      </c>
      <c r="H85" s="197">
        <f>'[2]I-5 NB'!O85</f>
        <v>24326</v>
      </c>
      <c r="I85" s="198">
        <f>VLOOKUP(c_1[[#This Row],[hwycov_id]],readme!D:G,4,FALSE)</f>
        <v>27735.917968999998</v>
      </c>
      <c r="J85" s="49">
        <f t="shared" si="4"/>
        <v>0.14017585994409276</v>
      </c>
      <c r="K85" s="190" t="str">
        <f>'[2]I-5 NB'!P85</f>
        <v>Caltran</v>
      </c>
      <c r="L85" s="148">
        <f t="shared" si="5"/>
        <v>11627540.555309074</v>
      </c>
    </row>
    <row r="86" spans="1:12" x14ac:dyDescent="0.25">
      <c r="A86" s="43">
        <f>'[2]I-5 NB'!C86</f>
        <v>1</v>
      </c>
      <c r="B86" s="43" t="str">
        <f>'[2]I-5 NB'!H86</f>
        <v>I-5 NB</v>
      </c>
      <c r="C86" s="126">
        <f>'[2]I-5 NB'!E86</f>
        <v>12592</v>
      </c>
      <c r="D86" s="188">
        <f>'[2]I-5 NB'!I86</f>
        <v>151</v>
      </c>
      <c r="E86" s="189">
        <f>'[2]I-5 NB'!J86</f>
        <v>0</v>
      </c>
      <c r="F86" s="189" t="str">
        <f>'[2]I-5 NB'!K86</f>
        <v>TAMARACK</v>
      </c>
      <c r="G86" s="189" t="str">
        <f>'[2]I-5 NB'!L86</f>
        <v>TAMARACK</v>
      </c>
      <c r="H86" s="197">
        <f>'[2]I-5 NB'!O86</f>
        <v>23458</v>
      </c>
      <c r="I86" s="198">
        <f>VLOOKUP(c_1[[#This Row],[hwycov_id]],readme!D:G,4,FALSE)</f>
        <v>27735.917968999998</v>
      </c>
      <c r="J86" s="49">
        <f t="shared" si="4"/>
        <v>0.18236499143149443</v>
      </c>
      <c r="K86" s="190" t="str">
        <f>'[2]I-5 NB'!P86</f>
        <v>PeMS2016</v>
      </c>
      <c r="L86" s="148">
        <f t="shared" si="5"/>
        <v>18300582.149493068</v>
      </c>
    </row>
    <row r="87" spans="1:12" x14ac:dyDescent="0.25">
      <c r="A87" s="43">
        <f>'[2]I-5 NB'!C87</f>
        <v>1</v>
      </c>
      <c r="B87" s="43" t="str">
        <f>'[2]I-5 NB'!H87</f>
        <v>I-5 NB</v>
      </c>
      <c r="C87" s="126">
        <f>'[2]I-5 NB'!E87</f>
        <v>16125</v>
      </c>
      <c r="D87" s="188">
        <f>'[2]I-5 NB'!I87</f>
        <v>156</v>
      </c>
      <c r="E87" s="189">
        <f>'[2]I-5 NB'!J87</f>
        <v>0</v>
      </c>
      <c r="F87" s="189" t="str">
        <f>'[2]I-5 NB'!K87</f>
        <v>LAS FLORES</v>
      </c>
      <c r="G87" s="189" t="str">
        <f>'[2]I-5 NB'!L87</f>
        <v>SR-78 EB</v>
      </c>
      <c r="H87" s="197">
        <f>'[2]I-5 NB'!O87</f>
        <v>21321</v>
      </c>
      <c r="I87" s="198">
        <f>VLOOKUP(c_1[[#This Row],[hwycov_id]],readme!D:G,4,FALSE)</f>
        <v>30691.626952999999</v>
      </c>
      <c r="J87" s="49">
        <f t="shared" si="4"/>
        <v>0.43950222564607655</v>
      </c>
      <c r="K87" s="190" t="str">
        <f>'[2]I-5 NB'!P87</f>
        <v>PeMS2016</v>
      </c>
      <c r="L87" s="148">
        <f t="shared" si="5"/>
        <v>87808649.49229005</v>
      </c>
    </row>
    <row r="88" spans="1:12" x14ac:dyDescent="0.25">
      <c r="A88" s="43">
        <f>'[2]I-5 NB'!C88</f>
        <v>1</v>
      </c>
      <c r="B88" s="43" t="str">
        <f>'[2]I-5 NB'!H88</f>
        <v>I-5 NB</v>
      </c>
      <c r="C88" s="126">
        <f>'[2]I-5 NB'!E88</f>
        <v>12253</v>
      </c>
      <c r="D88" s="188">
        <f>'[2]I-5 NB'!I88</f>
        <v>160</v>
      </c>
      <c r="E88" s="189">
        <f>'[2]I-5 NB'!J88</f>
        <v>0</v>
      </c>
      <c r="F88" s="189" t="str">
        <f>'[2]I-5 NB'!K88</f>
        <v>CASSIDY</v>
      </c>
      <c r="G88" s="189" t="str">
        <f>'[2]I-5 NB'!L88</f>
        <v>CALIFORNIA</v>
      </c>
      <c r="H88" s="197">
        <f>'[2]I-5 NB'!O88</f>
        <v>23051</v>
      </c>
      <c r="I88" s="198">
        <f>VLOOKUP(c_1[[#This Row],[hwycov_id]],readme!D:G,4,FALSE)</f>
        <v>26965.445312</v>
      </c>
      <c r="J88" s="49">
        <f t="shared" si="4"/>
        <v>0.16981672430697148</v>
      </c>
      <c r="K88" s="190" t="str">
        <f>'[2]I-5 NB'!P88</f>
        <v>PeMS2016</v>
      </c>
      <c r="L88" s="148">
        <f t="shared" si="5"/>
        <v>15322882.100638775</v>
      </c>
    </row>
    <row r="89" spans="1:12" x14ac:dyDescent="0.25">
      <c r="A89" s="43">
        <f>'[2]I-5 NB'!C89</f>
        <v>1</v>
      </c>
      <c r="B89" s="43" t="str">
        <f>'[2]I-5 NB'!H89</f>
        <v>I-5 NB</v>
      </c>
      <c r="C89" s="126">
        <f>'[2]I-5 NB'!E89</f>
        <v>12242</v>
      </c>
      <c r="D89" s="188">
        <f>'[2]I-5 NB'!I89</f>
        <v>163</v>
      </c>
      <c r="E89" s="189">
        <f>'[2]I-5 NB'!J89</f>
        <v>0</v>
      </c>
      <c r="F89" s="189" t="str">
        <f>'[2]I-5 NB'!K89</f>
        <v>OCEANSIDE</v>
      </c>
      <c r="G89" s="189" t="str">
        <f>'[2]I-5 NB'!L89</f>
        <v>OCEANSIDE</v>
      </c>
      <c r="H89" s="197">
        <f>'[2]I-5 NB'!O89</f>
        <v>19328</v>
      </c>
      <c r="I89" s="198">
        <f>VLOOKUP(c_1[[#This Row],[hwycov_id]],readme!D:G,4,FALSE)</f>
        <v>24837.267577999999</v>
      </c>
      <c r="J89" s="49">
        <f t="shared" si="4"/>
        <v>0.28504074803394031</v>
      </c>
      <c r="K89" s="190" t="str">
        <f>'[2]I-5 NB'!P89</f>
        <v>PeMS2016</v>
      </c>
      <c r="L89" s="148">
        <f t="shared" si="5"/>
        <v>30352029.246001974</v>
      </c>
    </row>
    <row r="90" spans="1:12" x14ac:dyDescent="0.25">
      <c r="A90" s="43">
        <f>'[2]I-5 NB'!C90</f>
        <v>1</v>
      </c>
      <c r="B90" s="43" t="str">
        <f>'[2]I-5 NB'!H90</f>
        <v>I-5 NB</v>
      </c>
      <c r="C90" s="126">
        <f>'[2]I-5 NB'!E90</f>
        <v>28495</v>
      </c>
      <c r="D90" s="188">
        <f>'[2]I-5 NB'!I90</f>
        <v>165</v>
      </c>
      <c r="E90" s="189">
        <f>'[2]I-5 NB'!J90</f>
        <v>0</v>
      </c>
      <c r="F90" s="189" t="str">
        <f>'[2]I-5 NB'!K90</f>
        <v>MISSION</v>
      </c>
      <c r="G90" s="189" t="str">
        <f>'[2]I-5 NB'!L90</f>
        <v>MISSION</v>
      </c>
      <c r="H90" s="197">
        <f>'[2]I-5 NB'!O90</f>
        <v>15508</v>
      </c>
      <c r="I90" s="198">
        <f>VLOOKUP(c_1[[#This Row],[hwycov_id]],readme!D:G,4,FALSE)</f>
        <v>20113.472656000002</v>
      </c>
      <c r="J90" s="49">
        <f t="shared" si="4"/>
        <v>0.29697399123033286</v>
      </c>
      <c r="K90" s="190" t="str">
        <f>'[2]I-5 NB'!P90</f>
        <v>PeMS2016</v>
      </c>
      <c r="L90" s="148">
        <f t="shared" si="5"/>
        <v>21210378.38516371</v>
      </c>
    </row>
    <row r="91" spans="1:12" x14ac:dyDescent="0.25">
      <c r="A91" s="43">
        <f>'[2]I-5 NB'!C91</f>
        <v>1</v>
      </c>
      <c r="B91" s="43" t="str">
        <f>'[2]I-5 NB'!H91</f>
        <v>I-5 NB</v>
      </c>
      <c r="C91" s="126">
        <f>'[2]I-5 NB'!E91</f>
        <v>28511</v>
      </c>
      <c r="D91" s="188">
        <f>'[2]I-5 NB'!I91</f>
        <v>166</v>
      </c>
      <c r="E91" s="189">
        <f>'[2]I-5 NB'!J91</f>
        <v>0</v>
      </c>
      <c r="F91" s="189" t="str">
        <f>'[2]I-5 NB'!K91</f>
        <v>MISSION</v>
      </c>
      <c r="G91" s="189" t="str">
        <f>'[2]I-5 NB'!L91</f>
        <v>SR-76</v>
      </c>
      <c r="H91" s="197">
        <f>'[2]I-5 NB'!O91</f>
        <v>16392</v>
      </c>
      <c r="I91" s="198">
        <f>VLOOKUP(c_1[[#This Row],[hwycov_id]],readme!D:G,4,FALSE)</f>
        <v>20515.982422000001</v>
      </c>
      <c r="J91" s="49">
        <f t="shared" si="4"/>
        <v>0.25158506722791607</v>
      </c>
      <c r="K91" s="190" t="str">
        <f>'[2]I-5 NB'!P91</f>
        <v>Caltran</v>
      </c>
      <c r="L91" s="148">
        <f t="shared" si="5"/>
        <v>17007231.016964994</v>
      </c>
    </row>
    <row r="92" spans="1:12" x14ac:dyDescent="0.25">
      <c r="A92" s="43">
        <f>'[2]I-5 NB'!C92</f>
        <v>1</v>
      </c>
      <c r="B92" s="43" t="str">
        <f>'[2]I-5 NB'!H92</f>
        <v>I-5 NB</v>
      </c>
      <c r="C92" s="126">
        <f>'[2]I-5 NB'!E92</f>
        <v>28512</v>
      </c>
      <c r="D92" s="188">
        <f>'[2]I-5 NB'!I92</f>
        <v>167</v>
      </c>
      <c r="E92" s="189">
        <f>'[2]I-5 NB'!J92</f>
        <v>0</v>
      </c>
      <c r="F92" s="189" t="str">
        <f>'[2]I-5 NB'!K92</f>
        <v>SR-76</v>
      </c>
      <c r="G92" s="189" t="str">
        <f>'[2]I-5 NB'!L92</f>
        <v>SR-76</v>
      </c>
      <c r="H92" s="197">
        <f>'[2]I-5 NB'!O92</f>
        <v>13004</v>
      </c>
      <c r="I92" s="198">
        <f>VLOOKUP(c_1[[#This Row],[hwycov_id]],readme!D:G,4,FALSE)</f>
        <v>17549.816406000002</v>
      </c>
      <c r="J92" s="49">
        <f t="shared" ref="J92:J95" si="6">I92/H92-1</f>
        <v>0.34957062488465107</v>
      </c>
      <c r="K92" s="190" t="str">
        <f>'[2]I-5 NB'!P92</f>
        <v>PeMS2016</v>
      </c>
      <c r="L92" s="148">
        <f t="shared" ref="L92:L95" si="7">POWER((I92-H92),2)</f>
        <v>20664446.797058772</v>
      </c>
    </row>
    <row r="93" spans="1:12" x14ac:dyDescent="0.25">
      <c r="A93" s="43">
        <f>'[2]I-5 NB'!C93</f>
        <v>1</v>
      </c>
      <c r="B93" s="43" t="str">
        <f>'[2]I-5 NB'!H93</f>
        <v>I-5 NB</v>
      </c>
      <c r="C93" s="126">
        <f>'[2]I-5 NB'!E93</f>
        <v>28486</v>
      </c>
      <c r="D93" s="188">
        <f>'[2]I-5 NB'!I93</f>
        <v>171</v>
      </c>
      <c r="E93" s="189">
        <f>'[2]I-5 NB'!J93</f>
        <v>0</v>
      </c>
      <c r="F93" s="189" t="str">
        <f>'[2]I-5 NB'!K93</f>
        <v>VANDEGRIFT</v>
      </c>
      <c r="G93" s="189" t="str">
        <f>'[2]I-5 NB'!L93</f>
        <v>VANDEGRIFT</v>
      </c>
      <c r="H93" s="197">
        <f>'[2]I-5 NB'!O93</f>
        <v>11005</v>
      </c>
      <c r="I93" s="198">
        <f>VLOOKUP(c_1[[#This Row],[hwycov_id]],readme!D:G,4,FALSE)</f>
        <v>14461.248046999999</v>
      </c>
      <c r="J93" s="49">
        <f t="shared" si="6"/>
        <v>0.31406161263062238</v>
      </c>
      <c r="K93" s="190" t="str">
        <f>'[2]I-5 NB'!P93</f>
        <v>PeMS2016</v>
      </c>
      <c r="L93" s="148">
        <f t="shared" si="7"/>
        <v>11945650.562391309</v>
      </c>
    </row>
    <row r="94" spans="1:12" x14ac:dyDescent="0.25">
      <c r="A94" s="43">
        <f>'[2]I-5 NB'!C94</f>
        <v>1</v>
      </c>
      <c r="B94" s="43" t="str">
        <f>'[2]I-5 NB'!H94</f>
        <v>I-5 NB</v>
      </c>
      <c r="C94" s="126">
        <f>'[2]I-5 NB'!E94</f>
        <v>27597</v>
      </c>
      <c r="D94" s="188">
        <f>'[2]I-5 NB'!I94</f>
        <v>172</v>
      </c>
      <c r="E94" s="189">
        <f>'[2]I-5 NB'!J94</f>
        <v>7</v>
      </c>
      <c r="F94" s="189" t="str">
        <f>'[2]I-5 NB'!K94</f>
        <v>VANDEGRIFT</v>
      </c>
      <c r="G94" s="189" t="str">
        <f>'[2]I-5 NB'!L94</f>
        <v>LAS PULGAS</v>
      </c>
      <c r="H94" s="197">
        <f>'[2]I-5 NB'!O94</f>
        <v>11331</v>
      </c>
      <c r="I94" s="198">
        <f>VLOOKUP(c_1[[#This Row],[hwycov_id]],readme!D:G,4,FALSE)</f>
        <v>14624.066406</v>
      </c>
      <c r="J94" s="49">
        <f t="shared" si="6"/>
        <v>0.29062451734180561</v>
      </c>
      <c r="K94" s="190" t="str">
        <f>'[2]I-5 NB'!P94</f>
        <v>PeMS2016</v>
      </c>
      <c r="L94" s="148">
        <f t="shared" si="7"/>
        <v>10844286.354325756</v>
      </c>
    </row>
    <row r="95" spans="1:12" x14ac:dyDescent="0.25">
      <c r="A95" s="43">
        <f>'[2]I-5 NB'!C95</f>
        <v>1</v>
      </c>
      <c r="B95" s="43" t="str">
        <f>'[2]I-5 NB'!H95</f>
        <v>I-5 NB</v>
      </c>
      <c r="C95" s="126">
        <f>'[2]I-5 NB'!E95</f>
        <v>27519</v>
      </c>
      <c r="D95" s="188">
        <f>'[2]I-5 NB'!I95</f>
        <v>174</v>
      </c>
      <c r="E95" s="189">
        <f>'[2]I-5 NB'!J95</f>
        <v>8</v>
      </c>
      <c r="F95" s="189" t="str">
        <f>'[2]I-5 NB'!K95</f>
        <v>LAS PULGAS</v>
      </c>
      <c r="G95" s="189" t="str">
        <f>'[2]I-5 NB'!L95</f>
        <v>BASILONE</v>
      </c>
      <c r="H95" s="197">
        <f>'[2]I-5 NB'!O95</f>
        <v>12094</v>
      </c>
      <c r="I95" s="198">
        <f>VLOOKUP(c_1[[#This Row],[hwycov_id]],readme!D:G,4,FALSE)</f>
        <v>14625.247069999999</v>
      </c>
      <c r="J95" s="49">
        <f t="shared" si="6"/>
        <v>0.20929775673887874</v>
      </c>
      <c r="K95" s="190" t="str">
        <f>'[2]I-5 NB'!P95</f>
        <v>PeMS2016</v>
      </c>
      <c r="L95" s="148">
        <f t="shared" si="7"/>
        <v>6407211.7293835822</v>
      </c>
    </row>
    <row r="96" spans="1:12" x14ac:dyDescent="0.25">
      <c r="C96" s="126"/>
      <c r="D96" s="188"/>
      <c r="E96" s="189"/>
      <c r="F96" s="189"/>
      <c r="G96" s="189"/>
      <c r="H96" s="197"/>
      <c r="I96" s="198"/>
      <c r="J96" s="49"/>
      <c r="K96" s="190"/>
      <c r="L96" s="148"/>
    </row>
    <row r="97" spans="3:12" x14ac:dyDescent="0.25">
      <c r="C97" s="126"/>
      <c r="D97" s="188"/>
      <c r="E97" s="189"/>
      <c r="F97" s="189"/>
      <c r="G97" s="189"/>
      <c r="H97" s="197"/>
      <c r="I97" s="198"/>
      <c r="J97" s="49"/>
      <c r="K97" s="190"/>
      <c r="L97" s="148"/>
    </row>
    <row r="98" spans="3:12" x14ac:dyDescent="0.25">
      <c r="C98" s="126"/>
      <c r="D98" s="188"/>
      <c r="E98" s="189"/>
      <c r="F98" s="189"/>
      <c r="G98" s="189"/>
      <c r="H98" s="197"/>
      <c r="I98" s="198"/>
      <c r="J98" s="49"/>
      <c r="K98" s="190"/>
      <c r="L98" s="148"/>
    </row>
    <row r="99" spans="3:12" x14ac:dyDescent="0.25">
      <c r="C99" s="126"/>
      <c r="D99" s="188"/>
      <c r="E99" s="189"/>
      <c r="F99" s="189"/>
      <c r="G99" s="189"/>
      <c r="H99" s="197"/>
      <c r="I99" s="198"/>
      <c r="J99" s="49"/>
      <c r="K99" s="190"/>
      <c r="L99" s="148"/>
    </row>
    <row r="100" spans="3:12" x14ac:dyDescent="0.25">
      <c r="C100" s="126"/>
      <c r="D100" s="188"/>
      <c r="E100" s="189"/>
      <c r="F100" s="189"/>
      <c r="G100" s="189"/>
      <c r="H100" s="197"/>
      <c r="I100" s="198"/>
      <c r="J100" s="49"/>
      <c r="K100" s="190"/>
      <c r="L100" s="148"/>
    </row>
    <row r="101" spans="3:12" x14ac:dyDescent="0.25">
      <c r="C101" s="126"/>
      <c r="D101" s="188"/>
      <c r="E101" s="189"/>
      <c r="F101" s="189"/>
      <c r="G101" s="189"/>
      <c r="H101" s="197"/>
      <c r="I101" s="198"/>
      <c r="J101" s="49"/>
      <c r="K101" s="190"/>
      <c r="L101" s="148"/>
    </row>
    <row r="102" spans="3:12" x14ac:dyDescent="0.25">
      <c r="C102" s="126"/>
      <c r="D102" s="188"/>
      <c r="E102" s="189"/>
      <c r="F102" s="189"/>
      <c r="G102" s="189"/>
      <c r="H102" s="197"/>
      <c r="I102" s="198"/>
      <c r="J102" s="49"/>
      <c r="K102" s="190"/>
      <c r="L102" s="148"/>
    </row>
    <row r="103" spans="3:12" x14ac:dyDescent="0.25">
      <c r="C103" s="126"/>
      <c r="D103" s="188"/>
      <c r="E103" s="189"/>
      <c r="F103" s="189"/>
      <c r="G103" s="189"/>
      <c r="H103" s="197"/>
      <c r="I103" s="198"/>
      <c r="J103" s="49"/>
      <c r="K103" s="190"/>
      <c r="L103" s="148"/>
    </row>
  </sheetData>
  <conditionalFormatting sqref="J2:J95">
    <cfRule type="cellIs" dxfId="671" priority="1" operator="lessThan">
      <formula>-0.2</formula>
    </cfRule>
    <cfRule type="cellIs" dxfId="67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AI8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O68" sqref="O68"/>
    </sheetView>
  </sheetViews>
  <sheetFormatPr defaultRowHeight="15" x14ac:dyDescent="0.25"/>
  <cols>
    <col min="1" max="1" width="10.85546875" style="43" bestFit="1" customWidth="1"/>
    <col min="2" max="2" width="10.14062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7" width="20.5703125" style="53" bestFit="1" customWidth="1"/>
    <col min="8" max="8" width="8.85546875" style="48" bestFit="1" customWidth="1"/>
    <col min="9" max="9" width="13" style="48" bestFit="1" customWidth="1"/>
    <col min="10" max="10" width="7.28515625" style="47" bestFit="1" customWidth="1"/>
    <col min="11" max="11" width="10.7109375" style="47" bestFit="1" customWidth="1"/>
    <col min="12" max="12" width="12" style="44" bestFit="1" customWidth="1"/>
    <col min="13" max="13" width="12.28515625" style="44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97" t="s">
        <v>97</v>
      </c>
      <c r="B1" s="97" t="s">
        <v>123</v>
      </c>
      <c r="C1" s="199" t="s">
        <v>53</v>
      </c>
      <c r="D1" s="200" t="s">
        <v>263</v>
      </c>
      <c r="E1" s="201" t="s">
        <v>133</v>
      </c>
      <c r="F1" s="202" t="s">
        <v>135</v>
      </c>
      <c r="G1" s="199" t="s">
        <v>136</v>
      </c>
      <c r="H1" s="203" t="s">
        <v>134</v>
      </c>
      <c r="I1" s="203" t="s">
        <v>17</v>
      </c>
      <c r="J1" s="204" t="s">
        <v>50</v>
      </c>
      <c r="K1" s="204" t="s">
        <v>174</v>
      </c>
      <c r="L1" s="205" t="s">
        <v>105</v>
      </c>
      <c r="M1" s="95"/>
      <c r="N1" s="122">
        <f>SQRT(AVERAGE(c_2[x2]))/AVERAGE(c_2[count])</f>
        <v>0.25933768640894406</v>
      </c>
      <c r="O1" s="69">
        <f>LINEST(c_2[flow],c_2[count],FALSE)</f>
        <v>1.2120128697765915</v>
      </c>
      <c r="P1" s="69">
        <f>RSQ(c_2[flow],c_2[count])</f>
        <v>0.84533366929179299</v>
      </c>
      <c r="Q1" s="19">
        <f>IFERROR(AVERAGEIF(c_2[gap],"&gt;=0",c_2[gap]),0)</f>
        <v>0.25819049550317152</v>
      </c>
      <c r="R1" s="20">
        <f>IFERROR(AVERAGEIF(c_2[gap],"&lt;0",c_2[gap]),0)</f>
        <v>-5.4913669250348844E-2</v>
      </c>
      <c r="S1" s="13">
        <f>AVERAGE(c_2[gap])</f>
        <v>0.21273989094217663</v>
      </c>
      <c r="T1" s="18">
        <f>COUNTIFS(c_2[gap],"&lt;10%",c_2[gap],"&gt;=-10%")/COUNTA(c_2[gap])</f>
        <v>0.12903225806451613</v>
      </c>
      <c r="U1" s="18">
        <f>COUNTIFS(c_2[gap],"&lt;20%",c_2[gap],"&gt;=-20%")/COUNTA(c_2[gap])</f>
        <v>0.40322580645161288</v>
      </c>
      <c r="V1" s="18">
        <f>COUNTIFS(c_2[gap],"&lt;30%",c_2[gap],"&gt;=-30%")/COUNTA(c_2[gap])</f>
        <v>0.77419354838709675</v>
      </c>
      <c r="W1" s="19">
        <f>COUNTIF(c_2[gap],"&gt;=0")/COUNTA(c_2[gap])</f>
        <v>0.85483870967741937</v>
      </c>
      <c r="X1" s="21">
        <f>COUNTIF(c_2[gap],"&lt;0")/COUNTA(c_2[gap])</f>
        <v>0.14516129032258066</v>
      </c>
      <c r="Y1" s="49" t="str">
        <f>"%Link(+)="&amp;TEXT(W1,"0%")</f>
        <v>%Link(+)=85%</v>
      </c>
      <c r="Z1" s="24" t="str">
        <f>"%Link(-)="&amp;TEXT(X1,"0%")</f>
        <v>%Link(-)=15%</v>
      </c>
      <c r="AA1" s="17" t="str">
        <f>"AvgGap(+)="&amp;TEXT(Q1,"0%")</f>
        <v>AvgGap(+)=26%</v>
      </c>
      <c r="AB1" t="str">
        <f>"AvgGap(-)="&amp;TEXT(R1,"0%")</f>
        <v>AvgGap(-)=-5%</v>
      </c>
      <c r="AC1" t="str">
        <f>"AvgGap(±)="&amp;TEXT(S1,"0%")</f>
        <v>AvgGap(±)=21%</v>
      </c>
      <c r="AD1" t="str">
        <f>"GapIn(±10%)="&amp;TEXT(T1,"0%")</f>
        <v>GapIn(±10%)=13%</v>
      </c>
      <c r="AE1" t="str">
        <f>"GapIn(±20%)="&amp;TEXT(U1,"0%")</f>
        <v>GapIn(±20%)=40%</v>
      </c>
      <c r="AF1" t="str">
        <f>"GapIn(±30%)="&amp;TEXT(V1,"0%")</f>
        <v>GapIn(±30%)=77%</v>
      </c>
      <c r="AG1" t="str">
        <f>"Linear Slope="&amp;TEXT(O1,"#.###")</f>
        <v>Linear Slope=1.212</v>
      </c>
      <c r="AH1" t="str">
        <f>"RMSE="&amp;TEXT(N1,"0%")</f>
        <v>RMSE=26%</v>
      </c>
      <c r="AI1" s="23" t="str">
        <f>CONCATENATE(Y1," ",Z1," ",AA1,"  ",AB1,"  ",AC1,"  ",AD1,"  ",AE1,"  ",AF1,"  ",AG1," ",AH1)</f>
        <v>%Link(+)=85% %Link(-)=15% AvgGap(+)=26%  AvgGap(-)=-5%  AvgGap(±)=21%  GapIn(±10%)=13%  GapIn(±20%)=40%  GapIn(±30%)=77%  Linear Slope=1.212 RMSE=26%</v>
      </c>
    </row>
    <row r="2" spans="1:35" x14ac:dyDescent="0.25">
      <c r="A2" s="43">
        <f>'[2]I-15 NB'!C2</f>
        <v>2</v>
      </c>
      <c r="B2" s="43" t="str">
        <f>'[2]I-15 NB'!H2</f>
        <v>I-15 NB</v>
      </c>
      <c r="C2" s="43">
        <f>'[2]I-15 NB'!E2</f>
        <v>16127</v>
      </c>
      <c r="D2" s="188">
        <f>'[2]I-15 NB'!I2</f>
        <v>1</v>
      </c>
      <c r="E2" s="189">
        <f>'[2]I-15 NB'!J2</f>
        <v>0</v>
      </c>
      <c r="F2" s="189" t="str">
        <f>'[2]I-15 NB'!K2</f>
        <v>I-5 NB</v>
      </c>
      <c r="G2" s="189" t="str">
        <f>'[2]I-15 NB'!L2</f>
        <v>OCEAN VIEW</v>
      </c>
      <c r="H2" s="51">
        <f>'[2]I-15 NB'!O2</f>
        <v>13149</v>
      </c>
      <c r="I2" s="43">
        <f>VLOOKUP(c_2[[#This Row],[hwycov_id]],readme!D:G,4,FALSE)</f>
        <v>18554.042968999998</v>
      </c>
      <c r="J2" s="49">
        <f t="shared" ref="J2" si="0">I2/H2-1</f>
        <v>0.41106114297665219</v>
      </c>
      <c r="K2" s="188" t="str">
        <f>'[2]I-15 NB'!P2</f>
        <v>Caltran</v>
      </c>
      <c r="L2" s="89">
        <f t="shared" ref="L2" si="1">POWER((I2-H2),2)</f>
        <v>29214489.496736318</v>
      </c>
      <c r="M2" s="96"/>
    </row>
    <row r="3" spans="1:35" x14ac:dyDescent="0.25">
      <c r="A3" s="43">
        <f>'[2]I-15 NB'!C3</f>
        <v>2</v>
      </c>
      <c r="B3" s="43" t="str">
        <f>'[2]I-15 NB'!H3</f>
        <v>I-15 NB</v>
      </c>
      <c r="C3" s="43">
        <f>'[2]I-15 NB'!E3</f>
        <v>16128</v>
      </c>
      <c r="D3" s="188">
        <f>'[2]I-15 NB'!I3</f>
        <v>2</v>
      </c>
      <c r="E3" s="189">
        <f>'[2]I-15 NB'!J3</f>
        <v>0</v>
      </c>
      <c r="F3" s="189" t="str">
        <f>'[2]I-15 NB'!K3</f>
        <v>OCEAN VIEW</v>
      </c>
      <c r="G3" s="189" t="str">
        <f>'[2]I-15 NB'!L3</f>
        <v>OCEAN VIEW</v>
      </c>
      <c r="H3" s="51">
        <f>'[2]I-15 NB'!O3</f>
        <v>13795</v>
      </c>
      <c r="I3" s="43">
        <f>VLOOKUP(c_2[[#This Row],[hwycov_id]],readme!D:G,4,FALSE)</f>
        <v>17869.894531000002</v>
      </c>
      <c r="J3" s="49">
        <f t="shared" ref="J3:J63" si="2">I3/H3-1</f>
        <v>0.29538923747734702</v>
      </c>
      <c r="K3" s="188" t="str">
        <f>'[2]I-15 NB'!P3</f>
        <v>PeMS2016</v>
      </c>
      <c r="L3" s="89">
        <f t="shared" ref="L3:L63" si="3">POWER((I3-H3),2)</f>
        <v>16604765.438773723</v>
      </c>
      <c r="M3" s="96"/>
    </row>
    <row r="4" spans="1:35" x14ac:dyDescent="0.25">
      <c r="A4" s="43">
        <f>'[2]I-15 NB'!C4</f>
        <v>2</v>
      </c>
      <c r="B4" s="43" t="str">
        <f>'[2]I-15 NB'!H4</f>
        <v>I-15 NB</v>
      </c>
      <c r="C4" s="43">
        <f>'[2]I-15 NB'!E4</f>
        <v>11327</v>
      </c>
      <c r="D4" s="188">
        <f>'[2]I-15 NB'!I4</f>
        <v>3</v>
      </c>
      <c r="E4" s="189">
        <f>'[2]I-15 NB'!J4</f>
        <v>0</v>
      </c>
      <c r="F4" s="189" t="str">
        <f>'[2]I-15 NB'!K4</f>
        <v>OCEAN VIEW</v>
      </c>
      <c r="G4" s="189" t="str">
        <f>'[2]I-15 NB'!L4</f>
        <v>IMPERIAL</v>
      </c>
      <c r="H4" s="51">
        <f>'[2]I-15 NB'!O4</f>
        <v>15197</v>
      </c>
      <c r="I4" s="43">
        <f>VLOOKUP(c_2[[#This Row],[hwycov_id]],readme!D:G,4,FALSE)</f>
        <v>19397.427734000001</v>
      </c>
      <c r="J4" s="49">
        <f t="shared" si="2"/>
        <v>0.27639848220043439</v>
      </c>
      <c r="K4" s="188" t="str">
        <f>'[2]I-15 NB'!P4</f>
        <v>PeMS2016</v>
      </c>
      <c r="L4" s="89">
        <f t="shared" si="3"/>
        <v>17643593.148556381</v>
      </c>
      <c r="M4" s="96"/>
    </row>
    <row r="5" spans="1:35" x14ac:dyDescent="0.25">
      <c r="A5" s="43">
        <f>'[2]I-15 NB'!C5</f>
        <v>2</v>
      </c>
      <c r="B5" s="43" t="str">
        <f>'[2]I-15 NB'!H5</f>
        <v>I-15 NB</v>
      </c>
      <c r="C5" s="43">
        <f>'[2]I-15 NB'!E5</f>
        <v>16136</v>
      </c>
      <c r="D5" s="188">
        <f>'[2]I-15 NB'!I5</f>
        <v>5</v>
      </c>
      <c r="E5" s="189">
        <f>'[2]I-15 NB'!J5</f>
        <v>0</v>
      </c>
      <c r="F5" s="189">
        <f>'[2]I-15 NB'!K5</f>
        <v>0</v>
      </c>
      <c r="G5" s="189" t="str">
        <f>'[2]I-15 NB'!L5</f>
        <v>MARKET</v>
      </c>
      <c r="H5" s="51">
        <f>'[2]I-15 NB'!O5</f>
        <v>16609</v>
      </c>
      <c r="I5" s="43">
        <f>VLOOKUP(c_2[[#This Row],[hwycov_id]],readme!D:G,4,FALSE)</f>
        <v>20433.730468999998</v>
      </c>
      <c r="J5" s="49">
        <f t="shared" si="2"/>
        <v>0.23028059901258335</v>
      </c>
      <c r="K5" s="188" t="str">
        <f>'[2]I-15 NB'!P5</f>
        <v>Caltran</v>
      </c>
      <c r="L5" s="89">
        <f t="shared" si="3"/>
        <v>14628563.160496946</v>
      </c>
      <c r="M5" s="96"/>
    </row>
    <row r="6" spans="1:35" x14ac:dyDescent="0.25">
      <c r="A6" s="43">
        <f>'[2]I-15 NB'!C6</f>
        <v>2</v>
      </c>
      <c r="B6" s="43" t="str">
        <f>'[2]I-15 NB'!H6</f>
        <v>I-15 NB</v>
      </c>
      <c r="C6" s="43">
        <f>'[2]I-15 NB'!E6</f>
        <v>8921</v>
      </c>
      <c r="D6" s="188">
        <f>'[2]I-15 NB'!I6</f>
        <v>8</v>
      </c>
      <c r="E6" s="189">
        <f>'[2]I-15 NB'!J6</f>
        <v>0</v>
      </c>
      <c r="F6" s="189" t="str">
        <f>'[2]I-15 NB'!K6</f>
        <v>SR-94 EB</v>
      </c>
      <c r="G6" s="189" t="str">
        <f>'[2]I-15 NB'!L6</f>
        <v>I-805 NB</v>
      </c>
      <c r="H6" s="51">
        <f>'[2]I-15 NB'!O6</f>
        <v>14799</v>
      </c>
      <c r="I6" s="43">
        <f>VLOOKUP(c_2[[#This Row],[hwycov_id]],readme!D:G,4,FALSE)</f>
        <v>18744.759765999999</v>
      </c>
      <c r="J6" s="49">
        <f t="shared" si="2"/>
        <v>0.26662340468950596</v>
      </c>
      <c r="K6" s="188" t="str">
        <f>'[2]I-15 NB'!P6</f>
        <v>PeMS2016</v>
      </c>
      <c r="L6" s="89">
        <f t="shared" si="3"/>
        <v>15569020.130984368</v>
      </c>
      <c r="M6" s="96"/>
    </row>
    <row r="7" spans="1:35" x14ac:dyDescent="0.25">
      <c r="A7" s="43">
        <f>'[2]I-15 NB'!C7</f>
        <v>2</v>
      </c>
      <c r="B7" s="43" t="str">
        <f>'[2]I-15 NB'!H7</f>
        <v>I-15 NB</v>
      </c>
      <c r="C7" s="43">
        <f>'[2]I-15 NB'!E7</f>
        <v>8939</v>
      </c>
      <c r="D7" s="188">
        <f>'[2]I-15 NB'!I7</f>
        <v>12</v>
      </c>
      <c r="E7" s="189">
        <f>'[2]I-15 NB'!J7</f>
        <v>0</v>
      </c>
      <c r="F7" s="189" t="str">
        <f>'[2]I-15 NB'!K7</f>
        <v>I-805 NB</v>
      </c>
      <c r="G7" s="189" t="str">
        <f>'[2]I-15 NB'!L7</f>
        <v>40TH</v>
      </c>
      <c r="H7" s="51">
        <f>'[2]I-15 NB'!O7</f>
        <v>20164</v>
      </c>
      <c r="I7" s="43">
        <f>VLOOKUP(c_2[[#This Row],[hwycov_id]],readme!D:G,4,FALSE)</f>
        <v>24511.71875</v>
      </c>
      <c r="J7" s="49">
        <f t="shared" si="2"/>
        <v>0.21561787095814333</v>
      </c>
      <c r="K7" s="188" t="str">
        <f>'[2]I-15 NB'!P7</f>
        <v>PeMS2016</v>
      </c>
      <c r="L7" s="89">
        <f t="shared" si="3"/>
        <v>18902658.329101563</v>
      </c>
      <c r="M7" s="96"/>
    </row>
    <row r="8" spans="1:35" x14ac:dyDescent="0.25">
      <c r="A8" s="43">
        <f>'[2]I-15 NB'!C8</f>
        <v>2</v>
      </c>
      <c r="B8" s="43" t="str">
        <f>'[2]I-15 NB'!H8</f>
        <v>I-15 NB</v>
      </c>
      <c r="C8" s="43">
        <f>'[2]I-15 NB'!E8</f>
        <v>27578</v>
      </c>
      <c r="D8" s="188">
        <f>'[2]I-15 NB'!I8</f>
        <v>16</v>
      </c>
      <c r="E8" s="189">
        <f>'[2]I-15 NB'!J8</f>
        <v>0</v>
      </c>
      <c r="F8" s="189" t="str">
        <f>'[2]I-15 NB'!K8</f>
        <v>EL CAJON</v>
      </c>
      <c r="G8" s="189" t="str">
        <f>'[2]I-15 NB'!L8</f>
        <v>EL CAJON</v>
      </c>
      <c r="H8" s="51">
        <f>'[2]I-15 NB'!O8</f>
        <v>15852</v>
      </c>
      <c r="I8" s="43">
        <f>VLOOKUP(c_2[[#This Row],[hwycov_id]],readme!D:G,4,FALSE)</f>
        <v>21529.166015999999</v>
      </c>
      <c r="J8" s="49">
        <f t="shared" si="2"/>
        <v>0.35813563058289177</v>
      </c>
      <c r="K8" s="188" t="str">
        <f>'[2]I-15 NB'!P8</f>
        <v>PeMS2016</v>
      </c>
      <c r="L8" s="89">
        <f t="shared" si="3"/>
        <v>32230213.973225303</v>
      </c>
      <c r="M8" s="96"/>
      <c r="N8"/>
    </row>
    <row r="9" spans="1:35" x14ac:dyDescent="0.25">
      <c r="A9" s="43">
        <f>'[2]I-15 NB'!C9</f>
        <v>2</v>
      </c>
      <c r="B9" s="43" t="str">
        <f>'[2]I-15 NB'!H9</f>
        <v>I-15 NB</v>
      </c>
      <c r="C9" s="43">
        <f>'[2]I-15 NB'!E9</f>
        <v>8977</v>
      </c>
      <c r="D9" s="188">
        <f>'[2]I-15 NB'!I9</f>
        <v>2</v>
      </c>
      <c r="E9" s="189">
        <f>'[2]I-15 NB'!J9</f>
        <v>0</v>
      </c>
      <c r="F9" s="189" t="str">
        <f>'[2]I-15 NB'!K9</f>
        <v>ADAMS</v>
      </c>
      <c r="G9" s="189" t="str">
        <f>'[2]I-15 NB'!L9</f>
        <v>ADAMS</v>
      </c>
      <c r="H9" s="51">
        <f>'[2]I-15 NB'!O9</f>
        <v>18184</v>
      </c>
      <c r="I9" s="43">
        <f>VLOOKUP(c_2[[#This Row],[hwycov_id]],readme!D:G,4,FALSE)</f>
        <v>21536.648438</v>
      </c>
      <c r="J9" s="49">
        <f t="shared" si="2"/>
        <v>0.1843735392652881</v>
      </c>
      <c r="K9" s="188" t="str">
        <f>'[2]I-15 NB'!P9</f>
        <v>PeMS2016</v>
      </c>
      <c r="L9" s="89">
        <f t="shared" si="3"/>
        <v>11240251.548823841</v>
      </c>
      <c r="M9" s="96"/>
      <c r="N9"/>
    </row>
    <row r="10" spans="1:35" x14ac:dyDescent="0.25">
      <c r="A10" s="43">
        <f>'[2]I-15 NB'!C10</f>
        <v>2</v>
      </c>
      <c r="B10" s="43" t="str">
        <f>'[2]I-15 NB'!H10</f>
        <v>I-15 NB</v>
      </c>
      <c r="C10" s="43">
        <f>'[2]I-15 NB'!E10</f>
        <v>6852</v>
      </c>
      <c r="D10" s="188">
        <f>'[2]I-15 NB'!I10</f>
        <v>6</v>
      </c>
      <c r="E10" s="189">
        <f>'[2]I-15 NB'!J10</f>
        <v>0</v>
      </c>
      <c r="F10" s="189" t="str">
        <f>'[2]I-15 NB'!K10</f>
        <v>I-8 EB</v>
      </c>
      <c r="G10" s="189" t="str">
        <f>'[2]I-15 NB'!L10</f>
        <v>I-8 EB</v>
      </c>
      <c r="H10" s="51">
        <f>'[2]I-15 NB'!O10</f>
        <v>17236</v>
      </c>
      <c r="I10" s="43">
        <f>VLOOKUP(c_2[[#This Row],[hwycov_id]],readme!D:G,4,FALSE)</f>
        <v>16837.259765999999</v>
      </c>
      <c r="J10" s="49">
        <f t="shared" si="2"/>
        <v>-2.3134151427245397E-2</v>
      </c>
      <c r="K10" s="188" t="str">
        <f>'[2]I-15 NB'!P10</f>
        <v>PeMS2016</v>
      </c>
      <c r="L10" s="89">
        <f t="shared" si="3"/>
        <v>158993.77421037538</v>
      </c>
      <c r="M10" s="96"/>
      <c r="N10"/>
    </row>
    <row r="11" spans="1:35" x14ac:dyDescent="0.25">
      <c r="A11" s="43">
        <f>'[2]I-15 NB'!C11</f>
        <v>2</v>
      </c>
      <c r="B11" s="43" t="str">
        <f>'[2]I-15 NB'!H11</f>
        <v>I-15 NB</v>
      </c>
      <c r="C11" s="43">
        <f>'[2]I-15 NB'!E11</f>
        <v>16760</v>
      </c>
      <c r="D11" s="188">
        <f>'[2]I-15 NB'!I11</f>
        <v>8</v>
      </c>
      <c r="E11" s="189">
        <f>'[2]I-15 NB'!J11</f>
        <v>0</v>
      </c>
      <c r="F11" s="189" t="str">
        <f>'[2]I-15 NB'!K11</f>
        <v>I-8 EB</v>
      </c>
      <c r="G11" s="189" t="str">
        <f>'[2]I-15 NB'!L11</f>
        <v>I-8 EB</v>
      </c>
      <c r="H11" s="51">
        <f>'[2]I-15 NB'!O11</f>
        <v>16271</v>
      </c>
      <c r="I11" s="43">
        <f>VLOOKUP(c_2[[#This Row],[hwycov_id]],readme!D:G,4,FALSE)</f>
        <v>21360.294922000001</v>
      </c>
      <c r="J11" s="49">
        <f t="shared" si="2"/>
        <v>0.31278316772171344</v>
      </c>
      <c r="K11" s="188" t="str">
        <f>'[2]I-15 NB'!P11</f>
        <v>PeMS2016</v>
      </c>
      <c r="L11" s="89">
        <f t="shared" si="3"/>
        <v>25900922.803094994</v>
      </c>
      <c r="M11" s="96"/>
    </row>
    <row r="12" spans="1:35" x14ac:dyDescent="0.25">
      <c r="A12" s="43">
        <f>'[2]I-15 NB'!C12</f>
        <v>2</v>
      </c>
      <c r="B12" s="43" t="str">
        <f>'[2]I-15 NB'!H12</f>
        <v>I-15 NB</v>
      </c>
      <c r="C12" s="43">
        <f>'[2]I-15 NB'!E12</f>
        <v>15776</v>
      </c>
      <c r="D12" s="188">
        <f>'[2]I-15 NB'!I12</f>
        <v>10</v>
      </c>
      <c r="E12" s="189">
        <f>'[2]I-15 NB'!J12</f>
        <v>0</v>
      </c>
      <c r="F12" s="189" t="str">
        <f>'[2]I-15 NB'!K12</f>
        <v>I-8 WB</v>
      </c>
      <c r="G12" s="189" t="str">
        <f>'[2]I-15 NB'!L12</f>
        <v>FRIARS</v>
      </c>
      <c r="H12" s="51">
        <f>'[2]I-15 NB'!O12</f>
        <v>21966</v>
      </c>
      <c r="I12" s="43">
        <f>VLOOKUP(c_2[[#This Row],[hwycov_id]],readme!D:G,4,FALSE)</f>
        <v>29934.923827999999</v>
      </c>
      <c r="J12" s="49">
        <f t="shared" si="2"/>
        <v>0.36278447728307373</v>
      </c>
      <c r="K12" s="188" t="str">
        <f>'[2]I-15 NB'!P12</f>
        <v>Caltran</v>
      </c>
      <c r="L12" s="89">
        <f t="shared" si="3"/>
        <v>63503746.976466157</v>
      </c>
      <c r="M12" s="96"/>
    </row>
    <row r="13" spans="1:35" x14ac:dyDescent="0.25">
      <c r="A13" s="43">
        <f>'[2]I-15 NB'!C13</f>
        <v>2</v>
      </c>
      <c r="B13" s="43" t="str">
        <f>'[2]I-15 NB'!H13</f>
        <v>I-15 NB</v>
      </c>
      <c r="C13" s="43">
        <f>'[2]I-15 NB'!E13</f>
        <v>20457</v>
      </c>
      <c r="D13" s="188">
        <f>'[2]I-15 NB'!I13</f>
        <v>11</v>
      </c>
      <c r="E13" s="189">
        <f>'[2]I-15 NB'!J13</f>
        <v>0</v>
      </c>
      <c r="F13" s="189" t="str">
        <f>'[2]I-15 NB'!K13</f>
        <v>FRIARS</v>
      </c>
      <c r="G13" s="189" t="str">
        <f>'[2]I-15 NB'!L13</f>
        <v>FRIARS</v>
      </c>
      <c r="H13" s="51">
        <f>'[2]I-15 NB'!O13</f>
        <v>17640</v>
      </c>
      <c r="I13" s="43">
        <f>VLOOKUP(c_2[[#This Row],[hwycov_id]],readme!D:G,4,FALSE)</f>
        <v>23573.1875</v>
      </c>
      <c r="J13" s="49">
        <f t="shared" si="2"/>
        <v>0.33634849773242625</v>
      </c>
      <c r="K13" s="188" t="str">
        <f>'[2]I-15 NB'!P13</f>
        <v>PeMS2016</v>
      </c>
      <c r="L13" s="89">
        <f t="shared" si="3"/>
        <v>35202713.91015625</v>
      </c>
      <c r="M13" s="96"/>
    </row>
    <row r="14" spans="1:35" x14ac:dyDescent="0.25">
      <c r="A14" s="43">
        <f>'[2]I-15 NB'!C14</f>
        <v>2</v>
      </c>
      <c r="B14" s="43" t="str">
        <f>'[2]I-15 NB'!H14</f>
        <v>I-15 NB</v>
      </c>
      <c r="C14" s="43">
        <f>'[2]I-15 NB'!E14</f>
        <v>9328</v>
      </c>
      <c r="D14" s="188">
        <f>'[2]I-15 NB'!I14</f>
        <v>12</v>
      </c>
      <c r="E14" s="189">
        <f>'[2]I-15 NB'!J14</f>
        <v>0</v>
      </c>
      <c r="F14" s="189" t="str">
        <f>'[2]I-15 NB'!K14</f>
        <v>FRIARS</v>
      </c>
      <c r="G14" s="189" t="str">
        <f>'[2]I-15 NB'!L14</f>
        <v>STONECREST</v>
      </c>
      <c r="H14" s="51">
        <f>'[2]I-15 NB'!O14</f>
        <v>21823</v>
      </c>
      <c r="I14" s="43">
        <f>VLOOKUP(c_2[[#This Row],[hwycov_id]],readme!D:G,4,FALSE)</f>
        <v>27071.931640999999</v>
      </c>
      <c r="J14" s="49">
        <f t="shared" si="2"/>
        <v>0.24052291806809323</v>
      </c>
      <c r="K14" s="188" t="str">
        <f>'[2]I-15 NB'!P14</f>
        <v>PeMS2016</v>
      </c>
      <c r="L14" s="89">
        <f t="shared" si="3"/>
        <v>27551283.371890943</v>
      </c>
      <c r="M14" s="96"/>
    </row>
    <row r="15" spans="1:35" x14ac:dyDescent="0.25">
      <c r="A15" s="43">
        <f>'[2]I-15 NB'!C15</f>
        <v>2</v>
      </c>
      <c r="B15" s="43" t="str">
        <f>'[2]I-15 NB'!H15</f>
        <v>I-15 NB</v>
      </c>
      <c r="C15" s="43">
        <f>'[2]I-15 NB'!E15</f>
        <v>9333</v>
      </c>
      <c r="D15" s="188">
        <f>'[2]I-15 NB'!I15</f>
        <v>13</v>
      </c>
      <c r="E15" s="189">
        <f>'[2]I-15 NB'!J15</f>
        <v>0</v>
      </c>
      <c r="F15" s="189" t="str">
        <f>'[2]I-15 NB'!K15</f>
        <v>STONECREST</v>
      </c>
      <c r="G15" s="189" t="str">
        <f>'[2]I-15 NB'!L15</f>
        <v>AERO</v>
      </c>
      <c r="H15" s="51">
        <f>'[2]I-15 NB'!O15</f>
        <v>17693</v>
      </c>
      <c r="I15" s="43">
        <f>VLOOKUP(c_2[[#This Row],[hwycov_id]],readme!D:G,4,FALSE)</f>
        <v>23501.767577999999</v>
      </c>
      <c r="J15" s="49">
        <f t="shared" si="2"/>
        <v>0.32830879884700148</v>
      </c>
      <c r="K15" s="188" t="str">
        <f>'[2]I-15 NB'!P15</f>
        <v>PeMS2016</v>
      </c>
      <c r="L15" s="89">
        <f t="shared" si="3"/>
        <v>33741780.775223978</v>
      </c>
      <c r="M15" s="96"/>
    </row>
    <row r="16" spans="1:35" x14ac:dyDescent="0.25">
      <c r="A16" s="43">
        <f>'[2]I-15 NB'!C16</f>
        <v>2</v>
      </c>
      <c r="B16" s="43" t="str">
        <f>'[2]I-15 NB'!H16</f>
        <v>I-15 NB</v>
      </c>
      <c r="C16" s="43">
        <f>'[2]I-15 NB'!E16</f>
        <v>9336</v>
      </c>
      <c r="D16" s="188">
        <f>'[2]I-15 NB'!I16</f>
        <v>14</v>
      </c>
      <c r="E16" s="189">
        <f>'[2]I-15 NB'!J16</f>
        <v>0</v>
      </c>
      <c r="F16" s="189" t="str">
        <f>'[2]I-15 NB'!K16</f>
        <v>AERO</v>
      </c>
      <c r="G16" s="189" t="str">
        <f>'[2]I-15 NB'!L16</f>
        <v>BALBOA</v>
      </c>
      <c r="H16" s="51">
        <f>'[2]I-15 NB'!O16</f>
        <v>19558</v>
      </c>
      <c r="I16" s="43">
        <f>VLOOKUP(c_2[[#This Row],[hwycov_id]],readme!D:G,4,FALSE)</f>
        <v>25353</v>
      </c>
      <c r="J16" s="49">
        <f t="shared" si="2"/>
        <v>0.29629818999897739</v>
      </c>
      <c r="K16" s="188" t="str">
        <f>'[2]I-15 NB'!P16</f>
        <v>PeMS2016</v>
      </c>
      <c r="L16" s="89">
        <f t="shared" si="3"/>
        <v>33582025</v>
      </c>
      <c r="M16" s="96"/>
    </row>
    <row r="17" spans="1:13" x14ac:dyDescent="0.25">
      <c r="A17" s="43">
        <f>'[2]I-15 NB'!C17</f>
        <v>2</v>
      </c>
      <c r="B17" s="43" t="str">
        <f>'[2]I-15 NB'!H17</f>
        <v>I-15 NB</v>
      </c>
      <c r="C17" s="43">
        <f>'[2]I-15 NB'!E17</f>
        <v>9337</v>
      </c>
      <c r="D17" s="188">
        <f>'[2]I-15 NB'!I17</f>
        <v>15</v>
      </c>
      <c r="E17" s="189">
        <f>'[2]I-15 NB'!J17</f>
        <v>0</v>
      </c>
      <c r="F17" s="189" t="str">
        <f>'[2]I-15 NB'!K17</f>
        <v>BALBOA</v>
      </c>
      <c r="G17" s="189" t="str">
        <f>'[2]I-15 NB'!L17</f>
        <v>BALBOA</v>
      </c>
      <c r="H17" s="51">
        <f>'[2]I-15 NB'!O17</f>
        <v>16940</v>
      </c>
      <c r="I17" s="43">
        <f>VLOOKUP(c_2[[#This Row],[hwycov_id]],readme!D:G,4,FALSE)</f>
        <v>21240.037109000001</v>
      </c>
      <c r="J17" s="49">
        <f t="shared" si="2"/>
        <v>0.25383926263282186</v>
      </c>
      <c r="K17" s="188" t="str">
        <f>'[2]I-15 NB'!P17</f>
        <v>PeMS2016</v>
      </c>
      <c r="L17" s="89">
        <f t="shared" si="3"/>
        <v>18490319.138777085</v>
      </c>
      <c r="M17" s="96"/>
    </row>
    <row r="18" spans="1:13" x14ac:dyDescent="0.25">
      <c r="A18" s="43">
        <f>'[2]I-15 NB'!C18</f>
        <v>2</v>
      </c>
      <c r="B18" s="43" t="str">
        <f>'[2]I-15 NB'!H18</f>
        <v>I-15 NB</v>
      </c>
      <c r="C18" s="43">
        <f>'[2]I-15 NB'!E18</f>
        <v>9342</v>
      </c>
      <c r="D18" s="188">
        <f>'[2]I-15 NB'!I18</f>
        <v>18</v>
      </c>
      <c r="E18" s="189">
        <f>'[2]I-15 NB'!J18</f>
        <v>0</v>
      </c>
      <c r="F18" s="189" t="str">
        <f>'[2]I-15 NB'!K18</f>
        <v>BALBOA</v>
      </c>
      <c r="G18" s="189" t="str">
        <f>'[2]I-15 NB'!L18</f>
        <v>CLAIREMONT MESA</v>
      </c>
      <c r="H18" s="51">
        <f>'[2]I-15 NB'!O18</f>
        <v>19575</v>
      </c>
      <c r="I18" s="43">
        <f>VLOOKUP(c_2[[#This Row],[hwycov_id]],readme!D:G,4,FALSE)</f>
        <v>23909.515625</v>
      </c>
      <c r="J18" s="49">
        <f t="shared" si="2"/>
        <v>0.22143119412515966</v>
      </c>
      <c r="K18" s="188" t="str">
        <f>'[2]I-15 NB'!P18</f>
        <v>PeMS2016</v>
      </c>
      <c r="L18" s="89">
        <f t="shared" si="3"/>
        <v>18788025.703369141</v>
      </c>
      <c r="M18" s="96"/>
    </row>
    <row r="19" spans="1:13" x14ac:dyDescent="0.25">
      <c r="A19" s="43">
        <f>'[2]I-15 NB'!C19</f>
        <v>2</v>
      </c>
      <c r="B19" s="43" t="str">
        <f>'[2]I-15 NB'!H19</f>
        <v>I-15 NB</v>
      </c>
      <c r="C19" s="43">
        <f>'[2]I-15 NB'!E19</f>
        <v>15230</v>
      </c>
      <c r="D19" s="188">
        <f>'[2]I-15 NB'!I19</f>
        <v>19</v>
      </c>
      <c r="E19" s="189">
        <f>'[2]I-15 NB'!J19</f>
        <v>0</v>
      </c>
      <c r="F19" s="189" t="str">
        <f>'[2]I-15 NB'!K19</f>
        <v>CLAIREMONT MESA</v>
      </c>
      <c r="G19" s="189" t="str">
        <f>'[2]I-15 NB'!L19</f>
        <v>CLAIREMONT MESA</v>
      </c>
      <c r="H19" s="51">
        <f>'[2]I-15 NB'!O19</f>
        <v>15340</v>
      </c>
      <c r="I19" s="43">
        <f>VLOOKUP(c_2[[#This Row],[hwycov_id]],readme!D:G,4,FALSE)</f>
        <v>21932.765625</v>
      </c>
      <c r="J19" s="49">
        <f t="shared" si="2"/>
        <v>0.42977611636245117</v>
      </c>
      <c r="K19" s="188" t="str">
        <f>'[2]I-15 NB'!P19</f>
        <v>PeMS2016</v>
      </c>
      <c r="L19" s="89">
        <f t="shared" si="3"/>
        <v>43464558.586181641</v>
      </c>
      <c r="M19" s="96"/>
    </row>
    <row r="20" spans="1:13" x14ac:dyDescent="0.25">
      <c r="A20" s="43">
        <f>'[2]I-15 NB'!C20</f>
        <v>2</v>
      </c>
      <c r="B20" s="43" t="str">
        <f>'[2]I-15 NB'!H20</f>
        <v>I-15 NB</v>
      </c>
      <c r="C20" s="43">
        <f>'[2]I-15 NB'!E20</f>
        <v>22743</v>
      </c>
      <c r="D20" s="188">
        <f>'[2]I-15 NB'!I20</f>
        <v>20</v>
      </c>
      <c r="E20" s="189">
        <f>'[2]I-15 NB'!J20</f>
        <v>0</v>
      </c>
      <c r="F20" s="189" t="str">
        <f>'[2]I-15 NB'!K20</f>
        <v>SR-52 EB</v>
      </c>
      <c r="G20" s="189" t="str">
        <f>'[2]I-15 NB'!L20</f>
        <v>SR-52 WB</v>
      </c>
      <c r="H20" s="51">
        <f>'[2]I-15 NB'!O20</f>
        <v>17202</v>
      </c>
      <c r="I20" s="43">
        <f>VLOOKUP(c_2[[#This Row],[hwycov_id]],readme!D:G,4,FALSE)</f>
        <v>19608.105468999998</v>
      </c>
      <c r="J20" s="49">
        <f t="shared" si="2"/>
        <v>0.13987358847808373</v>
      </c>
      <c r="K20" s="188" t="str">
        <f>'[2]I-15 NB'!P20</f>
        <v>PeMS2016</v>
      </c>
      <c r="L20" s="89">
        <f t="shared" si="3"/>
        <v>5789343.5279517015</v>
      </c>
      <c r="M20" s="96"/>
    </row>
    <row r="21" spans="1:13" x14ac:dyDescent="0.25">
      <c r="A21" s="43">
        <f>'[2]I-15 NB'!C21</f>
        <v>2</v>
      </c>
      <c r="B21" s="43" t="str">
        <f>'[2]I-15 NB'!H21</f>
        <v>I-15 NB</v>
      </c>
      <c r="C21" s="43">
        <f>'[2]I-15 NB'!E21</f>
        <v>15188</v>
      </c>
      <c r="D21" s="188">
        <f>'[2]I-15 NB'!I21</f>
        <v>22</v>
      </c>
      <c r="E21" s="189">
        <f>'[2]I-15 NB'!J21</f>
        <v>0</v>
      </c>
      <c r="F21" s="189" t="str">
        <f>'[2]I-15 NB'!K21</f>
        <v>SR-52 WB</v>
      </c>
      <c r="G21" s="189" t="str">
        <f>'[2]I-15 NB'!L21</f>
        <v>I-15 HOV NB</v>
      </c>
      <c r="H21" s="51">
        <f>'[2]I-15 NB'!O21</f>
        <v>17983</v>
      </c>
      <c r="I21" s="43">
        <f>VLOOKUP(c_2[[#This Row],[hwycov_id]],readme!D:G,4,FALSE)</f>
        <v>31245.378906000002</v>
      </c>
      <c r="J21" s="49">
        <f t="shared" si="2"/>
        <v>0.73749535149863776</v>
      </c>
      <c r="K21" s="188" t="str">
        <f>'[2]I-15 NB'!P21</f>
        <v>PeMS2016</v>
      </c>
      <c r="L21" s="89">
        <f t="shared" si="3"/>
        <v>175890694.24631381</v>
      </c>
      <c r="M21" s="96"/>
    </row>
    <row r="22" spans="1:13" x14ac:dyDescent="0.25">
      <c r="A22" s="43">
        <f>'[2]I-15 NB'!C22</f>
        <v>2</v>
      </c>
      <c r="B22" s="43" t="str">
        <f>'[2]I-15 NB'!H22</f>
        <v>I-15 NB</v>
      </c>
      <c r="C22" s="43">
        <f>'[2]I-15 NB'!E22</f>
        <v>15187</v>
      </c>
      <c r="D22" s="188">
        <f>'[2]I-15 NB'!I22</f>
        <v>23</v>
      </c>
      <c r="E22" s="189">
        <f>'[2]I-15 NB'!J22</f>
        <v>0</v>
      </c>
      <c r="F22" s="189" t="str">
        <f>'[2]I-15 NB'!K22</f>
        <v>I-15 HOV NB</v>
      </c>
      <c r="G22" s="189" t="str">
        <f>'[2]I-15 NB'!L22</f>
        <v>SR-163 NB</v>
      </c>
      <c r="H22" s="51">
        <f>'[2]I-15 NB'!O22</f>
        <v>28908</v>
      </c>
      <c r="I22" s="43">
        <f>VLOOKUP(c_2[[#This Row],[hwycov_id]],readme!D:G,4,FALSE)</f>
        <v>25285.912109000001</v>
      </c>
      <c r="J22" s="49">
        <f t="shared" si="2"/>
        <v>-0.1252970766223882</v>
      </c>
      <c r="K22" s="188" t="str">
        <f>'[2]I-15 NB'!P22</f>
        <v>PeMS2016</v>
      </c>
      <c r="L22" s="89">
        <f t="shared" si="3"/>
        <v>13119520.690128822</v>
      </c>
      <c r="M22" s="96"/>
    </row>
    <row r="23" spans="1:13" x14ac:dyDescent="0.25">
      <c r="A23" s="43">
        <f>'[2]I-15 NB'!C23</f>
        <v>2</v>
      </c>
      <c r="B23" s="43" t="str">
        <f>'[2]I-15 NB'!H23</f>
        <v>I-15 NB</v>
      </c>
      <c r="C23" s="43">
        <f>'[2]I-15 NB'!E23</f>
        <v>574</v>
      </c>
      <c r="D23" s="188">
        <f>'[2]I-15 NB'!I23</f>
        <v>24</v>
      </c>
      <c r="E23" s="189">
        <f>'[2]I-15 NB'!J23</f>
        <v>0</v>
      </c>
      <c r="F23" s="189" t="str">
        <f>'[2]I-15 NB'!K23</f>
        <v>SR-163 NB</v>
      </c>
      <c r="G23" s="189" t="str">
        <f>'[2]I-15 NB'!L23</f>
        <v>MIRAMAR WAY</v>
      </c>
      <c r="H23" s="51">
        <f>'[2]I-15 NB'!O23</f>
        <v>36352</v>
      </c>
      <c r="I23" s="43">
        <f>VLOOKUP(c_2[[#This Row],[hwycov_id]],readme!D:G,4,FALSE)</f>
        <v>45436.929687999997</v>
      </c>
      <c r="J23" s="49">
        <f t="shared" si="2"/>
        <v>0.24991553939260558</v>
      </c>
      <c r="K23" s="188" t="str">
        <f>'[2]I-15 NB'!P23</f>
        <v>PeMS2016</v>
      </c>
      <c r="L23" s="89">
        <f t="shared" si="3"/>
        <v>82535947.435903713</v>
      </c>
      <c r="M23" s="96"/>
    </row>
    <row r="24" spans="1:13" x14ac:dyDescent="0.25">
      <c r="A24" s="43">
        <f>'[2]I-15 NB'!C24</f>
        <v>2</v>
      </c>
      <c r="B24" s="43" t="str">
        <f>'[2]I-15 NB'!H24</f>
        <v>I-15 NB</v>
      </c>
      <c r="C24" s="43">
        <f>'[2]I-15 NB'!E24</f>
        <v>14682</v>
      </c>
      <c r="D24" s="188">
        <f>'[2]I-15 NB'!I24</f>
        <v>26</v>
      </c>
      <c r="E24" s="189">
        <f>'[2]I-15 NB'!J24</f>
        <v>0</v>
      </c>
      <c r="F24" s="189" t="str">
        <f>'[2]I-15 NB'!K24</f>
        <v>MIRAMAR WAY</v>
      </c>
      <c r="G24" s="189" t="str">
        <f>'[2]I-15 NB'!L24</f>
        <v>MIRAMAR WAY</v>
      </c>
      <c r="H24" s="51">
        <f>'[2]I-15 NB'!O24</f>
        <v>33562</v>
      </c>
      <c r="I24" s="43">
        <f>VLOOKUP(c_2[[#This Row],[hwycov_id]],readme!D:G,4,FALSE)</f>
        <v>44456.273437999997</v>
      </c>
      <c r="J24" s="49">
        <f t="shared" si="2"/>
        <v>0.32460143728025725</v>
      </c>
      <c r="K24" s="188" t="str">
        <f>'[2]I-15 NB'!P24</f>
        <v>PeMS2016</v>
      </c>
      <c r="L24" s="89">
        <f t="shared" si="3"/>
        <v>118685193.74191226</v>
      </c>
      <c r="M24" s="96"/>
    </row>
    <row r="25" spans="1:13" x14ac:dyDescent="0.25">
      <c r="A25" s="43">
        <f>'[2]I-15 NB'!C25</f>
        <v>2</v>
      </c>
      <c r="B25" s="43" t="str">
        <f>'[2]I-15 NB'!H25</f>
        <v>I-15 NB</v>
      </c>
      <c r="C25" s="43">
        <f>'[2]I-15 NB'!E25</f>
        <v>14410</v>
      </c>
      <c r="D25" s="188">
        <f>'[2]I-15 NB'!I25</f>
        <v>27</v>
      </c>
      <c r="E25" s="189">
        <f>'[2]I-15 NB'!J25</f>
        <v>0</v>
      </c>
      <c r="F25" s="189" t="str">
        <f>'[2]I-15 NB'!K25</f>
        <v>MIRAMAR WAY</v>
      </c>
      <c r="G25" s="189" t="str">
        <f>'[2]I-15 NB'!L25</f>
        <v>POMERADO</v>
      </c>
      <c r="H25" s="51">
        <f>'[2]I-15 NB'!O25</f>
        <v>30190</v>
      </c>
      <c r="I25" s="43">
        <f>VLOOKUP(c_2[[#This Row],[hwycov_id]],readme!D:G,4,FALSE)</f>
        <v>44996.722655999998</v>
      </c>
      <c r="J25" s="49">
        <f t="shared" si="2"/>
        <v>0.49045123073865504</v>
      </c>
      <c r="K25" s="188" t="str">
        <f>'[2]I-15 NB'!P25</f>
        <v>PeMS2016</v>
      </c>
      <c r="L25" s="89">
        <f t="shared" si="3"/>
        <v>219239035.81170365</v>
      </c>
      <c r="M25" s="96"/>
    </row>
    <row r="26" spans="1:13" x14ac:dyDescent="0.25">
      <c r="A26" s="43">
        <f>'[2]I-15 NB'!C26</f>
        <v>2</v>
      </c>
      <c r="B26" s="43" t="str">
        <f>'[2]I-15 NB'!H26</f>
        <v>I-15 NB</v>
      </c>
      <c r="C26" s="43">
        <f>'[2]I-15 NB'!E26</f>
        <v>14409</v>
      </c>
      <c r="D26" s="188">
        <f>'[2]I-15 NB'!I26</f>
        <v>28</v>
      </c>
      <c r="E26" s="189">
        <f>'[2]I-15 NB'!J26</f>
        <v>0</v>
      </c>
      <c r="F26" s="189" t="str">
        <f>'[2]I-15 NB'!K26</f>
        <v>POMERADO</v>
      </c>
      <c r="G26" s="189" t="str">
        <f>'[2]I-15 NB'!L26</f>
        <v>POMERADO</v>
      </c>
      <c r="H26" s="51">
        <f>'[2]I-15 NB'!O26</f>
        <v>32473</v>
      </c>
      <c r="I26" s="43">
        <f>VLOOKUP(c_2[[#This Row],[hwycov_id]],readme!D:G,4,FALSE)</f>
        <v>39932.179687999997</v>
      </c>
      <c r="J26" s="49">
        <f t="shared" si="2"/>
        <v>0.22970405222800472</v>
      </c>
      <c r="K26" s="188" t="str">
        <f>'[2]I-15 NB'!P26</f>
        <v>PeMS2016</v>
      </c>
      <c r="L26" s="89">
        <f t="shared" si="3"/>
        <v>55639361.617871724</v>
      </c>
      <c r="M26" s="96"/>
    </row>
    <row r="27" spans="1:13" x14ac:dyDescent="0.25">
      <c r="A27" s="43">
        <f>'[2]I-15 NB'!C27</f>
        <v>2</v>
      </c>
      <c r="B27" s="43" t="str">
        <f>'[2]I-15 NB'!H27</f>
        <v>I-15 NB</v>
      </c>
      <c r="C27" s="43">
        <f>'[2]I-15 NB'!E27</f>
        <v>14402</v>
      </c>
      <c r="D27" s="188">
        <f>'[2]I-15 NB'!I27</f>
        <v>32</v>
      </c>
      <c r="E27" s="189">
        <f>'[2]I-15 NB'!J27</f>
        <v>0</v>
      </c>
      <c r="F27" s="189" t="str">
        <f>'[2]I-15 NB'!K27</f>
        <v>CARROLL CANYON</v>
      </c>
      <c r="G27" s="189" t="str">
        <f>'[2]I-15 NB'!L27</f>
        <v>CARROLL CANYON</v>
      </c>
      <c r="H27" s="51">
        <f>'[2]I-15 NB'!O27</f>
        <v>32601</v>
      </c>
      <c r="I27" s="43">
        <f>VLOOKUP(c_2[[#This Row],[hwycov_id]],readme!D:G,4,FALSE)</f>
        <v>40934.28125</v>
      </c>
      <c r="J27" s="49">
        <f t="shared" si="2"/>
        <v>0.25561428330419322</v>
      </c>
      <c r="K27" s="188" t="str">
        <f>'[2]I-15 NB'!P27</f>
        <v>PeMS2016</v>
      </c>
      <c r="L27" s="89">
        <f t="shared" si="3"/>
        <v>69443576.391601563</v>
      </c>
      <c r="M27" s="96"/>
    </row>
    <row r="28" spans="1:13" x14ac:dyDescent="0.25">
      <c r="A28" s="43">
        <f>'[2]I-15 NB'!C28</f>
        <v>2</v>
      </c>
      <c r="B28" s="43" t="str">
        <f>'[2]I-15 NB'!H28</f>
        <v>I-15 NB</v>
      </c>
      <c r="C28" s="43">
        <f>'[2]I-15 NB'!E28</f>
        <v>14397</v>
      </c>
      <c r="D28" s="188">
        <f>'[2]I-15 NB'!I28</f>
        <v>33</v>
      </c>
      <c r="E28" s="189">
        <f>'[2]I-15 NB'!J28</f>
        <v>0</v>
      </c>
      <c r="F28" s="189" t="str">
        <f>'[2]I-15 NB'!K28</f>
        <v>CARROLL CANYON</v>
      </c>
      <c r="G28" s="189" t="str">
        <f>'[2]I-15 NB'!L28</f>
        <v>MIRA MESA</v>
      </c>
      <c r="H28" s="51">
        <f>'[2]I-15 NB'!O28</f>
        <v>35698</v>
      </c>
      <c r="I28" s="43">
        <f>VLOOKUP(c_2[[#This Row],[hwycov_id]],readme!D:G,4,FALSE)</f>
        <v>42583.855469000002</v>
      </c>
      <c r="J28" s="49">
        <f t="shared" si="2"/>
        <v>0.19289191184380083</v>
      </c>
      <c r="K28" s="188" t="str">
        <f>'[2]I-15 NB'!P28</f>
        <v>PeMS2016</v>
      </c>
      <c r="L28" s="89">
        <f t="shared" si="3"/>
        <v>47415005.539957233</v>
      </c>
      <c r="M28" s="96"/>
    </row>
    <row r="29" spans="1:13" x14ac:dyDescent="0.25">
      <c r="A29" s="43">
        <f>'[2]I-15 NB'!C29</f>
        <v>2</v>
      </c>
      <c r="B29" s="43" t="str">
        <f>'[2]I-15 NB'!H29</f>
        <v>I-15 NB</v>
      </c>
      <c r="C29" s="43">
        <f>'[2]I-15 NB'!E29</f>
        <v>25099</v>
      </c>
      <c r="D29" s="188">
        <f>'[2]I-15 NB'!I29</f>
        <v>34</v>
      </c>
      <c r="E29" s="189">
        <f>'[2]I-15 NB'!J29</f>
        <v>0</v>
      </c>
      <c r="F29" s="189" t="str">
        <f>'[2]I-15 NB'!K29</f>
        <v>MIRA MESA</v>
      </c>
      <c r="G29" s="189" t="str">
        <f>'[2]I-15 NB'!L29</f>
        <v>MIRA MESA</v>
      </c>
      <c r="H29" s="51">
        <f>'[2]I-15 NB'!O29</f>
        <v>29575</v>
      </c>
      <c r="I29" s="43">
        <f>VLOOKUP(c_2[[#This Row],[hwycov_id]],readme!D:G,4,FALSE)</f>
        <v>38712.15625</v>
      </c>
      <c r="J29" s="49">
        <f t="shared" si="2"/>
        <v>0.30894864750633988</v>
      </c>
      <c r="K29" s="188" t="str">
        <f>'[2]I-15 NB'!P29</f>
        <v>SANDAG</v>
      </c>
      <c r="L29" s="89">
        <f t="shared" si="3"/>
        <v>83487624.336914063</v>
      </c>
      <c r="M29" s="96"/>
    </row>
    <row r="30" spans="1:13" x14ac:dyDescent="0.25">
      <c r="A30" s="43">
        <f>'[2]I-15 NB'!C30</f>
        <v>2</v>
      </c>
      <c r="B30" s="43" t="str">
        <f>'[2]I-15 NB'!H30</f>
        <v>I-15 NB</v>
      </c>
      <c r="C30" s="43">
        <f>'[2]I-15 NB'!E30</f>
        <v>28810</v>
      </c>
      <c r="D30" s="188">
        <f>'[2]I-15 NB'!I30</f>
        <v>35</v>
      </c>
      <c r="E30" s="189">
        <f>'[2]I-15 NB'!J30</f>
        <v>0</v>
      </c>
      <c r="F30" s="189" t="str">
        <f>'[2]I-15 NB'!K30</f>
        <v>MIRA MESA</v>
      </c>
      <c r="G30" s="189" t="str">
        <f>'[2]I-15 NB'!L30</f>
        <v>MIRA MESA</v>
      </c>
      <c r="H30" s="51">
        <f>'[2]I-15 NB'!O30</f>
        <v>29565</v>
      </c>
      <c r="I30" s="43">
        <f>VLOOKUP(c_2[[#This Row],[hwycov_id]],readme!D:G,4,FALSE)</f>
        <v>38480.796875</v>
      </c>
      <c r="J30" s="49">
        <f t="shared" si="2"/>
        <v>0.30156593522746489</v>
      </c>
      <c r="K30" s="188" t="str">
        <f>'[2]I-15 NB'!P30</f>
        <v>PeMS2016</v>
      </c>
      <c r="L30" s="89">
        <f t="shared" si="3"/>
        <v>79491433.916259766</v>
      </c>
      <c r="M30" s="96"/>
    </row>
    <row r="31" spans="1:13" x14ac:dyDescent="0.25">
      <c r="A31" s="43">
        <f>'[2]I-15 NB'!C31</f>
        <v>2</v>
      </c>
      <c r="B31" s="43" t="str">
        <f>'[2]I-15 NB'!H31</f>
        <v>I-15 NB</v>
      </c>
      <c r="C31" s="43">
        <f>'[2]I-15 NB'!E31</f>
        <v>14384</v>
      </c>
      <c r="D31" s="188">
        <f>'[2]I-15 NB'!I31</f>
        <v>37</v>
      </c>
      <c r="E31" s="189">
        <f>'[2]I-15 NB'!J31</f>
        <v>0</v>
      </c>
      <c r="F31" s="189" t="str">
        <f>'[2]I-15 NB'!K31</f>
        <v>MIRA MESA</v>
      </c>
      <c r="G31" s="189" t="str">
        <f>'[2]I-15 NB'!L31</f>
        <v>MERCY</v>
      </c>
      <c r="H31" s="51">
        <f>'[2]I-15 NB'!O31</f>
        <v>31407</v>
      </c>
      <c r="I31" s="43">
        <f>VLOOKUP(c_2[[#This Row],[hwycov_id]],readme!D:G,4,FALSE)</f>
        <v>43489.957030999998</v>
      </c>
      <c r="J31" s="49">
        <f t="shared" si="2"/>
        <v>0.38472178275543656</v>
      </c>
      <c r="K31" s="188" t="str">
        <f>'[2]I-15 NB'!P31</f>
        <v>PeMS2016</v>
      </c>
      <c r="L31" s="89">
        <f t="shared" si="3"/>
        <v>145997850.61299229</v>
      </c>
      <c r="M31" s="96"/>
    </row>
    <row r="32" spans="1:13" x14ac:dyDescent="0.25">
      <c r="A32" s="43">
        <f>'[2]I-15 NB'!C32</f>
        <v>2</v>
      </c>
      <c r="B32" s="43" t="str">
        <f>'[2]I-15 NB'!H32</f>
        <v>I-15 NB</v>
      </c>
      <c r="C32" s="43">
        <f>'[2]I-15 NB'!E32</f>
        <v>14386</v>
      </c>
      <c r="D32" s="188">
        <f>'[2]I-15 NB'!I32</f>
        <v>38</v>
      </c>
      <c r="E32" s="189">
        <f>'[2]I-15 NB'!J32</f>
        <v>0</v>
      </c>
      <c r="F32" s="189" t="str">
        <f>'[2]I-15 NB'!K32</f>
        <v>MERCY</v>
      </c>
      <c r="G32" s="189" t="str">
        <f>'[2]I-15 NB'!L32</f>
        <v>MERCY</v>
      </c>
      <c r="H32" s="51">
        <f>'[2]I-15 NB'!O32</f>
        <v>30988</v>
      </c>
      <c r="I32" s="43">
        <f>VLOOKUP(c_2[[#This Row],[hwycov_id]],readme!D:G,4,FALSE)</f>
        <v>39695.21875</v>
      </c>
      <c r="J32" s="49">
        <f t="shared" si="2"/>
        <v>0.28098679327481602</v>
      </c>
      <c r="K32" s="188" t="str">
        <f>'[2]I-15 NB'!P32</f>
        <v>PeMS2016</v>
      </c>
      <c r="L32" s="89">
        <f t="shared" si="3"/>
        <v>75815658.360351563</v>
      </c>
      <c r="M32" s="96"/>
    </row>
    <row r="33" spans="1:13" x14ac:dyDescent="0.25">
      <c r="A33" s="43">
        <f>'[2]I-15 NB'!C33</f>
        <v>2</v>
      </c>
      <c r="B33" s="43" t="str">
        <f>'[2]I-15 NB'!H33</f>
        <v>I-15 NB</v>
      </c>
      <c r="C33" s="43">
        <f>'[2]I-15 NB'!E33</f>
        <v>10859</v>
      </c>
      <c r="D33" s="188">
        <f>'[2]I-15 NB'!I33</f>
        <v>40</v>
      </c>
      <c r="E33" s="189">
        <f>'[2]I-15 NB'!J33</f>
        <v>0</v>
      </c>
      <c r="F33" s="189" t="str">
        <f>'[2]I-15 NB'!K33</f>
        <v>POWAY</v>
      </c>
      <c r="G33" s="189" t="str">
        <f>'[2]I-15 NB'!L33</f>
        <v>POWAY</v>
      </c>
      <c r="H33" s="51">
        <f>'[2]I-15 NB'!O33</f>
        <v>27642</v>
      </c>
      <c r="I33" s="43">
        <f>VLOOKUP(c_2[[#This Row],[hwycov_id]],readme!D:G,4,FALSE)</f>
        <v>33039.964844000002</v>
      </c>
      <c r="J33" s="49">
        <f t="shared" si="2"/>
        <v>0.19528126922798639</v>
      </c>
      <c r="K33" s="188" t="str">
        <f>'[2]I-15 NB'!P33</f>
        <v>PeMS2016</v>
      </c>
      <c r="L33" s="89">
        <f t="shared" si="3"/>
        <v>29138024.457059965</v>
      </c>
      <c r="M33" s="96"/>
    </row>
    <row r="34" spans="1:13" x14ac:dyDescent="0.25">
      <c r="A34" s="43">
        <f>'[2]I-15 NB'!C34</f>
        <v>2</v>
      </c>
      <c r="B34" s="43" t="str">
        <f>'[2]I-15 NB'!H34</f>
        <v>I-15 NB</v>
      </c>
      <c r="C34" s="43">
        <f>'[2]I-15 NB'!E34</f>
        <v>14639</v>
      </c>
      <c r="D34" s="188">
        <f>'[2]I-15 NB'!I34</f>
        <v>42</v>
      </c>
      <c r="E34" s="189">
        <f>'[2]I-15 NB'!J34</f>
        <v>0</v>
      </c>
      <c r="F34" s="189" t="str">
        <f>'[2]I-15 NB'!K34</f>
        <v>POWAY</v>
      </c>
      <c r="G34" s="189" t="str">
        <f>'[2]I-15 NB'!L34</f>
        <v>I-15 HOV NB</v>
      </c>
      <c r="H34" s="51">
        <f>'[2]I-15 NB'!O34</f>
        <v>28826</v>
      </c>
      <c r="I34" s="43">
        <f>VLOOKUP(c_2[[#This Row],[hwycov_id]],readme!D:G,4,FALSE)</f>
        <v>33945.460937999997</v>
      </c>
      <c r="J34" s="49">
        <f t="shared" si="2"/>
        <v>0.17759872816207589</v>
      </c>
      <c r="K34" s="188" t="str">
        <f>'[2]I-15 NB'!P34</f>
        <v>SANDAG</v>
      </c>
      <c r="L34" s="89">
        <f t="shared" si="3"/>
        <v>26208880.295707803</v>
      </c>
      <c r="M34" s="96"/>
    </row>
    <row r="35" spans="1:13" x14ac:dyDescent="0.25">
      <c r="A35" s="43">
        <f>'[2]I-15 NB'!C35</f>
        <v>2</v>
      </c>
      <c r="B35" s="43" t="str">
        <f>'[2]I-15 NB'!H35</f>
        <v>I-15 NB</v>
      </c>
      <c r="C35" s="43">
        <f>'[2]I-15 NB'!E35</f>
        <v>3968</v>
      </c>
      <c r="D35" s="188">
        <f>'[2]I-15 NB'!I35</f>
        <v>44</v>
      </c>
      <c r="E35" s="189">
        <f>'[2]I-15 NB'!J35</f>
        <v>0</v>
      </c>
      <c r="F35" s="189" t="str">
        <f>'[2]I-15 NB'!K35</f>
        <v>SR-56 EB</v>
      </c>
      <c r="G35" s="189" t="str">
        <f>'[2]I-15 NB'!L35</f>
        <v>SR-56 WB</v>
      </c>
      <c r="H35" s="51">
        <f>'[2]I-15 NB'!O35</f>
        <v>25764</v>
      </c>
      <c r="I35" s="43">
        <f>VLOOKUP(c_2[[#This Row],[hwycov_id]],readme!D:G,4,FALSE)</f>
        <v>30967.765625</v>
      </c>
      <c r="J35" s="49">
        <f t="shared" si="2"/>
        <v>0.20197817206179169</v>
      </c>
      <c r="K35" s="188" t="str">
        <f>'[2]I-15 NB'!P35</f>
        <v>PeMS2016</v>
      </c>
      <c r="L35" s="89">
        <f t="shared" si="3"/>
        <v>27079176.679931641</v>
      </c>
      <c r="M35" s="96"/>
    </row>
    <row r="36" spans="1:13" x14ac:dyDescent="0.25">
      <c r="A36" s="43">
        <f>'[2]I-15 NB'!C36</f>
        <v>2</v>
      </c>
      <c r="B36" s="43" t="str">
        <f>'[2]I-15 NB'!H36</f>
        <v>I-15 NB</v>
      </c>
      <c r="C36" s="43">
        <f>'[2]I-15 NB'!E36</f>
        <v>13672</v>
      </c>
      <c r="D36" s="188">
        <f>'[2]I-15 NB'!I36</f>
        <v>48</v>
      </c>
      <c r="E36" s="189">
        <f>'[2]I-15 NB'!J36</f>
        <v>0</v>
      </c>
      <c r="F36" s="189" t="str">
        <f>'[2]I-15 NB'!K36</f>
        <v>CARMEL MTN</v>
      </c>
      <c r="G36" s="189" t="str">
        <f>'[2]I-15 NB'!L36</f>
        <v>CARMEL MTN</v>
      </c>
      <c r="H36" s="51">
        <f>'[2]I-15 NB'!O36</f>
        <v>26402</v>
      </c>
      <c r="I36" s="43">
        <f>VLOOKUP(c_2[[#This Row],[hwycov_id]],readme!D:G,4,FALSE)</f>
        <v>32506.59375</v>
      </c>
      <c r="J36" s="49">
        <f t="shared" si="2"/>
        <v>0.23121709529581103</v>
      </c>
      <c r="K36" s="188" t="str">
        <f>'[2]I-15 NB'!P36</f>
        <v>PeMS2016</v>
      </c>
      <c r="L36" s="89">
        <f t="shared" si="3"/>
        <v>37266064.852539063</v>
      </c>
      <c r="M36" s="96"/>
    </row>
    <row r="37" spans="1:13" x14ac:dyDescent="0.25">
      <c r="A37" s="43">
        <f>'[2]I-15 NB'!C37</f>
        <v>2</v>
      </c>
      <c r="B37" s="43" t="str">
        <f>'[2]I-15 NB'!H37</f>
        <v>I-15 NB</v>
      </c>
      <c r="C37" s="43">
        <f>'[2]I-15 NB'!E37</f>
        <v>13662</v>
      </c>
      <c r="D37" s="188">
        <f>'[2]I-15 NB'!I37</f>
        <v>49</v>
      </c>
      <c r="E37" s="189">
        <f>'[2]I-15 NB'!J37</f>
        <v>0</v>
      </c>
      <c r="F37" s="189" t="str">
        <f>'[2]I-15 NB'!K37</f>
        <v>CARMEL MTN</v>
      </c>
      <c r="G37" s="189" t="str">
        <f>'[2]I-15 NB'!L37</f>
        <v>CAM DEL NORTE</v>
      </c>
      <c r="H37" s="51">
        <f>'[2]I-15 NB'!O37</f>
        <v>28364</v>
      </c>
      <c r="I37" s="43">
        <f>VLOOKUP(c_2[[#This Row],[hwycov_id]],readme!D:G,4,FALSE)</f>
        <v>34559.582030999998</v>
      </c>
      <c r="J37" s="49">
        <f t="shared" si="2"/>
        <v>0.21843118146241713</v>
      </c>
      <c r="K37" s="188" t="str">
        <f>'[2]I-15 NB'!P37</f>
        <v>PeMS2016</v>
      </c>
      <c r="L37" s="89">
        <f t="shared" si="3"/>
        <v>38385236.702850059</v>
      </c>
      <c r="M37" s="96"/>
    </row>
    <row r="38" spans="1:13" x14ac:dyDescent="0.25">
      <c r="A38" s="43">
        <f>'[2]I-15 NB'!C38</f>
        <v>2</v>
      </c>
      <c r="B38" s="43" t="str">
        <f>'[2]I-15 NB'!H38</f>
        <v>I-15 NB</v>
      </c>
      <c r="C38" s="43">
        <f>'[2]I-15 NB'!E38</f>
        <v>516</v>
      </c>
      <c r="D38" s="188">
        <f>'[2]I-15 NB'!I38</f>
        <v>50</v>
      </c>
      <c r="E38" s="189">
        <f>'[2]I-15 NB'!J38</f>
        <v>0</v>
      </c>
      <c r="F38" s="189" t="str">
        <f>'[2]I-15 NB'!K38</f>
        <v>CAM DEL NORTE</v>
      </c>
      <c r="G38" s="189" t="str">
        <f>'[2]I-15 NB'!L38</f>
        <v>CAM DEL NORTE</v>
      </c>
      <c r="H38" s="51">
        <f>'[2]I-15 NB'!O38</f>
        <v>24337</v>
      </c>
      <c r="I38" s="43">
        <f>VLOOKUP(c_2[[#This Row],[hwycov_id]],readme!D:G,4,FALSE)</f>
        <v>30733.279297000001</v>
      </c>
      <c r="J38" s="49">
        <f t="shared" si="2"/>
        <v>0.26282118983440861</v>
      </c>
      <c r="K38" s="188" t="str">
        <f>'[2]I-15 NB'!P38</f>
        <v>PeMS2016</v>
      </c>
      <c r="L38" s="89">
        <f t="shared" si="3"/>
        <v>40912388.845230825</v>
      </c>
      <c r="M38" s="96"/>
    </row>
    <row r="39" spans="1:13" x14ac:dyDescent="0.25">
      <c r="A39" s="43">
        <f>'[2]I-15 NB'!C39</f>
        <v>2</v>
      </c>
      <c r="B39" s="43" t="str">
        <f>'[2]I-15 NB'!H39</f>
        <v>I-15 NB</v>
      </c>
      <c r="C39" s="43">
        <f>'[2]I-15 NB'!E39</f>
        <v>31205</v>
      </c>
      <c r="D39" s="188">
        <f>'[2]I-15 NB'!I39</f>
        <v>52</v>
      </c>
      <c r="E39" s="189">
        <f>'[2]I-15 NB'!J39</f>
        <v>0</v>
      </c>
      <c r="F39" s="189" t="str">
        <f>'[2]I-15 NB'!K39</f>
        <v>CAM DEL NORTE</v>
      </c>
      <c r="G39" s="189" t="str">
        <f>'[2]I-15 NB'!L39</f>
        <v>BERNARDO CENTER</v>
      </c>
      <c r="H39" s="51">
        <f>'[2]I-15 NB'!O39</f>
        <v>28835</v>
      </c>
      <c r="I39" s="43">
        <f>VLOOKUP(c_2[[#This Row],[hwycov_id]],readme!D:G,4,FALSE)</f>
        <v>33523.140625</v>
      </c>
      <c r="J39" s="49">
        <f t="shared" si="2"/>
        <v>0.16258507456216398</v>
      </c>
      <c r="K39" s="188" t="str">
        <f>'[2]I-15 NB'!P39</f>
        <v>PeMS2016</v>
      </c>
      <c r="L39" s="89">
        <f t="shared" si="3"/>
        <v>21978662.519775391</v>
      </c>
      <c r="M39" s="96"/>
    </row>
    <row r="40" spans="1:13" x14ac:dyDescent="0.25">
      <c r="A40" s="43">
        <f>'[2]I-15 NB'!C40</f>
        <v>2</v>
      </c>
      <c r="B40" s="43" t="str">
        <f>'[2]I-15 NB'!H40</f>
        <v>I-15 NB</v>
      </c>
      <c r="C40" s="43">
        <f>'[2]I-15 NB'!E40</f>
        <v>13648</v>
      </c>
      <c r="D40" s="188">
        <f>'[2]I-15 NB'!I40</f>
        <v>53</v>
      </c>
      <c r="E40" s="189">
        <f>'[2]I-15 NB'!J40</f>
        <v>0</v>
      </c>
      <c r="F40" s="189" t="str">
        <f>'[2]I-15 NB'!K40</f>
        <v>BERNARDO CENTER</v>
      </c>
      <c r="G40" s="189" t="str">
        <f>'[2]I-15 NB'!L40</f>
        <v>BERNARDO CENTER</v>
      </c>
      <c r="H40" s="51">
        <f>'[2]I-15 NB'!O40</f>
        <v>24137</v>
      </c>
      <c r="I40" s="43">
        <f>VLOOKUP(c_2[[#This Row],[hwycov_id]],readme!D:G,4,FALSE)</f>
        <v>31013.923827999999</v>
      </c>
      <c r="J40" s="49">
        <f t="shared" si="2"/>
        <v>0.28491211948460871</v>
      </c>
      <c r="K40" s="188" t="str">
        <f>'[2]I-15 NB'!P40</f>
        <v>PeMS2016</v>
      </c>
      <c r="L40" s="89">
        <f t="shared" si="3"/>
        <v>47292081.336114161</v>
      </c>
      <c r="M40" s="96"/>
    </row>
    <row r="41" spans="1:13" x14ac:dyDescent="0.25">
      <c r="A41" s="43">
        <f>'[2]I-15 NB'!C41</f>
        <v>2</v>
      </c>
      <c r="B41" s="43" t="str">
        <f>'[2]I-15 NB'!H41</f>
        <v>I-15 NB</v>
      </c>
      <c r="C41" s="43">
        <f>'[2]I-15 NB'!E41</f>
        <v>13637</v>
      </c>
      <c r="D41" s="188">
        <f>'[2]I-15 NB'!I41</f>
        <v>54</v>
      </c>
      <c r="E41" s="189">
        <f>'[2]I-15 NB'!J41</f>
        <v>0</v>
      </c>
      <c r="F41" s="189" t="str">
        <f>'[2]I-15 NB'!K41</f>
        <v>BERNARDO CENTER</v>
      </c>
      <c r="G41" s="189" t="str">
        <f>'[2]I-15 NB'!L41</f>
        <v>RANCHO BERNARDO</v>
      </c>
      <c r="H41" s="51">
        <f>'[2]I-15 NB'!O41</f>
        <v>27093</v>
      </c>
      <c r="I41" s="43">
        <f>VLOOKUP(c_2[[#This Row],[hwycov_id]],readme!D:G,4,FALSE)</f>
        <v>32644.353515999999</v>
      </c>
      <c r="J41" s="49">
        <f t="shared" si="2"/>
        <v>0.20489991938877194</v>
      </c>
      <c r="K41" s="188" t="str">
        <f>'[2]I-15 NB'!P41</f>
        <v>PeMS2016</v>
      </c>
      <c r="L41" s="89">
        <f t="shared" si="3"/>
        <v>30817525.859605554</v>
      </c>
      <c r="M41" s="96"/>
    </row>
    <row r="42" spans="1:13" x14ac:dyDescent="0.25">
      <c r="A42" s="43">
        <f>'[2]I-15 NB'!C42</f>
        <v>2</v>
      </c>
      <c r="B42" s="43" t="str">
        <f>'[2]I-15 NB'!H42</f>
        <v>I-15 NB</v>
      </c>
      <c r="C42" s="43">
        <f>'[2]I-15 NB'!E42</f>
        <v>13639</v>
      </c>
      <c r="D42" s="188">
        <f>'[2]I-15 NB'!I42</f>
        <v>55</v>
      </c>
      <c r="E42" s="189">
        <f>'[2]I-15 NB'!J42</f>
        <v>0</v>
      </c>
      <c r="F42" s="189" t="str">
        <f>'[2]I-15 NB'!K42</f>
        <v>RANCHO BERNARDO</v>
      </c>
      <c r="G42" s="189" t="str">
        <f>'[2]I-15 NB'!L42</f>
        <v>RANCHO BERNARDO</v>
      </c>
      <c r="H42" s="51">
        <f>'[2]I-15 NB'!O42</f>
        <v>26992</v>
      </c>
      <c r="I42" s="43">
        <f>VLOOKUP(c_2[[#This Row],[hwycov_id]],readme!D:G,4,FALSE)</f>
        <v>29717.554688</v>
      </c>
      <c r="J42" s="49">
        <f t="shared" si="2"/>
        <v>0.10097638885595739</v>
      </c>
      <c r="K42" s="188" t="str">
        <f>'[2]I-15 NB'!P42</f>
        <v>SANDAG</v>
      </c>
      <c r="L42" s="89">
        <f t="shared" si="3"/>
        <v>7428648.3572787782</v>
      </c>
      <c r="M42" s="96"/>
    </row>
    <row r="43" spans="1:13" x14ac:dyDescent="0.25">
      <c r="A43" s="43">
        <f>'[2]I-15 NB'!C43</f>
        <v>2</v>
      </c>
      <c r="B43" s="43" t="str">
        <f>'[2]I-15 NB'!H43</f>
        <v>I-15 NB</v>
      </c>
      <c r="C43" s="43">
        <f>'[2]I-15 NB'!E43</f>
        <v>13640</v>
      </c>
      <c r="D43" s="188">
        <f>'[2]I-15 NB'!I43</f>
        <v>56</v>
      </c>
      <c r="E43" s="189">
        <f>'[2]I-15 NB'!J43</f>
        <v>0</v>
      </c>
      <c r="F43" s="189" t="str">
        <f>'[2]I-15 NB'!K43</f>
        <v>RANCHO BERNARDO</v>
      </c>
      <c r="G43" s="189" t="str">
        <f>'[2]I-15 NB'!L43</f>
        <v>RANCHO BERNARDO</v>
      </c>
      <c r="H43" s="51">
        <f>'[2]I-15 NB'!O43</f>
        <v>26769</v>
      </c>
      <c r="I43" s="43">
        <f>VLOOKUP(c_2[[#This Row],[hwycov_id]],readme!D:G,4,FALSE)</f>
        <v>32120.431640999999</v>
      </c>
      <c r="J43" s="49">
        <f t="shared" si="2"/>
        <v>0.19991152605625917</v>
      </c>
      <c r="K43" s="188" t="str">
        <f>'[2]I-15 NB'!P43</f>
        <v>PeMS2016</v>
      </c>
      <c r="L43" s="89">
        <f t="shared" si="3"/>
        <v>28637820.608295944</v>
      </c>
      <c r="M43" s="96"/>
    </row>
    <row r="44" spans="1:13" x14ac:dyDescent="0.25">
      <c r="A44" s="43">
        <f>'[2]I-15 NB'!C44</f>
        <v>2</v>
      </c>
      <c r="B44" s="43" t="str">
        <f>'[2]I-15 NB'!H44</f>
        <v>I-15 NB</v>
      </c>
      <c r="C44" s="43">
        <f>'[2]I-15 NB'!E44</f>
        <v>31206</v>
      </c>
      <c r="D44" s="188">
        <f>'[2]I-15 NB'!I44</f>
        <v>58</v>
      </c>
      <c r="E44" s="189">
        <f>'[2]I-15 NB'!J44</f>
        <v>1</v>
      </c>
      <c r="F44" s="189" t="str">
        <f>'[2]I-15 NB'!K44</f>
        <v>RANCHO BERNARDO</v>
      </c>
      <c r="G44" s="189" t="str">
        <f>'[2]I-15 NB'!L44</f>
        <v>POMERADO</v>
      </c>
      <c r="H44" s="51">
        <f>'[2]I-15 NB'!O44</f>
        <v>29783</v>
      </c>
      <c r="I44" s="43">
        <f>VLOOKUP(c_2[[#This Row],[hwycov_id]],readme!D:G,4,FALSE)</f>
        <v>33736.074219000002</v>
      </c>
      <c r="J44" s="49">
        <f t="shared" si="2"/>
        <v>0.13272921529060211</v>
      </c>
      <c r="K44" s="188" t="str">
        <f>'[2]I-15 NB'!P44</f>
        <v>PeMS2016</v>
      </c>
      <c r="L44" s="89">
        <f t="shared" si="3"/>
        <v>15626795.780922474</v>
      </c>
      <c r="M44" s="96"/>
    </row>
    <row r="45" spans="1:13" x14ac:dyDescent="0.25">
      <c r="A45" s="43">
        <f>'[2]I-15 NB'!C45</f>
        <v>2</v>
      </c>
      <c r="B45" s="43" t="str">
        <f>'[2]I-15 NB'!H45</f>
        <v>I-15 NB</v>
      </c>
      <c r="C45" s="43">
        <f>'[2]I-15 NB'!E45</f>
        <v>554</v>
      </c>
      <c r="D45" s="188">
        <f>'[2]I-15 NB'!I45</f>
        <v>59</v>
      </c>
      <c r="E45" s="189">
        <f>'[2]I-15 NB'!J45</f>
        <v>0</v>
      </c>
      <c r="F45" s="189" t="str">
        <f>'[2]I-15 NB'!K45</f>
        <v>RANCHO BERNARDO</v>
      </c>
      <c r="G45" s="189" t="str">
        <f>'[2]I-15 NB'!L45</f>
        <v>POMERADO</v>
      </c>
      <c r="H45" s="51">
        <f>'[2]I-15 NB'!O45</f>
        <v>28594</v>
      </c>
      <c r="I45" s="43">
        <f>VLOOKUP(c_2[[#This Row],[hwycov_id]],readme!D:G,4,FALSE)</f>
        <v>34795.949219000002</v>
      </c>
      <c r="J45" s="49">
        <f t="shared" si="2"/>
        <v>0.21689687413443393</v>
      </c>
      <c r="K45" s="188" t="str">
        <f>'[2]I-15 NB'!P45</f>
        <v>PeMS2016</v>
      </c>
      <c r="L45" s="89">
        <f t="shared" si="3"/>
        <v>38464174.115054734</v>
      </c>
      <c r="M45" s="96"/>
    </row>
    <row r="46" spans="1:13" x14ac:dyDescent="0.25">
      <c r="A46" s="43">
        <f>'[2]I-15 NB'!C46</f>
        <v>2</v>
      </c>
      <c r="B46" s="43" t="str">
        <f>'[2]I-15 NB'!H46</f>
        <v>I-15 NB</v>
      </c>
      <c r="C46" s="43">
        <f>'[2]I-15 NB'!E46</f>
        <v>8809</v>
      </c>
      <c r="D46" s="188">
        <f>'[2]I-15 NB'!I46</f>
        <v>60</v>
      </c>
      <c r="E46" s="189">
        <f>'[2]I-15 NB'!J46</f>
        <v>0</v>
      </c>
      <c r="F46" s="189" t="str">
        <f>'[2]I-15 NB'!K46</f>
        <v>POMERADO</v>
      </c>
      <c r="G46" s="189" t="str">
        <f>'[2]I-15 NB'!L46</f>
        <v>POMERADO</v>
      </c>
      <c r="H46" s="51">
        <f>'[2]I-15 NB'!O46</f>
        <v>28063</v>
      </c>
      <c r="I46" s="43">
        <f>VLOOKUP(c_2[[#This Row],[hwycov_id]],readme!D:G,4,FALSE)</f>
        <v>33639.695312000003</v>
      </c>
      <c r="J46" s="49">
        <f t="shared" si="2"/>
        <v>0.19872056843530639</v>
      </c>
      <c r="K46" s="188" t="str">
        <f>'[2]I-15 NB'!P46</f>
        <v>PeMS2016</v>
      </c>
      <c r="L46" s="89">
        <f t="shared" si="3"/>
        <v>31099530.602882817</v>
      </c>
      <c r="M46" s="96"/>
    </row>
    <row r="47" spans="1:13" x14ac:dyDescent="0.25">
      <c r="A47" s="43">
        <f>'[2]I-15 NB'!C47</f>
        <v>2</v>
      </c>
      <c r="B47" s="43" t="str">
        <f>'[2]I-15 NB'!H47</f>
        <v>I-15 NB</v>
      </c>
      <c r="C47" s="43">
        <f>'[2]I-15 NB'!E47</f>
        <v>8807</v>
      </c>
      <c r="D47" s="188">
        <f>'[2]I-15 NB'!I47</f>
        <v>61</v>
      </c>
      <c r="E47" s="189">
        <f>'[2]I-15 NB'!J47</f>
        <v>0</v>
      </c>
      <c r="F47" s="189" t="str">
        <f>'[2]I-15 NB'!K47</f>
        <v>POMERADO</v>
      </c>
      <c r="G47" s="189" t="str">
        <f>'[2]I-15 NB'!L47</f>
        <v>VIA RANCHO</v>
      </c>
      <c r="H47" s="51">
        <f>'[2]I-15 NB'!O47</f>
        <v>31840</v>
      </c>
      <c r="I47" s="43">
        <f>VLOOKUP(c_2[[#This Row],[hwycov_id]],readme!D:G,4,FALSE)</f>
        <v>36329.992187999997</v>
      </c>
      <c r="J47" s="49">
        <f t="shared" si="2"/>
        <v>0.14101734258793952</v>
      </c>
      <c r="K47" s="188" t="str">
        <f>'[2]I-15 NB'!P47</f>
        <v>PeMS2016</v>
      </c>
      <c r="L47" s="89">
        <f t="shared" si="3"/>
        <v>20160029.848300997</v>
      </c>
      <c r="M47" s="96"/>
    </row>
    <row r="48" spans="1:13" x14ac:dyDescent="0.25">
      <c r="A48" s="43">
        <f>'[2]I-15 NB'!C48</f>
        <v>2</v>
      </c>
      <c r="B48" s="43" t="str">
        <f>'[2]I-15 NB'!H48</f>
        <v>I-15 NB</v>
      </c>
      <c r="C48" s="43">
        <f>'[2]I-15 NB'!E48</f>
        <v>721</v>
      </c>
      <c r="D48" s="188">
        <f>'[2]I-15 NB'!I48</f>
        <v>63</v>
      </c>
      <c r="E48" s="189">
        <f>'[2]I-15 NB'!J48</f>
        <v>0</v>
      </c>
      <c r="F48" s="189" t="str">
        <f>'[2]I-15 NB'!K48</f>
        <v>VIA RANCHO</v>
      </c>
      <c r="G48" s="189" t="str">
        <f>'[2]I-15 NB'!L48</f>
        <v>VIA RANCHO</v>
      </c>
      <c r="H48" s="51">
        <f>'[2]I-15 NB'!O48</f>
        <v>26470</v>
      </c>
      <c r="I48" s="43">
        <f>VLOOKUP(c_2[[#This Row],[hwycov_id]],readme!D:G,4,FALSE)</f>
        <v>32537.75</v>
      </c>
      <c r="J48" s="49">
        <f t="shared" si="2"/>
        <v>0.22923120513789197</v>
      </c>
      <c r="K48" s="188" t="str">
        <f>'[2]I-15 NB'!P48</f>
        <v>PeMS2016</v>
      </c>
      <c r="L48" s="89">
        <f t="shared" si="3"/>
        <v>36817590.0625</v>
      </c>
      <c r="M48" s="96"/>
    </row>
    <row r="49" spans="1:13" x14ac:dyDescent="0.25">
      <c r="A49" s="43">
        <f>'[2]I-15 NB'!C49</f>
        <v>2</v>
      </c>
      <c r="B49" s="43" t="str">
        <f>'[2]I-15 NB'!H49</f>
        <v>I-15 NB</v>
      </c>
      <c r="C49" s="43">
        <f>'[2]I-15 NB'!E49</f>
        <v>12955</v>
      </c>
      <c r="D49" s="188">
        <f>'[2]I-15 NB'!I49</f>
        <v>66</v>
      </c>
      <c r="E49" s="189">
        <f>'[2]I-15 NB'!J49</f>
        <v>0</v>
      </c>
      <c r="F49" s="189" t="str">
        <f>'[2]I-15 NB'!K49</f>
        <v>CENTRE CITY</v>
      </c>
      <c r="G49" s="189" t="str">
        <f>'[2]I-15 NB'!L49</f>
        <v>CITRACADO</v>
      </c>
      <c r="H49" s="51">
        <f>'[2]I-15 NB'!O49</f>
        <v>22650</v>
      </c>
      <c r="I49" s="43">
        <f>VLOOKUP(c_2[[#This Row],[hwycov_id]],readme!D:G,4,FALSE)</f>
        <v>26809.587890999999</v>
      </c>
      <c r="J49" s="49">
        <f t="shared" si="2"/>
        <v>0.18364626450331123</v>
      </c>
      <c r="K49" s="188" t="str">
        <f>'[2]I-15 NB'!P49</f>
        <v>PeMS2016</v>
      </c>
      <c r="L49" s="89">
        <f t="shared" si="3"/>
        <v>17302171.422953822</v>
      </c>
      <c r="M49" s="96"/>
    </row>
    <row r="50" spans="1:13" x14ac:dyDescent="0.25">
      <c r="A50" s="43">
        <f>'[2]I-15 NB'!C50</f>
        <v>2</v>
      </c>
      <c r="B50" s="43" t="str">
        <f>'[2]I-15 NB'!H50</f>
        <v>I-15 NB</v>
      </c>
      <c r="C50" s="43">
        <f>'[2]I-15 NB'!E50</f>
        <v>12957</v>
      </c>
      <c r="D50" s="188">
        <f>'[2]I-15 NB'!I50</f>
        <v>68</v>
      </c>
      <c r="E50" s="189">
        <f>'[2]I-15 NB'!J50</f>
        <v>0</v>
      </c>
      <c r="F50" s="189" t="str">
        <f>'[2]I-15 NB'!K50</f>
        <v>CITRACADO</v>
      </c>
      <c r="G50" s="189" t="str">
        <f>'[2]I-15 NB'!L50</f>
        <v>CITRACADO</v>
      </c>
      <c r="H50" s="51">
        <f>'[2]I-15 NB'!O50</f>
        <v>26201</v>
      </c>
      <c r="I50" s="43">
        <f>VLOOKUP(c_2[[#This Row],[hwycov_id]],readme!D:G,4,FALSE)</f>
        <v>29579.943359000001</v>
      </c>
      <c r="J50" s="49">
        <f t="shared" si="2"/>
        <v>0.12896238155032247</v>
      </c>
      <c r="K50" s="188" t="str">
        <f>'[2]I-15 NB'!P50</f>
        <v>SANDAG</v>
      </c>
      <c r="L50" s="89">
        <f t="shared" si="3"/>
        <v>11417258.223330209</v>
      </c>
      <c r="M50" s="96"/>
    </row>
    <row r="51" spans="1:13" x14ac:dyDescent="0.25">
      <c r="A51" s="43">
        <f>'[2]I-15 NB'!C51</f>
        <v>2</v>
      </c>
      <c r="B51" s="43" t="str">
        <f>'[2]I-15 NB'!H51</f>
        <v>I-15 NB</v>
      </c>
      <c r="C51" s="43">
        <f>'[2]I-15 NB'!E51</f>
        <v>556</v>
      </c>
      <c r="D51" s="188">
        <f>'[2]I-15 NB'!I51</f>
        <v>70</v>
      </c>
      <c r="E51" s="189">
        <f>'[2]I-15 NB'!J51</f>
        <v>0</v>
      </c>
      <c r="F51" s="189" t="str">
        <f>'[2]I-15 NB'!K51</f>
        <v>CITRACADO</v>
      </c>
      <c r="G51" s="189" t="str">
        <f>'[2]I-15 NB'!L51</f>
        <v>09TH</v>
      </c>
      <c r="H51" s="51">
        <f>'[2]I-15 NB'!O51</f>
        <v>25479</v>
      </c>
      <c r="I51" s="43">
        <f>VLOOKUP(c_2[[#This Row],[hwycov_id]],readme!D:G,4,FALSE)</f>
        <v>30023.519531000002</v>
      </c>
      <c r="J51" s="49">
        <f t="shared" si="2"/>
        <v>0.17836333965226281</v>
      </c>
      <c r="K51" s="188" t="str">
        <f>'[2]I-15 NB'!P51</f>
        <v>PeMS2016</v>
      </c>
      <c r="L51" s="89">
        <f t="shared" si="3"/>
        <v>20652657.767640475</v>
      </c>
      <c r="M51" s="96"/>
    </row>
    <row r="52" spans="1:13" x14ac:dyDescent="0.25">
      <c r="A52" s="43">
        <f>'[2]I-15 NB'!C52</f>
        <v>2</v>
      </c>
      <c r="B52" s="43" t="str">
        <f>'[2]I-15 NB'!H52</f>
        <v>I-15 NB</v>
      </c>
      <c r="C52" s="43">
        <f>'[2]I-15 NB'!E52</f>
        <v>669</v>
      </c>
      <c r="D52" s="188">
        <f>'[2]I-15 NB'!I52</f>
        <v>71</v>
      </c>
      <c r="E52" s="189">
        <f>'[2]I-15 NB'!J52</f>
        <v>0</v>
      </c>
      <c r="F52" s="189" t="str">
        <f>'[2]I-15 NB'!K52</f>
        <v>09TH</v>
      </c>
      <c r="G52" s="189" t="str">
        <f>'[2]I-15 NB'!L52</f>
        <v>09TH</v>
      </c>
      <c r="H52" s="51">
        <f>'[2]I-15 NB'!O52</f>
        <v>25100</v>
      </c>
      <c r="I52" s="43">
        <f>VLOOKUP(c_2[[#This Row],[hwycov_id]],readme!D:G,4,FALSE)</f>
        <v>28008.777343999998</v>
      </c>
      <c r="J52" s="49">
        <f t="shared" si="2"/>
        <v>0.11588754358565723</v>
      </c>
      <c r="K52" s="188" t="str">
        <f>'[2]I-15 NB'!P52</f>
        <v>PeMS2016</v>
      </c>
      <c r="L52" s="89">
        <f t="shared" si="3"/>
        <v>8460985.6369676851</v>
      </c>
      <c r="M52" s="96"/>
    </row>
    <row r="53" spans="1:13" x14ac:dyDescent="0.25">
      <c r="A53" s="43">
        <f>'[2]I-15 NB'!C53</f>
        <v>2</v>
      </c>
      <c r="B53" s="43" t="str">
        <f>'[2]I-15 NB'!H53</f>
        <v>I-15 NB</v>
      </c>
      <c r="C53" s="43">
        <f>'[2]I-15 NB'!E53</f>
        <v>12929</v>
      </c>
      <c r="D53" s="188">
        <f>'[2]I-15 NB'!I53</f>
        <v>72</v>
      </c>
      <c r="E53" s="189">
        <f>'[2]I-15 NB'!J53</f>
        <v>0</v>
      </c>
      <c r="F53" s="189" t="str">
        <f>'[2]I-15 NB'!K53</f>
        <v>09TH</v>
      </c>
      <c r="G53" s="189" t="str">
        <f>'[2]I-15 NB'!L53</f>
        <v>VALLEY</v>
      </c>
      <c r="H53" s="51">
        <f>'[2]I-15 NB'!O53</f>
        <v>21239</v>
      </c>
      <c r="I53" s="43">
        <f>VLOOKUP(c_2[[#This Row],[hwycov_id]],readme!D:G,4,FALSE)</f>
        <v>29044.328125</v>
      </c>
      <c r="J53" s="49">
        <f t="shared" si="2"/>
        <v>0.3674997940110174</v>
      </c>
      <c r="K53" s="188" t="str">
        <f>'[2]I-15 NB'!P53</f>
        <v>Caltran</v>
      </c>
      <c r="L53" s="89">
        <f t="shared" si="3"/>
        <v>60923147.138916016</v>
      </c>
      <c r="M53" s="96"/>
    </row>
    <row r="54" spans="1:13" x14ac:dyDescent="0.25">
      <c r="A54" s="43">
        <f>'[2]I-15 NB'!C54</f>
        <v>2</v>
      </c>
      <c r="B54" s="43" t="str">
        <f>'[2]I-15 NB'!H54</f>
        <v>I-15 NB</v>
      </c>
      <c r="C54" s="43">
        <f>'[2]I-15 NB'!E54</f>
        <v>28588</v>
      </c>
      <c r="D54" s="188">
        <f>'[2]I-15 NB'!I54</f>
        <v>73</v>
      </c>
      <c r="E54" s="189">
        <f>'[2]I-15 NB'!J54</f>
        <v>0</v>
      </c>
      <c r="F54" s="189" t="str">
        <f>'[2]I-15 NB'!K54</f>
        <v>VALLEY</v>
      </c>
      <c r="G54" s="189" t="str">
        <f>'[2]I-15 NB'!L54</f>
        <v>VALLEY</v>
      </c>
      <c r="H54" s="51">
        <f>'[2]I-15 NB'!O54</f>
        <v>25689</v>
      </c>
      <c r="I54" s="43">
        <f>VLOOKUP(c_2[[#This Row],[hwycov_id]],readme!D:G,4,FALSE)</f>
        <v>27098.158202999999</v>
      </c>
      <c r="J54" s="49">
        <f t="shared" si="2"/>
        <v>5.4854537078126819E-2</v>
      </c>
      <c r="K54" s="188" t="str">
        <f>'[2]I-15 NB'!P54</f>
        <v>PeMS2016</v>
      </c>
      <c r="L54" s="89">
        <f t="shared" si="3"/>
        <v>1985726.8410821864</v>
      </c>
      <c r="M54" s="96"/>
    </row>
    <row r="55" spans="1:13" x14ac:dyDescent="0.25">
      <c r="A55" s="43">
        <f>'[2]I-15 NB'!C55</f>
        <v>2</v>
      </c>
      <c r="B55" s="43" t="str">
        <f>'[2]I-15 NB'!H55</f>
        <v>I-15 NB</v>
      </c>
      <c r="C55" s="43">
        <f>'[2]I-15 NB'!E55</f>
        <v>558</v>
      </c>
      <c r="D55" s="188">
        <f>'[2]I-15 NB'!I55</f>
        <v>76</v>
      </c>
      <c r="E55" s="189">
        <f>'[2]I-15 NB'!J55</f>
        <v>0</v>
      </c>
      <c r="F55" s="189" t="str">
        <f>'[2]I-15 NB'!K55</f>
        <v>SR-78 WB</v>
      </c>
      <c r="G55" s="189" t="str">
        <f>'[2]I-15 NB'!L55</f>
        <v>SR-78 EB</v>
      </c>
      <c r="H55" s="51">
        <f>'[2]I-15 NB'!O55</f>
        <v>19188</v>
      </c>
      <c r="I55" s="43">
        <f>VLOOKUP(c_2[[#This Row],[hwycov_id]],readme!D:G,4,FALSE)</f>
        <v>17664.904297000001</v>
      </c>
      <c r="J55" s="49">
        <f t="shared" si="2"/>
        <v>-7.9377512143006035E-2</v>
      </c>
      <c r="K55" s="188" t="str">
        <f>'[2]I-15 NB'!P55</f>
        <v>PeMS2016</v>
      </c>
      <c r="L55" s="89">
        <f t="shared" si="3"/>
        <v>2319820.5204970613</v>
      </c>
      <c r="M55" s="96"/>
    </row>
    <row r="56" spans="1:13" x14ac:dyDescent="0.25">
      <c r="A56" s="43">
        <f>'[2]I-15 NB'!C56</f>
        <v>2</v>
      </c>
      <c r="B56" s="43" t="str">
        <f>'[2]I-15 NB'!H56</f>
        <v>I-15 NB</v>
      </c>
      <c r="C56" s="43">
        <f>'[2]I-15 NB'!E56</f>
        <v>27165</v>
      </c>
      <c r="D56" s="188">
        <f>'[2]I-15 NB'!I56</f>
        <v>79</v>
      </c>
      <c r="E56" s="189">
        <f>'[2]I-15 NB'!J56</f>
        <v>0</v>
      </c>
      <c r="F56" s="189" t="str">
        <f>'[2]I-15 NB'!K56</f>
        <v>EL NORTE</v>
      </c>
      <c r="G56" s="189" t="str">
        <f>'[2]I-15 NB'!L56</f>
        <v>EL NORTE</v>
      </c>
      <c r="H56" s="51">
        <f>'[2]I-15 NB'!O56</f>
        <v>17365</v>
      </c>
      <c r="I56" s="43">
        <f>VLOOKUP(c_2[[#This Row],[hwycov_id]],readme!D:G,4,FALSE)</f>
        <v>17158.490234000001</v>
      </c>
      <c r="J56" s="49">
        <f t="shared" si="2"/>
        <v>-1.1892298646703048E-2</v>
      </c>
      <c r="K56" s="188" t="str">
        <f>'[2]I-15 NB'!P56</f>
        <v>PeMS2016</v>
      </c>
      <c r="L56" s="89">
        <f t="shared" si="3"/>
        <v>42646.283453374432</v>
      </c>
      <c r="M56" s="96"/>
    </row>
    <row r="57" spans="1:13" x14ac:dyDescent="0.25">
      <c r="A57" s="43">
        <f>'[2]I-15 NB'!C57</f>
        <v>2</v>
      </c>
      <c r="B57" s="43" t="str">
        <f>'[2]I-15 NB'!H57</f>
        <v>I-15 NB</v>
      </c>
      <c r="C57" s="43">
        <f>'[2]I-15 NB'!E57</f>
        <v>27183</v>
      </c>
      <c r="D57" s="188">
        <f>'[2]I-15 NB'!I57</f>
        <v>80</v>
      </c>
      <c r="E57" s="189">
        <f>'[2]I-15 NB'!J57</f>
        <v>1</v>
      </c>
      <c r="F57" s="189" t="str">
        <f>'[2]I-15 NB'!K57</f>
        <v>EL NORTE</v>
      </c>
      <c r="G57" s="189" t="str">
        <f>'[2]I-15 NB'!L57</f>
        <v>CENTRE CITY</v>
      </c>
      <c r="H57" s="51">
        <f>'[2]I-15 NB'!O57</f>
        <v>19536</v>
      </c>
      <c r="I57" s="43">
        <f>VLOOKUP(c_2[[#This Row],[hwycov_id]],readme!D:G,4,FALSE)</f>
        <v>18405.800781000002</v>
      </c>
      <c r="J57" s="49">
        <f t="shared" si="2"/>
        <v>-5.7852130374692834E-2</v>
      </c>
      <c r="K57" s="188" t="str">
        <f>'[2]I-15 NB'!P57</f>
        <v>PeMS2016</v>
      </c>
      <c r="L57" s="89">
        <f t="shared" si="3"/>
        <v>1277350.2746282062</v>
      </c>
      <c r="M57" s="96"/>
    </row>
    <row r="58" spans="1:13" x14ac:dyDescent="0.25">
      <c r="A58" s="43">
        <f>'[2]I-15 NB'!C58</f>
        <v>2</v>
      </c>
      <c r="B58" s="43" t="str">
        <f>'[2]I-15 NB'!H58</f>
        <v>I-15 NB</v>
      </c>
      <c r="C58" s="43">
        <f>'[2]I-15 NB'!E58</f>
        <v>27181</v>
      </c>
      <c r="D58" s="188">
        <f>'[2]I-15 NB'!I58</f>
        <v>83</v>
      </c>
      <c r="E58" s="189">
        <f>'[2]I-15 NB'!J58</f>
        <v>1</v>
      </c>
      <c r="F58" s="189" t="str">
        <f>'[2]I-15 NB'!K58</f>
        <v>CENTRE CITY</v>
      </c>
      <c r="G58" s="189" t="str">
        <f>'[2]I-15 NB'!L58</f>
        <v>DEER SPRINGS</v>
      </c>
      <c r="H58" s="51">
        <f>'[2]I-15 NB'!O58</f>
        <v>20545</v>
      </c>
      <c r="I58" s="43">
        <f>VLOOKUP(c_2[[#This Row],[hwycov_id]],readme!D:G,4,FALSE)</f>
        <v>19877.898438</v>
      </c>
      <c r="J58" s="49">
        <f t="shared" si="2"/>
        <v>-3.2470263421757073E-2</v>
      </c>
      <c r="K58" s="188" t="str">
        <f>'[2]I-15 NB'!P58</f>
        <v>PeMS2016</v>
      </c>
      <c r="L58" s="89">
        <f t="shared" si="3"/>
        <v>445024.49402283964</v>
      </c>
      <c r="M58" s="96"/>
    </row>
    <row r="59" spans="1:13" x14ac:dyDescent="0.25">
      <c r="A59" s="43">
        <f>'[2]I-15 NB'!C59</f>
        <v>2</v>
      </c>
      <c r="B59" s="43" t="str">
        <f>'[2]I-15 NB'!H59</f>
        <v>I-15 NB</v>
      </c>
      <c r="C59" s="43">
        <f>'[2]I-15 NB'!E59</f>
        <v>27166</v>
      </c>
      <c r="D59" s="188">
        <f>'[2]I-15 NB'!I59</f>
        <v>84</v>
      </c>
      <c r="E59" s="189">
        <f>'[2]I-15 NB'!J59</f>
        <v>0</v>
      </c>
      <c r="F59" s="189" t="str">
        <f>'[2]I-15 NB'!K59</f>
        <v>DEER SPRINGS</v>
      </c>
      <c r="G59" s="189" t="str">
        <f>'[2]I-15 NB'!L59</f>
        <v>DEER SPRINGS</v>
      </c>
      <c r="H59" s="51">
        <f>'[2]I-15 NB'!O59</f>
        <v>14601</v>
      </c>
      <c r="I59" s="43">
        <f>VLOOKUP(c_2[[#This Row],[hwycov_id]],readme!D:G,4,FALSE)</f>
        <v>18797.330077999999</v>
      </c>
      <c r="J59" s="49">
        <f t="shared" si="2"/>
        <v>0.28740018341209495</v>
      </c>
      <c r="K59" s="188" t="str">
        <f>'[2]I-15 NB'!P59</f>
        <v>PeMS2016</v>
      </c>
      <c r="L59" s="89">
        <f t="shared" si="3"/>
        <v>17609186.123527478</v>
      </c>
      <c r="M59" s="96"/>
    </row>
    <row r="60" spans="1:13" x14ac:dyDescent="0.25">
      <c r="A60" s="43">
        <f>'[2]I-15 NB'!C60</f>
        <v>2</v>
      </c>
      <c r="B60" s="43" t="str">
        <f>'[2]I-15 NB'!H60</f>
        <v>I-15 NB</v>
      </c>
      <c r="C60" s="43">
        <f>'[2]I-15 NB'!E60</f>
        <v>27352</v>
      </c>
      <c r="D60" s="188">
        <f>'[2]I-15 NB'!I60</f>
        <v>85</v>
      </c>
      <c r="E60" s="189">
        <f>'[2]I-15 NB'!J60</f>
        <v>3</v>
      </c>
      <c r="F60" s="189" t="str">
        <f>'[2]I-15 NB'!K60</f>
        <v>DEER SPRINGS</v>
      </c>
      <c r="G60" s="189" t="str">
        <f>'[2]I-15 NB'!L60</f>
        <v>GOPHER CANYON</v>
      </c>
      <c r="H60" s="51">
        <f>'[2]I-15 NB'!O60</f>
        <v>20665</v>
      </c>
      <c r="I60" s="43">
        <f>VLOOKUP(c_2[[#This Row],[hwycov_id]],readme!D:G,4,FALSE)</f>
        <v>20315.898438</v>
      </c>
      <c r="J60" s="49">
        <f t="shared" si="2"/>
        <v>-1.6893373433341408E-2</v>
      </c>
      <c r="K60" s="188" t="str">
        <f>'[2]I-15 NB'!P60</f>
        <v>Caltran</v>
      </c>
      <c r="L60" s="89">
        <f t="shared" si="3"/>
        <v>121871.90059083972</v>
      </c>
      <c r="M60" s="96"/>
    </row>
    <row r="61" spans="1:13" x14ac:dyDescent="0.25">
      <c r="A61" s="43">
        <f>'[2]I-15 NB'!C61</f>
        <v>2</v>
      </c>
      <c r="B61" s="43" t="str">
        <f>'[2]I-15 NB'!H61</f>
        <v>I-15 NB</v>
      </c>
      <c r="C61" s="43">
        <f>'[2]I-15 NB'!E61</f>
        <v>26667</v>
      </c>
      <c r="D61" s="188">
        <f>'[2]I-15 NB'!I61</f>
        <v>91</v>
      </c>
      <c r="E61" s="189">
        <f>'[2]I-15 NB'!J61</f>
        <v>0</v>
      </c>
      <c r="F61" s="189" t="str">
        <f>'[2]I-15 NB'!K61</f>
        <v>PALA</v>
      </c>
      <c r="G61" s="189" t="str">
        <f>'[2]I-15 NB'!L61</f>
        <v>PALA</v>
      </c>
      <c r="H61" s="51">
        <f>'[2]I-15 NB'!O61</f>
        <v>19555</v>
      </c>
      <c r="I61" s="43">
        <f>VLOOKUP(c_2[[#This Row],[hwycov_id]],readme!D:G,4,FALSE)</f>
        <v>16794.769531000002</v>
      </c>
      <c r="J61" s="49">
        <f t="shared" si="2"/>
        <v>-0.14115215898747113</v>
      </c>
      <c r="K61" s="188" t="str">
        <f>'[2]I-15 NB'!P61</f>
        <v>Caltran</v>
      </c>
      <c r="L61" s="89">
        <f t="shared" si="3"/>
        <v>7618872.2419959502</v>
      </c>
    </row>
    <row r="62" spans="1:13" x14ac:dyDescent="0.25">
      <c r="A62" s="43">
        <f>'[2]I-15 NB'!C62</f>
        <v>2</v>
      </c>
      <c r="B62" s="43" t="str">
        <f>'[2]I-15 NB'!H62</f>
        <v>I-15 NB</v>
      </c>
      <c r="C62" s="43">
        <f>'[2]I-15 NB'!E62</f>
        <v>27193</v>
      </c>
      <c r="D62" s="188">
        <f>'[2]I-15 NB'!I62</f>
        <v>93</v>
      </c>
      <c r="E62" s="189">
        <f>'[2]I-15 NB'!J62</f>
        <v>1</v>
      </c>
      <c r="F62" s="189" t="str">
        <f>'[2]I-15 NB'!K62</f>
        <v>PALA</v>
      </c>
      <c r="G62" s="189" t="str">
        <f>'[2]I-15 NB'!L62</f>
        <v>STEWART CANYON</v>
      </c>
      <c r="H62" s="51">
        <f>'[2]I-15 NB'!O62</f>
        <v>14064</v>
      </c>
      <c r="I62" s="43">
        <f>VLOOKUP(c_2[[#This Row],[hwycov_id]],readme!D:G,4,FALSE)</f>
        <v>18164.095702999999</v>
      </c>
      <c r="J62" s="49">
        <f t="shared" si="2"/>
        <v>0.29153126443401578</v>
      </c>
      <c r="K62" s="188" t="str">
        <f>'[2]I-15 NB'!P62</f>
        <v>PeMS2016</v>
      </c>
      <c r="L62" s="89">
        <f t="shared" si="3"/>
        <v>16810784.773759056</v>
      </c>
    </row>
    <row r="63" spans="1:13" x14ac:dyDescent="0.25">
      <c r="A63" s="43">
        <f>'[2]I-15 NB'!C63</f>
        <v>2</v>
      </c>
      <c r="B63" s="43" t="str">
        <f>'[2]I-15 NB'!H63</f>
        <v>I-15 NB</v>
      </c>
      <c r="C63" s="43">
        <f>'[2]I-15 NB'!E63</f>
        <v>27195</v>
      </c>
      <c r="D63" s="188">
        <f>'[2]I-15 NB'!I63</f>
        <v>97</v>
      </c>
      <c r="E63" s="189">
        <f>'[2]I-15 NB'!J63</f>
        <v>2</v>
      </c>
      <c r="F63" s="189" t="str">
        <f>'[2]I-15 NB'!K63</f>
        <v>MISSION</v>
      </c>
      <c r="G63" s="189" t="str">
        <f>'[2]I-15 NB'!L63</f>
        <v>RAINBOW VALLEY WEST</v>
      </c>
      <c r="H63" s="51">
        <f>'[2]I-15 NB'!O63</f>
        <v>17544</v>
      </c>
      <c r="I63" s="43">
        <f>VLOOKUP(c_2[[#This Row],[hwycov_id]],readme!D:G,4,FALSE)</f>
        <v>17436.033202999999</v>
      </c>
      <c r="J63" s="49">
        <f t="shared" si="2"/>
        <v>-6.1540581965344732E-3</v>
      </c>
      <c r="K63" s="188" t="str">
        <f>'[2]I-15 NB'!P63</f>
        <v>PeMS2016</v>
      </c>
      <c r="L63" s="89">
        <f t="shared" si="3"/>
        <v>11656.829254439415</v>
      </c>
    </row>
    <row r="64" spans="1:13" x14ac:dyDescent="0.25">
      <c r="C64" s="43"/>
      <c r="D64" s="188"/>
      <c r="E64" s="189"/>
      <c r="F64" s="189"/>
      <c r="G64" s="189"/>
      <c r="H64" s="51"/>
      <c r="I64" s="43"/>
      <c r="J64" s="49"/>
      <c r="K64" s="188"/>
      <c r="L64" s="89"/>
    </row>
    <row r="65" spans="3:12" x14ac:dyDescent="0.25">
      <c r="C65" s="43"/>
      <c r="D65" s="188"/>
      <c r="E65" s="189"/>
      <c r="F65" s="189"/>
      <c r="G65" s="189"/>
      <c r="H65" s="51"/>
      <c r="I65" s="43"/>
      <c r="J65" s="49"/>
      <c r="K65" s="188"/>
      <c r="L65" s="89"/>
    </row>
    <row r="66" spans="3:12" x14ac:dyDescent="0.25">
      <c r="C66" s="43"/>
      <c r="D66" s="188"/>
      <c r="E66" s="189"/>
      <c r="F66" s="189"/>
      <c r="G66" s="189"/>
      <c r="H66" s="51"/>
      <c r="I66" s="43"/>
      <c r="J66" s="49"/>
      <c r="K66" s="188"/>
      <c r="L66" s="89"/>
    </row>
    <row r="67" spans="3:12" x14ac:dyDescent="0.25">
      <c r="C67" s="43"/>
      <c r="D67" s="188"/>
      <c r="E67" s="189"/>
      <c r="F67" s="189"/>
      <c r="G67" s="189"/>
      <c r="H67" s="51"/>
      <c r="I67" s="43"/>
      <c r="J67" s="49"/>
      <c r="K67" s="188"/>
      <c r="L67" s="89"/>
    </row>
    <row r="68" spans="3:12" x14ac:dyDescent="0.25">
      <c r="C68" s="43"/>
      <c r="D68" s="188"/>
      <c r="E68" s="189"/>
      <c r="F68" s="189"/>
      <c r="G68" s="189"/>
      <c r="H68" s="51"/>
      <c r="I68" s="43"/>
      <c r="J68" s="49"/>
      <c r="K68" s="188"/>
      <c r="L68" s="89"/>
    </row>
    <row r="69" spans="3:12" x14ac:dyDescent="0.25">
      <c r="C69" s="43"/>
      <c r="D69" s="188"/>
      <c r="E69" s="189"/>
      <c r="F69" s="189"/>
      <c r="G69" s="189"/>
      <c r="H69" s="51"/>
      <c r="I69" s="43"/>
      <c r="J69" s="49"/>
      <c r="K69" s="188"/>
      <c r="L69" s="89"/>
    </row>
    <row r="70" spans="3:12" x14ac:dyDescent="0.25">
      <c r="C70" s="43"/>
      <c r="D70" s="188"/>
      <c r="E70" s="189"/>
      <c r="F70" s="189"/>
      <c r="G70" s="189"/>
      <c r="H70" s="51"/>
      <c r="I70" s="43"/>
      <c r="J70" s="49"/>
      <c r="K70" s="188"/>
      <c r="L70" s="89"/>
    </row>
    <row r="71" spans="3:12" x14ac:dyDescent="0.25">
      <c r="C71" s="43"/>
      <c r="D71" s="188"/>
      <c r="E71" s="189"/>
      <c r="F71" s="189"/>
      <c r="G71" s="189"/>
      <c r="H71" s="51"/>
      <c r="I71" s="43"/>
      <c r="J71" s="49"/>
      <c r="K71" s="188"/>
      <c r="L71" s="89"/>
    </row>
    <row r="72" spans="3:12" x14ac:dyDescent="0.25">
      <c r="C72" s="43"/>
      <c r="D72" s="188"/>
      <c r="E72" s="189"/>
      <c r="F72" s="189"/>
      <c r="G72" s="189"/>
      <c r="H72" s="51"/>
      <c r="I72" s="43"/>
      <c r="J72" s="49"/>
      <c r="K72" s="188"/>
      <c r="L72" s="89"/>
    </row>
    <row r="73" spans="3:12" x14ac:dyDescent="0.25">
      <c r="C73" s="43"/>
      <c r="D73" s="188"/>
      <c r="E73" s="189"/>
      <c r="F73" s="189"/>
      <c r="G73" s="189"/>
      <c r="H73" s="51"/>
      <c r="I73" s="43"/>
      <c r="J73" s="49"/>
      <c r="K73" s="188"/>
      <c r="L73" s="89"/>
    </row>
    <row r="74" spans="3:12" x14ac:dyDescent="0.25">
      <c r="C74" s="43"/>
      <c r="D74" s="188"/>
      <c r="E74" s="189"/>
      <c r="F74" s="189"/>
      <c r="G74" s="189"/>
      <c r="H74" s="51"/>
      <c r="I74" s="43"/>
      <c r="J74" s="49"/>
      <c r="K74" s="188"/>
      <c r="L74" s="89"/>
    </row>
    <row r="75" spans="3:12" x14ac:dyDescent="0.25">
      <c r="C75" s="43"/>
      <c r="D75" s="188"/>
      <c r="E75" s="189"/>
      <c r="F75" s="189"/>
      <c r="G75" s="189"/>
      <c r="H75" s="51"/>
      <c r="I75" s="43"/>
      <c r="J75" s="49"/>
      <c r="K75" s="188"/>
      <c r="L75" s="89"/>
    </row>
    <row r="76" spans="3:12" x14ac:dyDescent="0.25">
      <c r="C76" s="43"/>
      <c r="D76" s="188"/>
      <c r="E76" s="189"/>
      <c r="F76" s="189"/>
      <c r="G76" s="189"/>
      <c r="H76" s="51"/>
      <c r="I76" s="43"/>
      <c r="J76" s="49"/>
      <c r="K76" s="188"/>
      <c r="L76" s="89"/>
    </row>
    <row r="77" spans="3:12" x14ac:dyDescent="0.25">
      <c r="C77" s="43"/>
      <c r="D77" s="188"/>
      <c r="E77" s="189"/>
      <c r="F77" s="189"/>
      <c r="G77" s="189"/>
      <c r="H77" s="51"/>
      <c r="I77" s="43"/>
      <c r="J77" s="49"/>
      <c r="K77" s="188"/>
      <c r="L77" s="89"/>
    </row>
    <row r="78" spans="3:12" x14ac:dyDescent="0.25">
      <c r="C78" s="43"/>
      <c r="D78" s="188"/>
      <c r="E78" s="189"/>
      <c r="F78" s="189"/>
      <c r="G78" s="189"/>
      <c r="H78" s="51"/>
      <c r="I78" s="43"/>
      <c r="J78" s="49"/>
      <c r="K78" s="188"/>
      <c r="L78" s="89"/>
    </row>
    <row r="79" spans="3:12" x14ac:dyDescent="0.25">
      <c r="C79" s="43"/>
      <c r="D79" s="188"/>
      <c r="E79" s="189"/>
      <c r="F79" s="189"/>
      <c r="G79" s="189"/>
      <c r="H79" s="51"/>
      <c r="I79" s="43"/>
      <c r="J79" s="49"/>
      <c r="K79" s="188"/>
      <c r="L79" s="89"/>
    </row>
    <row r="80" spans="3:12" x14ac:dyDescent="0.25">
      <c r="C80" s="43"/>
      <c r="D80" s="188"/>
      <c r="E80" s="189"/>
      <c r="F80" s="189"/>
      <c r="G80" s="189"/>
      <c r="H80" s="51"/>
      <c r="I80" s="43"/>
      <c r="J80" s="49"/>
      <c r="K80" s="188"/>
      <c r="L80" s="89"/>
    </row>
    <row r="81" spans="3:12" x14ac:dyDescent="0.25">
      <c r="C81" s="43"/>
      <c r="D81" s="188"/>
      <c r="E81" s="189"/>
      <c r="F81" s="189"/>
      <c r="G81" s="189"/>
      <c r="H81" s="51"/>
      <c r="I81" s="43"/>
      <c r="J81" s="49"/>
      <c r="K81" s="188"/>
      <c r="L81" s="89"/>
    </row>
    <row r="82" spans="3:12" x14ac:dyDescent="0.25">
      <c r="C82" s="43"/>
      <c r="D82" s="188"/>
      <c r="E82" s="189"/>
      <c r="F82" s="189"/>
      <c r="G82" s="189"/>
      <c r="H82" s="51"/>
      <c r="I82" s="43"/>
      <c r="J82" s="49"/>
      <c r="K82" s="188"/>
      <c r="L82" s="89"/>
    </row>
    <row r="83" spans="3:12" x14ac:dyDescent="0.25">
      <c r="C83" s="43"/>
      <c r="D83" s="188"/>
      <c r="E83" s="189"/>
      <c r="F83" s="189"/>
      <c r="G83" s="189"/>
      <c r="H83" s="51"/>
      <c r="I83" s="43"/>
      <c r="J83" s="49"/>
      <c r="K83" s="188"/>
      <c r="L83" s="89"/>
    </row>
    <row r="84" spans="3:12" x14ac:dyDescent="0.25">
      <c r="C84" s="43"/>
      <c r="D84" s="188"/>
      <c r="E84" s="189"/>
      <c r="F84" s="189"/>
      <c r="G84" s="189"/>
      <c r="H84" s="51"/>
      <c r="I84" s="43"/>
      <c r="J84" s="49"/>
      <c r="K84" s="188"/>
      <c r="L84" s="89"/>
    </row>
    <row r="85" spans="3:12" x14ac:dyDescent="0.25">
      <c r="C85" s="43"/>
      <c r="D85" s="188"/>
      <c r="E85" s="189"/>
      <c r="F85" s="189"/>
      <c r="G85" s="189"/>
      <c r="H85" s="51"/>
      <c r="I85" s="43"/>
      <c r="J85" s="49"/>
      <c r="K85" s="188"/>
      <c r="L85" s="89"/>
    </row>
    <row r="86" spans="3:12" x14ac:dyDescent="0.25">
      <c r="C86" s="43"/>
      <c r="D86" s="188"/>
      <c r="E86" s="189"/>
      <c r="F86" s="189"/>
      <c r="G86" s="189"/>
      <c r="H86" s="51"/>
      <c r="I86" s="43"/>
      <c r="J86" s="49"/>
      <c r="K86" s="188"/>
      <c r="L86" s="89"/>
    </row>
    <row r="87" spans="3:12" x14ac:dyDescent="0.25">
      <c r="C87" s="43"/>
      <c r="D87" s="188"/>
      <c r="E87" s="189"/>
      <c r="F87" s="189"/>
      <c r="G87" s="189"/>
      <c r="H87" s="51"/>
      <c r="I87" s="43"/>
      <c r="J87" s="49"/>
      <c r="K87" s="188"/>
      <c r="L87" s="89"/>
    </row>
    <row r="88" spans="3:12" x14ac:dyDescent="0.25">
      <c r="C88" s="43"/>
      <c r="D88" s="188"/>
      <c r="E88" s="189"/>
      <c r="F88" s="189"/>
      <c r="G88" s="189"/>
      <c r="H88" s="51"/>
      <c r="I88" s="43"/>
      <c r="J88" s="49"/>
      <c r="K88" s="188"/>
      <c r="L88" s="89"/>
    </row>
  </sheetData>
  <conditionalFormatting sqref="N1:N1048576">
    <cfRule type="cellIs" dxfId="657" priority="9" operator="lessThan">
      <formula>-0.2</formula>
    </cfRule>
    <cfRule type="cellIs" dxfId="656" priority="10" operator="greaterThan">
      <formula>0.2</formula>
    </cfRule>
  </conditionalFormatting>
  <conditionalFormatting sqref="J2:J63">
    <cfRule type="cellIs" dxfId="655" priority="1" operator="lessThan">
      <formula>-0.2</formula>
    </cfRule>
    <cfRule type="cellIs" dxfId="65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39997558519241921"/>
  </sheetPr>
  <dimension ref="A1:AI54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7.7109375" style="25" bestFit="1" customWidth="1"/>
    <col min="7" max="7" width="17.85546875" style="25" bestFit="1" customWidth="1"/>
    <col min="8" max="8" width="8.85546875" style="27" bestFit="1" customWidth="1"/>
    <col min="9" max="9" width="13" style="27" bestFit="1" customWidth="1"/>
    <col min="10" max="10" width="8" style="26" bestFit="1" customWidth="1"/>
    <col min="11" max="11" width="10.7109375" style="26" bestFit="1" customWidth="1"/>
    <col min="12" max="12" width="10.85546875" style="44" bestFit="1" customWidth="1"/>
    <col min="13" max="13" width="12.28515625" style="44" customWidth="1"/>
    <col min="14" max="14" width="9" style="26" customWidth="1"/>
    <col min="15" max="16" width="9" style="30" customWidth="1"/>
    <col min="17" max="19" width="9.140625" style="25"/>
    <col min="20" max="20" width="10.42578125" style="25" customWidth="1"/>
    <col min="21" max="21" width="9.140625" style="25"/>
    <col min="22" max="22" width="9.5703125" style="25" customWidth="1"/>
    <col min="23" max="24" width="9.28515625" style="25" customWidth="1"/>
    <col min="25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SQRT(AVERAGE(c_3[x2]))/AVERAGE(c_3[count])</f>
        <v>0.28544946542774219</v>
      </c>
      <c r="O1" s="69">
        <f>LINEST(c_3[flow],c_3[count],FALSE)</f>
        <v>1.1793329597502729</v>
      </c>
      <c r="P1" s="69">
        <f>RSQ(c_3[flow],c_3[count])</f>
        <v>0.58950504583212815</v>
      </c>
      <c r="Q1" s="19">
        <f>IFERROR(AVERAGEIF(c_3[gap],"&gt;=0",c_3[gap]),0)</f>
        <v>0.27013490714244259</v>
      </c>
      <c r="R1" s="20">
        <f>IFERROR(AVERAGEIF(c_3[gap],"&lt;0",c_3[gap]),0)</f>
        <v>-9.5458614380887166E-2</v>
      </c>
      <c r="S1" s="13">
        <f>AVERAGE(c_3[gap])</f>
        <v>0.21790726121053827</v>
      </c>
      <c r="T1" s="18">
        <f>COUNTIFS(c_3[gap],"&lt;10%",c_3[gap],"&gt;=-10%")/COUNTA(c_3[gap])</f>
        <v>0.33333333333333331</v>
      </c>
      <c r="U1" s="18">
        <f>COUNTIFS(c_3[gap],"&lt;20%",c_3[gap],"&gt;=-20%")/COUNTA(c_3[gap])</f>
        <v>0.54761904761904767</v>
      </c>
      <c r="V1" s="18">
        <f>COUNTIFS(c_3[gap],"&lt;30%",c_3[gap],"&gt;=-30%")/COUNTA(c_3[gap])</f>
        <v>0.59523809523809523</v>
      </c>
      <c r="W1" s="19">
        <f>COUNTIF(c_3[gap],"&gt;=0")/COUNTA(c_3[gap])</f>
        <v>0.8571428571428571</v>
      </c>
      <c r="X1" s="21">
        <f>COUNTIF(c_3[gap],"&lt;0")/COUNTA(c_3[gap])</f>
        <v>0.14285714285714285</v>
      </c>
      <c r="Y1" s="26" t="str">
        <f>"%Link(+)="&amp;TEXT(W1,"0%")</f>
        <v>%Link(+)=86%</v>
      </c>
      <c r="Z1" s="26" t="str">
        <f>"%Link(-)="&amp;TEXT(X1,"0%")</f>
        <v>%Link(-)=14%</v>
      </c>
      <c r="AA1" s="36" t="str">
        <f>"AvgGap(+)="&amp;TEXT(Q1,"0%")</f>
        <v>AvgGap(+)=27%</v>
      </c>
      <c r="AB1" s="25" t="str">
        <f>"AvgGap(-)="&amp;TEXT(R1,"0%")</f>
        <v>AvgGap(-)=-10%</v>
      </c>
      <c r="AC1" s="25" t="str">
        <f>"AvgGap(±)="&amp;TEXT(S1,"0%")</f>
        <v>AvgGap(±)=22%</v>
      </c>
      <c r="AD1" s="25" t="str">
        <f>"GapIn(±10%)="&amp;TEXT(T1,"0%")</f>
        <v>GapIn(±10%)=33%</v>
      </c>
      <c r="AE1" s="25" t="str">
        <f>"GapIn(±20%)="&amp;TEXT(U1,"0%")</f>
        <v>GapIn(±20%)=55%</v>
      </c>
      <c r="AF1" s="25" t="str">
        <f>"GapIn(±30%)="&amp;TEXT(V1,"0%")</f>
        <v>GapIn(±30%)=60%</v>
      </c>
      <c r="AG1" s="25" t="str">
        <f>"Linear Slope="&amp;TEXT(O1,"#.###")</f>
        <v>Linear Slope=1.179</v>
      </c>
      <c r="AH1" s="25" t="str">
        <f>"RMSE="&amp;TEXT(N1,"0%")</f>
        <v>RMSE=29%</v>
      </c>
      <c r="AI1" s="40" t="str">
        <f>CONCATENATE(Y1," ",Z1," ",AA1,"  ",AB1,"  ",AC1,"  ",AD1,"  ",AE1,"  ",AF1,"  ",AG1," ",AH1)</f>
        <v>%Link(+)=86% %Link(-)=14% AvgGap(+)=27%  AvgGap(-)=-10%  AvgGap(±)=22%  GapIn(±10%)=33%  GapIn(±20%)=55%  GapIn(±30%)=60%  Linear Slope=1.179 RMSE=29%</v>
      </c>
    </row>
    <row r="2" spans="1:35" ht="15" customHeight="1" x14ac:dyDescent="0.25">
      <c r="A2" s="43">
        <f>'[2]I-805 NB'!C2</f>
        <v>3</v>
      </c>
      <c r="B2" s="43" t="str">
        <f>'[2]I-805 NB'!H2</f>
        <v>I-805 NB</v>
      </c>
      <c r="C2" s="43">
        <f>'[2]I-805 NB'!E2</f>
        <v>685</v>
      </c>
      <c r="D2" s="188">
        <f>'[2]I-805 NB'!I2</f>
        <v>2</v>
      </c>
      <c r="E2" s="189">
        <f>'[2]I-805 NB'!J2</f>
        <v>0</v>
      </c>
      <c r="F2" s="189" t="str">
        <f>'[2]I-805 NB'!K2</f>
        <v>EAST SAN YSIDRO</v>
      </c>
      <c r="G2" s="189" t="str">
        <f>'[2]I-805 NB'!L2</f>
        <v>EAST SAN YSIDRO</v>
      </c>
      <c r="H2" s="51">
        <f>'[2]I-805 NB'!O2</f>
        <v>3303</v>
      </c>
      <c r="I2" s="43">
        <f>VLOOKUP(c_3[[#This Row],[hwycov_id]],readme!D:G,4,FALSE)</f>
        <v>4544.6948240000002</v>
      </c>
      <c r="J2" s="49">
        <f t="shared" ref="J2" si="0">I2/H2-1</f>
        <v>0.37592940478353021</v>
      </c>
      <c r="K2" s="188" t="str">
        <f>'[2]I-805 NB'!P2</f>
        <v>PeMS2016</v>
      </c>
      <c r="L2" s="89">
        <f t="shared" ref="L2" si="1">POWER((I2-H2),2)</f>
        <v>1541806.0359483913</v>
      </c>
    </row>
    <row r="3" spans="1:35" ht="15" customHeight="1" x14ac:dyDescent="0.25">
      <c r="A3" s="43">
        <f>'[2]I-805 NB'!C3</f>
        <v>3</v>
      </c>
      <c r="B3" s="43" t="str">
        <f>'[2]I-805 NB'!H3</f>
        <v>I-805 NB</v>
      </c>
      <c r="C3" s="43">
        <f>'[2]I-805 NB'!E3</f>
        <v>686</v>
      </c>
      <c r="D3" s="188">
        <f>'[2]I-805 NB'!I3</f>
        <v>3</v>
      </c>
      <c r="E3" s="189">
        <f>'[2]I-805 NB'!J3</f>
        <v>0</v>
      </c>
      <c r="F3" s="189" t="str">
        <f>'[2]I-805 NB'!K3</f>
        <v>EAST SAN YSIDRO</v>
      </c>
      <c r="G3" s="189" t="str">
        <f>'[2]I-805 NB'!L3</f>
        <v>SR-905 EB</v>
      </c>
      <c r="H3" s="51">
        <f>'[2]I-805 NB'!O3</f>
        <v>6647</v>
      </c>
      <c r="I3" s="43">
        <f>VLOOKUP(c_3[[#This Row],[hwycov_id]],readme!D:G,4,FALSE)</f>
        <v>6969.0131840000004</v>
      </c>
      <c r="J3" s="49">
        <f t="shared" ref="J3:J40" si="2">I3/H3-1</f>
        <v>4.8444890025575393E-2</v>
      </c>
      <c r="K3" s="188" t="str">
        <f>'[2]I-805 NB'!P3</f>
        <v>PeMS2016</v>
      </c>
      <c r="L3" s="89">
        <f t="shared" ref="L3:L40" si="3">POWER((I3-H3),2)</f>
        <v>103692.49066981809</v>
      </c>
    </row>
    <row r="4" spans="1:35" ht="15" customHeight="1" x14ac:dyDescent="0.25">
      <c r="A4" s="43">
        <f>'[2]I-805 NB'!C4</f>
        <v>3</v>
      </c>
      <c r="B4" s="43" t="str">
        <f>'[2]I-805 NB'!H4</f>
        <v>I-805 NB</v>
      </c>
      <c r="C4" s="43">
        <f>'[2]I-805 NB'!E4</f>
        <v>687</v>
      </c>
      <c r="D4" s="188">
        <f>'[2]I-805 NB'!I4</f>
        <v>7</v>
      </c>
      <c r="E4" s="189">
        <f>'[2]I-805 NB'!J4</f>
        <v>0</v>
      </c>
      <c r="F4" s="189" t="str">
        <f>'[2]I-805 NB'!K4</f>
        <v>SR-905 EB</v>
      </c>
      <c r="G4" s="189" t="str">
        <f>'[2]I-805 NB'!L4</f>
        <v>SR-905 WB</v>
      </c>
      <c r="H4" s="51">
        <f>'[2]I-805 NB'!O4</f>
        <v>10163</v>
      </c>
      <c r="I4" s="43">
        <f>VLOOKUP(c_3[[#This Row],[hwycov_id]],readme!D:G,4,FALSE)</f>
        <v>6142.1508789999998</v>
      </c>
      <c r="J4" s="49">
        <f t="shared" si="2"/>
        <v>-0.39563604457345269</v>
      </c>
      <c r="K4" s="188" t="str">
        <f>'[2]I-805 NB'!P4</f>
        <v>PeMS2016</v>
      </c>
      <c r="L4" s="89">
        <f t="shared" si="3"/>
        <v>16167227.653846474</v>
      </c>
    </row>
    <row r="5" spans="1:35" ht="15" customHeight="1" x14ac:dyDescent="0.25">
      <c r="A5" s="43">
        <f>'[2]I-805 NB'!C5</f>
        <v>3</v>
      </c>
      <c r="B5" s="43" t="str">
        <f>'[2]I-805 NB'!H5</f>
        <v>I-805 NB</v>
      </c>
      <c r="C5" s="43">
        <f>'[2]I-805 NB'!E5</f>
        <v>688</v>
      </c>
      <c r="D5" s="188">
        <f>'[2]I-805 NB'!I5</f>
        <v>8</v>
      </c>
      <c r="E5" s="189">
        <f>'[2]I-805 NB'!J5</f>
        <v>0</v>
      </c>
      <c r="F5" s="189">
        <f>'[2]I-805 NB'!K5</f>
        <v>0</v>
      </c>
      <c r="G5" s="189" t="str">
        <f>'[2]I-805 NB'!L5</f>
        <v>SR-905 WB</v>
      </c>
      <c r="H5" s="51">
        <f>'[2]I-805 NB'!O5</f>
        <v>15546</v>
      </c>
      <c r="I5" s="43">
        <f>VLOOKUP(c_3[[#This Row],[hwycov_id]],readme!D:G,4,FALSE)</f>
        <v>13926.9375</v>
      </c>
      <c r="J5" s="49">
        <f t="shared" si="2"/>
        <v>-0.10414656503280584</v>
      </c>
      <c r="K5" s="188" t="str">
        <f>'[2]I-805 NB'!P5</f>
        <v>PeMS2016</v>
      </c>
      <c r="L5" s="89">
        <f t="shared" si="3"/>
        <v>2621363.37890625</v>
      </c>
    </row>
    <row r="6" spans="1:35" ht="15" customHeight="1" x14ac:dyDescent="0.25">
      <c r="A6" s="43">
        <f>'[2]I-805 NB'!C6</f>
        <v>3</v>
      </c>
      <c r="B6" s="43" t="str">
        <f>'[2]I-805 NB'!H6</f>
        <v>I-805 NB</v>
      </c>
      <c r="C6" s="43">
        <f>'[2]I-805 NB'!E6</f>
        <v>689</v>
      </c>
      <c r="D6" s="188">
        <f>'[2]I-805 NB'!I6</f>
        <v>9</v>
      </c>
      <c r="E6" s="189">
        <f>'[2]I-805 NB'!J6</f>
        <v>0</v>
      </c>
      <c r="F6" s="189" t="str">
        <f>'[2]I-805 NB'!K6</f>
        <v>PALM</v>
      </c>
      <c r="G6" s="189" t="str">
        <f>'[2]I-805 NB'!L6</f>
        <v>PALM</v>
      </c>
      <c r="H6" s="51">
        <f>'[2]I-805 NB'!O6</f>
        <v>12495</v>
      </c>
      <c r="I6" s="43">
        <f>VLOOKUP(c_3[[#This Row],[hwycov_id]],readme!D:G,4,FALSE)</f>
        <v>12750.075194999999</v>
      </c>
      <c r="J6" s="49">
        <f t="shared" si="2"/>
        <v>2.0414181272508936E-2</v>
      </c>
      <c r="K6" s="188" t="str">
        <f>'[2]I-805 NB'!P6</f>
        <v>PeMS2016</v>
      </c>
      <c r="L6" s="89">
        <f t="shared" si="3"/>
        <v>65063.355104287737</v>
      </c>
    </row>
    <row r="7" spans="1:35" ht="15" customHeight="1" x14ac:dyDescent="0.25">
      <c r="A7" s="43">
        <f>'[2]I-805 NB'!C7</f>
        <v>3</v>
      </c>
      <c r="B7" s="43" t="str">
        <f>'[2]I-805 NB'!H7</f>
        <v>I-805 NB</v>
      </c>
      <c r="C7" s="43">
        <f>'[2]I-805 NB'!E7</f>
        <v>16183</v>
      </c>
      <c r="D7" s="188">
        <f>'[2]I-805 NB'!I7</f>
        <v>12</v>
      </c>
      <c r="E7" s="189">
        <f>'[2]I-805 NB'!J7</f>
        <v>0</v>
      </c>
      <c r="F7" s="189" t="str">
        <f>'[2]I-805 NB'!K7</f>
        <v>OTAY VALLEY</v>
      </c>
      <c r="G7" s="189" t="str">
        <f>'[2]I-805 NB'!L7</f>
        <v>OTAY VALLEY</v>
      </c>
      <c r="H7" s="51">
        <f>'[2]I-805 NB'!O7</f>
        <v>16031</v>
      </c>
      <c r="I7" s="43">
        <f>VLOOKUP(c_3[[#This Row],[hwycov_id]],readme!D:G,4,FALSE)</f>
        <v>15686.220703000001</v>
      </c>
      <c r="J7" s="49">
        <f t="shared" si="2"/>
        <v>-2.1507036179901351E-2</v>
      </c>
      <c r="K7" s="188" t="str">
        <f>'[2]I-805 NB'!P7</f>
        <v>PeMS2016</v>
      </c>
      <c r="L7" s="89">
        <f t="shared" si="3"/>
        <v>118872.76363981361</v>
      </c>
    </row>
    <row r="8" spans="1:35" ht="15" customHeight="1" x14ac:dyDescent="0.25">
      <c r="A8" s="43">
        <f>'[2]I-805 NB'!C8</f>
        <v>3</v>
      </c>
      <c r="B8" s="43" t="str">
        <f>'[2]I-805 NB'!H8</f>
        <v>I-805 NB</v>
      </c>
      <c r="C8" s="43">
        <f>'[2]I-805 NB'!E8</f>
        <v>699</v>
      </c>
      <c r="D8" s="188">
        <f>'[2]I-805 NB'!I8</f>
        <v>14</v>
      </c>
      <c r="E8" s="189">
        <f>'[2]I-805 NB'!J8</f>
        <v>0</v>
      </c>
      <c r="F8" s="189" t="str">
        <f>'[2]I-805 NB'!K8</f>
        <v>ORANGE</v>
      </c>
      <c r="G8" s="189" t="str">
        <f>'[2]I-805 NB'!L8</f>
        <v>ORANGE</v>
      </c>
      <c r="H8" s="51">
        <f>'[2]I-805 NB'!O8</f>
        <v>15375</v>
      </c>
      <c r="I8" s="43">
        <f>VLOOKUP(c_3[[#This Row],[hwycov_id]],readme!D:G,4,FALSE)</f>
        <v>15148.833984000001</v>
      </c>
      <c r="J8" s="49">
        <f t="shared" si="2"/>
        <v>-1.4709984780487795E-2</v>
      </c>
      <c r="K8" s="188" t="str">
        <f>'[2]I-805 NB'!P8</f>
        <v>PeMS2016</v>
      </c>
      <c r="L8" s="89">
        <f t="shared" si="3"/>
        <v>51151.066793311904</v>
      </c>
    </row>
    <row r="9" spans="1:35" ht="15" customHeight="1" x14ac:dyDescent="0.25">
      <c r="A9" s="43">
        <f>'[2]I-805 NB'!C9</f>
        <v>3</v>
      </c>
      <c r="B9" s="43" t="str">
        <f>'[2]I-805 NB'!H9</f>
        <v>I-805 NB</v>
      </c>
      <c r="C9" s="43">
        <f>'[2]I-805 NB'!E9</f>
        <v>702</v>
      </c>
      <c r="D9" s="188">
        <f>'[2]I-805 NB'!I9</f>
        <v>17</v>
      </c>
      <c r="E9" s="189">
        <f>'[2]I-805 NB'!J9</f>
        <v>0</v>
      </c>
      <c r="F9" s="189" t="str">
        <f>'[2]I-805 NB'!K9</f>
        <v>PALOMAR</v>
      </c>
      <c r="G9" s="189" t="str">
        <f>'[2]I-805 NB'!L9</f>
        <v>TELEGRAPH CANYON</v>
      </c>
      <c r="H9" s="51">
        <f>'[2]I-805 NB'!O9</f>
        <v>17130</v>
      </c>
      <c r="I9" s="43">
        <f>VLOOKUP(c_3[[#This Row],[hwycov_id]],readme!D:G,4,FALSE)</f>
        <v>17950.041015999999</v>
      </c>
      <c r="J9" s="49">
        <f t="shared" si="2"/>
        <v>4.787162965557501E-2</v>
      </c>
      <c r="K9" s="188" t="str">
        <f>'[2]I-805 NB'!P9</f>
        <v>PeMS2016</v>
      </c>
      <c r="L9" s="89">
        <f t="shared" si="3"/>
        <v>672467.26792231097</v>
      </c>
    </row>
    <row r="10" spans="1:35" ht="15" customHeight="1" x14ac:dyDescent="0.25">
      <c r="A10" s="43">
        <f>'[2]I-805 NB'!C10</f>
        <v>3</v>
      </c>
      <c r="B10" s="43" t="str">
        <f>'[2]I-805 NB'!H10</f>
        <v>I-805 NB</v>
      </c>
      <c r="C10" s="43">
        <f>'[2]I-805 NB'!E10</f>
        <v>22146</v>
      </c>
      <c r="D10" s="188">
        <f>'[2]I-805 NB'!I10</f>
        <v>22</v>
      </c>
      <c r="E10" s="189">
        <f>'[2]I-805 NB'!J10</f>
        <v>0</v>
      </c>
      <c r="F10" s="189" t="str">
        <f>'[2]I-805 NB'!K10</f>
        <v>H</v>
      </c>
      <c r="G10" s="189" t="str">
        <f>'[2]I-805 NB'!L10</f>
        <v>H</v>
      </c>
      <c r="H10" s="51">
        <f>'[2]I-805 NB'!O10</f>
        <v>13565</v>
      </c>
      <c r="I10" s="43">
        <f>VLOOKUP(c_3[[#This Row],[hwycov_id]],readme!D:G,4,FALSE)</f>
        <v>17710.476562</v>
      </c>
      <c r="J10" s="49">
        <f t="shared" si="2"/>
        <v>0.30560092605971256</v>
      </c>
      <c r="K10" s="188" t="str">
        <f>'[2]I-805 NB'!P10</f>
        <v>PeMS2016</v>
      </c>
      <c r="L10" s="89">
        <f t="shared" si="3"/>
        <v>17184975.926091339</v>
      </c>
    </row>
    <row r="11" spans="1:35" ht="15" customHeight="1" x14ac:dyDescent="0.25">
      <c r="A11" s="43">
        <f>'[2]I-805 NB'!C11</f>
        <v>3</v>
      </c>
      <c r="B11" s="43" t="str">
        <f>'[2]I-805 NB'!H11</f>
        <v>I-805 NB</v>
      </c>
      <c r="C11" s="43">
        <f>'[2]I-805 NB'!E11</f>
        <v>705</v>
      </c>
      <c r="D11" s="188">
        <f>'[2]I-805 NB'!I11</f>
        <v>25</v>
      </c>
      <c r="E11" s="189">
        <f>'[2]I-805 NB'!J11</f>
        <v>0</v>
      </c>
      <c r="F11" s="189" t="str">
        <f>'[2]I-805 NB'!K11</f>
        <v>H</v>
      </c>
      <c r="G11" s="189" t="str">
        <f>'[2]I-805 NB'!L11</f>
        <v>BONITA</v>
      </c>
      <c r="H11" s="51">
        <f>'[2]I-805 NB'!O11</f>
        <v>21748</v>
      </c>
      <c r="I11" s="43">
        <f>VLOOKUP(c_3[[#This Row],[hwycov_id]],readme!D:G,4,FALSE)</f>
        <v>22324.302734000001</v>
      </c>
      <c r="J11" s="49">
        <f t="shared" si="2"/>
        <v>2.6499114125436929E-2</v>
      </c>
      <c r="K11" s="188" t="str">
        <f>'[2]I-805 NB'!P11</f>
        <v>PeMS2016</v>
      </c>
      <c r="L11" s="89">
        <f t="shared" si="3"/>
        <v>332124.84121587564</v>
      </c>
    </row>
    <row r="12" spans="1:35" ht="15" customHeight="1" x14ac:dyDescent="0.25">
      <c r="A12" s="43">
        <f>'[2]I-805 NB'!C12</f>
        <v>3</v>
      </c>
      <c r="B12" s="43" t="str">
        <f>'[2]I-805 NB'!H12</f>
        <v>I-805 NB</v>
      </c>
      <c r="C12" s="43">
        <f>'[2]I-805 NB'!E12</f>
        <v>706</v>
      </c>
      <c r="D12" s="188">
        <f>'[2]I-805 NB'!I12</f>
        <v>27</v>
      </c>
      <c r="E12" s="189">
        <f>'[2]I-805 NB'!J12</f>
        <v>0</v>
      </c>
      <c r="F12" s="189" t="str">
        <f>'[2]I-805 NB'!K12</f>
        <v>BONITA</v>
      </c>
      <c r="G12" s="189" t="str">
        <f>'[2]I-805 NB'!L12</f>
        <v>SR-54 EB</v>
      </c>
      <c r="H12" s="51">
        <f>'[2]I-805 NB'!O12</f>
        <v>24359</v>
      </c>
      <c r="I12" s="43">
        <f>VLOOKUP(c_3[[#This Row],[hwycov_id]],readme!D:G,4,FALSE)</f>
        <v>24022.767577999999</v>
      </c>
      <c r="J12" s="49">
        <f t="shared" si="2"/>
        <v>-1.3803211215567157E-2</v>
      </c>
      <c r="K12" s="188" t="str">
        <f>'[2]I-805 NB'!P12</f>
        <v>Caltran</v>
      </c>
      <c r="L12" s="89">
        <f t="shared" si="3"/>
        <v>113052.24160398672</v>
      </c>
    </row>
    <row r="13" spans="1:35" ht="15" customHeight="1" x14ac:dyDescent="0.25">
      <c r="A13" s="43">
        <f>'[2]I-805 NB'!C13</f>
        <v>3</v>
      </c>
      <c r="B13" s="43" t="str">
        <f>'[2]I-805 NB'!H13</f>
        <v>I-805 NB</v>
      </c>
      <c r="C13" s="43">
        <f>'[2]I-805 NB'!E13</f>
        <v>708</v>
      </c>
      <c r="D13" s="188">
        <f>'[2]I-805 NB'!I13</f>
        <v>30</v>
      </c>
      <c r="E13" s="189">
        <f>'[2]I-805 NB'!J13</f>
        <v>0</v>
      </c>
      <c r="F13" s="189" t="str">
        <f>'[2]I-805 NB'!K13</f>
        <v>SWEETWATER</v>
      </c>
      <c r="G13" s="189" t="str">
        <f>'[2]I-805 NB'!L13</f>
        <v>SWEETWATER</v>
      </c>
      <c r="H13" s="51">
        <f>'[2]I-805 NB'!O13</f>
        <v>13364</v>
      </c>
      <c r="I13" s="43">
        <f>VLOOKUP(c_3[[#This Row],[hwycov_id]],readme!D:G,4,FALSE)</f>
        <v>15648.295898</v>
      </c>
      <c r="J13" s="49">
        <f t="shared" si="2"/>
        <v>0.17092905552229865</v>
      </c>
      <c r="K13" s="188" t="str">
        <f>'[2]I-805 NB'!P13</f>
        <v>PeMS2016</v>
      </c>
      <c r="L13" s="89">
        <f t="shared" si="3"/>
        <v>5218007.7496196274</v>
      </c>
    </row>
    <row r="14" spans="1:35" ht="15" customHeight="1" x14ac:dyDescent="0.25">
      <c r="A14" s="43">
        <f>'[2]I-805 NB'!C14</f>
        <v>3</v>
      </c>
      <c r="B14" s="43" t="str">
        <f>'[2]I-805 NB'!H14</f>
        <v>I-805 NB</v>
      </c>
      <c r="C14" s="43">
        <f>'[2]I-805 NB'!E14</f>
        <v>20741</v>
      </c>
      <c r="D14" s="188">
        <f>'[2]I-805 NB'!I14</f>
        <v>32</v>
      </c>
      <c r="E14" s="189">
        <f>'[2]I-805 NB'!J14</f>
        <v>0</v>
      </c>
      <c r="F14" s="189" t="str">
        <f>'[2]I-805 NB'!K14</f>
        <v>SR-54 WB</v>
      </c>
      <c r="G14" s="189" t="str">
        <f>'[2]I-805 NB'!L14</f>
        <v>PLAZA</v>
      </c>
      <c r="H14" s="51">
        <f>'[2]I-805 NB'!O14</f>
        <v>19548</v>
      </c>
      <c r="I14" s="43">
        <f>VLOOKUP(c_3[[#This Row],[hwycov_id]],readme!D:G,4,FALSE)</f>
        <v>23349.59375</v>
      </c>
      <c r="J14" s="49">
        <f t="shared" si="2"/>
        <v>0.19447481839574388</v>
      </c>
      <c r="K14" s="188" t="str">
        <f>'[2]I-805 NB'!P14</f>
        <v>PeMS2016</v>
      </c>
      <c r="L14" s="89">
        <f t="shared" si="3"/>
        <v>14452115.040039063</v>
      </c>
    </row>
    <row r="15" spans="1:35" ht="15" customHeight="1" x14ac:dyDescent="0.25">
      <c r="A15" s="43">
        <f>'[2]I-805 NB'!C15</f>
        <v>3</v>
      </c>
      <c r="B15" s="43" t="str">
        <f>'[2]I-805 NB'!H15</f>
        <v>I-805 NB</v>
      </c>
      <c r="C15" s="43">
        <f>'[2]I-805 NB'!E15</f>
        <v>20743</v>
      </c>
      <c r="D15" s="188">
        <f>'[2]I-805 NB'!I15</f>
        <v>33</v>
      </c>
      <c r="E15" s="189">
        <f>'[2]I-805 NB'!J15</f>
        <v>0</v>
      </c>
      <c r="F15" s="189" t="str">
        <f>'[2]I-805 NB'!K15</f>
        <v>PLAZA</v>
      </c>
      <c r="G15" s="189" t="str">
        <f>'[2]I-805 NB'!L15</f>
        <v>PLAZA</v>
      </c>
      <c r="H15" s="51">
        <f>'[2]I-805 NB'!O15</f>
        <v>17603</v>
      </c>
      <c r="I15" s="43">
        <f>VLOOKUP(c_3[[#This Row],[hwycov_id]],readme!D:G,4,FALSE)</f>
        <v>20558.769531000002</v>
      </c>
      <c r="J15" s="49">
        <f t="shared" si="2"/>
        <v>0.16791282912003647</v>
      </c>
      <c r="K15" s="188" t="str">
        <f>'[2]I-805 NB'!P15</f>
        <v>PeMS2016</v>
      </c>
      <c r="L15" s="89">
        <f t="shared" si="3"/>
        <v>8736573.5203879699</v>
      </c>
    </row>
    <row r="16" spans="1:35" ht="15" customHeight="1" x14ac:dyDescent="0.25">
      <c r="A16" s="43">
        <f>'[2]I-805 NB'!C16</f>
        <v>3</v>
      </c>
      <c r="B16" s="43" t="str">
        <f>'[2]I-805 NB'!H16</f>
        <v>I-805 NB</v>
      </c>
      <c r="C16" s="43">
        <f>'[2]I-805 NB'!E16</f>
        <v>716</v>
      </c>
      <c r="D16" s="188">
        <f>'[2]I-805 NB'!I16</f>
        <v>34</v>
      </c>
      <c r="E16" s="189">
        <f>'[2]I-805 NB'!J16</f>
        <v>0</v>
      </c>
      <c r="F16" s="189" t="str">
        <f>'[2]I-805 NB'!K16</f>
        <v>PLAZA</v>
      </c>
      <c r="G16" s="189" t="str">
        <f>'[2]I-805 NB'!L16</f>
        <v>43RD</v>
      </c>
      <c r="H16" s="51">
        <f>'[2]I-805 NB'!O16</f>
        <v>23486</v>
      </c>
      <c r="I16" s="43">
        <f>VLOOKUP(c_3[[#This Row],[hwycov_id]],readme!D:G,4,FALSE)</f>
        <v>22947.023438</v>
      </c>
      <c r="J16" s="49">
        <f t="shared" si="2"/>
        <v>-2.294884450310819E-2</v>
      </c>
      <c r="K16" s="188" t="str">
        <f>'[2]I-805 NB'!P16</f>
        <v>Caltran</v>
      </c>
      <c r="L16" s="89">
        <f t="shared" si="3"/>
        <v>290495.73438533966</v>
      </c>
    </row>
    <row r="17" spans="1:12" ht="15" customHeight="1" x14ac:dyDescent="0.25">
      <c r="A17" s="43">
        <f>'[2]I-805 NB'!C17</f>
        <v>3</v>
      </c>
      <c r="B17" s="43" t="str">
        <f>'[2]I-805 NB'!H17</f>
        <v>I-805 NB</v>
      </c>
      <c r="C17" s="43">
        <f>'[2]I-805 NB'!E17</f>
        <v>717</v>
      </c>
      <c r="D17" s="188">
        <f>'[2]I-805 NB'!I17</f>
        <v>35</v>
      </c>
      <c r="E17" s="189">
        <f>'[2]I-805 NB'!J17</f>
        <v>0</v>
      </c>
      <c r="F17" s="189" t="str">
        <f>'[2]I-805 NB'!K17</f>
        <v>43RD</v>
      </c>
      <c r="G17" s="189" t="str">
        <f>'[2]I-805 NB'!L17</f>
        <v>47TH</v>
      </c>
      <c r="H17" s="51">
        <f>'[2]I-805 NB'!O17</f>
        <v>20143</v>
      </c>
      <c r="I17" s="43">
        <f>VLOOKUP(c_3[[#This Row],[hwycov_id]],readme!D:G,4,FALSE)</f>
        <v>22242.964843999998</v>
      </c>
      <c r="J17" s="49">
        <f t="shared" si="2"/>
        <v>0.10425283443379829</v>
      </c>
      <c r="K17" s="188" t="str">
        <f>'[2]I-805 NB'!P17</f>
        <v>PeMS2016</v>
      </c>
      <c r="L17" s="89">
        <f t="shared" si="3"/>
        <v>4409852.3460359368</v>
      </c>
    </row>
    <row r="18" spans="1:12" ht="15" customHeight="1" x14ac:dyDescent="0.25">
      <c r="A18" s="43">
        <f>'[2]I-805 NB'!C18</f>
        <v>3</v>
      </c>
      <c r="B18" s="43" t="str">
        <f>'[2]I-805 NB'!H18</f>
        <v>I-805 NB</v>
      </c>
      <c r="C18" s="43">
        <f>'[2]I-805 NB'!E18</f>
        <v>20747</v>
      </c>
      <c r="D18" s="188">
        <f>'[2]I-805 NB'!I18</f>
        <v>37</v>
      </c>
      <c r="E18" s="189">
        <f>'[2]I-805 NB'!J18</f>
        <v>0</v>
      </c>
      <c r="F18" s="189" t="str">
        <f>'[2]I-805 NB'!K18</f>
        <v>47TH</v>
      </c>
      <c r="G18" s="189" t="str">
        <f>'[2]I-805 NB'!L18</f>
        <v>47TH</v>
      </c>
      <c r="H18" s="51">
        <f>'[2]I-805 NB'!O18</f>
        <v>14457</v>
      </c>
      <c r="I18" s="43">
        <f>VLOOKUP(c_3[[#This Row],[hwycov_id]],readme!D:G,4,FALSE)</f>
        <v>20713.548827999999</v>
      </c>
      <c r="J18" s="49">
        <f t="shared" si="2"/>
        <v>0.43276951151691212</v>
      </c>
      <c r="K18" s="188" t="str">
        <f>'[2]I-805 NB'!P18</f>
        <v>PeMS2016</v>
      </c>
      <c r="L18" s="89">
        <f t="shared" si="3"/>
        <v>39144403.237148158</v>
      </c>
    </row>
    <row r="19" spans="1:12" ht="15" customHeight="1" x14ac:dyDescent="0.25">
      <c r="A19" s="43">
        <f>'[2]I-805 NB'!C19</f>
        <v>3</v>
      </c>
      <c r="B19" s="43" t="str">
        <f>'[2]I-805 NB'!H19</f>
        <v>I-805 NB</v>
      </c>
      <c r="C19" s="43">
        <f>'[2]I-805 NB'!E19</f>
        <v>726</v>
      </c>
      <c r="D19" s="188">
        <f>'[2]I-805 NB'!I19</f>
        <v>40</v>
      </c>
      <c r="E19" s="189">
        <f>'[2]I-805 NB'!J19</f>
        <v>0</v>
      </c>
      <c r="F19" s="189" t="str">
        <f>'[2]I-805 NB'!K19</f>
        <v>IMPERIAL</v>
      </c>
      <c r="G19" s="189" t="str">
        <f>'[2]I-805 NB'!L19</f>
        <v>IMPERIAL</v>
      </c>
      <c r="H19" s="51">
        <f>'[2]I-805 NB'!O19</f>
        <v>18438</v>
      </c>
      <c r="I19" s="43">
        <f>VLOOKUP(c_3[[#This Row],[hwycov_id]],readme!D:G,4,FALSE)</f>
        <v>22874.732422000001</v>
      </c>
      <c r="J19" s="49">
        <f t="shared" si="2"/>
        <v>0.24062980919839472</v>
      </c>
      <c r="K19" s="188" t="str">
        <f>'[2]I-805 NB'!P19</f>
        <v>PeMS2016</v>
      </c>
      <c r="L19" s="89">
        <f t="shared" si="3"/>
        <v>19684594.584425993</v>
      </c>
    </row>
    <row r="20" spans="1:12" ht="15" customHeight="1" x14ac:dyDescent="0.25">
      <c r="A20" s="43">
        <f>'[2]I-805 NB'!C20</f>
        <v>3</v>
      </c>
      <c r="B20" s="43" t="str">
        <f>'[2]I-805 NB'!H20</f>
        <v>I-805 NB</v>
      </c>
      <c r="C20" s="43">
        <f>'[2]I-805 NB'!E20</f>
        <v>728</v>
      </c>
      <c r="D20" s="188">
        <f>'[2]I-805 NB'!I20</f>
        <v>42</v>
      </c>
      <c r="E20" s="189">
        <f>'[2]I-805 NB'!J20</f>
        <v>0</v>
      </c>
      <c r="F20" s="189" t="str">
        <f>'[2]I-805 NB'!K20</f>
        <v>MARKET</v>
      </c>
      <c r="G20" s="189" t="str">
        <f>'[2]I-805 NB'!L20</f>
        <v>SR-94 WB</v>
      </c>
      <c r="H20" s="51">
        <f>'[2]I-805 NB'!O20</f>
        <v>22257</v>
      </c>
      <c r="I20" s="43">
        <f>VLOOKUP(c_3[[#This Row],[hwycov_id]],readme!D:G,4,FALSE)</f>
        <v>23706.666015999999</v>
      </c>
      <c r="J20" s="49">
        <f t="shared" si="2"/>
        <v>6.5133037516287073E-2</v>
      </c>
      <c r="K20" s="188" t="str">
        <f>'[2]I-805 NB'!P20</f>
        <v>Caltran</v>
      </c>
      <c r="L20" s="89">
        <f t="shared" si="3"/>
        <v>2101531.5579453101</v>
      </c>
    </row>
    <row r="21" spans="1:12" ht="15" customHeight="1" x14ac:dyDescent="0.25">
      <c r="A21" s="43">
        <f>'[2]I-805 NB'!C21</f>
        <v>3</v>
      </c>
      <c r="B21" s="43" t="str">
        <f>'[2]I-805 NB'!H21</f>
        <v>I-805 NB</v>
      </c>
      <c r="C21" s="43">
        <f>'[2]I-805 NB'!E21</f>
        <v>3206</v>
      </c>
      <c r="D21" s="188">
        <f>'[2]I-805 NB'!I21</f>
        <v>43</v>
      </c>
      <c r="E21" s="189">
        <f>'[2]I-805 NB'!J21</f>
        <v>0</v>
      </c>
      <c r="F21" s="189" t="str">
        <f>'[2]I-805 NB'!K21</f>
        <v>SR-94 WB</v>
      </c>
      <c r="G21" s="189" t="str">
        <f>'[2]I-805 NB'!L21</f>
        <v>MARKET</v>
      </c>
      <c r="H21" s="51">
        <f>'[2]I-805 NB'!O21</f>
        <v>16682</v>
      </c>
      <c r="I21" s="43">
        <f>VLOOKUP(c_3[[#This Row],[hwycov_id]],readme!D:G,4,FALSE)</f>
        <v>18735.220702999999</v>
      </c>
      <c r="J21" s="49">
        <f t="shared" si="2"/>
        <v>0.12308000857211354</v>
      </c>
      <c r="K21" s="188" t="str">
        <f>'[2]I-805 NB'!P21</f>
        <v>PeMS2016</v>
      </c>
      <c r="L21" s="89">
        <f t="shared" si="3"/>
        <v>4215715.2552278107</v>
      </c>
    </row>
    <row r="22" spans="1:12" ht="15" customHeight="1" x14ac:dyDescent="0.25">
      <c r="A22" s="43">
        <f>'[2]I-805 NB'!C22</f>
        <v>3</v>
      </c>
      <c r="B22" s="43" t="str">
        <f>'[2]I-805 NB'!H22</f>
        <v>I-805 NB</v>
      </c>
      <c r="C22" s="43">
        <f>'[2]I-805 NB'!E22</f>
        <v>733</v>
      </c>
      <c r="D22" s="188">
        <f>'[2]I-805 NB'!I22</f>
        <v>46</v>
      </c>
      <c r="E22" s="189">
        <f>'[2]I-805 NB'!J22</f>
        <v>0</v>
      </c>
      <c r="F22" s="189" t="str">
        <f>'[2]I-805 NB'!K22</f>
        <v>SR-94 WB</v>
      </c>
      <c r="G22" s="189" t="str">
        <f>'[2]I-805 NB'!L22</f>
        <v>HOME</v>
      </c>
      <c r="H22" s="51">
        <f>'[2]I-805 NB'!O22</f>
        <v>16337</v>
      </c>
      <c r="I22" s="43">
        <f>VLOOKUP(c_3[[#This Row],[hwycov_id]],readme!D:G,4,FALSE)</f>
        <v>18197.052734000001</v>
      </c>
      <c r="J22" s="49">
        <f t="shared" si="2"/>
        <v>0.11385522029748429</v>
      </c>
      <c r="K22" s="188" t="str">
        <f>'[2]I-805 NB'!P22</f>
        <v>PeMS2016</v>
      </c>
      <c r="L22" s="89">
        <f t="shared" si="3"/>
        <v>3459796.1732608778</v>
      </c>
    </row>
    <row r="23" spans="1:12" ht="15" customHeight="1" x14ac:dyDescent="0.25">
      <c r="A23" s="43">
        <f>'[2]I-805 NB'!C23</f>
        <v>3</v>
      </c>
      <c r="B23" s="43" t="str">
        <f>'[2]I-805 NB'!H23</f>
        <v>I-805 NB</v>
      </c>
      <c r="C23" s="43">
        <f>'[2]I-805 NB'!E23</f>
        <v>20749</v>
      </c>
      <c r="D23" s="188">
        <f>'[2]I-805 NB'!I23</f>
        <v>47</v>
      </c>
      <c r="E23" s="189">
        <f>'[2]I-805 NB'!J23</f>
        <v>0</v>
      </c>
      <c r="F23" s="189" t="str">
        <f>'[2]I-805 NB'!K23</f>
        <v>HOME</v>
      </c>
      <c r="G23" s="189" t="str">
        <f>'[2]I-805 NB'!L23</f>
        <v>SR-15 NB</v>
      </c>
      <c r="H23" s="51">
        <f>'[2]I-805 NB'!O23</f>
        <v>22990</v>
      </c>
      <c r="I23" s="43">
        <f>VLOOKUP(c_3[[#This Row],[hwycov_id]],readme!D:G,4,FALSE)</f>
        <v>25049.494140999999</v>
      </c>
      <c r="J23" s="49">
        <f t="shared" si="2"/>
        <v>8.9582172292300921E-2</v>
      </c>
      <c r="K23" s="188" t="str">
        <f>'[2]I-805 NB'!P23</f>
        <v>PeMS2016</v>
      </c>
      <c r="L23" s="89">
        <f t="shared" si="3"/>
        <v>4241516.1168133244</v>
      </c>
    </row>
    <row r="24" spans="1:12" ht="15" customHeight="1" x14ac:dyDescent="0.25">
      <c r="A24" s="43">
        <f>'[2]I-805 NB'!C24</f>
        <v>3</v>
      </c>
      <c r="B24" s="43" t="str">
        <f>'[2]I-805 NB'!H24</f>
        <v>I-805 NB</v>
      </c>
      <c r="C24" s="43">
        <f>'[2]I-805 NB'!E24</f>
        <v>15870</v>
      </c>
      <c r="D24" s="188">
        <f>'[2]I-805 NB'!I24</f>
        <v>48</v>
      </c>
      <c r="E24" s="189">
        <f>'[2]I-805 NB'!J24</f>
        <v>0</v>
      </c>
      <c r="F24" s="189" t="str">
        <f>'[2]I-805 NB'!K24</f>
        <v>SR-15 NB</v>
      </c>
      <c r="G24" s="189" t="str">
        <f>'[2]I-805 NB'!L24</f>
        <v>SR-15 NB</v>
      </c>
      <c r="H24" s="51">
        <f>'[2]I-805 NB'!O24</f>
        <v>13736</v>
      </c>
      <c r="I24" s="43">
        <f>VLOOKUP(c_3[[#This Row],[hwycov_id]],readme!D:G,4,FALSE)</f>
        <v>14083.180664</v>
      </c>
      <c r="J24" s="49">
        <f t="shared" si="2"/>
        <v>2.5275237623762381E-2</v>
      </c>
      <c r="K24" s="188" t="str">
        <f>'[2]I-805 NB'!P24</f>
        <v>PeMS2016</v>
      </c>
      <c r="L24" s="89">
        <f t="shared" si="3"/>
        <v>120534.41345548056</v>
      </c>
    </row>
    <row r="25" spans="1:12" ht="15" customHeight="1" x14ac:dyDescent="0.25">
      <c r="A25" s="43">
        <f>'[2]I-805 NB'!C25</f>
        <v>3</v>
      </c>
      <c r="B25" s="43" t="str">
        <f>'[2]I-805 NB'!H25</f>
        <v>I-805 NB</v>
      </c>
      <c r="C25" s="43">
        <f>'[2]I-805 NB'!E25</f>
        <v>738</v>
      </c>
      <c r="D25" s="188">
        <f>'[2]I-805 NB'!I25</f>
        <v>49</v>
      </c>
      <c r="E25" s="189">
        <f>'[2]I-805 NB'!J25</f>
        <v>0</v>
      </c>
      <c r="F25" s="189" t="str">
        <f>'[2]I-805 NB'!K25</f>
        <v>SR-15 NB</v>
      </c>
      <c r="G25" s="189" t="str">
        <f>'[2]I-805 NB'!L25</f>
        <v>SR-15 NB</v>
      </c>
      <c r="H25" s="51">
        <f>'[2]I-805 NB'!O25</f>
        <v>13944</v>
      </c>
      <c r="I25" s="43">
        <f>VLOOKUP(c_3[[#This Row],[hwycov_id]],readme!D:G,4,FALSE)</f>
        <v>14083.180664</v>
      </c>
      <c r="J25" s="49">
        <f t="shared" si="2"/>
        <v>9.9814016064256883E-3</v>
      </c>
      <c r="K25" s="188" t="str">
        <f>'[2]I-805 NB'!P25</f>
        <v>PeMS2016</v>
      </c>
      <c r="L25" s="89">
        <f t="shared" si="3"/>
        <v>19371.257231480762</v>
      </c>
    </row>
    <row r="26" spans="1:12" ht="15" customHeight="1" x14ac:dyDescent="0.25">
      <c r="A26" s="43">
        <f>'[2]I-805 NB'!C26</f>
        <v>3</v>
      </c>
      <c r="B26" s="43" t="str">
        <f>'[2]I-805 NB'!H26</f>
        <v>I-805 NB</v>
      </c>
      <c r="C26" s="43">
        <f>'[2]I-805 NB'!E26</f>
        <v>744</v>
      </c>
      <c r="D26" s="188">
        <f>'[2]I-805 NB'!I26</f>
        <v>51</v>
      </c>
      <c r="E26" s="189">
        <f>'[2]I-805 NB'!J26</f>
        <v>0</v>
      </c>
      <c r="F26" s="189" t="str">
        <f>'[2]I-805 NB'!K26</f>
        <v>UNIVERSITY</v>
      </c>
      <c r="G26" s="189" t="str">
        <f>'[2]I-805 NB'!L26</f>
        <v>UNIVERSITY</v>
      </c>
      <c r="H26" s="51">
        <f>'[2]I-805 NB'!O26</f>
        <v>15765</v>
      </c>
      <c r="I26" s="43">
        <f>VLOOKUP(c_3[[#This Row],[hwycov_id]],readme!D:G,4,FALSE)</f>
        <v>16937.144531000002</v>
      </c>
      <c r="J26" s="49">
        <f t="shared" si="2"/>
        <v>7.4351064446559034E-2</v>
      </c>
      <c r="K26" s="188" t="str">
        <f>'[2]I-805 NB'!P26</f>
        <v>PeMS2016</v>
      </c>
      <c r="L26" s="89">
        <f t="shared" si="3"/>
        <v>1373922.801553214</v>
      </c>
    </row>
    <row r="27" spans="1:12" ht="15" customHeight="1" x14ac:dyDescent="0.25">
      <c r="A27" s="43">
        <f>'[2]I-805 NB'!C27</f>
        <v>3</v>
      </c>
      <c r="B27" s="43" t="str">
        <f>'[2]I-805 NB'!H27</f>
        <v>I-805 NB</v>
      </c>
      <c r="C27" s="43">
        <f>'[2]I-805 NB'!E27</f>
        <v>746</v>
      </c>
      <c r="D27" s="188">
        <f>'[2]I-805 NB'!I27</f>
        <v>52</v>
      </c>
      <c r="E27" s="189">
        <f>'[2]I-805 NB'!J27</f>
        <v>0</v>
      </c>
      <c r="F27" s="189" t="str">
        <f>'[2]I-805 NB'!K27</f>
        <v>UNIVERSITY</v>
      </c>
      <c r="G27" s="189" t="str">
        <f>'[2]I-805 NB'!L27</f>
        <v>EL CAJON</v>
      </c>
      <c r="H27" s="51">
        <f>'[2]I-805 NB'!O27</f>
        <v>18283</v>
      </c>
      <c r="I27" s="43">
        <f>VLOOKUP(c_3[[#This Row],[hwycov_id]],readme!D:G,4,FALSE)</f>
        <v>18960.5625</v>
      </c>
      <c r="J27" s="49">
        <f t="shared" si="2"/>
        <v>3.7059700268008422E-2</v>
      </c>
      <c r="K27" s="188" t="str">
        <f>'[2]I-805 NB'!P27</f>
        <v>PeMS2016</v>
      </c>
      <c r="L27" s="89">
        <f t="shared" si="3"/>
        <v>459090.94140625</v>
      </c>
    </row>
    <row r="28" spans="1:12" x14ac:dyDescent="0.25">
      <c r="A28" s="43">
        <f>'[2]I-805 NB'!C28</f>
        <v>3</v>
      </c>
      <c r="B28" s="43" t="str">
        <f>'[2]I-805 NB'!H28</f>
        <v>I-805 NB</v>
      </c>
      <c r="C28" s="43">
        <f>'[2]I-805 NB'!E28</f>
        <v>20755</v>
      </c>
      <c r="D28" s="188">
        <f>'[2]I-805 NB'!I28</f>
        <v>56</v>
      </c>
      <c r="E28" s="189">
        <f>'[2]I-805 NB'!J28</f>
        <v>0</v>
      </c>
      <c r="F28" s="189" t="str">
        <f>'[2]I-805 NB'!K28</f>
        <v>I-8 EB</v>
      </c>
      <c r="G28" s="189" t="str">
        <f>'[2]I-805 NB'!L28</f>
        <v>I-8 WB</v>
      </c>
      <c r="H28" s="51">
        <f>'[2]I-805 NB'!O28</f>
        <v>12241</v>
      </c>
      <c r="I28" s="43">
        <f>VLOOKUP(c_3[[#This Row],[hwycov_id]],readme!D:G,4,FALSE)</f>
        <v>14790.169921999999</v>
      </c>
      <c r="J28" s="49">
        <f t="shared" si="2"/>
        <v>0.20824850273670448</v>
      </c>
      <c r="K28" s="188" t="str">
        <f>'[2]I-805 NB'!P28</f>
        <v>PeMS2016</v>
      </c>
      <c r="L28" s="89">
        <f t="shared" si="3"/>
        <v>6498267.2912294818</v>
      </c>
    </row>
    <row r="29" spans="1:12" x14ac:dyDescent="0.25">
      <c r="A29" s="43">
        <f>'[2]I-805 NB'!C29</f>
        <v>3</v>
      </c>
      <c r="B29" s="43" t="str">
        <f>'[2]I-805 NB'!H29</f>
        <v>I-805 NB</v>
      </c>
      <c r="C29" s="43">
        <f>'[2]I-805 NB'!E29</f>
        <v>751</v>
      </c>
      <c r="D29" s="188">
        <f>'[2]I-805 NB'!I29</f>
        <v>57</v>
      </c>
      <c r="E29" s="189">
        <f>'[2]I-805 NB'!J29</f>
        <v>0</v>
      </c>
      <c r="F29" s="189" t="str">
        <f>'[2]I-805 NB'!K29</f>
        <v>I-8 WB</v>
      </c>
      <c r="G29" s="189" t="str">
        <f>'[2]I-805 NB'!L29</f>
        <v>MURRAY RIDGE</v>
      </c>
      <c r="H29" s="51">
        <f>'[2]I-805 NB'!O29</f>
        <v>18002</v>
      </c>
      <c r="I29" s="43">
        <f>VLOOKUP(c_3[[#This Row],[hwycov_id]],readme!D:G,4,FALSE)</f>
        <v>23431.509765999999</v>
      </c>
      <c r="J29" s="49">
        <f t="shared" si="2"/>
        <v>0.30160591967559158</v>
      </c>
      <c r="K29" s="188" t="str">
        <f>'[2]I-805 NB'!P29</f>
        <v>PeMS2016</v>
      </c>
      <c r="L29" s="89">
        <f t="shared" si="3"/>
        <v>29479576.299089365</v>
      </c>
    </row>
    <row r="30" spans="1:12" x14ac:dyDescent="0.25">
      <c r="A30" s="43">
        <f>'[2]I-805 NB'!C30</f>
        <v>3</v>
      </c>
      <c r="B30" s="43" t="str">
        <f>'[2]I-805 NB'!H30</f>
        <v>I-805 NB</v>
      </c>
      <c r="C30" s="43">
        <f>'[2]I-805 NB'!E30</f>
        <v>752</v>
      </c>
      <c r="D30" s="188">
        <f>'[2]I-805 NB'!I30</f>
        <v>58</v>
      </c>
      <c r="E30" s="189">
        <f>'[2]I-805 NB'!J30</f>
        <v>0</v>
      </c>
      <c r="F30" s="189" t="str">
        <f>'[2]I-805 NB'!K30</f>
        <v>MURRAY RIDGE</v>
      </c>
      <c r="G30" s="189" t="str">
        <f>'[2]I-805 NB'!L30</f>
        <v>MURRAY RIDGE</v>
      </c>
      <c r="H30" s="51">
        <f>'[2]I-805 NB'!O30</f>
        <v>16381</v>
      </c>
      <c r="I30" s="43">
        <f>VLOOKUP(c_3[[#This Row],[hwycov_id]],readme!D:G,4,FALSE)</f>
        <v>21650.863281000002</v>
      </c>
      <c r="J30" s="49">
        <f t="shared" si="2"/>
        <v>0.3217058348696662</v>
      </c>
      <c r="K30" s="188" t="str">
        <f>'[2]I-805 NB'!P30</f>
        <v>PeMS2016</v>
      </c>
      <c r="L30" s="89">
        <f t="shared" si="3"/>
        <v>27771459.000432104</v>
      </c>
    </row>
    <row r="31" spans="1:12" ht="15" customHeight="1" x14ac:dyDescent="0.25">
      <c r="A31" s="43">
        <f>'[2]I-805 NB'!C31</f>
        <v>3</v>
      </c>
      <c r="B31" s="43" t="str">
        <f>'[2]I-805 NB'!H31</f>
        <v>I-805 NB</v>
      </c>
      <c r="C31" s="43">
        <f>'[2]I-805 NB'!E31</f>
        <v>754</v>
      </c>
      <c r="D31" s="188">
        <f>'[2]I-805 NB'!I31</f>
        <v>60</v>
      </c>
      <c r="E31" s="189">
        <f>'[2]I-805 NB'!J31</f>
        <v>0</v>
      </c>
      <c r="F31" s="189" t="str">
        <f>'[2]I-805 NB'!K31</f>
        <v>KEARNY VILLA</v>
      </c>
      <c r="G31" s="189" t="str">
        <f>'[2]I-805 NB'!L31</f>
        <v>SR-163 NB</v>
      </c>
      <c r="H31" s="51">
        <f>'[2]I-805 NB'!O31</f>
        <v>15252</v>
      </c>
      <c r="I31" s="43">
        <f>VLOOKUP(c_3[[#This Row],[hwycov_id]],readme!D:G,4,FALSE)</f>
        <v>20242.072265999999</v>
      </c>
      <c r="J31" s="49">
        <f t="shared" si="2"/>
        <v>0.32717494531864677</v>
      </c>
      <c r="K31" s="188" t="str">
        <f>'[2]I-805 NB'!P31</f>
        <v>PeMS2016</v>
      </c>
      <c r="L31" s="89">
        <f t="shared" si="3"/>
        <v>24900821.219902366</v>
      </c>
    </row>
    <row r="32" spans="1:12" ht="15" customHeight="1" x14ac:dyDescent="0.25">
      <c r="A32" s="43">
        <f>'[2]I-805 NB'!C32</f>
        <v>3</v>
      </c>
      <c r="B32" s="43" t="str">
        <f>'[2]I-805 NB'!H32</f>
        <v>I-805 NB</v>
      </c>
      <c r="C32" s="43">
        <f>'[2]I-805 NB'!E32</f>
        <v>22715</v>
      </c>
      <c r="D32" s="188">
        <f>'[2]I-805 NB'!I32</f>
        <v>61</v>
      </c>
      <c r="E32" s="189">
        <f>'[2]I-805 NB'!J32</f>
        <v>0</v>
      </c>
      <c r="F32" s="189" t="str">
        <f>'[2]I-805 NB'!K32</f>
        <v>SR-163 NB</v>
      </c>
      <c r="G32" s="189" t="str">
        <f>'[2]I-805 NB'!L32</f>
        <v>SR-163 NB</v>
      </c>
      <c r="H32" s="51">
        <f>'[2]I-805 NB'!O32</f>
        <v>12590</v>
      </c>
      <c r="I32" s="43">
        <f>VLOOKUP(c_3[[#This Row],[hwycov_id]],readme!D:G,4,FALSE)</f>
        <v>16646.431640999999</v>
      </c>
      <c r="J32" s="49">
        <f t="shared" si="2"/>
        <v>0.32219472922954728</v>
      </c>
      <c r="K32" s="188" t="str">
        <f>'[2]I-805 NB'!P32</f>
        <v>PeMS2016</v>
      </c>
      <c r="L32" s="89">
        <f t="shared" si="3"/>
        <v>16454637.658105947</v>
      </c>
    </row>
    <row r="33" spans="1:12" ht="15" customHeight="1" x14ac:dyDescent="0.25">
      <c r="A33" s="43">
        <f>'[2]I-805 NB'!C33</f>
        <v>3</v>
      </c>
      <c r="B33" s="43" t="str">
        <f>'[2]I-805 NB'!H33</f>
        <v>I-805 NB</v>
      </c>
      <c r="C33" s="43">
        <f>'[2]I-805 NB'!E33</f>
        <v>757</v>
      </c>
      <c r="D33" s="188">
        <f>'[2]I-805 NB'!I33</f>
        <v>64</v>
      </c>
      <c r="E33" s="189">
        <f>'[2]I-805 NB'!J33</f>
        <v>0</v>
      </c>
      <c r="F33" s="189" t="str">
        <f>'[2]I-805 NB'!K33</f>
        <v>BALBOA</v>
      </c>
      <c r="G33" s="189" t="str">
        <f>'[2]I-805 NB'!L33</f>
        <v>BALBOA</v>
      </c>
      <c r="H33" s="51">
        <f>'[2]I-805 NB'!O33</f>
        <v>14910</v>
      </c>
      <c r="I33" s="43">
        <f>VLOOKUP(c_3[[#This Row],[hwycov_id]],readme!D:G,4,FALSE)</f>
        <v>20545.136718999998</v>
      </c>
      <c r="J33" s="49">
        <f t="shared" si="2"/>
        <v>0.37794344191817553</v>
      </c>
      <c r="K33" s="188" t="str">
        <f>'[2]I-805 NB'!P33</f>
        <v>PeMS2016</v>
      </c>
      <c r="L33" s="89">
        <f t="shared" si="3"/>
        <v>31754765.841822065</v>
      </c>
    </row>
    <row r="34" spans="1:12" ht="15" customHeight="1" x14ac:dyDescent="0.25">
      <c r="A34" s="43">
        <f>'[2]I-805 NB'!C34</f>
        <v>3</v>
      </c>
      <c r="B34" s="43" t="str">
        <f>'[2]I-805 NB'!H34</f>
        <v>I-805 NB</v>
      </c>
      <c r="C34" s="43">
        <f>'[2]I-805 NB'!E34</f>
        <v>760</v>
      </c>
      <c r="D34" s="188">
        <f>'[2]I-805 NB'!I34</f>
        <v>67</v>
      </c>
      <c r="E34" s="189">
        <f>'[2]I-805 NB'!J34</f>
        <v>0</v>
      </c>
      <c r="F34" s="189" t="str">
        <f>'[2]I-805 NB'!K34</f>
        <v>CLAIREMONT MESA</v>
      </c>
      <c r="G34" s="189" t="str">
        <f>'[2]I-805 NB'!L34</f>
        <v>SR-52 EB</v>
      </c>
      <c r="H34" s="51">
        <f>'[2]I-805 NB'!O34</f>
        <v>16603</v>
      </c>
      <c r="I34" s="43">
        <f>VLOOKUP(c_3[[#This Row],[hwycov_id]],readme!D:G,4,FALSE)</f>
        <v>24893.716797000001</v>
      </c>
      <c r="J34" s="49">
        <f t="shared" si="2"/>
        <v>0.49935052683250025</v>
      </c>
      <c r="K34" s="188" t="str">
        <f>'[2]I-805 NB'!P34</f>
        <v>Caltran</v>
      </c>
      <c r="L34" s="89">
        <f t="shared" si="3"/>
        <v>68735985.008057952</v>
      </c>
    </row>
    <row r="35" spans="1:12" ht="15" customHeight="1" x14ac:dyDescent="0.25">
      <c r="A35" s="43">
        <f>'[2]I-805 NB'!C35</f>
        <v>3</v>
      </c>
      <c r="B35" s="43" t="str">
        <f>'[2]I-805 NB'!H35</f>
        <v>I-805 NB</v>
      </c>
      <c r="C35" s="43">
        <f>'[2]I-805 NB'!E35</f>
        <v>762</v>
      </c>
      <c r="D35" s="188">
        <f>'[2]I-805 NB'!I35</f>
        <v>68</v>
      </c>
      <c r="E35" s="189">
        <f>'[2]I-805 NB'!J35</f>
        <v>0</v>
      </c>
      <c r="F35" s="189" t="str">
        <f>'[2]I-805 NB'!K35</f>
        <v>SR-52 EB</v>
      </c>
      <c r="G35" s="189" t="str">
        <f>'[2]I-805 NB'!L35</f>
        <v>SR-52 EB</v>
      </c>
      <c r="H35" s="51">
        <f>'[2]I-805 NB'!O35</f>
        <v>17573</v>
      </c>
      <c r="I35" s="43">
        <f>VLOOKUP(c_3[[#This Row],[hwycov_id]],readme!D:G,4,FALSE)</f>
        <v>20602.693359000001</v>
      </c>
      <c r="J35" s="49">
        <f t="shared" si="2"/>
        <v>0.17240615483981103</v>
      </c>
      <c r="K35" s="188" t="str">
        <f>'[2]I-805 NB'!P35</f>
        <v>PeMS2016</v>
      </c>
      <c r="L35" s="89">
        <f t="shared" si="3"/>
        <v>9179041.8495687079</v>
      </c>
    </row>
    <row r="36" spans="1:12" ht="15" customHeight="1" x14ac:dyDescent="0.25">
      <c r="A36" s="43">
        <f>'[2]I-805 NB'!C36</f>
        <v>3</v>
      </c>
      <c r="B36" s="43" t="str">
        <f>'[2]I-805 NB'!H36</f>
        <v>I-805 NB</v>
      </c>
      <c r="C36" s="43">
        <f>'[2]I-805 NB'!E36</f>
        <v>59</v>
      </c>
      <c r="D36" s="188">
        <f>'[2]I-805 NB'!I36</f>
        <v>69</v>
      </c>
      <c r="E36" s="189">
        <f>'[2]I-805 NB'!J36</f>
        <v>0</v>
      </c>
      <c r="F36" s="189" t="str">
        <f>'[2]I-805 NB'!K36</f>
        <v>SR-52 EB</v>
      </c>
      <c r="G36" s="189" t="str">
        <f>'[2]I-805 NB'!L36</f>
        <v>SR-52 WB</v>
      </c>
      <c r="H36" s="51">
        <f>'[2]I-805 NB'!O36</f>
        <v>14405</v>
      </c>
      <c r="I36" s="43">
        <f>VLOOKUP(c_3[[#This Row],[hwycov_id]],readme!D:G,4,FALSE)</f>
        <v>21330.474609000001</v>
      </c>
      <c r="J36" s="49">
        <f t="shared" si="2"/>
        <v>0.48076880312391546</v>
      </c>
      <c r="K36" s="188" t="str">
        <f>'[2]I-805 NB'!P36</f>
        <v>PeMS2016</v>
      </c>
      <c r="L36" s="89">
        <f t="shared" si="3"/>
        <v>47962198.559903711</v>
      </c>
    </row>
    <row r="37" spans="1:12" ht="15" customHeight="1" x14ac:dyDescent="0.25">
      <c r="A37" s="43">
        <f>'[2]I-805 NB'!C37</f>
        <v>3</v>
      </c>
      <c r="B37" s="43" t="str">
        <f>'[2]I-805 NB'!H37</f>
        <v>I-805 NB</v>
      </c>
      <c r="C37" s="43">
        <f>'[2]I-805 NB'!E37</f>
        <v>15081</v>
      </c>
      <c r="D37" s="188">
        <f>'[2]I-805 NB'!I37</f>
        <v>72</v>
      </c>
      <c r="E37" s="189">
        <f>'[2]I-805 NB'!J37</f>
        <v>0</v>
      </c>
      <c r="F37" s="189" t="str">
        <f>'[2]I-805 NB'!K37</f>
        <v>GOVERNOR</v>
      </c>
      <c r="G37" s="189" t="str">
        <f>'[2]I-805 NB'!L37</f>
        <v>GOVERNOR</v>
      </c>
      <c r="H37" s="51">
        <f>'[2]I-805 NB'!O37</f>
        <v>15648</v>
      </c>
      <c r="I37" s="43">
        <f>VLOOKUP(c_3[[#This Row],[hwycov_id]],readme!D:G,4,FALSE)</f>
        <v>25737.396484000001</v>
      </c>
      <c r="J37" s="49">
        <f t="shared" si="2"/>
        <v>0.64477227019427419</v>
      </c>
      <c r="K37" s="188" t="str">
        <f>'[2]I-805 NB'!P37</f>
        <v>PeMS2016</v>
      </c>
      <c r="L37" s="89">
        <f t="shared" si="3"/>
        <v>101795921.41135158</v>
      </c>
    </row>
    <row r="38" spans="1:12" ht="15" customHeight="1" x14ac:dyDescent="0.25">
      <c r="A38" s="43">
        <f>'[2]I-805 NB'!C38</f>
        <v>3</v>
      </c>
      <c r="B38" s="43" t="str">
        <f>'[2]I-805 NB'!H38</f>
        <v>I-805 NB</v>
      </c>
      <c r="C38" s="43">
        <f>'[2]I-805 NB'!E38</f>
        <v>15064</v>
      </c>
      <c r="D38" s="188">
        <f>'[2]I-805 NB'!I38</f>
        <v>74</v>
      </c>
      <c r="E38" s="189">
        <f>'[2]I-805 NB'!J38</f>
        <v>0</v>
      </c>
      <c r="F38" s="189" t="str">
        <f>'[2]I-805 NB'!K38</f>
        <v>NOBEL</v>
      </c>
      <c r="G38" s="189" t="str">
        <f>'[2]I-805 NB'!L38</f>
        <v>MIRAMAR</v>
      </c>
      <c r="H38" s="51">
        <f>'[2]I-805 NB'!O38</f>
        <v>13509</v>
      </c>
      <c r="I38" s="43">
        <f>VLOOKUP(c_3[[#This Row],[hwycov_id]],readme!D:G,4,FALSE)</f>
        <v>22865.240234000001</v>
      </c>
      <c r="J38" s="49">
        <f t="shared" si="2"/>
        <v>0.69259310341253988</v>
      </c>
      <c r="K38" s="188" t="str">
        <f>'[2]I-805 NB'!P38</f>
        <v>PeMS2016</v>
      </c>
      <c r="L38" s="89">
        <f t="shared" si="3"/>
        <v>87539231.31632039</v>
      </c>
    </row>
    <row r="39" spans="1:12" ht="15" customHeight="1" x14ac:dyDescent="0.25">
      <c r="A39" s="43">
        <f>'[2]I-805 NB'!C39</f>
        <v>3</v>
      </c>
      <c r="B39" s="43" t="str">
        <f>'[2]I-805 NB'!H39</f>
        <v>I-805 NB</v>
      </c>
      <c r="C39" s="43">
        <f>'[2]I-805 NB'!E39</f>
        <v>23851</v>
      </c>
      <c r="D39" s="188">
        <f>'[2]I-805 NB'!I39</f>
        <v>75</v>
      </c>
      <c r="E39" s="189">
        <f>'[2]I-805 NB'!J39</f>
        <v>0</v>
      </c>
      <c r="F39" s="189" t="str">
        <f>'[2]I-805 NB'!K39</f>
        <v>MIRAMAR</v>
      </c>
      <c r="G39" s="189" t="str">
        <f>'[2]I-805 NB'!L39</f>
        <v>MIRAMAR</v>
      </c>
      <c r="H39" s="51">
        <f>'[2]I-805 NB'!O39</f>
        <v>12061</v>
      </c>
      <c r="I39" s="43">
        <f>VLOOKUP(c_3[[#This Row],[hwycov_id]],readme!D:G,4,FALSE)</f>
        <v>19374.949218999998</v>
      </c>
      <c r="J39" s="49">
        <f t="shared" si="2"/>
        <v>0.60641316797943778</v>
      </c>
      <c r="K39" s="188" t="str">
        <f>'[2]I-805 NB'!P39</f>
        <v>PeMS2016</v>
      </c>
      <c r="L39" s="89">
        <f t="shared" si="3"/>
        <v>53493853.178110681</v>
      </c>
    </row>
    <row r="40" spans="1:12" ht="15" customHeight="1" x14ac:dyDescent="0.25">
      <c r="A40" s="43">
        <f>'[2]I-805 NB'!C40</f>
        <v>3</v>
      </c>
      <c r="B40" s="43" t="str">
        <f>'[2]I-805 NB'!H40</f>
        <v>I-805 NB</v>
      </c>
      <c r="C40" s="43">
        <f>'[2]I-805 NB'!E40</f>
        <v>26788</v>
      </c>
      <c r="D40" s="188">
        <f>'[2]I-805 NB'!I40</f>
        <v>77</v>
      </c>
      <c r="E40" s="189">
        <f>'[2]I-805 NB'!J40</f>
        <v>0</v>
      </c>
      <c r="F40" s="189" t="str">
        <f>'[2]I-805 NB'!K40</f>
        <v>MIRAMAR</v>
      </c>
      <c r="G40" s="189" t="str">
        <f>'[2]I-805 NB'!L40</f>
        <v>MIRA MESA</v>
      </c>
      <c r="H40" s="51">
        <f>'[2]I-805 NB'!O40</f>
        <v>16973</v>
      </c>
      <c r="I40" s="43">
        <f>VLOOKUP(c_3[[#This Row],[hwycov_id]],readme!D:G,4,FALSE)</f>
        <v>24211.787109000001</v>
      </c>
      <c r="J40" s="49">
        <f t="shared" si="2"/>
        <v>0.42648837029399633</v>
      </c>
      <c r="K40" s="188" t="str">
        <f>'[2]I-805 NB'!P40</f>
        <v>PeMS2016</v>
      </c>
      <c r="L40" s="89">
        <f t="shared" si="3"/>
        <v>52400038.809424587</v>
      </c>
    </row>
    <row r="41" spans="1:12" ht="15" customHeight="1" x14ac:dyDescent="0.25">
      <c r="A41" s="43">
        <f>'[2]I-805 NB'!C41</f>
        <v>3</v>
      </c>
      <c r="B41" s="43" t="str">
        <f>'[2]I-805 NB'!H41</f>
        <v>I-805 NB</v>
      </c>
      <c r="C41" s="43">
        <f>'[2]I-805 NB'!E41</f>
        <v>589</v>
      </c>
      <c r="D41" s="188">
        <f>'[2]I-805 NB'!I41</f>
        <v>80</v>
      </c>
      <c r="E41" s="189">
        <f>'[2]I-805 NB'!J41</f>
        <v>0</v>
      </c>
      <c r="F41" s="189" t="str">
        <f>'[2]I-805 NB'!K41</f>
        <v>VISTA SORRENTO</v>
      </c>
      <c r="G41" s="189" t="str">
        <f>'[2]I-805 NB'!L41</f>
        <v>MIRA MESA</v>
      </c>
      <c r="H41" s="51">
        <f>'[2]I-805 NB'!O41</f>
        <v>11504</v>
      </c>
      <c r="I41" s="43">
        <f>VLOOKUP(c_3[[#This Row],[hwycov_id]],readme!D:G,4,FALSE)</f>
        <v>20098.789062</v>
      </c>
      <c r="J41" s="49">
        <f t="shared" ref="J41:J43" si="4">I41/H41-1</f>
        <v>0.74711309648817803</v>
      </c>
      <c r="K41" s="188" t="str">
        <f>'[2]I-805 NB'!P41</f>
        <v>PeMS2016</v>
      </c>
      <c r="L41" s="89">
        <f t="shared" ref="L41:L43" si="5">POWER((I41-H41),2)</f>
        <v>73870399.020274833</v>
      </c>
    </row>
    <row r="42" spans="1:12" ht="15" customHeight="1" x14ac:dyDescent="0.25">
      <c r="A42" s="43">
        <f>'[2]I-805 NB'!C42</f>
        <v>3</v>
      </c>
      <c r="B42" s="43" t="str">
        <f>'[2]I-805 NB'!H42</f>
        <v>I-805 NB</v>
      </c>
      <c r="C42" s="43">
        <f>'[2]I-805 NB'!E42</f>
        <v>31198</v>
      </c>
      <c r="D42" s="188">
        <f>'[2]I-805 NB'!I42</f>
        <v>82</v>
      </c>
      <c r="E42" s="189">
        <f>'[2]I-805 NB'!J42</f>
        <v>0</v>
      </c>
      <c r="F42" s="189" t="str">
        <f>'[2]I-805 NB'!K42</f>
        <v>MIRA MESA</v>
      </c>
      <c r="G42" s="189" t="str">
        <f>'[2]I-805 NB'!L42</f>
        <v>I-5 NB</v>
      </c>
      <c r="H42" s="51">
        <f>'[2]I-805 NB'!O42</f>
        <v>21359</v>
      </c>
      <c r="I42" s="43">
        <f>VLOOKUP(c_3[[#This Row],[hwycov_id]],readme!D:G,4,FALSE)</f>
        <v>24508.279297000001</v>
      </c>
      <c r="J42" s="49">
        <f t="shared" si="4"/>
        <v>0.14744507219439118</v>
      </c>
      <c r="K42" s="188" t="str">
        <f>'[2]I-805 NB'!P42</f>
        <v>Caltran</v>
      </c>
      <c r="L42" s="89">
        <f t="shared" si="5"/>
        <v>9917960.0905128196</v>
      </c>
    </row>
    <row r="43" spans="1:12" ht="15" customHeight="1" x14ac:dyDescent="0.25">
      <c r="A43" s="43">
        <f>'[2]I-805 NB'!C43</f>
        <v>3</v>
      </c>
      <c r="B43" s="43" t="str">
        <f>'[2]I-805 NB'!H43</f>
        <v>I-805 NB</v>
      </c>
      <c r="C43" s="43">
        <f>'[2]I-805 NB'!E43</f>
        <v>28796</v>
      </c>
      <c r="D43" s="188">
        <f>'[2]I-805 NB'!I43</f>
        <v>85</v>
      </c>
      <c r="E43" s="189">
        <f>'[2]I-805 NB'!J43</f>
        <v>0</v>
      </c>
      <c r="F43" s="189" t="str">
        <f>'[2]I-805 NB'!K43</f>
        <v>I-5 NB</v>
      </c>
      <c r="G43" s="189" t="str">
        <f>'[2]I-805 NB'!L43</f>
        <v>I-5 NB</v>
      </c>
      <c r="H43" s="51">
        <f>'[2]I-805 NB'!O43</f>
        <v>10271</v>
      </c>
      <c r="I43" s="43">
        <f>VLOOKUP(c_3[[#This Row],[hwycov_id]],readme!D:G,4,FALSE)</f>
        <v>18226.771484000001</v>
      </c>
      <c r="J43" s="49">
        <f t="shared" si="4"/>
        <v>0.77458587128809286</v>
      </c>
      <c r="K43" s="188" t="str">
        <f>'[2]I-805 NB'!P43</f>
        <v>PeMS2016</v>
      </c>
      <c r="L43" s="89">
        <f t="shared" si="5"/>
        <v>63294299.905627571</v>
      </c>
    </row>
    <row r="44" spans="1:12" ht="15" customHeight="1" x14ac:dyDescent="0.25">
      <c r="A44" s="43"/>
      <c r="B44" s="43"/>
      <c r="C44" s="43"/>
      <c r="D44" s="188"/>
      <c r="E44" s="189"/>
      <c r="F44" s="189"/>
      <c r="G44" s="189"/>
      <c r="H44" s="51"/>
      <c r="I44" s="43"/>
      <c r="J44" s="49"/>
      <c r="K44" s="188"/>
      <c r="L44" s="89"/>
    </row>
    <row r="45" spans="1:12" ht="15" customHeight="1" x14ac:dyDescent="0.25">
      <c r="A45" s="43"/>
      <c r="B45" s="43"/>
      <c r="C45" s="43"/>
      <c r="D45" s="188"/>
      <c r="E45" s="189"/>
      <c r="F45" s="189"/>
      <c r="G45" s="189"/>
      <c r="H45" s="51"/>
      <c r="I45" s="43"/>
      <c r="J45" s="49"/>
      <c r="K45" s="188"/>
      <c r="L45" s="89"/>
    </row>
    <row r="46" spans="1:12" ht="15" customHeight="1" x14ac:dyDescent="0.25">
      <c r="A46" s="43"/>
      <c r="B46" s="43"/>
      <c r="C46" s="43"/>
      <c r="D46" s="188"/>
      <c r="E46" s="189"/>
      <c r="F46" s="189"/>
      <c r="G46" s="189"/>
      <c r="H46" s="51"/>
      <c r="I46" s="43"/>
      <c r="J46" s="49"/>
      <c r="K46" s="188"/>
      <c r="L46" s="89"/>
    </row>
    <row r="47" spans="1:12" ht="15" customHeight="1" x14ac:dyDescent="0.25">
      <c r="A47" s="43"/>
      <c r="B47" s="43"/>
      <c r="C47" s="43"/>
      <c r="D47" s="188"/>
      <c r="E47" s="189"/>
      <c r="F47" s="189"/>
      <c r="G47" s="189"/>
      <c r="H47" s="51"/>
      <c r="I47" s="43"/>
      <c r="J47" s="49"/>
      <c r="K47" s="188"/>
      <c r="L47" s="89"/>
    </row>
    <row r="48" spans="1:12" ht="15" customHeight="1" x14ac:dyDescent="0.25">
      <c r="A48" s="43"/>
      <c r="B48" s="43"/>
      <c r="C48" s="43"/>
      <c r="D48" s="188"/>
      <c r="E48" s="189"/>
      <c r="F48" s="189"/>
      <c r="G48" s="189"/>
      <c r="H48" s="51"/>
      <c r="I48" s="43"/>
      <c r="J48" s="49"/>
      <c r="K48" s="188"/>
      <c r="L48" s="89"/>
    </row>
    <row r="49" spans="1:13" ht="15" customHeight="1" x14ac:dyDescent="0.25">
      <c r="A49" s="43"/>
      <c r="B49" s="43"/>
      <c r="C49" s="43"/>
      <c r="D49" s="188"/>
      <c r="E49" s="189"/>
      <c r="F49" s="189"/>
      <c r="G49" s="189"/>
      <c r="H49" s="51"/>
      <c r="I49" s="43"/>
      <c r="J49" s="49"/>
      <c r="K49" s="188"/>
      <c r="L49" s="89"/>
    </row>
    <row r="50" spans="1:13" ht="15" customHeight="1" x14ac:dyDescent="0.2">
      <c r="J50" s="39"/>
      <c r="K50" s="39"/>
      <c r="L50" s="45"/>
      <c r="M50" s="45"/>
    </row>
    <row r="51" spans="1:13" ht="15" customHeight="1" x14ac:dyDescent="0.2">
      <c r="J51" s="39"/>
      <c r="K51" s="39"/>
      <c r="L51" s="45"/>
      <c r="M51" s="45"/>
    </row>
    <row r="52" spans="1:13" ht="15" customHeight="1" x14ac:dyDescent="0.2">
      <c r="J52" s="39"/>
      <c r="K52" s="39"/>
      <c r="L52" s="45"/>
      <c r="M52" s="45"/>
    </row>
    <row r="53" spans="1:13" ht="15" customHeight="1" x14ac:dyDescent="0.2">
      <c r="J53" s="39"/>
      <c r="K53" s="39"/>
      <c r="L53" s="45"/>
      <c r="M53" s="45"/>
    </row>
    <row r="54" spans="1:13" ht="15" customHeight="1" x14ac:dyDescent="0.2">
      <c r="L54" s="48"/>
      <c r="M54" s="48"/>
    </row>
  </sheetData>
  <conditionalFormatting sqref="N2:N1048576 J50:K78">
    <cfRule type="cellIs" dxfId="638" priority="7" operator="lessThan">
      <formula>-0.2</formula>
    </cfRule>
    <cfRule type="cellIs" dxfId="637" priority="8" operator="greaterThan">
      <formula>0.2</formula>
    </cfRule>
  </conditionalFormatting>
  <conditionalFormatting sqref="N1">
    <cfRule type="cellIs" dxfId="636" priority="3" operator="lessThan">
      <formula>-0.2</formula>
    </cfRule>
    <cfRule type="cellIs" dxfId="635" priority="4" operator="greaterThan">
      <formula>0.2</formula>
    </cfRule>
  </conditionalFormatting>
  <conditionalFormatting sqref="J2:J43">
    <cfRule type="cellIs" dxfId="634" priority="1" operator="lessThan">
      <formula>-0.2</formula>
    </cfRule>
    <cfRule type="cellIs" dxfId="63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39997558519241921"/>
  </sheetPr>
  <dimension ref="A1:AI53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2" sqref="I2"/>
    </sheetView>
  </sheetViews>
  <sheetFormatPr defaultRowHeight="15" x14ac:dyDescent="0.25"/>
  <cols>
    <col min="1" max="1" width="10.85546875" bestFit="1" customWidth="1"/>
    <col min="2" max="2" width="11.7109375" bestFit="1" customWidth="1"/>
    <col min="3" max="3" width="13.5703125" bestFit="1" customWidth="1"/>
    <col min="4" max="4" width="7.85546875" style="7" bestFit="1" customWidth="1"/>
    <col min="5" max="5" width="10" style="14" bestFit="1" customWidth="1"/>
    <col min="6" max="7" width="19.28515625" bestFit="1" customWidth="1"/>
    <col min="8" max="8" width="8.85546875" style="4" bestFit="1" customWidth="1"/>
    <col min="9" max="9" width="8.85546875" style="51" bestFit="1" customWidth="1"/>
    <col min="10" max="10" width="8" style="26" bestFit="1" customWidth="1"/>
    <col min="11" max="11" width="10.7109375" style="26" bestFit="1" customWidth="1"/>
    <col min="12" max="12" width="9.85546875" style="44" bestFit="1" customWidth="1"/>
    <col min="13" max="13" width="12.28515625" style="44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SQRT(AVERAGE(c_4[x2]))/AVERAGE(c_4[count])</f>
        <v>0.18315615874501823</v>
      </c>
      <c r="O1" s="69">
        <f>LINEST(c_4[flow],c_4[count],FALSE)</f>
        <v>1.1702678045350186</v>
      </c>
      <c r="P1" s="69">
        <f>RSQ(c_4[flow],c_4[count])</f>
        <v>0.94186935574160446</v>
      </c>
      <c r="Q1" s="19">
        <f>IFERROR(AVERAGEIF(c_4[gap],"&gt;=0",c_4[gap]),0)</f>
        <v>0.16987901849212167</v>
      </c>
      <c r="R1" s="20">
        <f>IFERROR(AVERAGEIF(c_4[gap],"&lt;0",c_4[gap]),0)</f>
        <v>0</v>
      </c>
      <c r="S1" s="13">
        <f>AVERAGE(c_4[gap])</f>
        <v>0.16987901849212167</v>
      </c>
      <c r="T1" s="18">
        <f>COUNTIFS(c_4[gap],"&lt;10%",c_4[gap],"&gt;=-10%")/COUNTA(c_4[gap])</f>
        <v>0.1</v>
      </c>
      <c r="U1" s="18">
        <f>COUNTIFS(c_4[gap],"&lt;20%",c_4[gap],"&gt;=-20%")/COUNTA(c_4[gap])</f>
        <v>0.6</v>
      </c>
      <c r="V1" s="18">
        <f>COUNTIFS(c_4[gap],"&lt;30%",c_4[gap],"&gt;=-30%")/COUNTA(c_4[gap])</f>
        <v>1</v>
      </c>
      <c r="W1" s="19">
        <f>COUNTIF(c_4[gap],"&gt;=0")/COUNTA(c_4[gap])</f>
        <v>1</v>
      </c>
      <c r="X1" s="21">
        <f>COUNTIF(c_4[gap],"&lt;0")/COUNTA(c_4[gap])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17" t="str">
        <f>"AvgGap(+)="&amp;TEXT(Q1,"0%")</f>
        <v>AvgGap(+)=17%</v>
      </c>
      <c r="AB1" t="str">
        <f>"AvgGap(-)="&amp;TEXT(R1,"0%")</f>
        <v>AvgGap(-)=0%</v>
      </c>
      <c r="AC1" t="str">
        <f>"AvgGap(±)="&amp;TEXT(S1,"0%")</f>
        <v>AvgGap(±)=17%</v>
      </c>
      <c r="AD1" t="str">
        <f>"GapIn(±10%)="&amp;TEXT(T1,"0%")</f>
        <v>GapIn(±10%)=10%</v>
      </c>
      <c r="AE1" t="str">
        <f>"GapIn(±20%)="&amp;TEXT(U1,"0%")</f>
        <v>GapIn(±20%)=60%</v>
      </c>
      <c r="AF1" t="str">
        <f>"GapIn(±30%)="&amp;TEXT(V1,"0%")</f>
        <v>GapIn(±30%)=100%</v>
      </c>
      <c r="AG1" t="str">
        <f>"Linear Slope="&amp;TEXT(O1,"#.###")</f>
        <v>Linear Slope=1.17</v>
      </c>
      <c r="AH1" t="str">
        <f>"RMSE="&amp;TEXT(N1,"0%")</f>
        <v>RMSE=18%</v>
      </c>
      <c r="AI1" s="22" t="str">
        <f>CONCATENATE(Y1," ",Z1," ",AA1,"  ",AB1,"  ",AC1,"  ",AD1,"  ",AE1,"  ",AF1,"  ",AG1," ",AH1)</f>
        <v>%Link(+)=100% %Link(-)=0% AvgGap(+)=17%  AvgGap(-)=0%  AvgGap(±)=17%  GapIn(±10%)=10%  GapIn(±20%)=60%  GapIn(±30%)=100%  Linear Slope=1.17 RMSE=18%</v>
      </c>
    </row>
    <row r="2" spans="1:35" x14ac:dyDescent="0.25">
      <c r="A2" s="43">
        <f>'[2]SR-163 NB'!C2</f>
        <v>4</v>
      </c>
      <c r="B2" s="43" t="str">
        <f>'[2]SR-163 NB'!H2</f>
        <v>SR-163 NB</v>
      </c>
      <c r="C2" s="126">
        <f>'[2]SR-163 NB'!E2</f>
        <v>13438</v>
      </c>
      <c r="D2" s="188">
        <f>'[2]SR-163 NB'!I2</f>
        <v>5</v>
      </c>
      <c r="E2" s="189">
        <f>'[2]SR-163 NB'!J2</f>
        <v>0</v>
      </c>
      <c r="F2" s="189" t="str">
        <f>'[2]SR-163 NB'!K2</f>
        <v>ROBINSON</v>
      </c>
      <c r="G2" s="189" t="str">
        <f>'[2]SR-163 NB'!L2</f>
        <v>10TH</v>
      </c>
      <c r="H2" s="197">
        <f>'[2]SR-163 NB'!O2</f>
        <v>11594</v>
      </c>
      <c r="I2" s="198">
        <f>VLOOKUP(c_4[[#This Row],[hwycov_id]],readme!D:G,4,FALSE)</f>
        <v>13124.444336</v>
      </c>
      <c r="J2" s="49">
        <f t="shared" ref="J2" si="0">I2/H2-1</f>
        <v>0.13200313403484576</v>
      </c>
      <c r="K2" s="190" t="str">
        <f>'[2]SR-163 NB'!P2</f>
        <v>PeMS2016</v>
      </c>
      <c r="L2" s="148">
        <f t="shared" ref="L2" si="1">POWER((I2-H2),2)</f>
        <v>2342259.8655944825</v>
      </c>
    </row>
    <row r="3" spans="1:35" x14ac:dyDescent="0.25">
      <c r="A3" s="43">
        <f>'[2]SR-163 NB'!C3</f>
        <v>4</v>
      </c>
      <c r="B3" s="43" t="str">
        <f>'[2]SR-163 NB'!H3</f>
        <v>SR-163 NB</v>
      </c>
      <c r="C3" s="126">
        <f>'[2]SR-163 NB'!E3</f>
        <v>16046</v>
      </c>
      <c r="D3" s="188">
        <f>'[2]SR-163 NB'!I3</f>
        <v>7</v>
      </c>
      <c r="E3" s="189">
        <f>'[2]SR-163 NB'!J3</f>
        <v>0</v>
      </c>
      <c r="F3" s="189" t="str">
        <f>'[2]SR-163 NB'!K3</f>
        <v>WASHINGTON</v>
      </c>
      <c r="G3" s="189" t="str">
        <f>'[2]SR-163 NB'!L3</f>
        <v>WASHINGTON</v>
      </c>
      <c r="H3" s="197">
        <f>'[2]SR-163 NB'!O3</f>
        <v>13015</v>
      </c>
      <c r="I3" s="198">
        <f>VLOOKUP(c_4[[#This Row],[hwycov_id]],readme!D:G,4,FALSE)</f>
        <v>15635.049805000001</v>
      </c>
      <c r="J3" s="49">
        <f t="shared" ref="J3:J11" si="2">I3/H3-1</f>
        <v>0.2013100119093354</v>
      </c>
      <c r="K3" s="190" t="str">
        <f>'[2]SR-163 NB'!P3</f>
        <v>PeMS2016</v>
      </c>
      <c r="L3" s="148">
        <f t="shared" ref="L3:L11" si="3">POWER((I3-H3),2)</f>
        <v>6864660.9806805411</v>
      </c>
    </row>
    <row r="4" spans="1:35" x14ac:dyDescent="0.25">
      <c r="A4" s="43">
        <f>'[2]SR-163 NB'!C4</f>
        <v>4</v>
      </c>
      <c r="B4" s="43" t="str">
        <f>'[2]SR-163 NB'!H4</f>
        <v>SR-163 NB</v>
      </c>
      <c r="C4" s="126">
        <f>'[2]SR-163 NB'!E4</f>
        <v>16038</v>
      </c>
      <c r="D4" s="188">
        <f>'[2]SR-163 NB'!I4</f>
        <v>9</v>
      </c>
      <c r="E4" s="189">
        <f>'[2]SR-163 NB'!J4</f>
        <v>0</v>
      </c>
      <c r="F4" s="189" t="str">
        <f>'[2]SR-163 NB'!K4</f>
        <v>06TH EX</v>
      </c>
      <c r="G4" s="189" t="str">
        <f>'[2]SR-163 NB'!L4</f>
        <v>I-8 EB</v>
      </c>
      <c r="H4" s="197">
        <f>'[2]SR-163 NB'!O4</f>
        <v>22459</v>
      </c>
      <c r="I4" s="198">
        <f>VLOOKUP(c_4[[#This Row],[hwycov_id]],readme!D:G,4,FALSE)</f>
        <v>25766.71875</v>
      </c>
      <c r="J4" s="49">
        <f t="shared" si="2"/>
        <v>0.14727809564094563</v>
      </c>
      <c r="K4" s="190" t="str">
        <f>'[2]SR-163 NB'!P4</f>
        <v>PeMS2016</v>
      </c>
      <c r="L4" s="148">
        <f t="shared" si="3"/>
        <v>10941003.329101563</v>
      </c>
    </row>
    <row r="5" spans="1:35" x14ac:dyDescent="0.25">
      <c r="A5" s="43">
        <f>'[2]SR-163 NB'!C5</f>
        <v>4</v>
      </c>
      <c r="B5" s="43" t="str">
        <f>'[2]SR-163 NB'!H5</f>
        <v>SR-163 NB</v>
      </c>
      <c r="C5" s="126">
        <f>'[2]SR-163 NB'!E5</f>
        <v>15714</v>
      </c>
      <c r="D5" s="188">
        <f>'[2]SR-163 NB'!I5</f>
        <v>17</v>
      </c>
      <c r="E5" s="189">
        <f>'[2]SR-163 NB'!J5</f>
        <v>0</v>
      </c>
      <c r="F5" s="189" t="str">
        <f>'[2]SR-163 NB'!K5</f>
        <v>FRIARS</v>
      </c>
      <c r="G5" s="189" t="str">
        <f>'[2]SR-163 NB'!L5</f>
        <v>GENESEE</v>
      </c>
      <c r="H5" s="197">
        <f>'[2]SR-163 NB'!O5</f>
        <v>23080</v>
      </c>
      <c r="I5" s="198">
        <f>VLOOKUP(c_4[[#This Row],[hwycov_id]],readme!D:G,4,FALSE)</f>
        <v>28339.908202999999</v>
      </c>
      <c r="J5" s="49">
        <f t="shared" si="2"/>
        <v>0.22789896893414197</v>
      </c>
      <c r="K5" s="190" t="str">
        <f>'[2]SR-163 NB'!P5</f>
        <v>PeMS2016</v>
      </c>
      <c r="L5" s="148">
        <f t="shared" si="3"/>
        <v>27666634.30398668</v>
      </c>
    </row>
    <row r="6" spans="1:35" x14ac:dyDescent="0.25">
      <c r="A6" s="43">
        <f>'[2]SR-163 NB'!C6</f>
        <v>4</v>
      </c>
      <c r="B6" s="43" t="str">
        <f>'[2]SR-163 NB'!H6</f>
        <v>SR-163 NB</v>
      </c>
      <c r="C6" s="126">
        <f>'[2]SR-163 NB'!E6</f>
        <v>15690</v>
      </c>
      <c r="D6" s="188">
        <f>'[2]SR-163 NB'!I6</f>
        <v>24</v>
      </c>
      <c r="E6" s="189">
        <f>'[2]SR-163 NB'!J6</f>
        <v>0</v>
      </c>
      <c r="F6" s="189" t="str">
        <f>'[2]SR-163 NB'!K6</f>
        <v>I-805 NB</v>
      </c>
      <c r="G6" s="189" t="str">
        <f>'[2]SR-163 NB'!L6</f>
        <v>I-805 NB</v>
      </c>
      <c r="H6" s="197">
        <f>'[2]SR-163 NB'!O6</f>
        <v>15413</v>
      </c>
      <c r="I6" s="198">
        <f>VLOOKUP(c_4[[#This Row],[hwycov_id]],readme!D:G,4,FALSE)</f>
        <v>18458.734375</v>
      </c>
      <c r="J6" s="49">
        <f t="shared" si="2"/>
        <v>0.19760814734315191</v>
      </c>
      <c r="K6" s="190" t="str">
        <f>'[2]SR-163 NB'!P6</f>
        <v>PeMS2016</v>
      </c>
      <c r="L6" s="148">
        <f t="shared" si="3"/>
        <v>9276497.8830566406</v>
      </c>
    </row>
    <row r="7" spans="1:35" x14ac:dyDescent="0.25">
      <c r="A7" s="43">
        <f>'[2]SR-163 NB'!C7</f>
        <v>4</v>
      </c>
      <c r="B7" s="43" t="str">
        <f>'[2]SR-163 NB'!H7</f>
        <v>SR-163 NB</v>
      </c>
      <c r="C7" s="126">
        <f>'[2]SR-163 NB'!E7</f>
        <v>8821</v>
      </c>
      <c r="D7" s="188">
        <f>'[2]SR-163 NB'!I7</f>
        <v>27</v>
      </c>
      <c r="E7" s="189">
        <f>'[2]SR-163 NB'!J7</f>
        <v>0</v>
      </c>
      <c r="F7" s="189" t="str">
        <f>'[2]SR-163 NB'!K7</f>
        <v>BALBOA</v>
      </c>
      <c r="G7" s="189" t="str">
        <f>'[2]SR-163 NB'!L7</f>
        <v>CLAIREMONT MESA</v>
      </c>
      <c r="H7" s="197">
        <f>'[2]SR-163 NB'!O7</f>
        <v>20409</v>
      </c>
      <c r="I7" s="198">
        <f>VLOOKUP(c_4[[#This Row],[hwycov_id]],readme!D:G,4,FALSE)</f>
        <v>25375.207031000002</v>
      </c>
      <c r="J7" s="49">
        <f t="shared" si="2"/>
        <v>0.24333416781811956</v>
      </c>
      <c r="K7" s="190" t="str">
        <f>'[2]SR-163 NB'!P7</f>
        <v>PeMS2016</v>
      </c>
      <c r="L7" s="148">
        <f t="shared" si="3"/>
        <v>24663212.274753854</v>
      </c>
    </row>
    <row r="8" spans="1:35" x14ac:dyDescent="0.25">
      <c r="A8" s="43">
        <f>'[2]SR-163 NB'!C8</f>
        <v>4</v>
      </c>
      <c r="B8" s="43" t="str">
        <f>'[2]SR-163 NB'!H8</f>
        <v>SR-163 NB</v>
      </c>
      <c r="C8" s="126">
        <f>'[2]SR-163 NB'!E8</f>
        <v>8825</v>
      </c>
      <c r="D8" s="188">
        <f>'[2]SR-163 NB'!I8</f>
        <v>28</v>
      </c>
      <c r="E8" s="189">
        <f>'[2]SR-163 NB'!J8</f>
        <v>0</v>
      </c>
      <c r="F8" s="189" t="str">
        <f>'[2]SR-163 NB'!K8</f>
        <v>CLAIREMONT MESA</v>
      </c>
      <c r="G8" s="189" t="str">
        <f>'[2]SR-163 NB'!L8</f>
        <v>CLAIREMONT MESA</v>
      </c>
      <c r="H8" s="197">
        <f>'[2]SR-163 NB'!O8</f>
        <v>19583</v>
      </c>
      <c r="I8" s="198">
        <f>VLOOKUP(c_4[[#This Row],[hwycov_id]],readme!D:G,4,FALSE)</f>
        <v>22534.066406000002</v>
      </c>
      <c r="J8" s="49">
        <f t="shared" si="2"/>
        <v>0.15069531767349242</v>
      </c>
      <c r="K8" s="190" t="str">
        <f>'[2]SR-163 NB'!P8</f>
        <v>PeMS2016</v>
      </c>
      <c r="L8" s="148">
        <f t="shared" si="3"/>
        <v>8708792.9326217677</v>
      </c>
    </row>
    <row r="9" spans="1:35" x14ac:dyDescent="0.25">
      <c r="A9" s="43">
        <f>'[2]SR-163 NB'!C9</f>
        <v>4</v>
      </c>
      <c r="B9" s="43" t="str">
        <f>'[2]SR-163 NB'!H9</f>
        <v>SR-163 NB</v>
      </c>
      <c r="C9" s="126">
        <f>'[2]SR-163 NB'!E9</f>
        <v>15317</v>
      </c>
      <c r="D9" s="188">
        <f>'[2]SR-163 NB'!I9</f>
        <v>32</v>
      </c>
      <c r="E9" s="189">
        <f>'[2]SR-163 NB'!J9</f>
        <v>0</v>
      </c>
      <c r="F9" s="189" t="str">
        <f>'[2]SR-163 NB'!K9</f>
        <v>KEARNY VILLA</v>
      </c>
      <c r="G9" s="189" t="str">
        <f>'[2]SR-163 NB'!L9</f>
        <v>KEARNY VILLA</v>
      </c>
      <c r="H9" s="197">
        <f>'[2]SR-163 NB'!O9</f>
        <v>21001</v>
      </c>
      <c r="I9" s="198">
        <f>VLOOKUP(c_4[[#This Row],[hwycov_id]],readme!D:G,4,FALSE)</f>
        <v>23101.960938</v>
      </c>
      <c r="J9" s="49">
        <f t="shared" si="2"/>
        <v>0.10004099509547171</v>
      </c>
      <c r="K9" s="190" t="str">
        <f>'[2]SR-163 NB'!P9</f>
        <v>PeMS2016</v>
      </c>
      <c r="L9" s="148">
        <f t="shared" si="3"/>
        <v>4414036.8630018402</v>
      </c>
    </row>
    <row r="10" spans="1:35" x14ac:dyDescent="0.25">
      <c r="A10" s="43">
        <f>'[2]SR-163 NB'!C10</f>
        <v>4</v>
      </c>
      <c r="B10" s="43" t="str">
        <f>'[2]SR-163 NB'!H10</f>
        <v>SR-163 NB</v>
      </c>
      <c r="C10" s="126">
        <f>'[2]SR-163 NB'!E10</f>
        <v>15206</v>
      </c>
      <c r="D10" s="188">
        <f>'[2]SR-163 NB'!I10</f>
        <v>33</v>
      </c>
      <c r="E10" s="189">
        <f>'[2]SR-163 NB'!J10</f>
        <v>0</v>
      </c>
      <c r="F10" s="189" t="str">
        <f>'[2]SR-163 NB'!K10</f>
        <v>KEARNY VILLA</v>
      </c>
      <c r="G10" s="189" t="str">
        <f>'[2]SR-163 NB'!L10</f>
        <v>KEARNY VILLA</v>
      </c>
      <c r="H10" s="197">
        <f>'[2]SR-163 NB'!O10</f>
        <v>19955</v>
      </c>
      <c r="I10" s="198">
        <f>VLOOKUP(c_4[[#This Row],[hwycov_id]],readme!D:G,4,FALSE)</f>
        <v>21461.546875</v>
      </c>
      <c r="J10" s="49">
        <f t="shared" si="2"/>
        <v>7.5497212478075726E-2</v>
      </c>
      <c r="K10" s="190" t="str">
        <f>'[2]SR-163 NB'!P10</f>
        <v>PeMS2016</v>
      </c>
      <c r="L10" s="148">
        <f t="shared" si="3"/>
        <v>2269683.4865722656</v>
      </c>
    </row>
    <row r="11" spans="1:35" x14ac:dyDescent="0.25">
      <c r="A11" s="43">
        <f>'[2]SR-163 NB'!C11</f>
        <v>4</v>
      </c>
      <c r="B11" s="43" t="str">
        <f>'[2]SR-163 NB'!H11</f>
        <v>SR-163 NB</v>
      </c>
      <c r="C11" s="126">
        <f>'[2]SR-163 NB'!E11</f>
        <v>11483</v>
      </c>
      <c r="D11" s="188">
        <f>'[2]SR-163 NB'!I11</f>
        <v>34</v>
      </c>
      <c r="E11" s="189">
        <f>'[2]SR-163 NB'!J11</f>
        <v>0</v>
      </c>
      <c r="F11" s="189" t="str">
        <f>'[2]SR-163 NB'!K11</f>
        <v>KEARNY VILLA</v>
      </c>
      <c r="G11" s="189" t="str">
        <f>'[2]SR-163 NB'!L11</f>
        <v>I-15 HOV NB</v>
      </c>
      <c r="H11" s="197">
        <f>'[2]SR-163 NB'!O11</f>
        <v>19486</v>
      </c>
      <c r="I11" s="198">
        <f>VLOOKUP(c_4[[#This Row],[hwycov_id]],readme!D:G,4,FALSE)</f>
        <v>23833.796875</v>
      </c>
      <c r="J11" s="49">
        <f t="shared" si="2"/>
        <v>0.22312413399363651</v>
      </c>
      <c r="K11" s="190" t="str">
        <f>'[2]SR-163 NB'!P11</f>
        <v>Caltran</v>
      </c>
      <c r="L11" s="148">
        <f t="shared" si="3"/>
        <v>18903337.666259766</v>
      </c>
    </row>
    <row r="12" spans="1:35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49"/>
      <c r="K12" s="190"/>
      <c r="L12" s="148"/>
    </row>
    <row r="13" spans="1:35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49"/>
      <c r="K13" s="190"/>
      <c r="L13" s="148"/>
    </row>
    <row r="14" spans="1:35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49"/>
      <c r="K14" s="190"/>
      <c r="L14" s="148"/>
    </row>
    <row r="49" spans="10:13" x14ac:dyDescent="0.25">
      <c r="J49" s="39"/>
      <c r="K49" s="39"/>
      <c r="L49" s="45"/>
      <c r="M49" s="45"/>
    </row>
    <row r="50" spans="10:13" x14ac:dyDescent="0.25">
      <c r="J50" s="39"/>
      <c r="K50" s="39"/>
      <c r="L50" s="45"/>
      <c r="M50" s="45"/>
    </row>
    <row r="51" spans="10:13" x14ac:dyDescent="0.25">
      <c r="J51" s="39"/>
      <c r="K51" s="39"/>
      <c r="L51" s="45"/>
      <c r="M51" s="45"/>
    </row>
    <row r="52" spans="10:13" x14ac:dyDescent="0.25">
      <c r="J52" s="39"/>
      <c r="K52" s="39"/>
      <c r="L52" s="45"/>
      <c r="M52" s="45"/>
    </row>
    <row r="53" spans="10:13" x14ac:dyDescent="0.25">
      <c r="L53" s="48"/>
      <c r="M53" s="48"/>
    </row>
  </sheetData>
  <conditionalFormatting sqref="N2:N1048576 J15:K77">
    <cfRule type="cellIs" dxfId="620" priority="7" operator="lessThan">
      <formula>-0.2</formula>
    </cfRule>
    <cfRule type="cellIs" dxfId="619" priority="8" operator="greaterThan">
      <formula>0.2</formula>
    </cfRule>
  </conditionalFormatting>
  <conditionalFormatting sqref="N1">
    <cfRule type="cellIs" dxfId="618" priority="3" operator="lessThan">
      <formula>-0.2</formula>
    </cfRule>
    <cfRule type="cellIs" dxfId="617" priority="4" operator="greaterThan">
      <formula>0.2</formula>
    </cfRule>
  </conditionalFormatting>
  <conditionalFormatting sqref="J2:J11">
    <cfRule type="cellIs" dxfId="616" priority="1" operator="lessThan">
      <formula>-0.2</formula>
    </cfRule>
    <cfRule type="cellIs" dxfId="61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39997558519241921"/>
  </sheetPr>
  <dimension ref="A1:AL61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J21" sqref="J21"/>
    </sheetView>
  </sheetViews>
  <sheetFormatPr defaultColWidth="9.140625" defaultRowHeight="15" customHeight="1" x14ac:dyDescent="0.2"/>
  <cols>
    <col min="1" max="1" width="10.5703125" style="25" bestFit="1" customWidth="1"/>
    <col min="2" max="2" width="10" style="25" bestFit="1" customWidth="1"/>
    <col min="3" max="3" width="12.7109375" style="25" bestFit="1" customWidth="1"/>
    <col min="4" max="4" width="7.28515625" style="27" bestFit="1" customWidth="1"/>
    <col min="5" max="5" width="9.7109375" style="32" bestFit="1" customWidth="1"/>
    <col min="6" max="6" width="23.7109375" style="25" bestFit="1" customWidth="1"/>
    <col min="7" max="7" width="16.5703125" style="25" bestFit="1" customWidth="1"/>
    <col min="8" max="8" width="8.5703125" style="27" bestFit="1" customWidth="1"/>
    <col min="9" max="9" width="7.42578125" style="48" bestFit="1" customWidth="1"/>
    <col min="10" max="10" width="6.42578125" style="26" bestFit="1" customWidth="1"/>
    <col min="11" max="11" width="10.28515625" style="26" bestFit="1" customWidth="1"/>
    <col min="12" max="12" width="9.85546875" style="26" bestFit="1" customWidth="1"/>
    <col min="13" max="14" width="9" style="26" customWidth="1"/>
    <col min="15" max="16" width="9" style="30" customWidth="1"/>
    <col min="17" max="19" width="9.140625" style="25"/>
    <col min="20" max="20" width="10.42578125" style="25" customWidth="1"/>
    <col min="21" max="21" width="9.140625" style="25"/>
    <col min="22" max="22" width="9.5703125" style="25" customWidth="1"/>
    <col min="23" max="24" width="9.28515625" style="25" customWidth="1"/>
    <col min="25" max="16384" width="9.140625" style="25"/>
  </cols>
  <sheetData>
    <row r="1" spans="1:38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3" t="s">
        <v>17</v>
      </c>
      <c r="J1" s="26" t="s">
        <v>50</v>
      </c>
      <c r="K1" s="26" t="s">
        <v>174</v>
      </c>
      <c r="L1" s="44" t="s">
        <v>105</v>
      </c>
      <c r="M1" s="44"/>
      <c r="N1" s="60">
        <f>SQRT(AVERAGE(c_5[x2]))/AVERAGE(c_5[count])</f>
        <v>0.16783584218146869</v>
      </c>
      <c r="O1" s="69">
        <f>LINEST(c_5[flow],c_5[count],FALSE)</f>
        <v>1.0895516413352702</v>
      </c>
      <c r="P1" s="69">
        <f>RSQ(c_5[flow],c_5[count])</f>
        <v>0.97214282994088619</v>
      </c>
      <c r="Q1" s="19">
        <f>IFERROR(AVERAGEIF(c_5[gap],"&gt;=0",c_5[gap]),0)</f>
        <v>0.12805432722109014</v>
      </c>
      <c r="R1" s="20">
        <f>IFERROR(AVERAGEIF(c_5[gap],"&lt;0",c_5[gap]),0)</f>
        <v>-0.11505185975978935</v>
      </c>
      <c r="S1" s="13">
        <f>AVERAGE(c_5[gap])</f>
        <v>1.8656543079694367E-2</v>
      </c>
      <c r="T1" s="18">
        <f>COUNTIFS(c_5[gap],"&lt;10%",c_5[gap],"&gt;=-10%")/COUNTA(c_5[gap])</f>
        <v>0.45</v>
      </c>
      <c r="U1" s="18">
        <f>COUNTIFS(c_5[gap],"&lt;20%",c_5[gap],"&gt;=-20%")/COUNTA(c_5[gap])</f>
        <v>0.9</v>
      </c>
      <c r="V1" s="18">
        <f>COUNTIFS(c_5[gap],"&lt;30%",c_5[gap],"&gt;=-30%")/COUNTA(c_5[gap])</f>
        <v>0.95</v>
      </c>
      <c r="W1" s="19">
        <f>COUNTIF(c_5[gap],"&gt;=0")/COUNTA(c_5[gap])</f>
        <v>0.55000000000000004</v>
      </c>
      <c r="X1" s="21">
        <f>COUNTIF(c_5[gap],"&lt;0")/COUNTA(c_5[gap])</f>
        <v>0.45</v>
      </c>
      <c r="Y1" s="38" t="str">
        <f>"%Link(+)="&amp;TEXT(W1,"0%")</f>
        <v>%Link(+)=55%</v>
      </c>
      <c r="Z1" s="38" t="str">
        <f>"%Link(-)="&amp;TEXT(X1,"0%")</f>
        <v>%Link(-)=45%</v>
      </c>
      <c r="AA1" s="36" t="str">
        <f>"AvgGap(+)="&amp;TEXT(Q1,"0%")</f>
        <v>AvgGap(+)=13%</v>
      </c>
      <c r="AB1" s="25" t="str">
        <f>"AvgGap(-)="&amp;TEXT(R1,"0%")</f>
        <v>AvgGap(-)=-12%</v>
      </c>
      <c r="AC1" s="25" t="str">
        <f>"AvgGap(±)="&amp;TEXT(S1,"0%")</f>
        <v>AvgGap(±)=2%</v>
      </c>
      <c r="AD1" s="25" t="str">
        <f>"GapIn(±10%)="&amp;TEXT(T1,"0%")</f>
        <v>GapIn(±10%)=45%</v>
      </c>
      <c r="AE1" s="25" t="str">
        <f>"GapIn(±20%)="&amp;TEXT(U1,"0%")</f>
        <v>GapIn(±20%)=90%</v>
      </c>
      <c r="AF1" s="25" t="str">
        <f>"GapIn(±30%)="&amp;TEXT(V1,"0%")</f>
        <v>GapIn(±30%)=95%</v>
      </c>
      <c r="AG1" s="25" t="str">
        <f>"Linear Slope="&amp;TEXT(O1,"#.###")</f>
        <v>Linear Slope=1.09</v>
      </c>
      <c r="AH1" s="25" t="str">
        <f>"RMSE="&amp;TEXT(N1,"0%")</f>
        <v>RMSE=17%</v>
      </c>
      <c r="AI1" s="40" t="str">
        <f>CONCATENATE(Y1," ",Z1," ",AA1,"  ",AB1,"  ",AC1,"  ",AD1,"  ",AE1,"  ",AF1,"  ",AG1," ",AH1)</f>
        <v>%Link(+)=55% %Link(-)=45% AvgGap(+)=13%  AvgGap(-)=-12%  AvgGap(±)=2%  GapIn(±10%)=45%  GapIn(±20%)=90%  GapIn(±30%)=95%  Linear Slope=1.09 RMSE=17%</v>
      </c>
    </row>
    <row r="2" spans="1:38" ht="15" customHeight="1" x14ac:dyDescent="0.25">
      <c r="A2" s="43">
        <f>'[2]SR-125 NB'!C2</f>
        <v>5</v>
      </c>
      <c r="B2" s="43" t="str">
        <f>'[2]SR-125 NB'!H2</f>
        <v>SR-125 NB</v>
      </c>
      <c r="C2" s="126">
        <f>'[2]SR-125 NB'!E2</f>
        <v>9483</v>
      </c>
      <c r="D2" s="188">
        <f>'[2]SR-125 NB'!I2</f>
        <v>12</v>
      </c>
      <c r="E2" s="189">
        <f>'[2]SR-125 NB'!J2</f>
        <v>0</v>
      </c>
      <c r="F2" s="189" t="str">
        <f>'[2]SR-125 NB'!K2</f>
        <v>WOLF CANYON</v>
      </c>
      <c r="G2" s="189" t="str">
        <f>'[2]SR-125 NB'!L2</f>
        <v>EAST CENTER</v>
      </c>
      <c r="H2" s="197">
        <f>'[2]SR-125 NB'!O2</f>
        <v>1769</v>
      </c>
      <c r="I2" s="198">
        <f>VLOOKUP(c_5[[#This Row],[hwycov_id]],readme!D:G,4,FALSE)</f>
        <v>1920.259155</v>
      </c>
      <c r="J2" s="49">
        <f t="shared" ref="J2" si="0">I2/H2-1</f>
        <v>8.5505457885811209E-2</v>
      </c>
      <c r="K2" s="190" t="str">
        <f>'[2]SR-125 NB'!P2</f>
        <v>SANDAG</v>
      </c>
      <c r="L2" s="148">
        <f t="shared" ref="L2" si="1">POWER((I2-H2),2)</f>
        <v>22879.331971314015</v>
      </c>
      <c r="M2" s="44"/>
    </row>
    <row r="3" spans="1:38" ht="15" customHeight="1" x14ac:dyDescent="0.25">
      <c r="A3" s="43">
        <f>'[2]SR-125 NB'!C3</f>
        <v>5</v>
      </c>
      <c r="B3" s="43" t="str">
        <f>'[2]SR-125 NB'!H3</f>
        <v>SR-125 NB</v>
      </c>
      <c r="C3" s="126">
        <f>'[2]SR-125 NB'!E3</f>
        <v>9509</v>
      </c>
      <c r="D3" s="188">
        <f>'[2]SR-125 NB'!I3</f>
        <v>15</v>
      </c>
      <c r="E3" s="189">
        <f>'[2]SR-125 NB'!J3</f>
        <v>0</v>
      </c>
      <c r="F3" s="189" t="str">
        <f>'[2]SR-125 NB'!K3</f>
        <v>EAST CENTER</v>
      </c>
      <c r="G3" s="189" t="str">
        <f>'[2]SR-125 NB'!L3</f>
        <v>ORANGE</v>
      </c>
      <c r="H3" s="197">
        <f>'[2]SR-125 NB'!O3</f>
        <v>1877</v>
      </c>
      <c r="I3" s="198">
        <f>VLOOKUP(c_5[[#This Row],[hwycov_id]],readme!D:G,4,FALSE)</f>
        <v>1609.3594969999999</v>
      </c>
      <c r="J3" s="49">
        <f t="shared" ref="J3:J21" si="2">I3/H3-1</f>
        <v>-0.1425895061267981</v>
      </c>
      <c r="K3" s="190" t="str">
        <f>'[2]SR-125 NB'!P3</f>
        <v>SANDAG</v>
      </c>
      <c r="L3" s="148">
        <f t="shared" ref="L3:L21" si="3">POWER((I3-H3),2)</f>
        <v>71631.43884609305</v>
      </c>
      <c r="M3" s="44"/>
    </row>
    <row r="4" spans="1:38" ht="15" customHeight="1" x14ac:dyDescent="0.25">
      <c r="A4" s="43">
        <f>'[2]SR-125 NB'!C4</f>
        <v>5</v>
      </c>
      <c r="B4" s="43" t="str">
        <f>'[2]SR-125 NB'!H4</f>
        <v>SR-125 NB</v>
      </c>
      <c r="C4" s="126">
        <f>'[2]SR-125 NB'!E4</f>
        <v>9519</v>
      </c>
      <c r="D4" s="188">
        <f>'[2]SR-125 NB'!I4</f>
        <v>18</v>
      </c>
      <c r="E4" s="189">
        <f>'[2]SR-125 NB'!J4</f>
        <v>0</v>
      </c>
      <c r="F4" s="189" t="str">
        <f>'[2]SR-125 NB'!K4</f>
        <v>ORANGE</v>
      </c>
      <c r="G4" s="189" t="str">
        <f>'[2]SR-125 NB'!L4</f>
        <v>TOLL PLAZA</v>
      </c>
      <c r="H4" s="197">
        <f>'[2]SR-125 NB'!O4</f>
        <v>2321</v>
      </c>
      <c r="I4" s="198">
        <f>VLOOKUP(c_5[[#This Row],[hwycov_id]],readme!D:G,4,FALSE)</f>
        <v>1899.404419</v>
      </c>
      <c r="J4" s="49">
        <f t="shared" si="2"/>
        <v>-0.18164393838862558</v>
      </c>
      <c r="K4" s="190" t="str">
        <f>'[2]SR-125 NB'!P4</f>
        <v>SANDAG</v>
      </c>
      <c r="L4" s="148">
        <f t="shared" si="3"/>
        <v>177742.83391872759</v>
      </c>
      <c r="M4" s="44"/>
    </row>
    <row r="5" spans="1:38" ht="15" customHeight="1" x14ac:dyDescent="0.25">
      <c r="A5" s="43">
        <f>'[2]SR-125 NB'!C5</f>
        <v>5</v>
      </c>
      <c r="B5" s="43" t="str">
        <f>'[2]SR-125 NB'!H5</f>
        <v>SR-125 NB</v>
      </c>
      <c r="C5" s="126">
        <f>'[2]SR-125 NB'!E5</f>
        <v>9143</v>
      </c>
      <c r="D5" s="188">
        <f>'[2]SR-125 NB'!I5</f>
        <v>21</v>
      </c>
      <c r="E5" s="189">
        <f>'[2]SR-125 NB'!J5</f>
        <v>0</v>
      </c>
      <c r="F5" s="189" t="str">
        <f>'[2]SR-125 NB'!K5</f>
        <v>TELEGRAPH CANYON</v>
      </c>
      <c r="G5" s="189" t="str">
        <f>'[2]SR-125 NB'!L5</f>
        <v>EASTLAKE</v>
      </c>
      <c r="H5" s="197">
        <f>'[2]SR-125 NB'!O5</f>
        <v>3009</v>
      </c>
      <c r="I5" s="198">
        <f>VLOOKUP(c_5[[#This Row],[hwycov_id]],readme!D:G,4,FALSE)</f>
        <v>2621.8789059999999</v>
      </c>
      <c r="J5" s="49">
        <f t="shared" si="2"/>
        <v>-0.12865440146227991</v>
      </c>
      <c r="K5" s="190" t="str">
        <f>'[2]SR-125 NB'!P5</f>
        <v>SANDAG</v>
      </c>
      <c r="L5" s="148">
        <f t="shared" si="3"/>
        <v>149862.7414197569</v>
      </c>
      <c r="M5" s="44"/>
    </row>
    <row r="6" spans="1:38" ht="15" customHeight="1" x14ac:dyDescent="0.25">
      <c r="A6" s="43">
        <f>'[2]SR-125 NB'!C6</f>
        <v>5</v>
      </c>
      <c r="B6" s="43" t="str">
        <f>'[2]SR-125 NB'!H6</f>
        <v>SR-125 NB</v>
      </c>
      <c r="C6" s="126">
        <f>'[2]SR-125 NB'!E6</f>
        <v>10255</v>
      </c>
      <c r="D6" s="188">
        <f>'[2]SR-125 NB'!I6</f>
        <v>25</v>
      </c>
      <c r="E6" s="189">
        <f>'[2]SR-125 NB'!J6</f>
        <v>0</v>
      </c>
      <c r="F6" s="189" t="str">
        <f>'[2]SR-125 NB'!K6</f>
        <v>H</v>
      </c>
      <c r="G6" s="189" t="str">
        <f>'[2]SR-125 NB'!L6</f>
        <v>SAN MIGUEL</v>
      </c>
      <c r="H6" s="197">
        <f>'[2]SR-125 NB'!O6</f>
        <v>3276</v>
      </c>
      <c r="I6" s="198">
        <f>VLOOKUP(c_5[[#This Row],[hwycov_id]],readme!D:G,4,FALSE)</f>
        <v>2716.0551759999998</v>
      </c>
      <c r="J6" s="49">
        <f t="shared" si="2"/>
        <v>-0.17092332844932845</v>
      </c>
      <c r="K6" s="190" t="str">
        <f>'[2]SR-125 NB'!P6</f>
        <v>SANDAG</v>
      </c>
      <c r="L6" s="148">
        <f t="shared" si="3"/>
        <v>313538.20592439116</v>
      </c>
      <c r="M6" s="44"/>
    </row>
    <row r="7" spans="1:38" ht="15" customHeight="1" x14ac:dyDescent="0.25">
      <c r="A7" s="43">
        <f>'[2]SR-125 NB'!C7</f>
        <v>5</v>
      </c>
      <c r="B7" s="43" t="str">
        <f>'[2]SR-125 NB'!H7</f>
        <v>SR-125 NB</v>
      </c>
      <c r="C7" s="126">
        <f>'[2]SR-125 NB'!E7</f>
        <v>10257</v>
      </c>
      <c r="D7" s="188">
        <f>'[2]SR-125 NB'!I7</f>
        <v>27</v>
      </c>
      <c r="E7" s="189">
        <f>'[2]SR-125 NB'!J7</f>
        <v>2</v>
      </c>
      <c r="F7" s="189" t="str">
        <f>'[2]SR-125 NB'!K7</f>
        <v>SAN MIGUEL</v>
      </c>
      <c r="G7" s="189" t="str">
        <f>'[2]SR-125 NB'!L7</f>
        <v>SR-54 EB</v>
      </c>
      <c r="H7" s="197">
        <f>'[2]SR-125 NB'!O7</f>
        <v>3565</v>
      </c>
      <c r="I7" s="198">
        <f>VLOOKUP(c_5[[#This Row],[hwycov_id]],readme!D:G,4,FALSE)</f>
        <v>3221.8562010000001</v>
      </c>
      <c r="J7" s="49">
        <f t="shared" si="2"/>
        <v>-9.6253520056100994E-2</v>
      </c>
      <c r="K7" s="190" t="str">
        <f>'[2]SR-125 NB'!P7</f>
        <v>SANDAG</v>
      </c>
      <c r="L7" s="148">
        <f t="shared" si="3"/>
        <v>117747.66679215236</v>
      </c>
      <c r="M7" s="44"/>
    </row>
    <row r="8" spans="1:38" ht="15" customHeight="1" x14ac:dyDescent="0.25">
      <c r="A8" s="43">
        <f>'[2]SR-125 NB'!C8</f>
        <v>5</v>
      </c>
      <c r="B8" s="43" t="str">
        <f>'[2]SR-125 NB'!H8</f>
        <v>SR-125 NB</v>
      </c>
      <c r="C8" s="126">
        <f>'[2]SR-125 NB'!E8</f>
        <v>7190</v>
      </c>
      <c r="D8" s="188">
        <f>'[2]SR-125 NB'!I8</f>
        <v>1</v>
      </c>
      <c r="E8" s="189">
        <f>'[2]SR-125 NB'!J8</f>
        <v>0</v>
      </c>
      <c r="F8" s="189" t="str">
        <f>'[2]SR-125 NB'!K8</f>
        <v>SR-54 EB</v>
      </c>
      <c r="G8" s="189" t="str">
        <f>'[2]SR-125 NB'!L8</f>
        <v>SWAP MEET</v>
      </c>
      <c r="H8" s="197">
        <f>'[2]SR-125 NB'!O8</f>
        <v>12679</v>
      </c>
      <c r="I8" s="198">
        <f>VLOOKUP(c_5[[#This Row],[hwycov_id]],readme!D:G,4,FALSE)</f>
        <v>14145.576171999999</v>
      </c>
      <c r="J8" s="49">
        <f t="shared" si="2"/>
        <v>0.11566970360438522</v>
      </c>
      <c r="K8" s="190" t="str">
        <f>'[2]SR-125 NB'!P8</f>
        <v>Caltran</v>
      </c>
      <c r="L8" s="148">
        <f t="shared" si="3"/>
        <v>2150845.6682781712</v>
      </c>
      <c r="M8" s="44"/>
      <c r="AJ8" s="27"/>
      <c r="AK8" s="32"/>
      <c r="AL8" s="32"/>
    </row>
    <row r="9" spans="1:38" ht="15" customHeight="1" x14ac:dyDescent="0.25">
      <c r="A9" s="43">
        <f>'[2]SR-125 NB'!C9</f>
        <v>5</v>
      </c>
      <c r="B9" s="43" t="str">
        <f>'[2]SR-125 NB'!H9</f>
        <v>SR-125 NB</v>
      </c>
      <c r="C9" s="126">
        <f>'[2]SR-125 NB'!E9</f>
        <v>7215</v>
      </c>
      <c r="D9" s="188">
        <f>'[2]SR-125 NB'!I9</f>
        <v>2</v>
      </c>
      <c r="E9" s="189">
        <f>'[2]SR-125 NB'!J9</f>
        <v>0</v>
      </c>
      <c r="F9" s="189" t="str">
        <f>'[2]SR-125 NB'!K9</f>
        <v>SWAP MEET</v>
      </c>
      <c r="G9" s="189" t="str">
        <f>'[2]SR-125 NB'!L9</f>
        <v>PARADISE VALLEY</v>
      </c>
      <c r="H9" s="197">
        <f>'[2]SR-125 NB'!O9</f>
        <v>10284</v>
      </c>
      <c r="I9" s="198">
        <f>VLOOKUP(c_5[[#This Row],[hwycov_id]],readme!D:G,4,FALSE)</f>
        <v>11759.694336</v>
      </c>
      <c r="J9" s="49">
        <f t="shared" si="2"/>
        <v>0.14349419836639443</v>
      </c>
      <c r="K9" s="190" t="str">
        <f>'[2]SR-125 NB'!P9</f>
        <v>PeMS2016</v>
      </c>
      <c r="L9" s="148">
        <f t="shared" si="3"/>
        <v>2177673.7733024824</v>
      </c>
      <c r="M9" s="44"/>
      <c r="AJ9" s="27"/>
      <c r="AK9" s="32"/>
    </row>
    <row r="10" spans="1:38" ht="15" customHeight="1" x14ac:dyDescent="0.25">
      <c r="A10" s="43">
        <f>'[2]SR-125 NB'!C10</f>
        <v>5</v>
      </c>
      <c r="B10" s="43" t="str">
        <f>'[2]SR-125 NB'!H10</f>
        <v>SR-125 NB</v>
      </c>
      <c r="C10" s="126">
        <f>'[2]SR-125 NB'!E10</f>
        <v>7222</v>
      </c>
      <c r="D10" s="188">
        <f>'[2]SR-125 NB'!I10</f>
        <v>4</v>
      </c>
      <c r="E10" s="189">
        <f>'[2]SR-125 NB'!J10</f>
        <v>0</v>
      </c>
      <c r="F10" s="189" t="str">
        <f>'[2]SR-125 NB'!K10</f>
        <v>JAMACHA ROAD</v>
      </c>
      <c r="G10" s="189" t="str">
        <f>'[2]SR-125 NB'!L10</f>
        <v>JAMACHA ROAD</v>
      </c>
      <c r="H10" s="197">
        <f>'[2]SR-125 NB'!O10</f>
        <v>10208</v>
      </c>
      <c r="I10" s="198">
        <f>VLOOKUP(c_5[[#This Row],[hwycov_id]],readme!D:G,4,FALSE)</f>
        <v>10858.965819999999</v>
      </c>
      <c r="J10" s="49">
        <f t="shared" si="2"/>
        <v>6.377016261755486E-2</v>
      </c>
      <c r="K10" s="190" t="str">
        <f>'[2]SR-125 NB'!P10</f>
        <v>PeMS2016</v>
      </c>
      <c r="L10" s="148">
        <f t="shared" si="3"/>
        <v>423756.49880827166</v>
      </c>
      <c r="M10" s="44"/>
      <c r="AJ10" s="27"/>
      <c r="AK10" s="32"/>
    </row>
    <row r="11" spans="1:38" ht="15" customHeight="1" x14ac:dyDescent="0.25">
      <c r="A11" s="43">
        <f>'[2]SR-125 NB'!C11</f>
        <v>5</v>
      </c>
      <c r="B11" s="43" t="str">
        <f>'[2]SR-125 NB'!H11</f>
        <v>SR-125 NB</v>
      </c>
      <c r="C11" s="126">
        <f>'[2]SR-125 NB'!E11</f>
        <v>10793</v>
      </c>
      <c r="D11" s="188">
        <f>'[2]SR-125 NB'!I11</f>
        <v>5</v>
      </c>
      <c r="E11" s="189">
        <f>'[2]SR-125 NB'!J11</f>
        <v>1</v>
      </c>
      <c r="F11" s="189" t="str">
        <f>'[2]SR-125 NB'!K11</f>
        <v>JAMACHA ROAD</v>
      </c>
      <c r="G11" s="189" t="str">
        <f>'[2]SR-125 NB'!L11</f>
        <v>TROY</v>
      </c>
      <c r="H11" s="197">
        <f>'[2]SR-125 NB'!O11</f>
        <v>11072</v>
      </c>
      <c r="I11" s="198">
        <f>VLOOKUP(c_5[[#This Row],[hwycov_id]],readme!D:G,4,FALSE)</f>
        <v>13115.177734000001</v>
      </c>
      <c r="J11" s="49">
        <f t="shared" si="2"/>
        <v>0.18453556123554926</v>
      </c>
      <c r="K11" s="190" t="str">
        <f>'[2]SR-125 NB'!P11</f>
        <v>PeMS2016</v>
      </c>
      <c r="L11" s="148">
        <f t="shared" si="3"/>
        <v>4174575.2527133781</v>
      </c>
      <c r="M11" s="44"/>
      <c r="AJ11" s="27"/>
      <c r="AK11" s="32"/>
    </row>
    <row r="12" spans="1:38" ht="15" customHeight="1" x14ac:dyDescent="0.25">
      <c r="A12" s="43">
        <f>'[2]SR-125 NB'!C12</f>
        <v>5</v>
      </c>
      <c r="B12" s="43" t="str">
        <f>'[2]SR-125 NB'!H12</f>
        <v>SR-125 NB</v>
      </c>
      <c r="C12" s="126">
        <f>'[2]SR-125 NB'!E12</f>
        <v>31171</v>
      </c>
      <c r="D12" s="188">
        <f>'[2]SR-125 NB'!I12</f>
        <v>6</v>
      </c>
      <c r="E12" s="189">
        <f>'[2]SR-125 NB'!J12</f>
        <v>0</v>
      </c>
      <c r="F12" s="189" t="str">
        <f>'[2]SR-125 NB'!K12</f>
        <v>TROY</v>
      </c>
      <c r="G12" s="189" t="str">
        <f>'[2]SR-125 NB'!L12</f>
        <v>SR-94 WB</v>
      </c>
      <c r="H12" s="197">
        <f>'[2]SR-125 NB'!O12</f>
        <v>13499</v>
      </c>
      <c r="I12" s="198">
        <f>VLOOKUP(c_5[[#This Row],[hwycov_id]],readme!D:G,4,FALSE)</f>
        <v>13115.177734000001</v>
      </c>
      <c r="J12" s="49">
        <f t="shared" si="2"/>
        <v>-2.8433385139639888E-2</v>
      </c>
      <c r="K12" s="190" t="str">
        <f>'[2]SR-125 NB'!P12</f>
        <v>PeMS2016</v>
      </c>
      <c r="L12" s="148">
        <f t="shared" si="3"/>
        <v>147319.53187737416</v>
      </c>
      <c r="M12" s="44"/>
      <c r="AJ12" s="27"/>
      <c r="AK12" s="32"/>
    </row>
    <row r="13" spans="1:38" ht="15" customHeight="1" x14ac:dyDescent="0.25">
      <c r="A13" s="43">
        <f>'[2]SR-125 NB'!C13</f>
        <v>5</v>
      </c>
      <c r="B13" s="43" t="str">
        <f>'[2]SR-125 NB'!H13</f>
        <v>SR-125 NB</v>
      </c>
      <c r="C13" s="126">
        <f>'[2]SR-125 NB'!E13</f>
        <v>10158</v>
      </c>
      <c r="D13" s="188">
        <f>'[2]SR-125 NB'!I13</f>
        <v>1</v>
      </c>
      <c r="E13" s="189">
        <f>'[2]SR-125 NB'!J13</f>
        <v>0</v>
      </c>
      <c r="F13" s="189" t="str">
        <f>'[2]SR-125 NB'!K13</f>
        <v>SR-94 EB</v>
      </c>
      <c r="G13" s="189" t="str">
        <f>'[2]SR-125 NB'!L13</f>
        <v>CAMPO</v>
      </c>
      <c r="H13" s="197">
        <f>'[2]SR-125 NB'!O13</f>
        <v>15151</v>
      </c>
      <c r="I13" s="198">
        <f>VLOOKUP(c_5[[#This Row],[hwycov_id]],readme!D:G,4,FALSE)</f>
        <v>18448.203125</v>
      </c>
      <c r="J13" s="49">
        <f t="shared" si="2"/>
        <v>0.21762280542538437</v>
      </c>
      <c r="K13" s="190" t="str">
        <f>'[2]SR-125 NB'!P13</f>
        <v>PeMS2016</v>
      </c>
      <c r="L13" s="148">
        <f t="shared" si="3"/>
        <v>10871548.447509766</v>
      </c>
      <c r="M13" s="44"/>
      <c r="AJ13" s="27"/>
      <c r="AK13" s="32"/>
    </row>
    <row r="14" spans="1:38" ht="15" customHeight="1" x14ac:dyDescent="0.25">
      <c r="A14" s="43">
        <f>'[2]SR-125 NB'!C14</f>
        <v>5</v>
      </c>
      <c r="B14" s="43" t="str">
        <f>'[2]SR-125 NB'!H14</f>
        <v>SR-125 NB</v>
      </c>
      <c r="C14" s="126">
        <f>'[2]SR-125 NB'!E14</f>
        <v>11296</v>
      </c>
      <c r="D14" s="188">
        <f>'[2]SR-125 NB'!I14</f>
        <v>4</v>
      </c>
      <c r="E14" s="189">
        <f>'[2]SR-125 NB'!J14</f>
        <v>0</v>
      </c>
      <c r="F14" s="189" t="str">
        <f>'[2]SR-125 NB'!K14</f>
        <v>SR-94 WB</v>
      </c>
      <c r="G14" s="189" t="str">
        <f>'[2]SR-125 NB'!L14</f>
        <v>LEMON</v>
      </c>
      <c r="H14" s="197">
        <f>'[2]SR-125 NB'!O14</f>
        <v>20112</v>
      </c>
      <c r="I14" s="198">
        <f>VLOOKUP(c_5[[#This Row],[hwycov_id]],readme!D:G,4,FALSE)</f>
        <v>23732.277343999998</v>
      </c>
      <c r="J14" s="49">
        <f t="shared" si="2"/>
        <v>0.18000583452665064</v>
      </c>
      <c r="K14" s="190" t="str">
        <f>'[2]SR-125 NB'!P14</f>
        <v>Caltran</v>
      </c>
      <c r="L14" s="148">
        <f t="shared" si="3"/>
        <v>13106408.047479682</v>
      </c>
      <c r="M14" s="44"/>
      <c r="AJ14" s="27"/>
      <c r="AK14" s="32"/>
    </row>
    <row r="15" spans="1:38" ht="15" customHeight="1" x14ac:dyDescent="0.25">
      <c r="A15" s="43">
        <f>'[2]SR-125 NB'!C15</f>
        <v>5</v>
      </c>
      <c r="B15" s="43" t="str">
        <f>'[2]SR-125 NB'!H15</f>
        <v>SR-125 NB</v>
      </c>
      <c r="C15" s="126">
        <f>'[2]SR-125 NB'!E15</f>
        <v>11291</v>
      </c>
      <c r="D15" s="188">
        <f>'[2]SR-125 NB'!I15</f>
        <v>7</v>
      </c>
      <c r="E15" s="189">
        <f>'[2]SR-125 NB'!J15</f>
        <v>0</v>
      </c>
      <c r="F15" s="189" t="str">
        <f>'[2]SR-125 NB'!K15</f>
        <v>I-8 EB</v>
      </c>
      <c r="G15" s="189" t="str">
        <f>'[2]SR-125 NB'!L15</f>
        <v>GROSSMONT</v>
      </c>
      <c r="H15" s="197">
        <f>'[2]SR-125 NB'!O15</f>
        <v>8272</v>
      </c>
      <c r="I15" s="198">
        <f>VLOOKUP(c_5[[#This Row],[hwycov_id]],readme!D:G,4,FALSE)</f>
        <v>8672.8232420000004</v>
      </c>
      <c r="J15" s="49">
        <f t="shared" si="2"/>
        <v>4.845542093810451E-2</v>
      </c>
      <c r="K15" s="190" t="str">
        <f>'[2]SR-125 NB'!P15</f>
        <v>PeMS2016</v>
      </c>
      <c r="L15" s="148">
        <f t="shared" si="3"/>
        <v>160659.27132739089</v>
      </c>
      <c r="M15" s="44"/>
      <c r="AJ15" s="27"/>
      <c r="AK15" s="32"/>
    </row>
    <row r="16" spans="1:38" ht="15" customHeight="1" x14ac:dyDescent="0.25">
      <c r="A16" s="43">
        <f>'[2]SR-125 NB'!C16</f>
        <v>5</v>
      </c>
      <c r="B16" s="43" t="str">
        <f>'[2]SR-125 NB'!H16</f>
        <v>SR-125 NB</v>
      </c>
      <c r="C16" s="126">
        <f>'[2]SR-125 NB'!E16</f>
        <v>28939</v>
      </c>
      <c r="D16" s="188">
        <f>'[2]SR-125 NB'!I16</f>
        <v>12</v>
      </c>
      <c r="E16" s="189">
        <f>'[2]SR-125 NB'!J16</f>
        <v>0</v>
      </c>
      <c r="F16" s="189" t="str">
        <f>'[2]SR-125 NB'!K16</f>
        <v>AMAYA</v>
      </c>
      <c r="G16" s="189" t="str">
        <f>'[2]SR-125 NB'!L16</f>
        <v>AMAYA</v>
      </c>
      <c r="H16" s="197">
        <f>'[2]SR-125 NB'!O16</f>
        <v>9161</v>
      </c>
      <c r="I16" s="198">
        <f>VLOOKUP(c_5[[#This Row],[hwycov_id]],readme!D:G,4,FALSE)</f>
        <v>9474.3300780000009</v>
      </c>
      <c r="J16" s="49">
        <f t="shared" si="2"/>
        <v>3.4202606484008413E-2</v>
      </c>
      <c r="K16" s="190" t="str">
        <f>'[2]SR-125 NB'!P16</f>
        <v>PeMS2016</v>
      </c>
      <c r="L16" s="148">
        <f t="shared" si="3"/>
        <v>98175.737779486633</v>
      </c>
      <c r="M16" s="44"/>
      <c r="AJ16" s="27"/>
      <c r="AK16" s="32"/>
    </row>
    <row r="17" spans="1:37" ht="15" customHeight="1" x14ac:dyDescent="0.25">
      <c r="A17" s="43">
        <f>'[2]SR-125 NB'!C17</f>
        <v>5</v>
      </c>
      <c r="B17" s="43" t="str">
        <f>'[2]SR-125 NB'!H17</f>
        <v>SR-125 NB</v>
      </c>
      <c r="C17" s="126">
        <f>'[2]SR-125 NB'!E17</f>
        <v>28940</v>
      </c>
      <c r="D17" s="188">
        <f>'[2]SR-125 NB'!I17</f>
        <v>13</v>
      </c>
      <c r="E17" s="189">
        <f>'[2]SR-125 NB'!J17</f>
        <v>0</v>
      </c>
      <c r="F17" s="189" t="str">
        <f>'[2]SR-125 NB'!K17</f>
        <v>AMAYA</v>
      </c>
      <c r="G17" s="189" t="str">
        <f>'[2]SR-125 NB'!L17</f>
        <v>NAVAJO</v>
      </c>
      <c r="H17" s="197">
        <f>'[2]SR-125 NB'!O17</f>
        <v>11629</v>
      </c>
      <c r="I17" s="198">
        <f>VLOOKUP(c_5[[#This Row],[hwycov_id]],readme!D:G,4,FALSE)</f>
        <v>10271.800781</v>
      </c>
      <c r="J17" s="49">
        <f t="shared" si="2"/>
        <v>-0.11670816226674696</v>
      </c>
      <c r="K17" s="190" t="str">
        <f>'[2]SR-125 NB'!P17</f>
        <v>PeMS2016</v>
      </c>
      <c r="L17" s="148">
        <f t="shared" si="3"/>
        <v>1841989.7200542102</v>
      </c>
      <c r="M17" s="44"/>
      <c r="AJ17" s="27"/>
      <c r="AK17" s="32"/>
    </row>
    <row r="18" spans="1:37" ht="15" customHeight="1" x14ac:dyDescent="0.25">
      <c r="A18" s="43">
        <f>'[2]SR-125 NB'!C18</f>
        <v>5</v>
      </c>
      <c r="B18" s="43" t="str">
        <f>'[2]SR-125 NB'!H18</f>
        <v>SR-125 NB</v>
      </c>
      <c r="C18" s="126">
        <f>'[2]SR-125 NB'!E18</f>
        <v>28945</v>
      </c>
      <c r="D18" s="188">
        <f>'[2]SR-125 NB'!I18</f>
        <v>15</v>
      </c>
      <c r="E18" s="189">
        <f>'[2]SR-125 NB'!J18</f>
        <v>0</v>
      </c>
      <c r="F18" s="189" t="str">
        <f>'[2]SR-125 NB'!K18</f>
        <v>NAVAJO</v>
      </c>
      <c r="G18" s="189" t="str">
        <f>'[2]SR-125 NB'!L18</f>
        <v>NAVAJO</v>
      </c>
      <c r="H18" s="197">
        <f>'[2]SR-125 NB'!O18</f>
        <v>6963</v>
      </c>
      <c r="I18" s="198">
        <f>VLOOKUP(c_5[[#This Row],[hwycov_id]],readme!D:G,4,FALSE)</f>
        <v>6347.7446289999998</v>
      </c>
      <c r="J18" s="49">
        <f t="shared" si="2"/>
        <v>-8.8360673703863357E-2</v>
      </c>
      <c r="K18" s="190" t="str">
        <f>'[2]SR-125 NB'!P18</f>
        <v>PeMS2016</v>
      </c>
      <c r="L18" s="148">
        <f t="shared" si="3"/>
        <v>378539.17154434789</v>
      </c>
      <c r="M18" s="44"/>
      <c r="AJ18" s="27"/>
      <c r="AK18" s="32"/>
    </row>
    <row r="19" spans="1:37" ht="15" customHeight="1" x14ac:dyDescent="0.25">
      <c r="A19" s="43">
        <f>'[2]SR-125 NB'!C19</f>
        <v>5</v>
      </c>
      <c r="B19" s="43" t="str">
        <f>'[2]SR-125 NB'!H19</f>
        <v>SR-125 NB</v>
      </c>
      <c r="C19" s="126">
        <f>'[2]SR-125 NB'!E19</f>
        <v>28948</v>
      </c>
      <c r="D19" s="188">
        <f>'[2]SR-125 NB'!I19</f>
        <v>16</v>
      </c>
      <c r="E19" s="189">
        <f>'[2]SR-125 NB'!J19</f>
        <v>0</v>
      </c>
      <c r="F19" s="189" t="str">
        <f>'[2]SR-125 NB'!K19</f>
        <v>NAVAJO</v>
      </c>
      <c r="G19" s="189" t="str">
        <f>'[2]SR-125 NB'!L19</f>
        <v>GROSSMONT COLLEGE DR</v>
      </c>
      <c r="H19" s="197">
        <f>'[2]SR-125 NB'!O19</f>
        <v>6914</v>
      </c>
      <c r="I19" s="198">
        <f>VLOOKUP(c_5[[#This Row],[hwycov_id]],readme!D:G,4,FALSE)</f>
        <v>6347.7446289999998</v>
      </c>
      <c r="J19" s="49">
        <f t="shared" si="2"/>
        <v>-8.1899822244720921E-2</v>
      </c>
      <c r="K19" s="190" t="str">
        <f>'[2]SR-125 NB'!P19</f>
        <v>PeMS2016</v>
      </c>
      <c r="L19" s="148">
        <f t="shared" si="3"/>
        <v>320645.14518634789</v>
      </c>
      <c r="AJ19" s="27"/>
      <c r="AK19" s="32"/>
    </row>
    <row r="20" spans="1:37" ht="15" customHeight="1" x14ac:dyDescent="0.25">
      <c r="A20" s="43">
        <f>'[2]SR-125 NB'!C20</f>
        <v>5</v>
      </c>
      <c r="B20" s="43" t="str">
        <f>'[2]SR-125 NB'!H20</f>
        <v>SR-125 NB</v>
      </c>
      <c r="C20" s="126">
        <f>'[2]SR-125 NB'!E20</f>
        <v>28924</v>
      </c>
      <c r="D20" s="188">
        <f>'[2]SR-125 NB'!I20</f>
        <v>20</v>
      </c>
      <c r="E20" s="189">
        <f>'[2]SR-125 NB'!J20</f>
        <v>0</v>
      </c>
      <c r="F20" s="189" t="str">
        <f>'[2]SR-125 NB'!K20</f>
        <v>GROSSMONT COLLEGE DR</v>
      </c>
      <c r="G20" s="189" t="str">
        <f>'[2]SR-125 NB'!L20</f>
        <v>SR-52 EB</v>
      </c>
      <c r="H20" s="197">
        <f>'[2]SR-125 NB'!O20</f>
        <v>8862</v>
      </c>
      <c r="I20" s="198">
        <f>VLOOKUP(c_5[[#This Row],[hwycov_id]],readme!D:G,4,FALSE)</f>
        <v>9140.53125</v>
      </c>
      <c r="J20" s="49">
        <f t="shared" si="2"/>
        <v>3.1429840893703487E-2</v>
      </c>
      <c r="K20" s="190" t="str">
        <f>'[2]SR-125 NB'!P20</f>
        <v>Caltran</v>
      </c>
      <c r="L20" s="148">
        <f t="shared" si="3"/>
        <v>77579.6572265625</v>
      </c>
      <c r="AJ20" s="27"/>
      <c r="AK20" s="32"/>
    </row>
    <row r="21" spans="1:37" ht="15" customHeight="1" x14ac:dyDescent="0.25">
      <c r="A21" s="43">
        <f>'[2]SR-125 NB'!C21</f>
        <v>5</v>
      </c>
      <c r="B21" s="43" t="str">
        <f>'[2]SR-125 NB'!H21</f>
        <v>SR-125 NB</v>
      </c>
      <c r="C21" s="126">
        <f>'[2]SR-125 NB'!E21</f>
        <v>28923</v>
      </c>
      <c r="D21" s="188">
        <f>'[2]SR-125 NB'!I21</f>
        <v>21</v>
      </c>
      <c r="E21" s="189">
        <f>'[2]SR-125 NB'!J21</f>
        <v>0</v>
      </c>
      <c r="F21" s="189" t="str">
        <f>'[2]SR-125 NB'!K21</f>
        <v>SR-52 EB</v>
      </c>
      <c r="G21" s="189" t="str">
        <f>'[2]SR-125 NB'!L21</f>
        <v>FANITA</v>
      </c>
      <c r="H21" s="197">
        <f>'[2]SR-125 NB'!O21</f>
        <v>3622</v>
      </c>
      <c r="I21" s="198">
        <f>VLOOKUP(c_5[[#This Row],[hwycov_id]],readme!D:G,4,FALSE)</f>
        <v>4722.7475590000004</v>
      </c>
      <c r="J21" s="49">
        <f t="shared" si="2"/>
        <v>0.30390600745444507</v>
      </c>
      <c r="K21" s="190" t="str">
        <f>'[2]SR-125 NB'!P21</f>
        <v>PeMS2016</v>
      </c>
      <c r="L21" s="148">
        <f t="shared" si="3"/>
        <v>1211645.1886444592</v>
      </c>
      <c r="AJ21" s="27"/>
      <c r="AK21" s="32"/>
    </row>
    <row r="22" spans="1:37" ht="15" customHeight="1" x14ac:dyDescent="0.2">
      <c r="A22" s="53"/>
      <c r="B22" s="53"/>
      <c r="C22" s="53"/>
      <c r="D22" s="48"/>
      <c r="E22" s="59"/>
      <c r="F22" s="59"/>
      <c r="G22" s="59"/>
      <c r="H22" s="48"/>
      <c r="I22" s="250"/>
      <c r="J22" s="47"/>
      <c r="K22" s="48"/>
      <c r="L22" s="44"/>
      <c r="AJ22" s="27"/>
      <c r="AK22" s="32"/>
    </row>
    <row r="23" spans="1:37" ht="15" customHeight="1" x14ac:dyDescent="0.2">
      <c r="A23" s="53"/>
      <c r="B23" s="53"/>
      <c r="C23" s="53"/>
      <c r="D23" s="48"/>
      <c r="E23" s="59"/>
      <c r="F23" s="59"/>
      <c r="G23" s="59"/>
      <c r="H23" s="48"/>
      <c r="I23" s="250"/>
      <c r="J23" s="47"/>
      <c r="K23" s="48"/>
      <c r="L23" s="44"/>
      <c r="AJ23" s="27"/>
      <c r="AK23" s="32"/>
    </row>
    <row r="24" spans="1:37" ht="15" customHeight="1" x14ac:dyDescent="0.2">
      <c r="A24" s="53"/>
      <c r="B24" s="53"/>
      <c r="C24" s="53"/>
      <c r="D24" s="48"/>
      <c r="E24" s="59"/>
      <c r="F24" s="53"/>
      <c r="G24" s="53"/>
      <c r="H24" s="48"/>
      <c r="J24" s="47"/>
      <c r="K24" s="48"/>
      <c r="L24" s="44"/>
      <c r="AJ24" s="27"/>
      <c r="AK24" s="32"/>
    </row>
    <row r="25" spans="1:37" ht="15" customHeight="1" x14ac:dyDescent="0.2">
      <c r="A25" s="53"/>
      <c r="B25" s="53"/>
      <c r="C25" s="53"/>
      <c r="D25" s="48"/>
      <c r="E25" s="59"/>
      <c r="F25" s="53"/>
      <c r="G25" s="53"/>
      <c r="H25" s="48"/>
      <c r="J25" s="47"/>
      <c r="K25" s="48"/>
      <c r="L25" s="44"/>
      <c r="AJ25" s="27"/>
      <c r="AK25" s="32"/>
    </row>
    <row r="26" spans="1:37" ht="15" customHeight="1" x14ac:dyDescent="0.2">
      <c r="A26" s="53"/>
      <c r="B26" s="53"/>
      <c r="C26" s="53"/>
      <c r="D26" s="48"/>
      <c r="E26" s="59"/>
      <c r="F26" s="53"/>
      <c r="G26" s="53"/>
      <c r="H26" s="48"/>
      <c r="J26" s="47"/>
      <c r="K26" s="48"/>
      <c r="L26" s="44"/>
      <c r="AJ26" s="27"/>
      <c r="AK26" s="32"/>
    </row>
    <row r="27" spans="1:37" ht="15" customHeight="1" x14ac:dyDescent="0.2">
      <c r="A27" s="53"/>
      <c r="B27" s="53"/>
      <c r="C27" s="53"/>
      <c r="D27" s="48"/>
      <c r="E27" s="59"/>
      <c r="F27" s="53"/>
      <c r="G27" s="53"/>
      <c r="H27" s="48"/>
      <c r="J27" s="47"/>
      <c r="K27" s="48"/>
      <c r="L27" s="44"/>
      <c r="N27" s="30"/>
      <c r="P27" s="25"/>
      <c r="AJ27" s="27"/>
      <c r="AK27" s="32"/>
    </row>
    <row r="28" spans="1:37" ht="15" customHeight="1" x14ac:dyDescent="0.2">
      <c r="A28" s="53"/>
      <c r="B28" s="53"/>
      <c r="C28" s="53"/>
      <c r="D28" s="48"/>
      <c r="E28" s="59"/>
      <c r="F28" s="53"/>
      <c r="G28" s="53"/>
      <c r="H28" s="48"/>
      <c r="J28" s="47"/>
      <c r="K28" s="48"/>
      <c r="L28" s="44"/>
      <c r="N28" s="30"/>
      <c r="P28" s="25"/>
      <c r="AJ28" s="27"/>
      <c r="AK28" s="32"/>
    </row>
    <row r="29" spans="1:37" ht="15" customHeight="1" x14ac:dyDescent="0.2">
      <c r="A29" s="53"/>
      <c r="B29" s="53"/>
      <c r="C29" s="53"/>
      <c r="D29" s="48"/>
      <c r="E29" s="59"/>
      <c r="F29" s="53"/>
      <c r="G29" s="48"/>
      <c r="H29" s="48"/>
      <c r="J29" s="47"/>
      <c r="K29" s="48"/>
      <c r="L29" s="44"/>
      <c r="N29" s="30"/>
      <c r="P29" s="25"/>
      <c r="AJ29" s="27"/>
      <c r="AK29" s="32"/>
    </row>
    <row r="30" spans="1:37" ht="15" customHeight="1" x14ac:dyDescent="0.2">
      <c r="A30" s="53"/>
      <c r="B30" s="53"/>
      <c r="C30" s="53"/>
      <c r="D30" s="48"/>
      <c r="E30" s="59"/>
      <c r="F30" s="53"/>
      <c r="G30" s="48"/>
      <c r="H30" s="48"/>
      <c r="J30" s="47"/>
      <c r="K30" s="48"/>
      <c r="L30" s="44"/>
      <c r="N30" s="30"/>
      <c r="P30" s="25"/>
      <c r="AJ30" s="27"/>
      <c r="AK30" s="32"/>
    </row>
    <row r="31" spans="1:37" ht="15" customHeight="1" x14ac:dyDescent="0.2">
      <c r="G31" s="27"/>
      <c r="H31" s="48"/>
      <c r="I31" s="26"/>
      <c r="N31" s="30"/>
      <c r="P31" s="25"/>
      <c r="AJ31" s="27"/>
      <c r="AK31" s="32"/>
    </row>
    <row r="32" spans="1:37" ht="15" customHeight="1" x14ac:dyDescent="0.2">
      <c r="G32" s="27"/>
      <c r="H32" s="48"/>
      <c r="I32" s="26"/>
      <c r="N32" s="30"/>
      <c r="P32" s="25"/>
      <c r="AJ32" s="27"/>
      <c r="AK32" s="32"/>
    </row>
    <row r="33" spans="7:37" ht="15" customHeight="1" x14ac:dyDescent="0.2">
      <c r="G33" s="27"/>
      <c r="H33" s="48"/>
      <c r="I33" s="26"/>
      <c r="N33" s="30"/>
      <c r="P33" s="25"/>
      <c r="AJ33" s="27"/>
      <c r="AK33" s="32"/>
    </row>
    <row r="34" spans="7:37" ht="15" customHeight="1" x14ac:dyDescent="0.2">
      <c r="G34" s="27"/>
      <c r="H34" s="48"/>
      <c r="I34" s="26"/>
      <c r="N34" s="30"/>
      <c r="P34" s="25"/>
      <c r="AJ34" s="27"/>
      <c r="AK34" s="32"/>
    </row>
    <row r="35" spans="7:37" ht="15" customHeight="1" x14ac:dyDescent="0.2">
      <c r="G35" s="27"/>
      <c r="H35" s="48"/>
      <c r="I35" s="26"/>
      <c r="N35" s="30"/>
      <c r="P35" s="25"/>
      <c r="AJ35" s="27"/>
      <c r="AK35" s="32"/>
    </row>
    <row r="36" spans="7:37" ht="15" customHeight="1" x14ac:dyDescent="0.2">
      <c r="G36" s="27"/>
      <c r="H36" s="48"/>
      <c r="I36" s="26"/>
      <c r="N36" s="30"/>
      <c r="P36" s="25"/>
      <c r="AJ36" s="27"/>
      <c r="AK36" s="32"/>
    </row>
    <row r="37" spans="7:37" ht="15" customHeight="1" x14ac:dyDescent="0.2">
      <c r="G37" s="27"/>
      <c r="H37" s="48"/>
      <c r="I37" s="26"/>
      <c r="N37" s="30"/>
      <c r="P37" s="25"/>
      <c r="AJ37" s="27"/>
      <c r="AK37" s="32"/>
    </row>
    <row r="38" spans="7:37" ht="15" customHeight="1" x14ac:dyDescent="0.2">
      <c r="G38" s="27"/>
      <c r="H38" s="48"/>
      <c r="I38" s="26"/>
      <c r="N38" s="30"/>
      <c r="P38" s="25"/>
      <c r="AJ38" s="27"/>
      <c r="AK38" s="32"/>
    </row>
    <row r="39" spans="7:37" ht="15" customHeight="1" x14ac:dyDescent="0.2">
      <c r="G39" s="27"/>
      <c r="H39" s="48"/>
      <c r="I39" s="26"/>
      <c r="N39" s="30"/>
      <c r="P39" s="25"/>
      <c r="AJ39" s="27"/>
      <c r="AK39" s="32"/>
    </row>
    <row r="40" spans="7:37" ht="15" customHeight="1" x14ac:dyDescent="0.2">
      <c r="G40" s="27"/>
      <c r="H40" s="48"/>
      <c r="I40" s="26"/>
      <c r="N40" s="30"/>
      <c r="P40" s="25"/>
      <c r="AJ40" s="27"/>
      <c r="AK40" s="32"/>
    </row>
    <row r="41" spans="7:37" ht="15" customHeight="1" x14ac:dyDescent="0.2">
      <c r="G41" s="27"/>
      <c r="H41" s="48"/>
      <c r="I41" s="26"/>
      <c r="N41" s="30"/>
      <c r="P41" s="25"/>
      <c r="AJ41" s="27"/>
      <c r="AK41" s="32"/>
    </row>
    <row r="42" spans="7:37" ht="15" customHeight="1" x14ac:dyDescent="0.2">
      <c r="G42" s="27"/>
      <c r="H42" s="48"/>
      <c r="I42" s="26"/>
      <c r="N42" s="30"/>
      <c r="P42" s="25"/>
      <c r="AJ42" s="27"/>
      <c r="AK42" s="32"/>
    </row>
    <row r="43" spans="7:37" ht="15" customHeight="1" x14ac:dyDescent="0.2">
      <c r="G43" s="27"/>
      <c r="H43" s="48"/>
      <c r="I43" s="26"/>
      <c r="N43" s="30"/>
      <c r="P43" s="25"/>
    </row>
    <row r="44" spans="7:37" ht="15" customHeight="1" x14ac:dyDescent="0.2">
      <c r="G44" s="27"/>
      <c r="H44" s="48"/>
      <c r="I44" s="26"/>
      <c r="N44" s="30"/>
      <c r="P44" s="25"/>
    </row>
    <row r="45" spans="7:37" ht="15" customHeight="1" x14ac:dyDescent="0.2">
      <c r="G45" s="27"/>
      <c r="H45" s="48"/>
      <c r="I45" s="26"/>
      <c r="N45" s="30"/>
      <c r="P45" s="25"/>
    </row>
    <row r="46" spans="7:37" ht="15" customHeight="1" x14ac:dyDescent="0.2">
      <c r="G46" s="27"/>
      <c r="H46" s="48"/>
      <c r="I46" s="26"/>
      <c r="N46" s="30"/>
      <c r="P46" s="25"/>
    </row>
    <row r="47" spans="7:37" ht="15" customHeight="1" x14ac:dyDescent="0.2">
      <c r="G47" s="27"/>
      <c r="H47" s="48"/>
      <c r="I47" s="26"/>
      <c r="N47" s="30"/>
      <c r="P47" s="25"/>
    </row>
    <row r="48" spans="7:37" ht="15" customHeight="1" x14ac:dyDescent="0.2">
      <c r="G48" s="27"/>
      <c r="H48" s="48"/>
      <c r="I48" s="26"/>
      <c r="N48" s="30"/>
      <c r="P48" s="25"/>
    </row>
    <row r="49" spans="7:16" ht="15" customHeight="1" x14ac:dyDescent="0.2">
      <c r="G49" s="27"/>
      <c r="H49" s="48"/>
      <c r="I49" s="26"/>
      <c r="N49" s="30"/>
      <c r="P49" s="25"/>
    </row>
    <row r="50" spans="7:16" ht="15" customHeight="1" x14ac:dyDescent="0.2">
      <c r="G50" s="27"/>
      <c r="H50" s="48"/>
      <c r="I50" s="26"/>
      <c r="N50" s="30"/>
      <c r="P50" s="25"/>
    </row>
    <row r="51" spans="7:16" ht="15" customHeight="1" x14ac:dyDescent="0.2">
      <c r="G51" s="27"/>
      <c r="H51" s="48"/>
      <c r="I51" s="26"/>
      <c r="N51" s="30"/>
      <c r="P51" s="25"/>
    </row>
    <row r="52" spans="7:16" ht="15" customHeight="1" x14ac:dyDescent="0.2">
      <c r="G52" s="27"/>
      <c r="H52" s="48"/>
      <c r="I52" s="26"/>
      <c r="N52" s="30"/>
      <c r="P52" s="25"/>
    </row>
    <row r="53" spans="7:16" ht="15" customHeight="1" x14ac:dyDescent="0.2">
      <c r="G53" s="27"/>
      <c r="H53" s="48"/>
      <c r="I53" s="26"/>
      <c r="N53" s="30"/>
      <c r="P53" s="25"/>
    </row>
    <row r="54" spans="7:16" ht="15" customHeight="1" x14ac:dyDescent="0.2">
      <c r="G54" s="27"/>
      <c r="H54" s="48"/>
      <c r="I54" s="26"/>
      <c r="N54" s="30"/>
      <c r="P54" s="25"/>
    </row>
    <row r="55" spans="7:16" ht="15" customHeight="1" x14ac:dyDescent="0.2">
      <c r="G55" s="27"/>
      <c r="H55" s="48"/>
      <c r="I55" s="26"/>
      <c r="N55" s="30"/>
      <c r="P55" s="25"/>
    </row>
    <row r="56" spans="7:16" ht="15" customHeight="1" x14ac:dyDescent="0.2">
      <c r="G56" s="27"/>
      <c r="H56" s="48"/>
      <c r="I56" s="26"/>
      <c r="N56" s="30"/>
      <c r="P56" s="25"/>
    </row>
    <row r="57" spans="7:16" ht="15" customHeight="1" x14ac:dyDescent="0.2">
      <c r="G57" s="27"/>
      <c r="H57" s="48"/>
      <c r="I57" s="26"/>
      <c r="N57" s="30"/>
      <c r="P57" s="25"/>
    </row>
    <row r="58" spans="7:16" ht="15" customHeight="1" x14ac:dyDescent="0.2">
      <c r="G58" s="27"/>
      <c r="H58" s="48"/>
      <c r="I58" s="26"/>
      <c r="N58" s="30"/>
      <c r="P58" s="25"/>
    </row>
    <row r="59" spans="7:16" ht="15" customHeight="1" x14ac:dyDescent="0.2">
      <c r="G59" s="27"/>
      <c r="H59" s="48"/>
      <c r="I59" s="26"/>
      <c r="N59" s="30"/>
      <c r="P59" s="25"/>
    </row>
    <row r="60" spans="7:16" ht="15" customHeight="1" x14ac:dyDescent="0.2">
      <c r="G60" s="27"/>
      <c r="H60" s="48"/>
      <c r="I60" s="26"/>
      <c r="N60" s="30"/>
      <c r="P60" s="25"/>
    </row>
    <row r="61" spans="7:16" ht="15" customHeight="1" x14ac:dyDescent="0.2">
      <c r="G61" s="27"/>
      <c r="H61" s="48"/>
      <c r="I61" s="26"/>
      <c r="N61" s="30"/>
      <c r="P61" s="25"/>
    </row>
  </sheetData>
  <conditionalFormatting sqref="J24:M26 N2:N26 J62:N1048576 I27:M61 M19:M23">
    <cfRule type="cellIs" dxfId="603" priority="7" operator="lessThan">
      <formula>-0.2</formula>
    </cfRule>
    <cfRule type="cellIs" dxfId="602" priority="8" operator="greaterThan">
      <formula>0.2</formula>
    </cfRule>
  </conditionalFormatting>
  <conditionalFormatting sqref="J2">
    <cfRule type="cellIs" dxfId="601" priority="5" operator="lessThan">
      <formula>-0.2</formula>
    </cfRule>
    <cfRule type="cellIs" dxfId="600" priority="6" operator="greaterThan">
      <formula>0.2</formula>
    </cfRule>
  </conditionalFormatting>
  <conditionalFormatting sqref="N1">
    <cfRule type="cellIs" dxfId="599" priority="3" operator="lessThan">
      <formula>-0.2</formula>
    </cfRule>
    <cfRule type="cellIs" dxfId="598" priority="4" operator="greaterThan">
      <formula>0.2</formula>
    </cfRule>
  </conditionalFormatting>
  <conditionalFormatting sqref="J3:J23">
    <cfRule type="cellIs" dxfId="597" priority="1" operator="lessThan">
      <formula>-0.2</formula>
    </cfRule>
    <cfRule type="cellIs" dxfId="59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AI15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H2" sqref="H2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8.28515625" style="7" bestFit="1" customWidth="1"/>
    <col min="5" max="5" width="9.7109375" style="14" bestFit="1" customWidth="1"/>
    <col min="6" max="6" width="11" bestFit="1" customWidth="1"/>
    <col min="7" max="7" width="17" bestFit="1" customWidth="1"/>
    <col min="8" max="8" width="12" style="4" customWidth="1"/>
    <col min="9" max="9" width="13.140625" style="51" customWidth="1"/>
    <col min="10" max="11" width="8.42578125" style="26" customWidth="1"/>
    <col min="12" max="12" width="10" style="26" bestFit="1" customWidth="1"/>
    <col min="13" max="13" width="10" style="26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SQRT(AVERAGE(c_6[x2]))/AVERAGE(c_6[count])</f>
        <v>0.16647492464701041</v>
      </c>
      <c r="O1" s="69">
        <f>LINEST(c_6[flow],c_6[count],FALSE)</f>
        <v>1.0926346862325127</v>
      </c>
      <c r="P1" s="69">
        <f>RSQ(c_6[flow],c_6[count])</f>
        <v>0.11943828419472807</v>
      </c>
      <c r="Q1" s="19">
        <f>IFERROR(AVERAGEIF(c_6[gap],"&gt;=0",c_6[gap]),0)</f>
        <v>0.18303603769515542</v>
      </c>
      <c r="R1" s="20">
        <f>IFERROR(AVERAGEIF(c_6[gap],"&lt;0",c_6[gap]),0)</f>
        <v>-5.1508544304767701E-2</v>
      </c>
      <c r="S1" s="13">
        <f>AVERAGE(c_6[gap])</f>
        <v>0.10485451036184772</v>
      </c>
      <c r="T1" s="18">
        <f>COUNTIFS(c_6[gap],"&lt;10%",c_6[gap],"&gt;=-10%")/COUNTA(c_6[gap])</f>
        <v>0.66666666666666663</v>
      </c>
      <c r="U1" s="18">
        <f>COUNTIFS(c_6[gap],"&lt;20%",c_6[gap],"&gt;=-20%")/COUNTA(c_6[gap])</f>
        <v>0.66666666666666663</v>
      </c>
      <c r="V1" s="18">
        <f>COUNTIFS(c_6[gap],"&lt;30%",c_6[gap],"&gt;=-30%")/COUNTA(c_6[gap])</f>
        <v>1</v>
      </c>
      <c r="W1" s="19">
        <f>COUNTIF(c_6[gap],"&gt;=0")/COUNTA(c_6[gap])</f>
        <v>0.66666666666666663</v>
      </c>
      <c r="X1" s="21">
        <f>COUNTIF(c_6[gap],"&lt;0")/COUNTA(c_6[gap])</f>
        <v>0.33333333333333331</v>
      </c>
      <c r="Y1" s="6" t="str">
        <f>"%Link(+)="&amp;TEXT(W1,"0%")</f>
        <v>%Link(+)=67%</v>
      </c>
      <c r="Z1" s="6" t="str">
        <f>"%Link(-)="&amp;TEXT(X1,"0%")</f>
        <v>%Link(-)=33%</v>
      </c>
      <c r="AA1" s="17" t="str">
        <f>"AvgGap(+)="&amp;TEXT(Q1,"0%")</f>
        <v>AvgGap(+)=18%</v>
      </c>
      <c r="AB1" t="str">
        <f>"AvgGap(-)="&amp;TEXT(R1,"0%")</f>
        <v>AvgGap(-)=-5%</v>
      </c>
      <c r="AC1" t="str">
        <f>"AvgGap(±)="&amp;TEXT(S1,"0%")</f>
        <v>AvgGap(±)=10%</v>
      </c>
      <c r="AD1" t="str">
        <f>"GapIn(±10%)="&amp;TEXT(T1,"0%")</f>
        <v>GapIn(±10%)=67%</v>
      </c>
      <c r="AE1" t="str">
        <f>"GapIn(±20%)="&amp;TEXT(U1,"0%")</f>
        <v>GapIn(±20%)=67%</v>
      </c>
      <c r="AF1" t="str">
        <f>"GapIn(±30%)="&amp;TEXT(V1,"0%")</f>
        <v>GapIn(±30%)=100%</v>
      </c>
      <c r="AG1" t="str">
        <f>"Linear Slope="&amp;TEXT(O1,"#.###")</f>
        <v>Linear Slope=1.093</v>
      </c>
      <c r="AH1" t="str">
        <f>"RMSE="&amp;TEXT(N1,"0%")</f>
        <v>RMSE=17%</v>
      </c>
      <c r="AI1" s="22" t="str">
        <f>CONCATENATE(Y1," ",Z1," ",AA1,"  ",AB1,"  ",AC1,"  ",AD1,"  ",AE1,"  ",AF1,"  ",AG1," ",AH1)</f>
        <v>%Link(+)=67% %Link(-)=33% AvgGap(+)=18%  AvgGap(-)=-5%  AvgGap(±)=10%  GapIn(±10%)=67%  GapIn(±20%)=67%  GapIn(±30%)=100%  Linear Slope=1.093 RMSE=17%</v>
      </c>
    </row>
    <row r="2" spans="1:35" x14ac:dyDescent="0.25">
      <c r="A2" s="43">
        <f>'[2]SR-67 NB'!C2</f>
        <v>6</v>
      </c>
      <c r="B2" s="43" t="str">
        <f>'[2]SR-67 NB'!H2</f>
        <v>SR-67 NB</v>
      </c>
      <c r="C2" s="126">
        <f>'[2]SR-67 NB'!E2</f>
        <v>13046</v>
      </c>
      <c r="D2" s="188">
        <f>'[2]SR-67 NB'!I2</f>
        <v>5</v>
      </c>
      <c r="E2" s="189">
        <f>'[2]SR-67 NB'!J2</f>
        <v>0</v>
      </c>
      <c r="F2" s="189" t="str">
        <f>'[2]SR-67 NB'!K2</f>
        <v>BRADLEY</v>
      </c>
      <c r="G2" s="189" t="str">
        <f>'[2]SR-67 NB'!L2</f>
        <v>BRADLEY</v>
      </c>
      <c r="H2" s="197">
        <f>'[2]SR-67 NB'!O2</f>
        <v>13046</v>
      </c>
      <c r="I2" s="198">
        <f>VLOOKUP(c_6[[#This Row],[hwycov_id]],readme!D:G,4,FALSE)</f>
        <v>12374.019531</v>
      </c>
      <c r="J2" s="206">
        <f t="shared" ref="J2" si="0">I2/H2-1</f>
        <v>-5.1508544304767701E-2</v>
      </c>
      <c r="K2" s="190" t="str">
        <f>'[2]SR-67 NB'!P2</f>
        <v>Caltran</v>
      </c>
      <c r="L2" s="148">
        <f t="shared" ref="L2" si="1">POWER((I2-H2),2)</f>
        <v>451557.75071746006</v>
      </c>
      <c r="M2" s="44"/>
    </row>
    <row r="3" spans="1:35" x14ac:dyDescent="0.25">
      <c r="A3" s="43">
        <f>'[2]SR-67 NB'!C3</f>
        <v>6</v>
      </c>
      <c r="B3" s="43" t="str">
        <f>'[2]SR-67 NB'!H3</f>
        <v>SR-67 NB</v>
      </c>
      <c r="C3" s="126">
        <f>'[2]SR-67 NB'!E3</f>
        <v>13037</v>
      </c>
      <c r="D3" s="188">
        <f>'[2]SR-67 NB'!I3</f>
        <v>6</v>
      </c>
      <c r="E3" s="189">
        <f>'[2]SR-67 NB'!J3</f>
        <v>0</v>
      </c>
      <c r="F3" s="189" t="str">
        <f>'[2]SR-67 NB'!K3</f>
        <v>BRADLEY</v>
      </c>
      <c r="G3" s="189" t="str">
        <f>'[2]SR-67 NB'!L3</f>
        <v>SR-52 WB</v>
      </c>
      <c r="H3" s="197">
        <f>'[2]SR-67 NB'!O3</f>
        <v>11690</v>
      </c>
      <c r="I3" s="198">
        <f>VLOOKUP(c_6[[#This Row],[hwycov_id]],readme!D:G,4,FALSE)</f>
        <v>14824.036133</v>
      </c>
      <c r="J3" s="206">
        <f t="shared" ref="J3:J4" si="2">I3/H3-1</f>
        <v>0.26809547758768182</v>
      </c>
      <c r="K3" s="190" t="str">
        <f>'[2]SR-67 NB'!P3</f>
        <v>Caltran</v>
      </c>
      <c r="L3" s="148">
        <f t="shared" ref="L3:L4" si="3">POWER((I3-H3),2)</f>
        <v>9822182.4829495903</v>
      </c>
      <c r="M3" s="44"/>
    </row>
    <row r="4" spans="1:35" x14ac:dyDescent="0.25">
      <c r="A4" s="43">
        <f>'[2]SR-67 NB'!C4</f>
        <v>6</v>
      </c>
      <c r="B4" s="43" t="str">
        <f>'[2]SR-67 NB'!H4</f>
        <v>SR-67 NB</v>
      </c>
      <c r="C4" s="126">
        <f>'[2]SR-67 NB'!E4</f>
        <v>9036</v>
      </c>
      <c r="D4" s="188">
        <f>'[2]SR-67 NB'!I4</f>
        <v>8</v>
      </c>
      <c r="E4" s="189">
        <f>'[2]SR-67 NB'!J4</f>
        <v>0</v>
      </c>
      <c r="F4" s="189" t="str">
        <f>'[2]SR-67 NB'!K4</f>
        <v>SR-52 EB</v>
      </c>
      <c r="G4" s="189" t="str">
        <f>'[2]SR-67 NB'!L4</f>
        <v>WOODSIDE</v>
      </c>
      <c r="H4" s="197">
        <f>'[2]SR-67 NB'!O4</f>
        <v>10194</v>
      </c>
      <c r="I4" s="198">
        <f>VLOOKUP(c_6[[#This Row],[hwycov_id]],readme!D:G,4,FALSE)</f>
        <v>11192.773438</v>
      </c>
      <c r="J4" s="206">
        <f t="shared" si="2"/>
        <v>9.7976597802629017E-2</v>
      </c>
      <c r="K4" s="190" t="str">
        <f>'[2]SR-67 NB'!P4</f>
        <v>Caltran</v>
      </c>
      <c r="L4" s="148">
        <f t="shared" si="3"/>
        <v>997548.38045434013</v>
      </c>
      <c r="M4" s="44"/>
    </row>
    <row r="5" spans="1:35" x14ac:dyDescent="0.25">
      <c r="A5" s="126"/>
      <c r="B5" s="251"/>
      <c r="C5" s="251"/>
      <c r="D5" s="252"/>
      <c r="E5" s="253"/>
      <c r="F5" s="251"/>
      <c r="G5" s="251"/>
      <c r="H5" s="254"/>
      <c r="I5" s="231"/>
      <c r="J5" s="206"/>
      <c r="K5" s="197"/>
      <c r="L5" s="148"/>
      <c r="M5" s="44"/>
    </row>
    <row r="6" spans="1:35" x14ac:dyDescent="0.25">
      <c r="L6" s="44"/>
      <c r="M6" s="44"/>
    </row>
    <row r="7" spans="1:35" x14ac:dyDescent="0.25">
      <c r="L7" s="44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</sheetData>
  <conditionalFormatting sqref="N2 J16:M1048576 J5:K9 J2:J4">
    <cfRule type="cellIs" dxfId="581" priority="7" operator="lessThan">
      <formula>-0.2</formula>
    </cfRule>
    <cfRule type="cellIs" dxfId="580" priority="8" operator="greaterThan">
      <formula>0.2</formula>
    </cfRule>
  </conditionalFormatting>
  <conditionalFormatting sqref="J11:K15">
    <cfRule type="cellIs" dxfId="579" priority="3" operator="lessThan">
      <formula>-0.2</formula>
    </cfRule>
    <cfRule type="cellIs" dxfId="578" priority="4" operator="greaterThan">
      <formula>0.2</formula>
    </cfRule>
  </conditionalFormatting>
  <conditionalFormatting sqref="N1">
    <cfRule type="cellIs" dxfId="577" priority="1" operator="lessThan">
      <formula>-0.2</formula>
    </cfRule>
    <cfRule type="cellIs" dxfId="57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1:AX1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13" sqref="I13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7" bestFit="1" customWidth="1"/>
    <col min="5" max="5" width="9.7109375" style="14" bestFit="1" customWidth="1"/>
    <col min="6" max="6" width="10" customWidth="1"/>
    <col min="7" max="7" width="10.5703125" bestFit="1" customWidth="1"/>
    <col min="8" max="8" width="12" style="4" customWidth="1"/>
    <col min="9" max="9" width="13.140625" style="4" customWidth="1"/>
    <col min="10" max="11" width="8.42578125" style="26" customWidth="1"/>
    <col min="12" max="13" width="10" style="26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SQRT(AVERAGE(c_7[x2]))/AVERAGE(c_7[count])</f>
        <v>0.57997009337349392</v>
      </c>
      <c r="O1" s="69">
        <f>LINEST(c_7[flow],c_7[count],FALSE)</f>
        <v>1.5799700933734939</v>
      </c>
      <c r="P1" s="69" t="e">
        <f>RSQ(c_7[flow],c_7[count])</f>
        <v>#DIV/0!</v>
      </c>
      <c r="Q1" s="19">
        <f>IFERROR(AVERAGEIF(c_7[gap],"&gt;=0",c_7[gap]),0)</f>
        <v>0.57997009337349392</v>
      </c>
      <c r="R1" s="20">
        <f>IFERROR(AVERAGEIF(c_7[gap],"&lt;0",c_7[gap]),0)</f>
        <v>0</v>
      </c>
      <c r="S1" s="13">
        <f>AVERAGE(c_7[gap])</f>
        <v>0.57997009337349392</v>
      </c>
      <c r="T1" s="18">
        <f>COUNTIFS(c_7[gap],"&lt;10%",c_7[gap],"&gt;=-10%")/COUNTA(c_7[gap])</f>
        <v>0</v>
      </c>
      <c r="U1" s="18">
        <f>COUNTIFS(c_7[gap],"&lt;20%",c_7[gap],"&gt;=-20%")/COUNTA(c_7[gap])</f>
        <v>0</v>
      </c>
      <c r="V1" s="18">
        <f>COUNTIFS(c_7[gap],"&lt;30%",c_7[gap],"&gt;=-30%")/COUNTA(c_7[gap])</f>
        <v>0</v>
      </c>
      <c r="W1" s="19">
        <f>COUNTIF(c_7[gap],"&gt;=0")/COUNTA(c_7[gap])</f>
        <v>1</v>
      </c>
      <c r="X1" s="21">
        <f>COUNTIF(c_7[gap],"&lt;0")/COUNTA(c_7[gap])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67" t="str">
        <f>"AvgGap(+)="&amp;TEXT(Q1,"0%")</f>
        <v>AvgGap(+)=58%</v>
      </c>
      <c r="AB1" s="43" t="str">
        <f>"AvgGap(-)="&amp;TEXT(R1,"0%")</f>
        <v>AvgGap(-)=0%</v>
      </c>
      <c r="AC1" s="43" t="str">
        <f>"AvgGap(±)="&amp;TEXT(S1,"0%")</f>
        <v>AvgGap(±)=58%</v>
      </c>
      <c r="AD1" s="43" t="str">
        <f>"GapIn(±10%)="&amp;TEXT(T1,"0%")</f>
        <v>GapIn(±10%)=0%</v>
      </c>
      <c r="AE1" s="43" t="str">
        <f>"GapIn(±20%)="&amp;TEXT(U1,"0%")</f>
        <v>GapIn(±20%)=0%</v>
      </c>
      <c r="AF1" s="43" t="str">
        <f>"GapIn(±30%)="&amp;TEXT(V1,"0%")</f>
        <v>GapIn(±30%)=0%</v>
      </c>
      <c r="AG1" s="43" t="str">
        <f>"Linear Slope="&amp;TEXT(O1,"#.###")</f>
        <v>Linear Slope=1.58</v>
      </c>
      <c r="AH1" s="43" t="str">
        <f>"RMSE="&amp;TEXT(N1,"0%")</f>
        <v>RMSE=58%</v>
      </c>
      <c r="AI1" s="23" t="str">
        <f>CONCATENATE(Y1," ",Z1," ",AA1,"  ",AB1,"  ",AC1,"  ",AD1,"  ",AE1,"  ",AF1,"  ",AG1," ",AH1)</f>
        <v>%Link(+)=100% %Link(-)=0% AvgGap(+)=58%  AvgGap(-)=0%  AvgGap(±)=58%  GapIn(±10%)=0%  GapIn(±20%)=0%  GapIn(±30%)=0%  Linear Slope=1.58 RMSE=58%</v>
      </c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</row>
    <row r="2" spans="1:50" x14ac:dyDescent="0.25">
      <c r="A2" s="43">
        <f>'[2]SR-75 NB'!C2</f>
        <v>7</v>
      </c>
      <c r="B2" s="43" t="str">
        <f>'[2]SR-75 NB'!H2</f>
        <v>SR-75 NB</v>
      </c>
      <c r="C2" s="126">
        <f>'[2]SR-75 NB'!E2</f>
        <v>14232</v>
      </c>
      <c r="D2" s="188">
        <f>'[2]SR-75 NB'!I2</f>
        <v>3</v>
      </c>
      <c r="E2" s="189">
        <f>'[2]SR-75 NB'!J2</f>
        <v>0</v>
      </c>
      <c r="F2" s="189" t="str">
        <f>'[2]SR-75 NB'!K2</f>
        <v>04TH</v>
      </c>
      <c r="G2" s="189" t="str">
        <f>'[2]SR-75 NB'!L2</f>
        <v>GLORIETTA</v>
      </c>
      <c r="H2" s="197">
        <f>'[2]SR-75 NB'!O2</f>
        <v>7304</v>
      </c>
      <c r="I2" s="197">
        <f>VLOOKUP(c_7[[#This Row],[hwycov_id]],readme!D:G,4,FALSE)</f>
        <v>11540.101562</v>
      </c>
      <c r="J2" s="206">
        <f>I2/H2-1</f>
        <v>0.57997009337349392</v>
      </c>
      <c r="K2" s="190" t="str">
        <f>'[2]SR-75 NB'!P2</f>
        <v>Caltran</v>
      </c>
      <c r="L2" s="148">
        <f>POWER((I2-H2),2)</f>
        <v>17944556.443578839</v>
      </c>
      <c r="M2" s="44"/>
    </row>
    <row r="3" spans="1:50" x14ac:dyDescent="0.25">
      <c r="A3" s="43"/>
      <c r="B3" s="255"/>
      <c r="C3" s="3"/>
      <c r="D3" s="256"/>
      <c r="E3" s="257"/>
      <c r="F3" s="257"/>
      <c r="G3" s="257"/>
      <c r="H3" s="3"/>
      <c r="I3" s="15"/>
      <c r="J3" s="206"/>
      <c r="K3" s="190"/>
      <c r="L3" s="148"/>
      <c r="M3" s="44"/>
    </row>
    <row r="4" spans="1:50" x14ac:dyDescent="0.25">
      <c r="B4" s="1"/>
      <c r="C4" s="1"/>
      <c r="E4" s="34"/>
      <c r="F4" s="1"/>
      <c r="G4" s="1"/>
      <c r="H4" s="3"/>
      <c r="I4" s="15"/>
      <c r="L4" s="44"/>
      <c r="M4" s="44"/>
    </row>
    <row r="5" spans="1:50" x14ac:dyDescent="0.25">
      <c r="B5" s="1"/>
      <c r="C5" s="1"/>
      <c r="E5" s="34"/>
      <c r="F5" s="1"/>
      <c r="G5" s="1"/>
      <c r="H5" s="3"/>
      <c r="I5" s="15"/>
      <c r="L5" s="44"/>
      <c r="M5" s="44"/>
    </row>
    <row r="6" spans="1:50" x14ac:dyDescent="0.25">
      <c r="L6" s="44"/>
      <c r="M6" s="44"/>
    </row>
    <row r="7" spans="1:50" x14ac:dyDescent="0.25">
      <c r="L7" s="44"/>
      <c r="M7" s="44"/>
    </row>
    <row r="8" spans="1:50" x14ac:dyDescent="0.25">
      <c r="L8" s="44"/>
      <c r="M8" s="44"/>
    </row>
    <row r="9" spans="1:50" x14ac:dyDescent="0.25">
      <c r="L9" s="44"/>
      <c r="M9" s="44"/>
    </row>
    <row r="10" spans="1:50" x14ac:dyDescent="0.25">
      <c r="L10" s="44"/>
      <c r="M10" s="44"/>
    </row>
    <row r="11" spans="1:50" x14ac:dyDescent="0.25">
      <c r="L11" s="44"/>
      <c r="M11" s="44"/>
    </row>
    <row r="12" spans="1:50" x14ac:dyDescent="0.25">
      <c r="L12" s="44"/>
      <c r="M12" s="44"/>
    </row>
    <row r="13" spans="1:50" x14ac:dyDescent="0.25">
      <c r="L13" s="44"/>
      <c r="M13" s="44"/>
    </row>
    <row r="14" spans="1:50" x14ac:dyDescent="0.25">
      <c r="L14" s="44"/>
      <c r="M14" s="44"/>
    </row>
    <row r="15" spans="1:50" x14ac:dyDescent="0.25">
      <c r="L15" s="44"/>
      <c r="M15" s="44"/>
    </row>
    <row r="16" spans="1:50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</sheetData>
  <conditionalFormatting sqref="N2:N5 J19:M1048576">
    <cfRule type="cellIs" dxfId="562" priority="7" operator="lessThan">
      <formula>-0.2</formula>
    </cfRule>
    <cfRule type="cellIs" dxfId="561" priority="8" operator="greaterThan">
      <formula>0.2</formula>
    </cfRule>
  </conditionalFormatting>
  <conditionalFormatting sqref="J3:K12 J14:K18 J2">
    <cfRule type="cellIs" dxfId="560" priority="3" operator="lessThan">
      <formula>-0.2</formula>
    </cfRule>
    <cfRule type="cellIs" dxfId="559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3" tint="0.39997558519241921"/>
  </sheetPr>
  <dimension ref="A1:AI18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2" sqref="I2"/>
    </sheetView>
  </sheetViews>
  <sheetFormatPr defaultColWidth="9.140625" defaultRowHeight="15" x14ac:dyDescent="0.25"/>
  <cols>
    <col min="1" max="1" width="10.85546875" style="43" bestFit="1" customWidth="1"/>
    <col min="2" max="2" width="12.710937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6" width="17.7109375" style="53" bestFit="1" customWidth="1"/>
    <col min="7" max="7" width="20.140625" style="53" bestFit="1" customWidth="1"/>
    <col min="8" max="8" width="8.85546875" style="48" bestFit="1" customWidth="1"/>
    <col min="9" max="9" width="8" style="48" bestFit="1" customWidth="1"/>
    <col min="10" max="10" width="7.28515625" style="47" bestFit="1" customWidth="1"/>
    <col min="11" max="11" width="10.140625" style="47" bestFit="1" customWidth="1"/>
    <col min="12" max="12" width="10.85546875" style="44" bestFit="1" customWidth="1"/>
    <col min="13" max="13" width="14.42578125" style="44" customWidth="1"/>
    <col min="14" max="14" width="9" style="49" customWidth="1"/>
    <col min="15" max="16" width="9" style="50" customWidth="1"/>
    <col min="17" max="19" width="9.140625" style="43"/>
    <col min="20" max="20" width="10.42578125" style="43" customWidth="1"/>
    <col min="21" max="21" width="9.140625" style="43"/>
    <col min="22" max="22" width="9.5703125" style="43" customWidth="1"/>
    <col min="23" max="24" width="9.28515625" style="43" customWidth="1"/>
    <col min="25" max="16384" width="9.140625" style="43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SQRT(AVERAGE(c_29[x2]))/AVERAGE(c_29[count])</f>
        <v>0.15433741341851206</v>
      </c>
      <c r="O1" s="61">
        <f>LINEST(c_29[flow],c_29[count],FALSE)</f>
        <v>1.0591463981677596</v>
      </c>
      <c r="P1" s="50">
        <f>RSQ(c_29[flow],c_29[count])</f>
        <v>0.41397134907922134</v>
      </c>
      <c r="Q1" s="62">
        <f>IFERROR(AVERAGEIF(c_29[gap],"&gt;=0",c_29[gap]),0)</f>
        <v>0.12094290320132402</v>
      </c>
      <c r="R1" s="63">
        <f>IFERROR(AVERAGEIF(c_29[gap],"&lt;0",c_29[gap]),0)</f>
        <v>-8.991480170965753E-2</v>
      </c>
      <c r="S1" s="64">
        <f>AVERAGE(c_29[gap])</f>
        <v>7.8771362219127727E-2</v>
      </c>
      <c r="T1" s="65">
        <f>COUNTIFS(c_29[gap],"&lt;10%",c_29[gap],"&gt;=-10%")/COUNTA(c_29[gap])</f>
        <v>0.53333333333333333</v>
      </c>
      <c r="U1" s="65">
        <f>COUNTIFS(c_29[gap],"&lt;20%",c_29[gap],"&gt;=-20%")/COUNTA(c_29[gap])</f>
        <v>0.8</v>
      </c>
      <c r="V1" s="65">
        <f>COUNTIFS(c_29[gap],"&lt;30%",c_29[gap],"&gt;=-30%")/COUNTA(c_29[gap])</f>
        <v>0.8666666666666667</v>
      </c>
      <c r="W1" s="62">
        <f>COUNTIF(c_29[gap],"&gt;=0")/COUNTA(c_29[gap])</f>
        <v>0.8</v>
      </c>
      <c r="X1" s="66">
        <f>COUNTIF(c_29[gap],"&lt;0")/COUNTA(c_29[gap])</f>
        <v>0.2</v>
      </c>
      <c r="Y1" s="49" t="str">
        <f>"%Link(+)="&amp;TEXT(W1,"0%")</f>
        <v>%Link(+)=80%</v>
      </c>
      <c r="Z1" s="49" t="str">
        <f>"%Link(-)="&amp;TEXT(X1,"0%")</f>
        <v>%Link(-)=20%</v>
      </c>
      <c r="AA1" s="67" t="str">
        <f>"AvgGap(+)="&amp;TEXT(Q1,"0%")</f>
        <v>AvgGap(+)=12%</v>
      </c>
      <c r="AB1" s="43" t="str">
        <f>"AvgGap(-)="&amp;TEXT(R1,"0%")</f>
        <v>AvgGap(-)=-9%</v>
      </c>
      <c r="AC1" s="43" t="str">
        <f>"AvgGap(±)="&amp;TEXT(S1,"0%")</f>
        <v>AvgGap(±)=8%</v>
      </c>
      <c r="AD1" s="43" t="str">
        <f>"GapIn(±10%)="&amp;TEXT(T1,"0%")</f>
        <v>GapIn(±10%)=53%</v>
      </c>
      <c r="AE1" s="43" t="str">
        <f>"GapIn(±20%)="&amp;TEXT(U1,"0%")</f>
        <v>GapIn(±20%)=80%</v>
      </c>
      <c r="AF1" s="43" t="str">
        <f>"GapIn(±30%)="&amp;TEXT(V1,"0%")</f>
        <v>GapIn(±30%)=87%</v>
      </c>
      <c r="AG1" s="43" t="str">
        <f>"Linear Slope="&amp;TEXT(O1,"#.###")</f>
        <v>Linear Slope=1.059</v>
      </c>
      <c r="AH1" s="43" t="str">
        <f>"RMSE="&amp;TEXT(N1,"0%")</f>
        <v>RMSE=15%</v>
      </c>
      <c r="AI1" s="23" t="str">
        <f>CONCATENATE(Y1," ",Z1," ",AA1,"  ",AB1,"  ",AC1,"  ",AD1," ",AE1,"  ",AF1,"  ",AG1," ",AH1)</f>
        <v>%Link(+)=80% %Link(-)=20% AvgGap(+)=12%  AvgGap(-)=-9%  AvgGap(±)=8%  GapIn(±10%)=53% GapIn(±20%)=80%  GapIn(±30%)=87%  Linear Slope=1.059 RMSE=15%</v>
      </c>
    </row>
    <row r="2" spans="1:35" x14ac:dyDescent="0.25">
      <c r="A2" s="43">
        <f>'[2]I-15 HOV NB'!C2</f>
        <v>29</v>
      </c>
      <c r="B2" s="43" t="str">
        <f>'[2]I-15 HOV NB'!H2</f>
        <v>I-15 HOV NB</v>
      </c>
      <c r="C2" s="43">
        <f>'[2]I-15 HOV NB'!E2</f>
        <v>460</v>
      </c>
      <c r="D2" s="188">
        <f>'[2]I-15 HOV NB'!I2</f>
        <v>2</v>
      </c>
      <c r="E2" s="189">
        <f>'[2]I-15 HOV NB'!J2</f>
        <v>0</v>
      </c>
      <c r="F2" s="189" t="str">
        <f>'[2]I-15 HOV NB'!K2</f>
        <v>SR-163 NB</v>
      </c>
      <c r="G2" s="189" t="str">
        <f>'[2]I-15 HOV NB'!L2</f>
        <v>SR-163</v>
      </c>
      <c r="H2" s="51">
        <f>'[2]I-15 HOV NB'!O2</f>
        <v>6812</v>
      </c>
      <c r="I2" s="207">
        <f>VLOOKUP(c_29[[#This Row],[hwycov_id]],readme!D:G,4,FALSE)</f>
        <v>9642.2431639999995</v>
      </c>
      <c r="J2" s="49">
        <f>I2/H2-1</f>
        <v>0.41547903170874911</v>
      </c>
      <c r="K2" s="190" t="str">
        <f>'[2]I-15 HOV NB'!P2</f>
        <v>PeMS2016</v>
      </c>
      <c r="L2" s="148">
        <f t="shared" ref="L2" si="0">POWER((I2-H2),2)</f>
        <v>8010276.3673687279</v>
      </c>
    </row>
    <row r="3" spans="1:35" x14ac:dyDescent="0.25">
      <c r="A3" s="43">
        <f>'[2]I-15 HOV NB'!C3</f>
        <v>29</v>
      </c>
      <c r="B3" s="43" t="str">
        <f>'[2]I-15 HOV NB'!H3</f>
        <v>I-15 HOV NB</v>
      </c>
      <c r="C3" s="43">
        <f>'[2]I-15 HOV NB'!E3</f>
        <v>526</v>
      </c>
      <c r="D3" s="188">
        <f>'[2]I-15 HOV NB'!I3</f>
        <v>3</v>
      </c>
      <c r="E3" s="189">
        <f>'[2]I-15 HOV NB'!J3</f>
        <v>1</v>
      </c>
      <c r="F3" s="189" t="str">
        <f>'[2]I-15 HOV NB'!K3</f>
        <v>SR-163 NB</v>
      </c>
      <c r="G3" s="189" t="str">
        <f>'[2]I-15 HOV NB'!L3</f>
        <v>SR-163</v>
      </c>
      <c r="H3" s="51">
        <f>'[2]I-15 HOV NB'!O3</f>
        <v>8034</v>
      </c>
      <c r="I3" s="207">
        <f>VLOOKUP(c_29[[#This Row],[hwycov_id]],readme!D:G,4,FALSE)</f>
        <v>9712.640625</v>
      </c>
      <c r="J3" s="49">
        <f t="shared" ref="J3:J16" si="1">I3/H3-1</f>
        <v>0.20894207430918588</v>
      </c>
      <c r="K3" s="190" t="str">
        <f>'[2]I-15 HOV NB'!P3</f>
        <v>SANDAG</v>
      </c>
      <c r="L3" s="148">
        <f t="shared" ref="L3:L16" si="2">POWER((I3-H3),2)</f>
        <v>2817834.3479003906</v>
      </c>
    </row>
    <row r="4" spans="1:35" x14ac:dyDescent="0.25">
      <c r="A4" s="43">
        <f>'[2]I-15 HOV NB'!C4</f>
        <v>29</v>
      </c>
      <c r="B4" s="43" t="str">
        <f>'[2]I-15 HOV NB'!H4</f>
        <v>I-15 HOV NB</v>
      </c>
      <c r="C4" s="43">
        <f>'[2]I-15 HOV NB'!E4</f>
        <v>23044</v>
      </c>
      <c r="D4" s="188">
        <f>'[2]I-15 HOV NB'!I4</f>
        <v>4</v>
      </c>
      <c r="E4" s="189">
        <f>'[2]I-15 HOV NB'!J4</f>
        <v>1</v>
      </c>
      <c r="F4" s="189" t="str">
        <f>'[2]I-15 HOV NB'!K4</f>
        <v>SR-163 NB</v>
      </c>
      <c r="G4" s="189" t="str">
        <f>'[2]I-15 HOV NB'!L4</f>
        <v>SR-163</v>
      </c>
      <c r="H4" s="51">
        <f>'[2]I-15 HOV NB'!O4</f>
        <v>8924</v>
      </c>
      <c r="I4" s="207">
        <f>VLOOKUP(c_29[[#This Row],[hwycov_id]],readme!D:G,4,FALSE)</f>
        <v>9327.5654300000006</v>
      </c>
      <c r="J4" s="49">
        <f t="shared" si="1"/>
        <v>4.5222482070820247E-2</v>
      </c>
      <c r="K4" s="190" t="str">
        <f>'[2]I-15 HOV NB'!P4</f>
        <v>PeMS2016</v>
      </c>
      <c r="L4" s="148">
        <f t="shared" si="2"/>
        <v>162865.05629108535</v>
      </c>
    </row>
    <row r="5" spans="1:35" x14ac:dyDescent="0.25">
      <c r="A5" s="43">
        <f>'[2]I-15 HOV NB'!C5</f>
        <v>29</v>
      </c>
      <c r="B5" s="43" t="str">
        <f>'[2]I-15 HOV NB'!H5</f>
        <v>I-15 HOV NB</v>
      </c>
      <c r="C5" s="43">
        <f>'[2]I-15 HOV NB'!E5</f>
        <v>459</v>
      </c>
      <c r="D5" s="188">
        <f>'[2]I-15 HOV NB'!I5</f>
        <v>7</v>
      </c>
      <c r="E5" s="189">
        <f>'[2]I-15 HOV NB'!J5</f>
        <v>1</v>
      </c>
      <c r="F5" s="189" t="str">
        <f>'[2]I-15 HOV NB'!K5</f>
        <v>MIRA MESA</v>
      </c>
      <c r="G5" s="189" t="str">
        <f>'[2]I-15 HOV NB'!L5</f>
        <v>RANCHO PENASQUITOS</v>
      </c>
      <c r="H5" s="51">
        <f>'[2]I-15 HOV NB'!O5</f>
        <v>8857</v>
      </c>
      <c r="I5" s="207">
        <f>VLOOKUP(c_29[[#This Row],[hwycov_id]],readme!D:G,4,FALSE)</f>
        <v>9682.6972659999992</v>
      </c>
      <c r="J5" s="49">
        <f t="shared" si="1"/>
        <v>9.322538850626616E-2</v>
      </c>
      <c r="K5" s="190" t="str">
        <f>'[2]I-15 HOV NB'!P5</f>
        <v>PeMS2016</v>
      </c>
      <c r="L5" s="148">
        <f t="shared" si="2"/>
        <v>681775.97507987346</v>
      </c>
    </row>
    <row r="6" spans="1:35" x14ac:dyDescent="0.25">
      <c r="A6" s="43">
        <f>'[2]I-15 HOV NB'!C6</f>
        <v>29</v>
      </c>
      <c r="B6" s="43" t="str">
        <f>'[2]I-15 HOV NB'!H6</f>
        <v>I-15 HOV NB</v>
      </c>
      <c r="C6" s="43">
        <f>'[2]I-15 HOV NB'!E6</f>
        <v>461</v>
      </c>
      <c r="D6" s="188">
        <f>'[2]I-15 HOV NB'!I6</f>
        <v>8</v>
      </c>
      <c r="E6" s="189">
        <f>'[2]I-15 HOV NB'!J6</f>
        <v>1</v>
      </c>
      <c r="F6" s="189" t="str">
        <f>'[2]I-15 HOV NB'!K6</f>
        <v>MIRA MESA</v>
      </c>
      <c r="G6" s="189" t="str">
        <f>'[2]I-15 HOV NB'!L6</f>
        <v>RANCHO PENASQUITOS</v>
      </c>
      <c r="H6" s="51">
        <f>'[2]I-15 HOV NB'!O6</f>
        <v>9658</v>
      </c>
      <c r="I6" s="207">
        <f>VLOOKUP(c_29[[#This Row],[hwycov_id]],readme!D:G,4,FALSE)</f>
        <v>9682.6972659999992</v>
      </c>
      <c r="J6" s="49">
        <f t="shared" si="1"/>
        <v>2.5571822323462445E-3</v>
      </c>
      <c r="K6" s="190" t="str">
        <f>'[2]I-15 HOV NB'!P6</f>
        <v>PeMS2016</v>
      </c>
      <c r="L6" s="148">
        <f t="shared" si="2"/>
        <v>609.95494787471739</v>
      </c>
    </row>
    <row r="7" spans="1:35" x14ac:dyDescent="0.25">
      <c r="A7" s="43">
        <f>'[2]I-15 HOV NB'!C7</f>
        <v>29</v>
      </c>
      <c r="B7" s="43" t="str">
        <f>'[2]I-15 HOV NB'!H7</f>
        <v>I-15 HOV NB</v>
      </c>
      <c r="C7" s="43">
        <f>'[2]I-15 HOV NB'!E7</f>
        <v>512</v>
      </c>
      <c r="D7" s="188">
        <f>'[2]I-15 HOV NB'!I7</f>
        <v>12</v>
      </c>
      <c r="E7" s="189">
        <f>'[2]I-15 HOV NB'!J7</f>
        <v>2</v>
      </c>
      <c r="F7" s="189" t="str">
        <f>'[2]I-15 HOV NB'!K7</f>
        <v>SR-56 EB</v>
      </c>
      <c r="G7" s="189" t="str">
        <f>'[2]I-15 HOV NB'!L7</f>
        <v>CARMEL MTN</v>
      </c>
      <c r="H7" s="51">
        <f>'[2]I-15 HOV NB'!O7</f>
        <v>8158</v>
      </c>
      <c r="I7" s="207">
        <f>VLOOKUP(c_29[[#This Row],[hwycov_id]],readme!D:G,4,FALSE)</f>
        <v>9136.4882809999999</v>
      </c>
      <c r="J7" s="49">
        <f t="shared" si="1"/>
        <v>0.11994217712674682</v>
      </c>
      <c r="K7" s="190" t="str">
        <f>'[2]I-15 HOV NB'!P7</f>
        <v>PeMS2016</v>
      </c>
      <c r="L7" s="148">
        <f t="shared" si="2"/>
        <v>957439.31605433475</v>
      </c>
    </row>
    <row r="8" spans="1:35" x14ac:dyDescent="0.25">
      <c r="A8" s="43">
        <f>'[2]I-15 HOV NB'!C8</f>
        <v>29</v>
      </c>
      <c r="B8" s="43" t="str">
        <f>'[2]I-15 HOV NB'!H8</f>
        <v>I-15 HOV NB</v>
      </c>
      <c r="C8" s="43">
        <f>'[2]I-15 HOV NB'!E8</f>
        <v>464</v>
      </c>
      <c r="D8" s="188">
        <f>'[2]I-15 HOV NB'!I8</f>
        <v>13</v>
      </c>
      <c r="E8" s="189">
        <f>'[2]I-15 HOV NB'!J8</f>
        <v>0</v>
      </c>
      <c r="F8" s="189" t="str">
        <f>'[2]I-15 HOV NB'!K8</f>
        <v>SR-56 EB</v>
      </c>
      <c r="G8" s="189" t="str">
        <f>'[2]I-15 HOV NB'!L8</f>
        <v>CARMEL MTN</v>
      </c>
      <c r="H8" s="51">
        <f>'[2]I-15 HOV NB'!O8</f>
        <v>7848</v>
      </c>
      <c r="I8" s="207">
        <f>VLOOKUP(c_29[[#This Row],[hwycov_id]],readme!D:G,4,FALSE)</f>
        <v>8813.7617190000001</v>
      </c>
      <c r="J8" s="49">
        <f t="shared" si="1"/>
        <v>0.12305832301223241</v>
      </c>
      <c r="K8" s="190" t="str">
        <f>'[2]I-15 HOV NB'!P8</f>
        <v>PeMS2016</v>
      </c>
      <c r="L8" s="148">
        <f t="shared" si="2"/>
        <v>932695.69788583508</v>
      </c>
      <c r="N8" s="43"/>
    </row>
    <row r="9" spans="1:35" x14ac:dyDescent="0.25">
      <c r="A9" s="43">
        <f>'[2]I-15 HOV NB'!C9</f>
        <v>29</v>
      </c>
      <c r="B9" s="43" t="str">
        <f>'[2]I-15 HOV NB'!H9</f>
        <v>I-15 HOV NB</v>
      </c>
      <c r="C9" s="43">
        <f>'[2]I-15 HOV NB'!E9</f>
        <v>468</v>
      </c>
      <c r="D9" s="188">
        <f>'[2]I-15 HOV NB'!I9</f>
        <v>14</v>
      </c>
      <c r="E9" s="189">
        <f>'[2]I-15 HOV NB'!J9</f>
        <v>0</v>
      </c>
      <c r="F9" s="189" t="str">
        <f>'[2]I-15 HOV NB'!K9</f>
        <v>CAM DEL NORTE</v>
      </c>
      <c r="G9" s="189" t="str">
        <f>'[2]I-15 HOV NB'!L9</f>
        <v>RANCHO BERNARDO</v>
      </c>
      <c r="H9" s="51">
        <f>'[2]I-15 HOV NB'!O9</f>
        <v>9271</v>
      </c>
      <c r="I9" s="207">
        <f>VLOOKUP(c_29[[#This Row],[hwycov_id]],readme!D:G,4,FALSE)</f>
        <v>8230.4082030000009</v>
      </c>
      <c r="J9" s="49">
        <f t="shared" si="1"/>
        <v>-0.11224159173767656</v>
      </c>
      <c r="K9" s="190" t="str">
        <f>'[2]I-15 HOV NB'!P9</f>
        <v>PeMS2016</v>
      </c>
      <c r="L9" s="148">
        <f t="shared" si="2"/>
        <v>1082831.2879836874</v>
      </c>
      <c r="N9" s="43"/>
    </row>
    <row r="10" spans="1:35" x14ac:dyDescent="0.25">
      <c r="A10" s="43">
        <f>'[2]I-15 HOV NB'!C10</f>
        <v>29</v>
      </c>
      <c r="B10" s="43" t="str">
        <f>'[2]I-15 HOV NB'!H10</f>
        <v>I-15 HOV NB</v>
      </c>
      <c r="C10" s="43">
        <f>'[2]I-15 HOV NB'!E10</f>
        <v>469</v>
      </c>
      <c r="D10" s="188">
        <f>'[2]I-15 HOV NB'!I10</f>
        <v>15</v>
      </c>
      <c r="E10" s="189">
        <f>'[2]I-15 HOV NB'!J10</f>
        <v>1</v>
      </c>
      <c r="F10" s="189" t="str">
        <f>'[2]I-15 HOV NB'!K10</f>
        <v>CAM DEL NORTE</v>
      </c>
      <c r="G10" s="189" t="str">
        <f>'[2]I-15 HOV NB'!L10</f>
        <v>RANCHO BERNARDO</v>
      </c>
      <c r="H10" s="51">
        <f>'[2]I-15 HOV NB'!O10</f>
        <v>8031</v>
      </c>
      <c r="I10" s="207">
        <f>VLOOKUP(c_29[[#This Row],[hwycov_id]],readme!D:G,4,FALSE)</f>
        <v>11116.642578000001</v>
      </c>
      <c r="J10" s="49">
        <f t="shared" si="1"/>
        <v>0.38421648337691461</v>
      </c>
      <c r="K10" s="190" t="str">
        <f>'[2]I-15 HOV NB'!P10</f>
        <v>PeMS2016</v>
      </c>
      <c r="L10" s="148">
        <f t="shared" si="2"/>
        <v>9521190.1191664916</v>
      </c>
      <c r="N10" s="43"/>
    </row>
    <row r="11" spans="1:35" x14ac:dyDescent="0.25">
      <c r="A11" s="43">
        <f>'[2]I-15 HOV NB'!C11</f>
        <v>29</v>
      </c>
      <c r="B11" s="43" t="str">
        <f>'[2]I-15 HOV NB'!H11</f>
        <v>I-15 HOV NB</v>
      </c>
      <c r="C11" s="43">
        <f>'[2]I-15 HOV NB'!E11</f>
        <v>470</v>
      </c>
      <c r="D11" s="188">
        <f>'[2]I-15 HOV NB'!I11</f>
        <v>16</v>
      </c>
      <c r="E11" s="189">
        <f>'[2]I-15 HOV NB'!J11</f>
        <v>0</v>
      </c>
      <c r="F11" s="189" t="str">
        <f>'[2]I-15 HOV NB'!K11</f>
        <v>CAM DEL NORTE</v>
      </c>
      <c r="G11" s="189" t="str">
        <f>'[2]I-15 HOV NB'!L11</f>
        <v>RANCHO BERNARDO</v>
      </c>
      <c r="H11" s="51">
        <f>'[2]I-15 HOV NB'!O11</f>
        <v>9947</v>
      </c>
      <c r="I11" s="207">
        <f>VLOOKUP(c_29[[#This Row],[hwycov_id]],readme!D:G,4,FALSE)</f>
        <v>10056.764648</v>
      </c>
      <c r="J11" s="49">
        <f t="shared" si="1"/>
        <v>1.1034950035186508E-2</v>
      </c>
      <c r="K11" s="190" t="str">
        <f>'[2]I-15 HOV NB'!P11</f>
        <v>PeMS2016</v>
      </c>
      <c r="L11" s="148">
        <f t="shared" si="2"/>
        <v>12048.277950563972</v>
      </c>
    </row>
    <row r="12" spans="1:35" x14ac:dyDescent="0.25">
      <c r="A12" s="43">
        <f>'[2]I-15 HOV NB'!C12</f>
        <v>29</v>
      </c>
      <c r="B12" s="43" t="str">
        <f>'[2]I-15 HOV NB'!H12</f>
        <v>I-15 HOV NB</v>
      </c>
      <c r="C12" s="43">
        <f>'[2]I-15 HOV NB'!E12</f>
        <v>23053</v>
      </c>
      <c r="D12" s="188">
        <f>'[2]I-15 HOV NB'!I12</f>
        <v>17</v>
      </c>
      <c r="E12" s="189">
        <f>'[2]I-15 HOV NB'!J12</f>
        <v>1</v>
      </c>
      <c r="F12" s="189" t="str">
        <f>'[2]I-15 HOV NB'!K12</f>
        <v>RANCHO BERNARDO</v>
      </c>
      <c r="G12" s="189" t="str">
        <f>'[2]I-15 HOV NB'!L12</f>
        <v>POMERADO</v>
      </c>
      <c r="H12" s="51">
        <f>'[2]I-15 HOV NB'!O12</f>
        <v>10052</v>
      </c>
      <c r="I12" s="207">
        <f>VLOOKUP(c_29[[#This Row],[hwycov_id]],readme!D:G,4,FALSE)</f>
        <v>10056.764648</v>
      </c>
      <c r="J12" s="49">
        <f t="shared" si="1"/>
        <v>4.7400000000008546E-4</v>
      </c>
      <c r="K12" s="190" t="str">
        <f>'[2]I-15 HOV NB'!P12</f>
        <v>PeMS2016</v>
      </c>
      <c r="L12" s="148">
        <f t="shared" si="2"/>
        <v>22.701870563906922</v>
      </c>
    </row>
    <row r="13" spans="1:35" x14ac:dyDescent="0.25">
      <c r="A13" s="43">
        <f>'[2]I-15 HOV NB'!C13</f>
        <v>29</v>
      </c>
      <c r="B13" s="43" t="str">
        <f>'[2]I-15 HOV NB'!H13</f>
        <v>I-15 HOV NB</v>
      </c>
      <c r="C13" s="43">
        <f>'[2]I-15 HOV NB'!E13</f>
        <v>473</v>
      </c>
      <c r="D13" s="188">
        <f>'[2]I-15 HOV NB'!I13</f>
        <v>18</v>
      </c>
      <c r="E13" s="189">
        <f>'[2]I-15 HOV NB'!J13</f>
        <v>0</v>
      </c>
      <c r="F13" s="189" t="str">
        <f>'[2]I-15 HOV NB'!K13</f>
        <v>VIA RANCHO</v>
      </c>
      <c r="G13" s="189" t="str">
        <f>'[2]I-15 HOV NB'!L13</f>
        <v>VIA RANCHO</v>
      </c>
      <c r="H13" s="51">
        <f>'[2]I-15 HOV NB'!O13</f>
        <v>9971</v>
      </c>
      <c r="I13" s="207">
        <f>VLOOKUP(c_29[[#This Row],[hwycov_id]],readme!D:G,4,FALSE)</f>
        <v>8831.734375</v>
      </c>
      <c r="J13" s="49">
        <f t="shared" si="1"/>
        <v>-0.11425791044027678</v>
      </c>
      <c r="K13" s="190" t="str">
        <f>'[2]I-15 HOV NB'!P13</f>
        <v>PeMS2016</v>
      </c>
      <c r="L13" s="148">
        <f t="shared" si="2"/>
        <v>1297926.1643066406</v>
      </c>
    </row>
    <row r="14" spans="1:35" x14ac:dyDescent="0.25">
      <c r="A14" s="43">
        <f>'[2]I-15 HOV NB'!C14</f>
        <v>29</v>
      </c>
      <c r="B14" s="43" t="str">
        <f>'[2]I-15 HOV NB'!H14</f>
        <v>I-15 HOV NB</v>
      </c>
      <c r="C14" s="43">
        <f>'[2]I-15 HOV NB'!E14</f>
        <v>510</v>
      </c>
      <c r="D14" s="188">
        <f>'[2]I-15 HOV NB'!I14</f>
        <v>19</v>
      </c>
      <c r="E14" s="189">
        <f>'[2]I-15 HOV NB'!J14</f>
        <v>1</v>
      </c>
      <c r="F14" s="189" t="str">
        <f>'[2]I-15 HOV NB'!K14</f>
        <v>VIA RANCHO</v>
      </c>
      <c r="G14" s="189" t="str">
        <f>'[2]I-15 HOV NB'!L14</f>
        <v>CITRACADO</v>
      </c>
      <c r="H14" s="51">
        <f>'[2]I-15 HOV NB'!O14</f>
        <v>9553</v>
      </c>
      <c r="I14" s="207">
        <f>VLOOKUP(c_29[[#This Row],[hwycov_id]],readme!D:G,4,FALSE)</f>
        <v>9763.4189449999994</v>
      </c>
      <c r="J14" s="49">
        <f t="shared" si="1"/>
        <v>2.202647806971636E-2</v>
      </c>
      <c r="K14" s="190" t="str">
        <f>'[2]I-15 HOV NB'!P14</f>
        <v>PeMS2016</v>
      </c>
      <c r="L14" s="148">
        <f t="shared" si="2"/>
        <v>44276.13241491279</v>
      </c>
    </row>
    <row r="15" spans="1:35" x14ac:dyDescent="0.25">
      <c r="A15" s="43">
        <f>'[2]I-15 HOV NB'!C15</f>
        <v>29</v>
      </c>
      <c r="B15" s="43" t="str">
        <f>'[2]I-15 HOV NB'!H15</f>
        <v>I-15 HOV NB</v>
      </c>
      <c r="C15" s="43">
        <f>'[2]I-15 HOV NB'!E15</f>
        <v>29368</v>
      </c>
      <c r="D15" s="188">
        <f>'[2]I-15 HOV NB'!I15</f>
        <v>20</v>
      </c>
      <c r="E15" s="189">
        <f>'[2]I-15 HOV NB'!J15</f>
        <v>2</v>
      </c>
      <c r="F15" s="189" t="str">
        <f>'[2]I-15 HOV NB'!K15</f>
        <v>VIA RANCHO</v>
      </c>
      <c r="G15" s="189" t="str">
        <f>'[2]I-15 HOV NB'!L15</f>
        <v>CITRACADO</v>
      </c>
      <c r="H15" s="51">
        <f>'[2]I-15 HOV NB'!O15</f>
        <v>6574</v>
      </c>
      <c r="I15" s="207">
        <f>VLOOKUP(c_29[[#This Row],[hwycov_id]],readme!D:G,4,FALSE)</f>
        <v>6289.7080079999996</v>
      </c>
      <c r="J15" s="49">
        <f t="shared" si="1"/>
        <v>-4.3244902951019237E-2</v>
      </c>
      <c r="K15" s="190" t="str">
        <f>'[2]I-15 HOV NB'!P15</f>
        <v>PeMS2016</v>
      </c>
      <c r="L15" s="148">
        <f t="shared" si="2"/>
        <v>80821.93671532828</v>
      </c>
    </row>
    <row r="16" spans="1:35" x14ac:dyDescent="0.25">
      <c r="A16" s="43">
        <f>'[2]I-15 HOV NB'!C16</f>
        <v>29</v>
      </c>
      <c r="B16" s="43" t="str">
        <f>'[2]I-15 HOV NB'!H16</f>
        <v>I-15 HOV NB</v>
      </c>
      <c r="C16" s="43">
        <f>'[2]I-15 HOV NB'!E16</f>
        <v>9808</v>
      </c>
      <c r="D16" s="188">
        <f>'[2]I-15 HOV NB'!I16</f>
        <v>21</v>
      </c>
      <c r="E16" s="189">
        <f>'[2]I-15 HOV NB'!J16</f>
        <v>0</v>
      </c>
      <c r="F16" s="189" t="str">
        <f>'[2]I-15 HOV NB'!K16</f>
        <v>VALLEY</v>
      </c>
      <c r="G16" s="189" t="str">
        <f>'[2]I-15 HOV NB'!L16</f>
        <v>SR-78</v>
      </c>
      <c r="H16" s="51">
        <f>'[2]I-15 HOV NB'!O16</f>
        <v>5329</v>
      </c>
      <c r="I16" s="207">
        <f>VLOOKUP(c_29[[#This Row],[hwycov_id]],readme!D:G,4,FALSE)</f>
        <v>5462.951172</v>
      </c>
      <c r="J16" s="49">
        <f t="shared" si="1"/>
        <v>2.5136267967723835E-2</v>
      </c>
      <c r="K16" s="190" t="str">
        <f>'[2]I-15 HOV NB'!P16</f>
        <v>PeMS2016</v>
      </c>
      <c r="L16" s="148">
        <f t="shared" si="2"/>
        <v>17942.916480173597</v>
      </c>
    </row>
    <row r="17" spans="1:12" x14ac:dyDescent="0.25">
      <c r="A17" s="215"/>
      <c r="B17" s="215"/>
      <c r="C17" s="220"/>
      <c r="D17" s="216"/>
      <c r="E17" s="221"/>
      <c r="F17" s="220"/>
      <c r="G17" s="220"/>
      <c r="H17" s="222"/>
      <c r="I17" s="222"/>
      <c r="J17" s="218"/>
      <c r="K17" s="216"/>
      <c r="L17" s="219"/>
    </row>
    <row r="18" spans="1:12" x14ac:dyDescent="0.25">
      <c r="A18" s="215"/>
      <c r="B18" s="215"/>
      <c r="C18" s="220"/>
      <c r="D18" s="216"/>
      <c r="E18" s="221"/>
      <c r="F18" s="220"/>
      <c r="G18" s="220"/>
      <c r="H18" s="222"/>
      <c r="I18" s="222"/>
      <c r="J18" s="218"/>
      <c r="K18" s="216"/>
      <c r="L18" s="219"/>
    </row>
  </sheetData>
  <conditionalFormatting sqref="N2:N1048576 J17:K1048576">
    <cfRule type="cellIs" dxfId="545" priority="5" operator="lessThan">
      <formula>-0.2</formula>
    </cfRule>
    <cfRule type="cellIs" dxfId="544" priority="6" operator="greaterThan">
      <formula>0.2</formula>
    </cfRule>
  </conditionalFormatting>
  <conditionalFormatting sqref="J2:J16">
    <cfRule type="cellIs" dxfId="543" priority="1" operator="lessThan">
      <formula>-0.2</formula>
    </cfRule>
    <cfRule type="cellIs" dxfId="54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3" tint="0.39997558519241921"/>
  </sheetPr>
  <dimension ref="A1:AI71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H2" sqref="H2"/>
    </sheetView>
  </sheetViews>
  <sheetFormatPr defaultRowHeight="15" x14ac:dyDescent="0.25"/>
  <cols>
    <col min="1" max="1" width="10.140625" customWidth="1"/>
    <col min="2" max="2" width="12.7109375" bestFit="1" customWidth="1"/>
    <col min="3" max="3" width="11.5703125" style="25" customWidth="1"/>
    <col min="4" max="4" width="7.85546875" style="27" bestFit="1" customWidth="1"/>
    <col min="5" max="5" width="8.85546875" style="32" bestFit="1" customWidth="1"/>
    <col min="6" max="6" width="18.7109375" style="25" bestFit="1" customWidth="1"/>
    <col min="7" max="7" width="17.28515625" style="25" bestFit="1" customWidth="1"/>
    <col min="8" max="8" width="10.28515625" style="27" customWidth="1"/>
    <col min="9" max="9" width="11.140625" style="27" customWidth="1"/>
    <col min="10" max="10" width="8.42578125" style="26" customWidth="1"/>
    <col min="11" max="11" width="10.7109375" style="26" bestFit="1" customWidth="1"/>
    <col min="12" max="13" width="14.42578125" style="27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SQRT(AVERAGE(c_31[x2]))/AVERAGE(c_31[count])</f>
        <v>0.90658225130495662</v>
      </c>
      <c r="O1" s="61">
        <f>LINEST(c_31[flow],c_31[count],FALSE)</f>
        <v>1.7961501242126079</v>
      </c>
      <c r="P1" s="50">
        <f>RSQ(c_31[flow],c_31[count])</f>
        <v>4.557684197871642E-2</v>
      </c>
      <c r="Q1" s="62">
        <f>IFERROR(AVERAGEIF(c_31[gap],"&gt;=0",c_31[gap]),0)</f>
        <v>0.92554685563619932</v>
      </c>
      <c r="R1" s="63">
        <f>IFERROR(AVERAGEIF(c_31[gap],"&lt;0",c_31[gap]),0)</f>
        <v>0</v>
      </c>
      <c r="S1" s="64">
        <f>AVERAGE(c_31[gap])</f>
        <v>0.92554685563619932</v>
      </c>
      <c r="T1" s="65">
        <f>COUNTIFS(c_31[gap],"&lt;10%",c_31[gap],"&gt;=-10%")/COUNTA(c_31[gap])</f>
        <v>0</v>
      </c>
      <c r="U1" s="65">
        <f>COUNTIFS(c_31[gap],"&lt;20%",c_31[gap],"&gt;=-20%")/COUNTA(c_31[gap])</f>
        <v>0</v>
      </c>
      <c r="V1" s="65">
        <f>COUNTIFS(c_31[gap],"&lt;30%",c_31[gap],"&gt;=-30%")/COUNTA(c_31[gap])</f>
        <v>0</v>
      </c>
      <c r="W1" s="62">
        <f>COUNTIF(c_31[gap],"&gt;=0")/COUNTA(c_31[gap])</f>
        <v>1</v>
      </c>
      <c r="X1" s="66">
        <f>COUNTIF(c_31[gap],"&lt;0")/COUNTA(c_31[gap])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17" t="str">
        <f>"AvgGap(+)="&amp;TEXT(Q1,"0%")</f>
        <v>AvgGap(+)=93%</v>
      </c>
      <c r="AB1" t="str">
        <f>"AvgGap(-)="&amp;TEXT(R1,"0%")</f>
        <v>AvgGap(-)=0%</v>
      </c>
      <c r="AC1" t="str">
        <f>"AvgGap(±)="&amp;TEXT(S1,"0%")</f>
        <v>AvgGap(±)=93%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Slope=1.796</v>
      </c>
      <c r="AH1" t="str">
        <f>"RMSE="&amp;TEXT(N1,"0%")</f>
        <v>RMSE=91%</v>
      </c>
      <c r="AI1" s="22" t="str">
        <f>CONCATENATE(Y1," ",Z1," ",AA1,"  ",AB1,"  ",AC1,"  ",AD1," ",AE1,"  ",AF1,"  ",AG1," ",AH1)</f>
        <v>%Link(+)=100% %Link(-)=0% AvgGap(+)=93%  AvgGap(-)=0%  AvgGap(±)=93%  GapIn(±10%)=0% GapIn(±20%)=0%  GapIn(±30%)=0%  Linear Slope=1.796 RMSE=91%</v>
      </c>
    </row>
    <row r="2" spans="1:35" x14ac:dyDescent="0.25">
      <c r="A2" s="43">
        <f>'[2]I-15 HOV NB'!C2</f>
        <v>29</v>
      </c>
      <c r="B2" s="43" t="str">
        <f>'[2]I-5 HOV NB'!H2</f>
        <v>I-5 HOV NB</v>
      </c>
      <c r="C2" s="43">
        <f>'[2]I-5 HOV NB'!E2</f>
        <v>25386</v>
      </c>
      <c r="D2" s="188">
        <f>'[2]I-5 HOV NB'!I2</f>
        <v>1</v>
      </c>
      <c r="E2" s="189">
        <f>'[2]I-5 HOV NB'!J2</f>
        <v>1</v>
      </c>
      <c r="F2" s="189" t="str">
        <f>'[2]I-5 HOV NB'!K2</f>
        <v>MIRA MESA</v>
      </c>
      <c r="G2" s="189" t="str">
        <f>'[2]I-5 HOV NB'!L2</f>
        <v>CARMEL MOUNTAIN</v>
      </c>
      <c r="H2" s="51">
        <f>'[2]I-5 HOV NB'!O2</f>
        <v>2637</v>
      </c>
      <c r="I2" s="207">
        <f>VLOOKUP(c_31[[#This Row],[hwycov_id]],readme!D:G,4,FALSE)</f>
        <v>4525.5776370000003</v>
      </c>
      <c r="J2" s="49">
        <f>I2/H2-1</f>
        <v>0.71618416268486929</v>
      </c>
      <c r="K2" s="190" t="str">
        <f>'[2]I-5 HOV NB'!P2</f>
        <v>PeMS2016</v>
      </c>
      <c r="L2" s="148">
        <f t="shared" ref="L2" si="0">POWER((I2-H2),2)</f>
        <v>3566725.490976505</v>
      </c>
      <c r="M2" s="148"/>
    </row>
    <row r="3" spans="1:35" x14ac:dyDescent="0.25">
      <c r="A3" s="43">
        <f>'[2]I-15 HOV NB'!C3</f>
        <v>29</v>
      </c>
      <c r="B3" s="43" t="str">
        <f>'[2]I-5 HOV NB'!H3</f>
        <v>I-5 HOV NB</v>
      </c>
      <c r="C3" s="43">
        <f>'[2]I-5 HOV NB'!E3</f>
        <v>22077</v>
      </c>
      <c r="D3" s="188">
        <f>'[2]I-5 HOV NB'!I3</f>
        <v>3</v>
      </c>
      <c r="E3" s="189">
        <f>'[2]I-5 HOV NB'!J3</f>
        <v>0</v>
      </c>
      <c r="F3" s="189" t="str">
        <f>'[2]I-5 HOV NB'!K3</f>
        <v>CARMEL VALLEY</v>
      </c>
      <c r="G3" s="189" t="str">
        <f>'[2]I-5 HOV NB'!L3</f>
        <v>CARMEL VALLEY</v>
      </c>
      <c r="H3" s="51">
        <f>'[2]I-5 HOV NB'!O3</f>
        <v>3507</v>
      </c>
      <c r="I3" s="207">
        <f>VLOOKUP(c_31[[#This Row],[hwycov_id]],readme!D:G,4,FALSE)</f>
        <v>6483.7470700000003</v>
      </c>
      <c r="J3" s="49">
        <f t="shared" ref="J3:J6" si="1">I3/H3-1</f>
        <v>0.84880155973766769</v>
      </c>
      <c r="K3" s="190" t="str">
        <f>'[2]I-5 HOV NB'!P3</f>
        <v>PeMS2016</v>
      </c>
      <c r="L3" s="148">
        <f t="shared" ref="L3:L6" si="2">POWER((I3-H3),2)</f>
        <v>8861023.1187535878</v>
      </c>
      <c r="M3" s="148"/>
    </row>
    <row r="4" spans="1:35" x14ac:dyDescent="0.25">
      <c r="A4" s="43">
        <f>'[2]I-15 HOV NB'!C4</f>
        <v>29</v>
      </c>
      <c r="B4" s="43" t="str">
        <f>'[2]I-5 HOV NB'!H4</f>
        <v>I-5 HOV NB</v>
      </c>
      <c r="C4" s="43">
        <f>'[2]I-5 HOV NB'!E4</f>
        <v>29571</v>
      </c>
      <c r="D4" s="188">
        <f>'[2]I-5 HOV NB'!I4</f>
        <v>5</v>
      </c>
      <c r="E4" s="189">
        <f>'[2]I-5 HOV NB'!J4</f>
        <v>0</v>
      </c>
      <c r="F4" s="189" t="str">
        <f>'[2]I-5 HOV NB'!K4</f>
        <v>CARMEL VALLEY</v>
      </c>
      <c r="G4" s="189" t="str">
        <f>'[2]I-5 HOV NB'!L4</f>
        <v>VIA DE LA VALLE</v>
      </c>
      <c r="H4" s="51">
        <f>'[2]I-5 HOV NB'!O4</f>
        <v>2521</v>
      </c>
      <c r="I4" s="207">
        <f>VLOOKUP(c_31[[#This Row],[hwycov_id]],readme!D:G,4,FALSE)</f>
        <v>6483.7470700000003</v>
      </c>
      <c r="J4" s="49">
        <f t="shared" si="1"/>
        <v>1.5718949107497027</v>
      </c>
      <c r="K4" s="190" t="str">
        <f>'[2]I-5 HOV NB'!P4</f>
        <v>PeMS2016</v>
      </c>
      <c r="L4" s="148">
        <f t="shared" si="2"/>
        <v>15703364.340793587</v>
      </c>
      <c r="M4" s="148"/>
    </row>
    <row r="5" spans="1:35" x14ac:dyDescent="0.25">
      <c r="A5" s="43">
        <f>'[2]I-15 HOV NB'!C5</f>
        <v>29</v>
      </c>
      <c r="B5" s="43" t="str">
        <f>'[2]I-5 HOV NB'!H5</f>
        <v>I-5 HOV NB</v>
      </c>
      <c r="C5" s="43">
        <f>'[2]I-5 HOV NB'!E5</f>
        <v>25381</v>
      </c>
      <c r="D5" s="188">
        <f>'[2]I-5 HOV NB'!I5</f>
        <v>7</v>
      </c>
      <c r="E5" s="189">
        <f>'[2]I-5 HOV NB'!J5</f>
        <v>1</v>
      </c>
      <c r="F5" s="189" t="str">
        <f>'[2]I-5 HOV NB'!K5</f>
        <v>DEL MAR HEIGHTS</v>
      </c>
      <c r="G5" s="189" t="str">
        <f>'[2]I-5 HOV NB'!L5</f>
        <v>VIA DE LA VALLE</v>
      </c>
      <c r="H5" s="51">
        <f>'[2]I-5 HOV NB'!O5</f>
        <v>3058</v>
      </c>
      <c r="I5" s="207">
        <f>VLOOKUP(c_31[[#This Row],[hwycov_id]],readme!D:G,4,FALSE)</f>
        <v>6483.7470700000003</v>
      </c>
      <c r="J5" s="49">
        <f t="shared" si="1"/>
        <v>1.1202573806409419</v>
      </c>
      <c r="K5" s="190" t="str">
        <f>'[2]I-5 HOV NB'!P5</f>
        <v>PeMS2016</v>
      </c>
      <c r="L5" s="148">
        <f t="shared" si="2"/>
        <v>11735742.987613587</v>
      </c>
      <c r="M5" s="44"/>
    </row>
    <row r="6" spans="1:35" x14ac:dyDescent="0.25">
      <c r="A6" s="43">
        <f>'[2]I-15 HOV NB'!C6</f>
        <v>29</v>
      </c>
      <c r="B6" s="43" t="str">
        <f>'[2]I-5 HOV NB'!H6</f>
        <v>I-5 HOV NB</v>
      </c>
      <c r="C6" s="43">
        <f>'[2]I-5 HOV NB'!E6</f>
        <v>29490</v>
      </c>
      <c r="D6" s="188">
        <f>'[2]I-5 HOV NB'!I6</f>
        <v>8</v>
      </c>
      <c r="E6" s="189">
        <f>'[2]I-5 HOV NB'!J6</f>
        <v>1</v>
      </c>
      <c r="F6" s="189" t="str">
        <f>'[2]I-5 HOV NB'!K6</f>
        <v>DEL MAR HEIGHTS</v>
      </c>
      <c r="G6" s="189" t="str">
        <f>'[2]I-5 HOV NB'!L6</f>
        <v>VIA DE LA VALLE</v>
      </c>
      <c r="H6" s="51">
        <f>'[2]I-5 HOV NB'!O6</f>
        <v>4350</v>
      </c>
      <c r="I6" s="207">
        <f>VLOOKUP(c_31[[#This Row],[hwycov_id]],readme!D:G,4,FALSE)</f>
        <v>5962.09375</v>
      </c>
      <c r="J6" s="49">
        <f t="shared" si="1"/>
        <v>0.37059626436781601</v>
      </c>
      <c r="K6" s="190" t="str">
        <f>'[2]I-5 HOV NB'!P6</f>
        <v>PeMS2016</v>
      </c>
      <c r="L6" s="148">
        <f t="shared" si="2"/>
        <v>2598846.2587890625</v>
      </c>
      <c r="M6" s="44"/>
    </row>
    <row r="7" spans="1:35" x14ac:dyDescent="0.25">
      <c r="A7" s="258"/>
      <c r="B7" s="126"/>
      <c r="C7" s="259"/>
      <c r="D7" s="260"/>
      <c r="E7" s="261"/>
      <c r="F7" s="261"/>
      <c r="G7" s="261"/>
      <c r="H7" s="254"/>
      <c r="I7" s="254"/>
      <c r="J7" s="206"/>
      <c r="K7" s="148"/>
      <c r="L7" s="148"/>
      <c r="M7" s="44"/>
    </row>
    <row r="8" spans="1:35" x14ac:dyDescent="0.25">
      <c r="A8" s="258"/>
      <c r="B8" s="126"/>
      <c r="C8" s="259"/>
      <c r="D8" s="260"/>
      <c r="E8" s="261"/>
      <c r="F8" s="261"/>
      <c r="G8" s="261"/>
      <c r="H8" s="254"/>
      <c r="I8" s="254"/>
      <c r="J8" s="206"/>
      <c r="K8" s="148"/>
      <c r="L8" s="148"/>
      <c r="M8" s="44"/>
    </row>
    <row r="9" spans="1:35" x14ac:dyDescent="0.25">
      <c r="A9" s="258"/>
      <c r="B9" s="126"/>
      <c r="C9" s="259"/>
      <c r="D9" s="260"/>
      <c r="E9" s="261"/>
      <c r="F9" s="261"/>
      <c r="G9" s="261"/>
      <c r="H9" s="254"/>
      <c r="I9" s="254"/>
      <c r="J9" s="206"/>
      <c r="K9" s="148"/>
      <c r="L9" s="148"/>
      <c r="M9" s="44"/>
    </row>
    <row r="10" spans="1:35" x14ac:dyDescent="0.25">
      <c r="A10" s="258"/>
      <c r="B10" s="126"/>
      <c r="C10" s="259"/>
      <c r="D10" s="260"/>
      <c r="E10" s="261"/>
      <c r="F10" s="261"/>
      <c r="G10" s="261"/>
      <c r="H10" s="254"/>
      <c r="I10" s="254"/>
      <c r="J10" s="206"/>
      <c r="K10" s="148"/>
      <c r="L10" s="148"/>
      <c r="M10" s="44"/>
    </row>
    <row r="11" spans="1:35" x14ac:dyDescent="0.25">
      <c r="A11" s="258"/>
      <c r="B11" s="126"/>
      <c r="C11" s="259"/>
      <c r="D11" s="260"/>
      <c r="E11" s="261"/>
      <c r="F11" s="261"/>
      <c r="G11" s="261"/>
      <c r="H11" s="254"/>
      <c r="I11" s="254"/>
      <c r="J11" s="206"/>
      <c r="K11" s="148"/>
      <c r="L11" s="148"/>
      <c r="M11" s="44"/>
    </row>
    <row r="12" spans="1:35" x14ac:dyDescent="0.25">
      <c r="A12" s="258"/>
      <c r="B12" s="126"/>
      <c r="C12" s="259"/>
      <c r="D12" s="260"/>
      <c r="E12" s="261"/>
      <c r="F12" s="261"/>
      <c r="G12" s="261"/>
      <c r="H12" s="254"/>
      <c r="I12" s="254"/>
      <c r="J12" s="206"/>
      <c r="K12" s="148"/>
      <c r="L12" s="148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  <row r="67" spans="12:12" x14ac:dyDescent="0.25">
      <c r="L67" s="44"/>
    </row>
    <row r="68" spans="12:12" x14ac:dyDescent="0.25">
      <c r="L68" s="44"/>
    </row>
    <row r="69" spans="12:12" x14ac:dyDescent="0.25">
      <c r="L69" s="44"/>
    </row>
    <row r="70" spans="12:12" x14ac:dyDescent="0.25">
      <c r="L70" s="44"/>
    </row>
    <row r="71" spans="12:12" x14ac:dyDescent="0.25">
      <c r="L71" s="44"/>
    </row>
  </sheetData>
  <phoneticPr fontId="62" type="noConversion"/>
  <conditionalFormatting sqref="N2:N1048576">
    <cfRule type="cellIs" dxfId="529" priority="15" operator="lessThan">
      <formula>-0.2</formula>
    </cfRule>
    <cfRule type="cellIs" dxfId="528" priority="16" operator="greaterThan">
      <formula>0.2</formula>
    </cfRule>
  </conditionalFormatting>
  <conditionalFormatting sqref="J13:K1048576">
    <cfRule type="cellIs" dxfId="527" priority="13" operator="lessThan">
      <formula>-0.2</formula>
    </cfRule>
    <cfRule type="cellIs" dxfId="526" priority="14" operator="greaterThan">
      <formula>0.2</formula>
    </cfRule>
  </conditionalFormatting>
  <conditionalFormatting sqref="J8:K12">
    <cfRule type="cellIs" dxfId="525" priority="11" operator="lessThan">
      <formula>-0.2</formula>
    </cfRule>
    <cfRule type="cellIs" dxfId="524" priority="12" operator="greaterThan">
      <formula>0.2</formula>
    </cfRule>
  </conditionalFormatting>
  <conditionalFormatting sqref="J6">
    <cfRule type="cellIs" dxfId="523" priority="3" operator="lessThan">
      <formula>-0.2</formula>
    </cfRule>
    <cfRule type="cellIs" dxfId="522" priority="4" operator="greaterThan">
      <formula>0.2</formula>
    </cfRule>
  </conditionalFormatting>
  <conditionalFormatting sqref="J2:J5">
    <cfRule type="cellIs" dxfId="521" priority="1" operator="lessThan">
      <formula>-0.2</formula>
    </cfRule>
    <cfRule type="cellIs" dxfId="52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3" tint="0.39997558519241921"/>
  </sheetPr>
  <dimension ref="A1:AI66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H2" sqref="H2"/>
    </sheetView>
  </sheetViews>
  <sheetFormatPr defaultRowHeight="15" x14ac:dyDescent="0.25"/>
  <cols>
    <col min="1" max="1" width="10.85546875" style="136" bestFit="1" customWidth="1"/>
    <col min="2" max="2" width="13.7109375" style="136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57031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" style="139" customWidth="1"/>
    <col min="15" max="16" width="9" style="2" customWidth="1"/>
    <col min="17" max="19" width="9.140625" style="136"/>
    <col min="20" max="20" width="10.42578125" style="136" customWidth="1"/>
    <col min="21" max="21" width="9.140625" style="136"/>
    <col min="22" max="22" width="9.5703125" style="136" customWidth="1"/>
    <col min="23" max="24" width="9.28515625" style="136" customWidth="1"/>
    <col min="25" max="16384" width="9.140625" style="136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SQRT(AVERAGE(c_313840[x2]))/AVERAGE(c_313840[count])</f>
        <v>0.56017932215390331</v>
      </c>
      <c r="O1" s="61">
        <f>LINEST(c_313840[flow],c_313840[count],FALSE)</f>
        <v>1.5601793221539033</v>
      </c>
      <c r="P1" s="50" t="e">
        <f>RSQ(c_313840[flow],c_313840[count])</f>
        <v>#DIV/0!</v>
      </c>
      <c r="Q1" s="62">
        <f>IFERROR(AVERAGEIF(c_313840[gap],"&gt;=0",c_313840[gap]),0)</f>
        <v>0.56017932215390331</v>
      </c>
      <c r="R1" s="63">
        <f>IFERROR(AVERAGEIF(c_313840[gap],"&lt;0",c_313840[gap]),0)</f>
        <v>0</v>
      </c>
      <c r="S1" s="64">
        <f>AVERAGE(c_313840[gap])</f>
        <v>0.56017932215390331</v>
      </c>
      <c r="T1" s="65">
        <f>COUNTIFS(c_313840[gap],"&lt;10%",c_313840[gap],"&gt;=-10%")/COUNTA(c_313840[gap])</f>
        <v>0</v>
      </c>
      <c r="U1" s="65">
        <f>COUNTIFS(c_313840[gap],"&lt;20%",c_313840[gap],"&gt;=-20%")/COUNTA(c_313840[gap])</f>
        <v>0</v>
      </c>
      <c r="V1" s="65">
        <f>COUNTIFS(c_313840[gap],"&lt;30%",c_313840[gap],"&gt;=-30%")/COUNTA(c_313840[gap])</f>
        <v>0</v>
      </c>
      <c r="W1" s="62">
        <f>COUNTIF(c_313840[gap],"&gt;=0")/COUNTA(c_313840[gap])</f>
        <v>1</v>
      </c>
      <c r="X1" s="66">
        <f>COUNTIF(c_313840[gap],"&lt;0")/COUNTA(c_313840[gap])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17" t="str">
        <f>"AvgGap(+)="&amp;TEXT(Q1,"0%")</f>
        <v>AvgGap(+)=56%</v>
      </c>
      <c r="AB1" s="136" t="str">
        <f>"AvgGap(-)="&amp;TEXT(R1,"0%")</f>
        <v>AvgGap(-)=0%</v>
      </c>
      <c r="AC1" s="136" t="str">
        <f>"AvgGap(±)="&amp;TEXT(S1,"0%")</f>
        <v>AvgGap(±)=56%</v>
      </c>
      <c r="AD1" s="136" t="str">
        <f>"GapIn(±10%)="&amp;TEXT(T1,"0%")</f>
        <v>GapIn(±10%)=0%</v>
      </c>
      <c r="AE1" s="136" t="str">
        <f>"GapIn(±20%)="&amp;TEXT(U1,"0%")</f>
        <v>GapIn(±20%)=0%</v>
      </c>
      <c r="AF1" s="136" t="str">
        <f>"GapIn(±30%)="&amp;TEXT(V1,"0%")</f>
        <v>GapIn(±30%)=0%</v>
      </c>
      <c r="AG1" s="136" t="str">
        <f>"Linear Slope="&amp;TEXT(O1,"#.###")</f>
        <v>Linear Slope=1.56</v>
      </c>
      <c r="AH1" s="136" t="str">
        <f>"RMSE="&amp;TEXT(N1,"0%")</f>
        <v>RMSE=56%</v>
      </c>
      <c r="AI1" s="22" t="str">
        <f>CONCATENATE(Y1," ",Z1," ",AA1,"  ",AB1,"  ",AC1,"  ",AD1," ",AE1,"  ",AF1,"  ",AG1," ",AH1)</f>
        <v>%Link(+)=100% %Link(-)=0% AvgGap(+)=56%  AvgGap(-)=0%  AvgGap(±)=56%  GapIn(±10%)=0% GapIn(±20%)=0%  GapIn(±30%)=0%  Linear Slope=1.56 RMSE=56%</v>
      </c>
    </row>
    <row r="2" spans="1:35" x14ac:dyDescent="0.25">
      <c r="A2" s="43">
        <f>'[2]I-5 NB AUX LOCAL ACC'!C2</f>
        <v>34</v>
      </c>
      <c r="B2" s="43" t="str">
        <f>'[2]I-5 NB AUX LOCAL ACC'!H2</f>
        <v>I-5 NB AUX LOCAL ACC</v>
      </c>
      <c r="C2" s="43">
        <f>'[2]I-5 NB AUX LOCAL ACC'!E2</f>
        <v>1042</v>
      </c>
      <c r="D2" s="188">
        <f>'[2]I-5 NB AUX LOCAL ACC'!I2</f>
        <v>1</v>
      </c>
      <c r="E2" s="189">
        <f>'[2]I-5 NB AUX LOCAL ACC'!J2</f>
        <v>0</v>
      </c>
      <c r="F2" s="189">
        <f>'[2]I-5 NB AUX LOCAL ACC'!K2</f>
        <v>0</v>
      </c>
      <c r="G2" s="189">
        <f>'[2]I-5 NB AUX LOCAL ACC'!L2</f>
        <v>0</v>
      </c>
      <c r="H2" s="51">
        <f>'[2]I-5 NB AUX LOCAL ACC'!O2</f>
        <v>5367</v>
      </c>
      <c r="I2" s="207">
        <f>VLOOKUP(c_313840[[#This Row],[hwycov_id]],readme!D:G,4,FALSE)</f>
        <v>8373.4824219999991</v>
      </c>
      <c r="J2" s="49">
        <f>I2/H2-1</f>
        <v>0.56017932215390331</v>
      </c>
      <c r="K2" s="190" t="str">
        <f>'[2]I-5 NB AUX LOCAL ACC'!P2</f>
        <v>PeMS2016</v>
      </c>
      <c r="L2" s="148">
        <f t="shared" ref="L2" si="0">POWER((I2-H2),2)</f>
        <v>9038936.55379498</v>
      </c>
      <c r="M2" s="148"/>
    </row>
    <row r="3" spans="1:35" x14ac:dyDescent="0.25">
      <c r="A3" s="258"/>
      <c r="B3" s="258"/>
      <c r="C3" s="259"/>
      <c r="D3" s="260"/>
      <c r="E3" s="261"/>
      <c r="F3" s="261"/>
      <c r="G3" s="261"/>
      <c r="H3" s="254"/>
      <c r="I3" s="254"/>
      <c r="J3" s="206"/>
      <c r="K3" s="148"/>
      <c r="L3" s="148"/>
      <c r="M3" s="148"/>
    </row>
    <row r="4" spans="1:35" x14ac:dyDescent="0.25">
      <c r="L4" s="44"/>
      <c r="M4" s="148"/>
    </row>
    <row r="5" spans="1:35" x14ac:dyDescent="0.25">
      <c r="L5" s="44"/>
      <c r="M5" s="44"/>
    </row>
    <row r="6" spans="1:35" x14ac:dyDescent="0.25">
      <c r="L6" s="44"/>
      <c r="M6" s="44"/>
    </row>
    <row r="7" spans="1:35" x14ac:dyDescent="0.25">
      <c r="L7" s="44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</sheetData>
  <conditionalFormatting sqref="N2:N1048576">
    <cfRule type="cellIs" dxfId="506" priority="9" operator="lessThan">
      <formula>-0.2</formula>
    </cfRule>
    <cfRule type="cellIs" dxfId="505" priority="10" operator="greaterThan">
      <formula>0.2</formula>
    </cfRule>
  </conditionalFormatting>
  <conditionalFormatting sqref="J8:K1048576">
    <cfRule type="cellIs" dxfId="504" priority="7" operator="lessThan">
      <formula>-0.2</formula>
    </cfRule>
    <cfRule type="cellIs" dxfId="503" priority="8" operator="greaterThan">
      <formula>0.2</formula>
    </cfRule>
  </conditionalFormatting>
  <conditionalFormatting sqref="J3:K7">
    <cfRule type="cellIs" dxfId="502" priority="5" operator="lessThan">
      <formula>-0.2</formula>
    </cfRule>
    <cfRule type="cellIs" dxfId="501" priority="6" operator="greaterThan">
      <formula>0.2</formula>
    </cfRule>
  </conditionalFormatting>
  <conditionalFormatting sqref="J2">
    <cfRule type="cellIs" dxfId="500" priority="1" operator="lessThan">
      <formula>-0.2</formula>
    </cfRule>
    <cfRule type="cellIs" dxfId="499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3" tint="0.39997558519241921"/>
  </sheetPr>
  <dimension ref="A1:AI71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J23" sqref="J23"/>
    </sheetView>
  </sheetViews>
  <sheetFormatPr defaultRowHeight="15" x14ac:dyDescent="0.25"/>
  <cols>
    <col min="1" max="1" width="10.85546875" style="136" bestFit="1" customWidth="1"/>
    <col min="2" max="2" width="13.7109375" style="136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57031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" style="139" customWidth="1"/>
    <col min="15" max="16" width="9" style="2" customWidth="1"/>
    <col min="17" max="19" width="9.140625" style="136"/>
    <col min="20" max="20" width="10.42578125" style="136" customWidth="1"/>
    <col min="21" max="21" width="9.140625" style="136"/>
    <col min="22" max="22" width="9.5703125" style="136" customWidth="1"/>
    <col min="23" max="24" width="9.28515625" style="136" customWidth="1"/>
    <col min="25" max="16384" width="9.140625" style="136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SQRT(AVERAGE(c_3138[x2]))/AVERAGE(c_3138[count])</f>
        <v>0.33406199484407378</v>
      </c>
      <c r="O1" s="61">
        <f>LINEST(c_3138[flow],c_3138[count],FALSE)</f>
        <v>1.2241529396051012</v>
      </c>
      <c r="P1" s="50">
        <f>RSQ(c_3138[flow],c_3138[count])</f>
        <v>9.7917916802491789E-2</v>
      </c>
      <c r="Q1" s="62">
        <f>IFERROR(AVERAGEIF(c_3138[gap],"&gt;=0",c_3138[gap]),0)</f>
        <v>0.29066656299546645</v>
      </c>
      <c r="R1" s="63">
        <f>IFERROR(AVERAGEIF(c_3138[gap],"&lt;0",c_3138[gap]),0)</f>
        <v>0</v>
      </c>
      <c r="S1" s="64">
        <f>AVERAGE(c_3138[gap])</f>
        <v>0.29066656299546645</v>
      </c>
      <c r="T1" s="65">
        <f>COUNTIFS(c_3138[gap],"&lt;10%",c_3138[gap],"&gt;=-10%")/COUNTA(c_3138[gap])</f>
        <v>0.25</v>
      </c>
      <c r="U1" s="65">
        <f>COUNTIFS(c_3138[gap],"&lt;20%",c_3138[gap],"&gt;=-20%")/COUNTA(c_3138[gap])</f>
        <v>0.5</v>
      </c>
      <c r="V1" s="65">
        <f>COUNTIFS(c_3138[gap],"&lt;30%",c_3138[gap],"&gt;=-30%")/COUNTA(c_3138[gap])</f>
        <v>0.75</v>
      </c>
      <c r="W1" s="62">
        <f>COUNTIF(c_3138[gap],"&gt;=0")/COUNTA(c_3138[gap])</f>
        <v>1</v>
      </c>
      <c r="X1" s="66">
        <f>COUNTIF(c_3138[gap],"&lt;0")/COUNTA(c_3138[gap])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17" t="str">
        <f>"AvgGap(+)="&amp;TEXT(Q1,"0%")</f>
        <v>AvgGap(+)=29%</v>
      </c>
      <c r="AB1" s="136" t="str">
        <f>"AvgGap(-)="&amp;TEXT(R1,"0%")</f>
        <v>AvgGap(-)=0%</v>
      </c>
      <c r="AC1" s="136" t="str">
        <f>"AvgGap(±)="&amp;TEXT(S1,"0%")</f>
        <v>AvgGap(±)=29%</v>
      </c>
      <c r="AD1" s="136" t="str">
        <f>"GapIn(±10%)="&amp;TEXT(T1,"0%")</f>
        <v>GapIn(±10%)=25%</v>
      </c>
      <c r="AE1" s="136" t="str">
        <f>"GapIn(±20%)="&amp;TEXT(U1,"0%")</f>
        <v>GapIn(±20%)=50%</v>
      </c>
      <c r="AF1" s="136" t="str">
        <f>"GapIn(±30%)="&amp;TEXT(V1,"0%")</f>
        <v>GapIn(±30%)=75%</v>
      </c>
      <c r="AG1" s="136" t="str">
        <f>"Linear Slope="&amp;TEXT(O1,"#.###")</f>
        <v>Linear Slope=1.224</v>
      </c>
      <c r="AH1" s="136" t="str">
        <f>"RMSE="&amp;TEXT(N1,"0%")</f>
        <v>RMSE=33%</v>
      </c>
      <c r="AI1" s="22" t="str">
        <f>CONCATENATE(Y1," ",Z1," ",AA1,"  ",AB1,"  ",AC1,"  ",AD1," ",AE1,"  ",AF1,"  ",AG1," ",AH1)</f>
        <v>%Link(+)=100% %Link(-)=0% AvgGap(+)=29%  AvgGap(-)=0%  AvgGap(±)=29%  GapIn(±10%)=25% GapIn(±20%)=50%  GapIn(±30%)=75%  Linear Slope=1.224 RMSE=33%</v>
      </c>
    </row>
    <row r="2" spans="1:35" x14ac:dyDescent="0.25">
      <c r="A2" s="43">
        <f>'[2]I-805 HOV NB'!C2</f>
        <v>33</v>
      </c>
      <c r="B2" s="43" t="str">
        <f>'[2]I-805 HOV NB'!H2</f>
        <v>I-805 HOV NB</v>
      </c>
      <c r="C2" s="43">
        <f>'[2]I-805 HOV NB'!E2</f>
        <v>29533</v>
      </c>
      <c r="D2" s="188">
        <f>'[2]I-805 HOV NB'!I2</f>
        <v>52</v>
      </c>
      <c r="E2" s="189">
        <f>'[2]I-805 HOV NB'!J2</f>
        <v>1</v>
      </c>
      <c r="F2" s="189" t="str">
        <f>'[2]I-805 HOV NB'!K2</f>
        <v>SR-52 WB</v>
      </c>
      <c r="G2" s="189" t="str">
        <f>'[2]I-805 HOV NB'!L2</f>
        <v>MIRAMAR</v>
      </c>
      <c r="H2" s="51">
        <f>'[2]I-805 HOV NB'!O2</f>
        <v>2778</v>
      </c>
      <c r="I2" s="207">
        <f>VLOOKUP(c_3138[[#This Row],[hwycov_id]],readme!D:G,4,FALSE)</f>
        <v>3106.874268</v>
      </c>
      <c r="J2" s="49">
        <f>I2/H2-1</f>
        <v>0.11838526565874741</v>
      </c>
      <c r="K2" s="190" t="str">
        <f>'[2]I-805 HOV NB'!P2</f>
        <v>PeMS2016</v>
      </c>
      <c r="L2" s="148">
        <f t="shared" ref="L2" si="0">POWER((I2-H2),2)</f>
        <v>108158.28415253584</v>
      </c>
      <c r="M2" s="148"/>
    </row>
    <row r="3" spans="1:35" x14ac:dyDescent="0.25">
      <c r="A3" s="43">
        <f>'[2]I-805 HOV NB'!C3</f>
        <v>33</v>
      </c>
      <c r="B3" s="43" t="str">
        <f>'[2]I-805 HOV NB'!H3</f>
        <v>I-805 HOV NB</v>
      </c>
      <c r="C3" s="43">
        <f>'[2]I-805 HOV NB'!E3</f>
        <v>24750</v>
      </c>
      <c r="D3" s="188">
        <f>'[2]I-805 HOV NB'!I3</f>
        <v>53</v>
      </c>
      <c r="E3" s="189">
        <f>'[2]I-805 HOV NB'!J3</f>
        <v>0</v>
      </c>
      <c r="F3" s="189" t="str">
        <f>'[2]I-805 HOV NB'!K3</f>
        <v>SR-52 WB</v>
      </c>
      <c r="G3" s="189" t="str">
        <f>'[2]I-805 HOV NB'!L3</f>
        <v>MIRAMAR</v>
      </c>
      <c r="H3" s="51">
        <f>'[2]I-805 HOV NB'!O3</f>
        <v>3346</v>
      </c>
      <c r="I3" s="207">
        <f>VLOOKUP(c_3138[[#This Row],[hwycov_id]],readme!D:G,4,FALSE)</f>
        <v>4319.5708009999998</v>
      </c>
      <c r="J3" s="49">
        <f t="shared" ref="J3:J5" si="1">I3/H3-1</f>
        <v>0.290965571129707</v>
      </c>
      <c r="K3" s="190" t="str">
        <f>'[2]I-805 HOV NB'!P3</f>
        <v>PeMS2016</v>
      </c>
      <c r="L3" s="148">
        <f t="shared" ref="L3:L5" si="2">POWER((I3-H3),2)</f>
        <v>947840.10455978126</v>
      </c>
      <c r="M3" s="148"/>
    </row>
    <row r="4" spans="1:35" x14ac:dyDescent="0.25">
      <c r="A4" s="43">
        <f>'[2]I-805 HOV NB'!C4</f>
        <v>33</v>
      </c>
      <c r="B4" s="43" t="str">
        <f>'[2]I-805 HOV NB'!H4</f>
        <v>I-805 HOV NB</v>
      </c>
      <c r="C4" s="43">
        <f>'[2]I-805 HOV NB'!E4</f>
        <v>663</v>
      </c>
      <c r="D4" s="188">
        <f>'[2]I-805 HOV NB'!I4</f>
        <v>56</v>
      </c>
      <c r="E4" s="189">
        <f>'[2]I-805 HOV NB'!J4</f>
        <v>0</v>
      </c>
      <c r="F4" s="189" t="str">
        <f>'[2]I-805 HOV NB'!K4</f>
        <v>ramp</v>
      </c>
      <c r="G4" s="189" t="str">
        <f>'[2]I-805 HOV NB'!L4</f>
        <v>ramp I-805 NB</v>
      </c>
      <c r="H4" s="51">
        <f>'[2]I-805 HOV NB'!O4</f>
        <v>4186</v>
      </c>
      <c r="I4" s="207">
        <f>VLOOKUP(c_3138[[#This Row],[hwycov_id]],readme!D:G,4,FALSE)</f>
        <v>4319.5708009999998</v>
      </c>
      <c r="J4" s="49">
        <f t="shared" si="1"/>
        <v>3.19089347826087E-2</v>
      </c>
      <c r="K4" s="190" t="str">
        <f>'[2]I-805 HOV NB'!P4</f>
        <v>PeMS2016</v>
      </c>
      <c r="L4" s="148">
        <f t="shared" si="2"/>
        <v>17841.15887978156</v>
      </c>
      <c r="M4" s="148"/>
    </row>
    <row r="5" spans="1:35" x14ac:dyDescent="0.25">
      <c r="A5" s="43">
        <f>'[2]I-805 HOV NB'!C5</f>
        <v>33</v>
      </c>
      <c r="B5" s="43" t="str">
        <f>'[2]I-805 HOV NB'!H5</f>
        <v>I-805 HOV NB</v>
      </c>
      <c r="C5" s="43">
        <f>'[2]I-805 HOV NB'!E5</f>
        <v>29553</v>
      </c>
      <c r="D5" s="188">
        <f>'[2]I-805 HOV NB'!I5</f>
        <v>61</v>
      </c>
      <c r="E5" s="189">
        <f>'[2]I-805 HOV NB'!J5</f>
        <v>0</v>
      </c>
      <c r="F5" s="189" t="str">
        <f>'[2]I-805 HOV NB'!K5</f>
        <v>ramp I-805 HOV NB</v>
      </c>
      <c r="G5" s="189" t="str">
        <f>'[2]I-805 HOV NB'!L5</f>
        <v>ramp I-805 HOV NB</v>
      </c>
      <c r="H5" s="51">
        <f>'[2]I-805 HOV NB'!O5</f>
        <v>2629</v>
      </c>
      <c r="I5" s="207">
        <f>VLOOKUP(c_3138[[#This Row],[hwycov_id]],readme!D:G,4,FALSE)</f>
        <v>4525.5776370000003</v>
      </c>
      <c r="J5" s="49">
        <f t="shared" si="1"/>
        <v>0.72140648041080269</v>
      </c>
      <c r="K5" s="190" t="str">
        <f>'[2]I-805 HOV NB'!P5</f>
        <v>PeMS2016</v>
      </c>
      <c r="L5" s="148">
        <f t="shared" si="2"/>
        <v>3597006.7331685051</v>
      </c>
      <c r="M5" s="44"/>
    </row>
    <row r="6" spans="1:35" x14ac:dyDescent="0.25">
      <c r="A6" s="67"/>
      <c r="B6" s="67"/>
      <c r="C6" s="259"/>
      <c r="D6" s="260"/>
      <c r="E6" s="261"/>
      <c r="F6" s="261"/>
      <c r="G6" s="261"/>
      <c r="H6" s="254"/>
      <c r="I6" s="262"/>
      <c r="J6" s="206"/>
      <c r="K6" s="148"/>
      <c r="L6" s="148"/>
      <c r="M6" s="44"/>
    </row>
    <row r="7" spans="1:35" x14ac:dyDescent="0.25">
      <c r="A7" s="258"/>
      <c r="B7" s="258"/>
      <c r="C7" s="259"/>
      <c r="D7" s="260"/>
      <c r="E7" s="261"/>
      <c r="F7" s="261"/>
      <c r="G7" s="261"/>
      <c r="H7" s="254"/>
      <c r="I7" s="254"/>
      <c r="J7" s="206"/>
      <c r="K7" s="148"/>
      <c r="L7" s="148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ht="9" customHeight="1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  <row r="67" spans="12:12" x14ac:dyDescent="0.25">
      <c r="L67" s="44"/>
    </row>
    <row r="68" spans="12:12" x14ac:dyDescent="0.25">
      <c r="L68" s="44"/>
    </row>
    <row r="69" spans="12:12" x14ac:dyDescent="0.25">
      <c r="L69" s="44"/>
    </row>
    <row r="70" spans="12:12" x14ac:dyDescent="0.25">
      <c r="L70" s="44"/>
    </row>
    <row r="71" spans="12:12" x14ac:dyDescent="0.25">
      <c r="L71" s="44"/>
    </row>
  </sheetData>
  <conditionalFormatting sqref="N2:N1048576">
    <cfRule type="cellIs" dxfId="485" priority="9" operator="lessThan">
      <formula>-0.2</formula>
    </cfRule>
    <cfRule type="cellIs" dxfId="484" priority="10" operator="greaterThan">
      <formula>0.2</formula>
    </cfRule>
  </conditionalFormatting>
  <conditionalFormatting sqref="J13:K1048576">
    <cfRule type="cellIs" dxfId="483" priority="7" operator="lessThan">
      <formula>-0.2</formula>
    </cfRule>
    <cfRule type="cellIs" dxfId="482" priority="8" operator="greaterThan">
      <formula>0.2</formula>
    </cfRule>
  </conditionalFormatting>
  <conditionalFormatting sqref="J8:K12">
    <cfRule type="cellIs" dxfId="481" priority="5" operator="lessThan">
      <formula>-0.2</formula>
    </cfRule>
    <cfRule type="cellIs" dxfId="480" priority="6" operator="greaterThan">
      <formula>0.2</formula>
    </cfRule>
  </conditionalFormatting>
  <conditionalFormatting sqref="J6">
    <cfRule type="cellIs" dxfId="479" priority="3" operator="lessThan">
      <formula>-0.2</formula>
    </cfRule>
    <cfRule type="cellIs" dxfId="478" priority="4" operator="greaterThan">
      <formula>0.2</formula>
    </cfRule>
  </conditionalFormatting>
  <conditionalFormatting sqref="J2:J5">
    <cfRule type="cellIs" dxfId="477" priority="1" operator="lessThan">
      <formula>-0.2</formula>
    </cfRule>
    <cfRule type="cellIs" dxfId="47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0.39997558519241921"/>
  </sheetPr>
  <dimension ref="A1:AI83"/>
  <sheetViews>
    <sheetView showGridLines="0" zoomScale="80" zoomScaleNormal="80" workbookViewId="0">
      <pane ySplit="1" topLeftCell="A2" activePane="bottomLeft" state="frozen"/>
      <selection activeCell="L5" sqref="L5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SQRT(AVERAGE(c_8[x2]))/AVERAGE(c_8[count])</f>
        <v>0.19013771740158916</v>
      </c>
      <c r="O1" s="69">
        <f>LINEST(c_8[flow],c_8[count],FALSE)</f>
        <v>1.0535390538613105</v>
      </c>
      <c r="P1" s="69">
        <f>RSQ(c_8[flow],c_8[count])</f>
        <v>0.55619661546210397</v>
      </c>
      <c r="Q1" s="19">
        <f>IFERROR(AVERAGEIF(c_8[gap],"&gt;=0",c_8[gap]),0)</f>
        <v>0.20570024071224993</v>
      </c>
      <c r="R1" s="20">
        <f>IFERROR(AVERAGEIF(c_8[gap],"&lt;0",c_8[gap]),0)</f>
        <v>-8.5619872616884238E-2</v>
      </c>
      <c r="S1" s="13">
        <f>AVERAGE(c_8[gap])</f>
        <v>5.6103425759451306E-2</v>
      </c>
      <c r="T1" s="18">
        <f>COUNTIFS(c_8[gap],"&lt;10%",c_8[gap],"&gt;=-10%")/COUNTA(c_8[gap])</f>
        <v>0.58108108108108103</v>
      </c>
      <c r="U1" s="18">
        <f>COUNTIFS(c_8[gap],"&lt;20%",c_8[gap],"&gt;=-20%")/COUNTA(c_8[gap])</f>
        <v>0.7432432432432432</v>
      </c>
      <c r="V1" s="18">
        <f>COUNTIFS(c_8[gap],"&lt;30%",c_8[gap],"&gt;=-30%")/COUNTA(c_8[gap])</f>
        <v>0.81081081081081086</v>
      </c>
      <c r="W1" s="19">
        <f>COUNTIF(c_8[gap],"&gt;=0")/COUNTA(c_8[gap])</f>
        <v>0.48648648648648651</v>
      </c>
      <c r="X1" s="21">
        <f>COUNTIF(c_8[gap],"&lt;0")/COUNTA(c_8[gap])</f>
        <v>0.51351351351351349</v>
      </c>
      <c r="Y1" s="39" t="str">
        <f>"%Link(+)="&amp;TEXT(W1,"0%")</f>
        <v>%Link(+)=49%</v>
      </c>
      <c r="Z1" s="39" t="str">
        <f>"%Link(-)="&amp;TEXT(X1,"0%")</f>
        <v>%Link(-)=51%</v>
      </c>
      <c r="AA1" s="36" t="str">
        <f>"AvgGap(+)="&amp;TEXT(Q1,"0%")</f>
        <v>AvgGap(+)=21%</v>
      </c>
      <c r="AB1" s="25" t="str">
        <f>"AvgGap(-)="&amp;TEXT(R1,"0%")</f>
        <v>AvgGap(-)=-9%</v>
      </c>
      <c r="AC1" s="25" t="str">
        <f>"AvgGap(±)="&amp;TEXT(S1,"0%")</f>
        <v>AvgGap(±)=6%</v>
      </c>
      <c r="AD1" s="25" t="str">
        <f>"GapIn(±10%)="&amp;TEXT(T1,"0%")</f>
        <v>GapIn(±10%)=58%</v>
      </c>
      <c r="AE1" s="25" t="str">
        <f>"GapIn(±20%)="&amp;TEXT(U1,"0%")</f>
        <v>GapIn(±20%)=74%</v>
      </c>
      <c r="AF1" s="25" t="str">
        <f>"GapIn(±30%)="&amp;TEXT(V1,"0%")</f>
        <v>GapIn(±30%)=81%</v>
      </c>
      <c r="AG1" s="25" t="str">
        <f>"Linear Slope="&amp;TEXT(O1,"#.###")</f>
        <v>Linear Slope=1.054</v>
      </c>
      <c r="AH1" s="25" t="str">
        <f>"RMSE="&amp;TEXT(N1,"0%")</f>
        <v>RMSE=19%</v>
      </c>
      <c r="AI1" s="25" t="str">
        <f>CONCATENATE(Y1," ",Z1," ",AA1,"  ",AB1,"  ",AC1,"  ",AD1," ",AE1,"  ",AF1,"  ",AG1," ",AH1)</f>
        <v>%Link(+)=49% %Link(-)=51% AvgGap(+)=21%  AvgGap(-)=-9%  AvgGap(±)=6%  GapIn(±10%)=58% GapIn(±20%)=74%  GapIn(±30%)=81%  Linear Slope=1.054 RMSE=19%</v>
      </c>
    </row>
    <row r="2" spans="1:35" ht="15" customHeight="1" x14ac:dyDescent="0.25">
      <c r="A2" s="43">
        <f>'[2]I-5 SB'!C2</f>
        <v>8</v>
      </c>
      <c r="B2" s="43" t="str">
        <f>'[2]I-5 SB'!H2</f>
        <v>I-5 SB</v>
      </c>
      <c r="C2" s="126">
        <f>'[2]I-5 SB'!E2</f>
        <v>27520</v>
      </c>
      <c r="D2" s="188">
        <f>'[2]I-5 SB'!I2</f>
        <v>6</v>
      </c>
      <c r="E2" s="189">
        <f>'[2]I-5 SB'!J2</f>
        <v>8</v>
      </c>
      <c r="F2" s="189" t="str">
        <f>'[2]I-5 SB'!K2</f>
        <v>BASILONE</v>
      </c>
      <c r="G2" s="189" t="str">
        <f>'[2]I-5 SB'!L2</f>
        <v>LAS PULGAS</v>
      </c>
      <c r="H2" s="197">
        <f>'[2]I-5 SB'!O2</f>
        <v>12732</v>
      </c>
      <c r="I2" s="198">
        <f>VLOOKUP(c_8[[#This Row],[hwycov_id]],readme!D:G,4,FALSE)</f>
        <v>12921.991211</v>
      </c>
      <c r="J2" s="49">
        <f t="shared" ref="J2" si="0">I2/H2-1</f>
        <v>1.4922338281495584E-2</v>
      </c>
      <c r="K2" s="190" t="str">
        <f>'[2]I-5 SB'!P2</f>
        <v>PeMS2016</v>
      </c>
      <c r="L2" s="148">
        <f t="shared" ref="L2" si="1">POWER((I2-H2),2)</f>
        <v>36096.660257246702</v>
      </c>
      <c r="M2" s="44"/>
    </row>
    <row r="3" spans="1:35" ht="15" customHeight="1" x14ac:dyDescent="0.25">
      <c r="A3" s="43">
        <f>'[2]I-5 SB'!C3</f>
        <v>8</v>
      </c>
      <c r="B3" s="43" t="str">
        <f>'[2]I-5 SB'!H3</f>
        <v>I-5 SB</v>
      </c>
      <c r="C3" s="126">
        <f>'[2]I-5 SB'!E3</f>
        <v>27598</v>
      </c>
      <c r="D3" s="188">
        <f>'[2]I-5 SB'!I3</f>
        <v>8</v>
      </c>
      <c r="E3" s="189">
        <f>'[2]I-5 SB'!J3</f>
        <v>7</v>
      </c>
      <c r="F3" s="189" t="str">
        <f>'[2]I-5 SB'!K3</f>
        <v>LAS PULGAS</v>
      </c>
      <c r="G3" s="189" t="str">
        <f>'[2]I-5 SB'!L3</f>
        <v>VANDEGRIFT</v>
      </c>
      <c r="H3" s="197">
        <f>'[2]I-5 SB'!O3</f>
        <v>12591</v>
      </c>
      <c r="I3" s="198">
        <f>VLOOKUP(c_8[[#This Row],[hwycov_id]],readme!D:G,4,FALSE)</f>
        <v>12921.695312</v>
      </c>
      <c r="J3" s="49">
        <f t="shared" ref="J3:J66" si="2">I3/H3-1</f>
        <v>2.6264419982527265E-2</v>
      </c>
      <c r="K3" s="190" t="str">
        <f>'[2]I-5 SB'!P3</f>
        <v>PeMS2016</v>
      </c>
      <c r="L3" s="148">
        <f t="shared" ref="L3:L66" si="3">POWER((I3-H3),2)</f>
        <v>109359.38937877722</v>
      </c>
      <c r="M3" s="44"/>
    </row>
    <row r="4" spans="1:35" ht="15" customHeight="1" x14ac:dyDescent="0.25">
      <c r="A4" s="43">
        <f>'[2]I-5 SB'!C4</f>
        <v>8</v>
      </c>
      <c r="B4" s="43" t="str">
        <f>'[2]I-5 SB'!H4</f>
        <v>I-5 SB</v>
      </c>
      <c r="C4" s="126">
        <f>'[2]I-5 SB'!E4</f>
        <v>26623</v>
      </c>
      <c r="D4" s="188">
        <f>'[2]I-5 SB'!I4</f>
        <v>9</v>
      </c>
      <c r="E4" s="189">
        <f>'[2]I-5 SB'!J4</f>
        <v>0</v>
      </c>
      <c r="F4" s="189" t="str">
        <f>'[2]I-5 SB'!K4</f>
        <v>VANDEGRIFT</v>
      </c>
      <c r="G4" s="189" t="str">
        <f>'[2]I-5 SB'!L4</f>
        <v>VANDEGRIFT</v>
      </c>
      <c r="H4" s="197">
        <f>'[2]I-5 SB'!O4</f>
        <v>14449</v>
      </c>
      <c r="I4" s="198">
        <f>VLOOKUP(c_8[[#This Row],[hwycov_id]],readme!D:G,4,FALSE)</f>
        <v>12647.763671999999</v>
      </c>
      <c r="J4" s="49">
        <f t="shared" si="2"/>
        <v>-0.12466166018409586</v>
      </c>
      <c r="K4" s="190" t="str">
        <f>'[2]I-5 SB'!P4</f>
        <v>PeMS2016</v>
      </c>
      <c r="L4" s="148">
        <f t="shared" si="3"/>
        <v>3244452.3093069266</v>
      </c>
      <c r="M4" s="44"/>
    </row>
    <row r="5" spans="1:35" ht="15" customHeight="1" x14ac:dyDescent="0.25">
      <c r="A5" s="43">
        <f>'[2]I-5 SB'!C5</f>
        <v>8</v>
      </c>
      <c r="B5" s="43" t="str">
        <f>'[2]I-5 SB'!H5</f>
        <v>I-5 SB</v>
      </c>
      <c r="C5" s="126">
        <f>'[2]I-5 SB'!E5</f>
        <v>28515</v>
      </c>
      <c r="D5" s="188">
        <f>'[2]I-5 SB'!I5</f>
        <v>12</v>
      </c>
      <c r="E5" s="189">
        <f>'[2]I-5 SB'!J5</f>
        <v>0</v>
      </c>
      <c r="F5" s="189" t="str">
        <f>'[2]I-5 SB'!K5</f>
        <v>SR-76</v>
      </c>
      <c r="G5" s="189" t="str">
        <f>'[2]I-5 SB'!L5</f>
        <v>SR-76</v>
      </c>
      <c r="H5" s="197">
        <f>'[2]I-5 SB'!O5</f>
        <v>15983</v>
      </c>
      <c r="I5" s="198">
        <f>VLOOKUP(c_8[[#This Row],[hwycov_id]],readme!D:G,4,FALSE)</f>
        <v>15723.182617</v>
      </c>
      <c r="J5" s="49">
        <f t="shared" si="2"/>
        <v>-1.6255858286929881E-2</v>
      </c>
      <c r="K5" s="190" t="str">
        <f>'[2]I-5 SB'!P5</f>
        <v>PeMS2016</v>
      </c>
      <c r="L5" s="148">
        <f t="shared" si="3"/>
        <v>67505.072508968486</v>
      </c>
      <c r="M5" s="44"/>
    </row>
    <row r="6" spans="1:35" ht="15" customHeight="1" x14ac:dyDescent="0.25">
      <c r="A6" s="43">
        <f>'[2]I-5 SB'!C6</f>
        <v>8</v>
      </c>
      <c r="B6" s="43" t="str">
        <f>'[2]I-5 SB'!H6</f>
        <v>I-5 SB</v>
      </c>
      <c r="C6" s="126">
        <f>'[2]I-5 SB'!E6</f>
        <v>28490</v>
      </c>
      <c r="D6" s="188">
        <f>'[2]I-5 SB'!I6</f>
        <v>13</v>
      </c>
      <c r="E6" s="189">
        <f>'[2]I-5 SB'!J6</f>
        <v>0</v>
      </c>
      <c r="F6" s="189" t="str">
        <f>'[2]I-5 SB'!K6</f>
        <v>SR-76</v>
      </c>
      <c r="G6" s="189" t="str">
        <f>'[2]I-5 SB'!L6</f>
        <v>MISSION</v>
      </c>
      <c r="H6" s="197">
        <f>'[2]I-5 SB'!O6</f>
        <v>19293</v>
      </c>
      <c r="I6" s="198">
        <f>VLOOKUP(c_8[[#This Row],[hwycov_id]],readme!D:G,4,FALSE)</f>
        <v>18208.244140999999</v>
      </c>
      <c r="J6" s="49">
        <f t="shared" si="2"/>
        <v>-5.6225359404965536E-2</v>
      </c>
      <c r="K6" s="190" t="str">
        <f>'[2]I-5 SB'!P6</f>
        <v>Caltran</v>
      </c>
      <c r="L6" s="148">
        <f t="shared" si="3"/>
        <v>1176695.2736348296</v>
      </c>
      <c r="M6" s="44"/>
    </row>
    <row r="7" spans="1:35" ht="15" customHeight="1" x14ac:dyDescent="0.25">
      <c r="A7" s="43">
        <f>'[2]I-5 SB'!C7</f>
        <v>8</v>
      </c>
      <c r="B7" s="43" t="str">
        <f>'[2]I-5 SB'!H7</f>
        <v>I-5 SB</v>
      </c>
      <c r="C7" s="126">
        <f>'[2]I-5 SB'!E7</f>
        <v>28493</v>
      </c>
      <c r="D7" s="188">
        <f>'[2]I-5 SB'!I7</f>
        <v>14</v>
      </c>
      <c r="E7" s="189">
        <f>'[2]I-5 SB'!J7</f>
        <v>0</v>
      </c>
      <c r="F7" s="189" t="str">
        <f>'[2]I-5 SB'!K7</f>
        <v>MISSION</v>
      </c>
      <c r="G7" s="189" t="str">
        <f>'[2]I-5 SB'!L7</f>
        <v>MISSION</v>
      </c>
      <c r="H7" s="197">
        <f>'[2]I-5 SB'!O7</f>
        <v>18019</v>
      </c>
      <c r="I7" s="198">
        <f>VLOOKUP(c_8[[#This Row],[hwycov_id]],readme!D:G,4,FALSE)</f>
        <v>17498.544922000001</v>
      </c>
      <c r="J7" s="49">
        <f t="shared" si="2"/>
        <v>-2.8883682668294552E-2</v>
      </c>
      <c r="K7" s="190" t="str">
        <f>'[2]I-5 SB'!P7</f>
        <v>PeMS2016</v>
      </c>
      <c r="L7" s="148">
        <f t="shared" si="3"/>
        <v>270873.48821598507</v>
      </c>
      <c r="M7" s="44"/>
    </row>
    <row r="8" spans="1:35" ht="15" customHeight="1" x14ac:dyDescent="0.25">
      <c r="A8" s="43">
        <f>'[2]I-5 SB'!C8</f>
        <v>8</v>
      </c>
      <c r="B8" s="43" t="str">
        <f>'[2]I-5 SB'!H8</f>
        <v>I-5 SB</v>
      </c>
      <c r="C8" s="126">
        <f>'[2]I-5 SB'!E8</f>
        <v>26562</v>
      </c>
      <c r="D8" s="188">
        <f>'[2]I-5 SB'!I8</f>
        <v>17</v>
      </c>
      <c r="E8" s="189">
        <f>'[2]I-5 SB'!J8</f>
        <v>0</v>
      </c>
      <c r="F8" s="189" t="str">
        <f>'[2]I-5 SB'!K8</f>
        <v>OCEANSIDE</v>
      </c>
      <c r="G8" s="189" t="str">
        <f>'[2]I-5 SB'!L8</f>
        <v>OCEANSIDE</v>
      </c>
      <c r="H8" s="197">
        <f>'[2]I-5 SB'!O8</f>
        <v>19014</v>
      </c>
      <c r="I8" s="198">
        <f>VLOOKUP(c_8[[#This Row],[hwycov_id]],readme!D:G,4,FALSE)</f>
        <v>18670.767577999999</v>
      </c>
      <c r="J8" s="49">
        <f t="shared" si="2"/>
        <v>-1.8051563163984485E-2</v>
      </c>
      <c r="K8" s="190" t="str">
        <f>'[2]I-5 SB'!P8</f>
        <v>PeMS2016</v>
      </c>
      <c r="L8" s="148">
        <f t="shared" si="3"/>
        <v>117808.49551198674</v>
      </c>
      <c r="M8" s="44"/>
    </row>
    <row r="9" spans="1:35" ht="15" customHeight="1" x14ac:dyDescent="0.25">
      <c r="A9" s="43">
        <f>'[2]I-5 SB'!C9</f>
        <v>8</v>
      </c>
      <c r="B9" s="43" t="str">
        <f>'[2]I-5 SB'!H9</f>
        <v>I-5 SB</v>
      </c>
      <c r="C9" s="126">
        <f>'[2]I-5 SB'!E9</f>
        <v>12247</v>
      </c>
      <c r="D9" s="188">
        <f>'[2]I-5 SB'!I9</f>
        <v>20</v>
      </c>
      <c r="E9" s="189">
        <f>'[2]I-5 SB'!J9</f>
        <v>0</v>
      </c>
      <c r="F9" s="189" t="str">
        <f>'[2]I-5 SB'!K9</f>
        <v>RAMP</v>
      </c>
      <c r="G9" s="189" t="str">
        <f>'[2]I-5 SB'!L9</f>
        <v>CASSIDY</v>
      </c>
      <c r="H9" s="197">
        <f>'[2]I-5 SB'!O9</f>
        <v>20955</v>
      </c>
      <c r="I9" s="198">
        <f>VLOOKUP(c_8[[#This Row],[hwycov_id]],readme!D:G,4,FALSE)</f>
        <v>19640.533202999999</v>
      </c>
      <c r="J9" s="49">
        <f t="shared" si="2"/>
        <v>-6.2728074302075942E-2</v>
      </c>
      <c r="K9" s="190" t="str">
        <f>'[2]I-5 SB'!P9</f>
        <v>PeMS2016</v>
      </c>
      <c r="L9" s="148">
        <f t="shared" si="3"/>
        <v>1727822.9604154418</v>
      </c>
      <c r="M9" s="44"/>
    </row>
    <row r="10" spans="1:35" ht="15" customHeight="1" x14ac:dyDescent="0.25">
      <c r="A10" s="43">
        <f>'[2]I-5 SB'!C10</f>
        <v>8</v>
      </c>
      <c r="B10" s="43" t="str">
        <f>'[2]I-5 SB'!H10</f>
        <v>I-5 SB</v>
      </c>
      <c r="C10" s="126">
        <f>'[2]I-5 SB'!E10</f>
        <v>9025</v>
      </c>
      <c r="D10" s="188">
        <f>'[2]I-5 SB'!I10</f>
        <v>21</v>
      </c>
      <c r="E10" s="189">
        <f>'[2]I-5 SB'!J10</f>
        <v>0</v>
      </c>
      <c r="F10" s="189" t="str">
        <f>'[2]I-5 SB'!K10</f>
        <v>CASSIDY</v>
      </c>
      <c r="G10" s="189" t="str">
        <f>'[2]I-5 SB'!L10</f>
        <v>VISTA WY</v>
      </c>
      <c r="H10" s="197">
        <f>'[2]I-5 SB'!O10</f>
        <v>21835</v>
      </c>
      <c r="I10" s="198">
        <f>VLOOKUP(c_8[[#This Row],[hwycov_id]],readme!D:G,4,FALSE)</f>
        <v>20324.855468999998</v>
      </c>
      <c r="J10" s="49">
        <f t="shared" si="2"/>
        <v>-6.9161645569040586E-2</v>
      </c>
      <c r="K10" s="190" t="str">
        <f>'[2]I-5 SB'!P10</f>
        <v>Caltran</v>
      </c>
      <c r="L10" s="148">
        <f t="shared" si="3"/>
        <v>2280536.5045092152</v>
      </c>
      <c r="M10" s="44"/>
    </row>
    <row r="11" spans="1:35" ht="15" customHeight="1" x14ac:dyDescent="0.25">
      <c r="A11" s="43">
        <f>'[2]I-5 SB'!C11</f>
        <v>8</v>
      </c>
      <c r="B11" s="43" t="str">
        <f>'[2]I-5 SB'!H11</f>
        <v>I-5 SB</v>
      </c>
      <c r="C11" s="126">
        <f>'[2]I-5 SB'!E11</f>
        <v>12589</v>
      </c>
      <c r="D11" s="188">
        <f>'[2]I-5 SB'!I11</f>
        <v>25</v>
      </c>
      <c r="E11" s="189">
        <f>'[2]I-5 SB'!J11</f>
        <v>0</v>
      </c>
      <c r="F11" s="189" t="str">
        <f>'[2]I-5 SB'!K11</f>
        <v>LAS FLORES</v>
      </c>
      <c r="G11" s="189" t="str">
        <f>'[2]I-5 SB'!L11</f>
        <v>LAS FLORES</v>
      </c>
      <c r="H11" s="197">
        <f>'[2]I-5 SB'!O11</f>
        <v>18413</v>
      </c>
      <c r="I11" s="198">
        <f>VLOOKUP(c_8[[#This Row],[hwycov_id]],readme!D:G,4,FALSE)</f>
        <v>18015.130859000001</v>
      </c>
      <c r="J11" s="49">
        <f t="shared" si="2"/>
        <v>-2.1608056318905056E-2</v>
      </c>
      <c r="K11" s="190" t="str">
        <f>'[2]I-5 SB'!P11</f>
        <v>PeMS2016</v>
      </c>
      <c r="L11" s="148">
        <f t="shared" si="3"/>
        <v>158299.85336007725</v>
      </c>
      <c r="M11" s="44"/>
    </row>
    <row r="12" spans="1:35" ht="15" customHeight="1" x14ac:dyDescent="0.25">
      <c r="A12" s="43">
        <f>'[2]I-5 SB'!C12</f>
        <v>8</v>
      </c>
      <c r="B12" s="43" t="str">
        <f>'[2]I-5 SB'!H12</f>
        <v>I-5 SB</v>
      </c>
      <c r="C12" s="126">
        <f>'[2]I-5 SB'!E12</f>
        <v>12583</v>
      </c>
      <c r="D12" s="188">
        <f>'[2]I-5 SB'!I12</f>
        <v>27</v>
      </c>
      <c r="E12" s="189">
        <f>'[2]I-5 SB'!J12</f>
        <v>0</v>
      </c>
      <c r="F12" s="189" t="str">
        <f>'[2]I-5 SB'!K12</f>
        <v>CARLSBAD VILLAGE</v>
      </c>
      <c r="G12" s="189" t="str">
        <f>'[2]I-5 SB'!L12</f>
        <v>CARLSBAD VILLAGE</v>
      </c>
      <c r="H12" s="197">
        <f>'[2]I-5 SB'!O12</f>
        <v>16727</v>
      </c>
      <c r="I12" s="198">
        <f>VLOOKUP(c_8[[#This Row],[hwycov_id]],readme!D:G,4,FALSE)</f>
        <v>17223.634765999999</v>
      </c>
      <c r="J12" s="49">
        <f t="shared" si="2"/>
        <v>2.9690605966401495E-2</v>
      </c>
      <c r="K12" s="190" t="str">
        <f>'[2]I-5 SB'!P12</f>
        <v>PeMS2016</v>
      </c>
      <c r="L12" s="148">
        <f t="shared" si="3"/>
        <v>246646.09079987399</v>
      </c>
      <c r="M12" s="44"/>
    </row>
    <row r="13" spans="1:35" ht="15" customHeight="1" x14ac:dyDescent="0.25">
      <c r="A13" s="43">
        <f>'[2]I-5 SB'!C13</f>
        <v>8</v>
      </c>
      <c r="B13" s="43" t="str">
        <f>'[2]I-5 SB'!H13</f>
        <v>I-5 SB</v>
      </c>
      <c r="C13" s="126">
        <f>'[2]I-5 SB'!E13</f>
        <v>26563</v>
      </c>
      <c r="D13" s="188">
        <f>'[2]I-5 SB'!I13</f>
        <v>29</v>
      </c>
      <c r="E13" s="189">
        <f>'[2]I-5 SB'!J13</f>
        <v>0</v>
      </c>
      <c r="F13" s="189" t="str">
        <f>'[2]I-5 SB'!K13</f>
        <v>TAMARACK</v>
      </c>
      <c r="G13" s="189" t="str">
        <f>'[2]I-5 SB'!L13</f>
        <v>TAMARACK</v>
      </c>
      <c r="H13" s="197">
        <f>'[2]I-5 SB'!O13</f>
        <v>17492</v>
      </c>
      <c r="I13" s="198">
        <f>VLOOKUP(c_8[[#This Row],[hwycov_id]],readme!D:G,4,FALSE)</f>
        <v>17459.945312</v>
      </c>
      <c r="J13" s="49">
        <f t="shared" si="2"/>
        <v>-1.8325341870569778E-3</v>
      </c>
      <c r="K13" s="190" t="str">
        <f>'[2]I-5 SB'!P13</f>
        <v>PeMS2016</v>
      </c>
      <c r="L13" s="148">
        <f t="shared" si="3"/>
        <v>1027.5030227773548</v>
      </c>
      <c r="M13" s="44"/>
    </row>
    <row r="14" spans="1:35" ht="15" customHeight="1" x14ac:dyDescent="0.25">
      <c r="A14" s="43">
        <f>'[2]I-5 SB'!C14</f>
        <v>8</v>
      </c>
      <c r="B14" s="43" t="str">
        <f>'[2]I-5 SB'!H14</f>
        <v>I-5 SB</v>
      </c>
      <c r="C14" s="126">
        <f>'[2]I-5 SB'!E14</f>
        <v>675</v>
      </c>
      <c r="D14" s="188">
        <f>'[2]I-5 SB'!I14</f>
        <v>30</v>
      </c>
      <c r="E14" s="189">
        <f>'[2]I-5 SB'!J14</f>
        <v>0</v>
      </c>
      <c r="F14" s="189" t="str">
        <f>'[2]I-5 SB'!K14</f>
        <v>TAMARACK</v>
      </c>
      <c r="G14" s="189" t="str">
        <f>'[2]I-5 SB'!L14</f>
        <v>TAMARACK</v>
      </c>
      <c r="H14" s="197">
        <f>'[2]I-5 SB'!O14</f>
        <v>18707</v>
      </c>
      <c r="I14" s="198">
        <f>VLOOKUP(c_8[[#This Row],[hwycov_id]],readme!D:G,4,FALSE)</f>
        <v>17459.945312</v>
      </c>
      <c r="J14" s="49">
        <f t="shared" si="2"/>
        <v>-6.666246260758002E-2</v>
      </c>
      <c r="K14" s="190" t="str">
        <f>'[2]I-5 SB'!P14</f>
        <v>Caltran</v>
      </c>
      <c r="L14" s="148">
        <f t="shared" si="3"/>
        <v>1555145.3948627778</v>
      </c>
      <c r="M14" s="44"/>
    </row>
    <row r="15" spans="1:35" ht="15" customHeight="1" x14ac:dyDescent="0.25">
      <c r="A15" s="43">
        <f>'[2]I-5 SB'!C15</f>
        <v>8</v>
      </c>
      <c r="B15" s="43" t="str">
        <f>'[2]I-5 SB'!H15</f>
        <v>I-5 SB</v>
      </c>
      <c r="C15" s="126">
        <f>'[2]I-5 SB'!E15</f>
        <v>674</v>
      </c>
      <c r="D15" s="188">
        <f>'[2]I-5 SB'!I15</f>
        <v>32</v>
      </c>
      <c r="E15" s="189">
        <f>'[2]I-5 SB'!J15</f>
        <v>0</v>
      </c>
      <c r="F15" s="189" t="str">
        <f>'[2]I-5 SB'!K15</f>
        <v>CANNON</v>
      </c>
      <c r="G15" s="189" t="str">
        <f>'[2]I-5 SB'!L15</f>
        <v>CANNON</v>
      </c>
      <c r="H15" s="197">
        <f>'[2]I-5 SB'!O15</f>
        <v>17352</v>
      </c>
      <c r="I15" s="198">
        <f>VLOOKUP(c_8[[#This Row],[hwycov_id]],readme!D:G,4,FALSE)</f>
        <v>16250.509765999999</v>
      </c>
      <c r="J15" s="49">
        <f t="shared" si="2"/>
        <v>-6.3479151337021755E-2</v>
      </c>
      <c r="K15" s="190" t="str">
        <f>'[2]I-5 SB'!P15</f>
        <v>PeMS2016</v>
      </c>
      <c r="L15" s="148">
        <f t="shared" si="3"/>
        <v>1213280.7355973765</v>
      </c>
      <c r="M15" s="44"/>
    </row>
    <row r="16" spans="1:35" ht="15" customHeight="1" x14ac:dyDescent="0.25">
      <c r="A16" s="43">
        <f>'[2]I-5 SB'!C16</f>
        <v>8</v>
      </c>
      <c r="B16" s="43" t="str">
        <f>'[2]I-5 SB'!H16</f>
        <v>I-5 SB</v>
      </c>
      <c r="C16" s="126">
        <f>'[2]I-5 SB'!E16</f>
        <v>13273</v>
      </c>
      <c r="D16" s="188">
        <f>'[2]I-5 SB'!I16</f>
        <v>34</v>
      </c>
      <c r="E16" s="189">
        <f>'[2]I-5 SB'!J16</f>
        <v>0</v>
      </c>
      <c r="F16" s="189" t="str">
        <f>'[2]I-5 SB'!K16</f>
        <v>PALOMAR AIRPORT</v>
      </c>
      <c r="G16" s="189" t="str">
        <f>'[2]I-5 SB'!L16</f>
        <v>PALOMAR AIRPORT</v>
      </c>
      <c r="H16" s="197">
        <f>'[2]I-5 SB'!O16</f>
        <v>16127</v>
      </c>
      <c r="I16" s="198">
        <f>VLOOKUP(c_8[[#This Row],[hwycov_id]],readme!D:G,4,FALSE)</f>
        <v>16280.399414</v>
      </c>
      <c r="J16" s="49">
        <f t="shared" si="2"/>
        <v>9.5119621752339789E-3</v>
      </c>
      <c r="K16" s="190" t="str">
        <f>'[2]I-5 SB'!P16</f>
        <v>PeMS2016</v>
      </c>
      <c r="L16" s="148">
        <f t="shared" si="3"/>
        <v>23531.38021554325</v>
      </c>
      <c r="M16" s="44"/>
    </row>
    <row r="17" spans="1:13" ht="15" customHeight="1" x14ac:dyDescent="0.25">
      <c r="A17" s="43">
        <f>'[2]I-5 SB'!C17</f>
        <v>8</v>
      </c>
      <c r="B17" s="43" t="str">
        <f>'[2]I-5 SB'!H17</f>
        <v>I-5 SB</v>
      </c>
      <c r="C17" s="126">
        <f>'[2]I-5 SB'!E17</f>
        <v>13282</v>
      </c>
      <c r="D17" s="188">
        <f>'[2]I-5 SB'!I17</f>
        <v>36</v>
      </c>
      <c r="E17" s="189">
        <f>'[2]I-5 SB'!J17</f>
        <v>0</v>
      </c>
      <c r="F17" s="189" t="str">
        <f>'[2]I-5 SB'!K17</f>
        <v>PALOMAR AIRPORT</v>
      </c>
      <c r="G17" s="189" t="str">
        <f>'[2]I-5 SB'!L17</f>
        <v>POINSETTIA</v>
      </c>
      <c r="H17" s="197">
        <f>'[2]I-5 SB'!O17</f>
        <v>19768</v>
      </c>
      <c r="I17" s="198">
        <f>VLOOKUP(c_8[[#This Row],[hwycov_id]],readme!D:G,4,FALSE)</f>
        <v>19295.306640999999</v>
      </c>
      <c r="J17" s="49">
        <f t="shared" si="2"/>
        <v>-2.3912047703358974E-2</v>
      </c>
      <c r="K17" s="190" t="str">
        <f>'[2]I-5 SB'!P17</f>
        <v>PeMS2016</v>
      </c>
      <c r="L17" s="148">
        <f t="shared" si="3"/>
        <v>223439.01164270361</v>
      </c>
      <c r="M17" s="44"/>
    </row>
    <row r="18" spans="1:13" ht="15" customHeight="1" x14ac:dyDescent="0.25">
      <c r="A18" s="43">
        <f>'[2]I-5 SB'!C18</f>
        <v>8</v>
      </c>
      <c r="B18" s="43" t="str">
        <f>'[2]I-5 SB'!H18</f>
        <v>I-5 SB</v>
      </c>
      <c r="C18" s="126">
        <f>'[2]I-5 SB'!E18</f>
        <v>8771</v>
      </c>
      <c r="D18" s="188">
        <f>'[2]I-5 SB'!I18</f>
        <v>39</v>
      </c>
      <c r="E18" s="189">
        <f>'[2]I-5 SB'!J18</f>
        <v>0</v>
      </c>
      <c r="F18" s="189" t="str">
        <f>'[2]I-5 SB'!K18</f>
        <v>POINSETTIA</v>
      </c>
      <c r="G18" s="189" t="str">
        <f>'[2]I-5 SB'!L18</f>
        <v>LA COSTA</v>
      </c>
      <c r="H18" s="197">
        <f>'[2]I-5 SB'!O18</f>
        <v>19695</v>
      </c>
      <c r="I18" s="198">
        <f>VLOOKUP(c_8[[#This Row],[hwycov_id]],readme!D:G,4,FALSE)</f>
        <v>20268.236327999999</v>
      </c>
      <c r="J18" s="49">
        <f t="shared" si="2"/>
        <v>2.9105677989337275E-2</v>
      </c>
      <c r="K18" s="190" t="str">
        <f>'[2]I-5 SB'!P18</f>
        <v>PeMS2016</v>
      </c>
      <c r="L18" s="148">
        <f t="shared" si="3"/>
        <v>328599.88773892249</v>
      </c>
      <c r="M18" s="44"/>
    </row>
    <row r="19" spans="1:13" ht="15" customHeight="1" x14ac:dyDescent="0.25">
      <c r="A19" s="43">
        <f>'[2]I-5 SB'!C19</f>
        <v>8</v>
      </c>
      <c r="B19" s="43" t="str">
        <f>'[2]I-5 SB'!H19</f>
        <v>I-5 SB</v>
      </c>
      <c r="C19" s="126">
        <f>'[2]I-5 SB'!E19</f>
        <v>1250</v>
      </c>
      <c r="D19" s="188">
        <f>'[2]I-5 SB'!I19</f>
        <v>41</v>
      </c>
      <c r="E19" s="189">
        <f>'[2]I-5 SB'!J19</f>
        <v>0</v>
      </c>
      <c r="F19" s="189" t="str">
        <f>'[2]I-5 SB'!K19</f>
        <v>LA COSTA</v>
      </c>
      <c r="G19" s="189" t="str">
        <f>'[2]I-5 SB'!L19</f>
        <v>LEUCADIA</v>
      </c>
      <c r="H19" s="197">
        <f>'[2]I-5 SB'!O19</f>
        <v>18732</v>
      </c>
      <c r="I19" s="198">
        <f>VLOOKUP(c_8[[#This Row],[hwycov_id]],readme!D:G,4,FALSE)</f>
        <v>19867.166015999999</v>
      </c>
      <c r="J19" s="49">
        <f t="shared" si="2"/>
        <v>6.0600363869314444E-2</v>
      </c>
      <c r="K19" s="190" t="str">
        <f>'[2]I-5 SB'!P19</f>
        <v>PeMS2016</v>
      </c>
      <c r="L19" s="148">
        <f t="shared" si="3"/>
        <v>1288601.8838813105</v>
      </c>
      <c r="M19" s="44"/>
    </row>
    <row r="20" spans="1:13" ht="15" customHeight="1" x14ac:dyDescent="0.25">
      <c r="A20" s="43">
        <f>'[2]I-5 SB'!C20</f>
        <v>8</v>
      </c>
      <c r="B20" s="43" t="str">
        <f>'[2]I-5 SB'!H20</f>
        <v>I-5 SB</v>
      </c>
      <c r="C20" s="126">
        <f>'[2]I-5 SB'!E20</f>
        <v>8772</v>
      </c>
      <c r="D20" s="188">
        <f>'[2]I-5 SB'!I20</f>
        <v>42</v>
      </c>
      <c r="E20" s="189">
        <f>'[2]I-5 SB'!J20</f>
        <v>0</v>
      </c>
      <c r="F20" s="189" t="str">
        <f>'[2]I-5 SB'!K20</f>
        <v>LA COSTA</v>
      </c>
      <c r="G20" s="189" t="str">
        <f>'[2]I-5 SB'!L20</f>
        <v>LEUCADIA</v>
      </c>
      <c r="H20" s="197">
        <f>'[2]I-5 SB'!O20</f>
        <v>16669</v>
      </c>
      <c r="I20" s="198">
        <f>VLOOKUP(c_8[[#This Row],[hwycov_id]],readme!D:G,4,FALSE)</f>
        <v>19867.166015999999</v>
      </c>
      <c r="J20" s="49">
        <f t="shared" si="2"/>
        <v>0.19186310012598229</v>
      </c>
      <c r="K20" s="190" t="str">
        <f>'[2]I-5 SB'!P20</f>
        <v>PeMS2016</v>
      </c>
      <c r="L20" s="148">
        <f t="shared" si="3"/>
        <v>10228265.865897307</v>
      </c>
      <c r="M20" s="44"/>
    </row>
    <row r="21" spans="1:13" ht="15" customHeight="1" x14ac:dyDescent="0.25">
      <c r="A21" s="43">
        <f>'[2]I-5 SB'!C21</f>
        <v>8</v>
      </c>
      <c r="B21" s="43" t="str">
        <f>'[2]I-5 SB'!H21</f>
        <v>I-5 SB</v>
      </c>
      <c r="C21" s="126">
        <f>'[2]I-5 SB'!E21</f>
        <v>8773</v>
      </c>
      <c r="D21" s="188">
        <f>'[2]I-5 SB'!I21</f>
        <v>43</v>
      </c>
      <c r="E21" s="189">
        <f>'[2]I-5 SB'!J21</f>
        <v>0</v>
      </c>
      <c r="F21" s="189" t="str">
        <f>'[2]I-5 SB'!K21</f>
        <v>LEUCADIA</v>
      </c>
      <c r="G21" s="189" t="str">
        <f>'[2]I-5 SB'!L21</f>
        <v>LEUCADIA</v>
      </c>
      <c r="H21" s="197">
        <f>'[2]I-5 SB'!O21</f>
        <v>19924</v>
      </c>
      <c r="I21" s="198">
        <f>VLOOKUP(c_8[[#This Row],[hwycov_id]],readme!D:G,4,FALSE)</f>
        <v>18653.888672000001</v>
      </c>
      <c r="J21" s="49">
        <f t="shared" si="2"/>
        <v>-6.3747808070668488E-2</v>
      </c>
      <c r="K21" s="190" t="str">
        <f>'[2]I-5 SB'!P21</f>
        <v>PeMS2016</v>
      </c>
      <c r="L21" s="148">
        <f t="shared" si="3"/>
        <v>1613182.7855139212</v>
      </c>
      <c r="M21" s="44"/>
    </row>
    <row r="22" spans="1:13" ht="15" customHeight="1" x14ac:dyDescent="0.25">
      <c r="A22" s="43">
        <f>'[2]I-5 SB'!C22</f>
        <v>8</v>
      </c>
      <c r="B22" s="43" t="str">
        <f>'[2]I-5 SB'!H22</f>
        <v>I-5 SB</v>
      </c>
      <c r="C22" s="126">
        <f>'[2]I-5 SB'!E22</f>
        <v>16272</v>
      </c>
      <c r="D22" s="188">
        <f>'[2]I-5 SB'!I22</f>
        <v>44</v>
      </c>
      <c r="E22" s="189">
        <f>'[2]I-5 SB'!J22</f>
        <v>0</v>
      </c>
      <c r="F22" s="189" t="str">
        <f>'[2]I-5 SB'!K22</f>
        <v>LEUCADIA</v>
      </c>
      <c r="G22" s="189" t="str">
        <f>'[2]I-5 SB'!L22</f>
        <v>ENCINITAS</v>
      </c>
      <c r="H22" s="197">
        <f>'[2]I-5 SB'!O22</f>
        <v>20948</v>
      </c>
      <c r="I22" s="198">
        <f>VLOOKUP(c_8[[#This Row],[hwycov_id]],readme!D:G,4,FALSE)</f>
        <v>20066.865234000001</v>
      </c>
      <c r="J22" s="49">
        <f t="shared" si="2"/>
        <v>-4.2062954267710451E-2</v>
      </c>
      <c r="K22" s="190" t="str">
        <f>'[2]I-5 SB'!P22</f>
        <v>PeMS2016</v>
      </c>
      <c r="L22" s="148">
        <f t="shared" si="3"/>
        <v>776398.47585387342</v>
      </c>
      <c r="M22" s="44"/>
    </row>
    <row r="23" spans="1:13" ht="15" customHeight="1" x14ac:dyDescent="0.25">
      <c r="A23" s="43">
        <f>'[2]I-5 SB'!C23</f>
        <v>8</v>
      </c>
      <c r="B23" s="43" t="str">
        <f>'[2]I-5 SB'!H23</f>
        <v>I-5 SB</v>
      </c>
      <c r="C23" s="126">
        <f>'[2]I-5 SB'!E23</f>
        <v>621</v>
      </c>
      <c r="D23" s="188">
        <f>'[2]I-5 SB'!I23</f>
        <v>45</v>
      </c>
      <c r="E23" s="189">
        <f>'[2]I-5 SB'!J23</f>
        <v>0</v>
      </c>
      <c r="F23" s="189" t="str">
        <f>'[2]I-5 SB'!K23</f>
        <v>ENCINITAS</v>
      </c>
      <c r="G23" s="189" t="str">
        <f>'[2]I-5 SB'!L23</f>
        <v>ENCINITAS</v>
      </c>
      <c r="H23" s="197">
        <f>'[2]I-5 SB'!O23</f>
        <v>19711</v>
      </c>
      <c r="I23" s="198">
        <f>VLOOKUP(c_8[[#This Row],[hwycov_id]],readme!D:G,4,FALSE)</f>
        <v>18388.466797000001</v>
      </c>
      <c r="J23" s="49">
        <f t="shared" si="2"/>
        <v>-6.7096200243518811E-2</v>
      </c>
      <c r="K23" s="190" t="str">
        <f>'[2]I-5 SB'!P23</f>
        <v>PeMS2016</v>
      </c>
      <c r="L23" s="148">
        <f t="shared" si="3"/>
        <v>1749094.0730374367</v>
      </c>
      <c r="M23" s="44"/>
    </row>
    <row r="24" spans="1:13" ht="15" customHeight="1" x14ac:dyDescent="0.25">
      <c r="A24" s="43">
        <f>'[2]I-5 SB'!C24</f>
        <v>8</v>
      </c>
      <c r="B24" s="43" t="str">
        <f>'[2]I-5 SB'!H24</f>
        <v>I-5 SB</v>
      </c>
      <c r="C24" s="126">
        <f>'[2]I-5 SB'!E24</f>
        <v>13580</v>
      </c>
      <c r="D24" s="188">
        <f>'[2]I-5 SB'!I24</f>
        <v>47</v>
      </c>
      <c r="E24" s="189">
        <f>'[2]I-5 SB'!J24</f>
        <v>0</v>
      </c>
      <c r="F24" s="189" t="str">
        <f>'[2]I-5 SB'!K24</f>
        <v>ENCINITAS</v>
      </c>
      <c r="G24" s="189" t="str">
        <f>'[2]I-5 SB'!L24</f>
        <v>SANTA FE</v>
      </c>
      <c r="H24" s="197">
        <f>'[2]I-5 SB'!O24</f>
        <v>21292</v>
      </c>
      <c r="I24" s="198">
        <f>VLOOKUP(c_8[[#This Row],[hwycov_id]],readme!D:G,4,FALSE)</f>
        <v>19964.664062</v>
      </c>
      <c r="J24" s="49">
        <f t="shared" si="2"/>
        <v>-6.2339655175652875E-2</v>
      </c>
      <c r="K24" s="190" t="str">
        <f>'[2]I-5 SB'!P24</f>
        <v>Caltran</v>
      </c>
      <c r="L24" s="148">
        <f t="shared" si="3"/>
        <v>1761820.6923063402</v>
      </c>
      <c r="M24" s="44"/>
    </row>
    <row r="25" spans="1:13" ht="15" customHeight="1" x14ac:dyDescent="0.25">
      <c r="A25" s="43">
        <f>'[2]I-5 SB'!C25</f>
        <v>8</v>
      </c>
      <c r="B25" s="43" t="str">
        <f>'[2]I-5 SB'!H25</f>
        <v>I-5 SB</v>
      </c>
      <c r="C25" s="126">
        <f>'[2]I-5 SB'!E25</f>
        <v>13582</v>
      </c>
      <c r="D25" s="188">
        <f>'[2]I-5 SB'!I25</f>
        <v>49</v>
      </c>
      <c r="E25" s="189">
        <f>'[2]I-5 SB'!J25</f>
        <v>0</v>
      </c>
      <c r="F25" s="189" t="str">
        <f>'[2]I-5 SB'!K25</f>
        <v>SANTA FE</v>
      </c>
      <c r="G25" s="189" t="str">
        <f>'[2]I-5 SB'!L25</f>
        <v>SANTA FE</v>
      </c>
      <c r="H25" s="197">
        <f>'[2]I-5 SB'!O25</f>
        <v>20582</v>
      </c>
      <c r="I25" s="198">
        <f>VLOOKUP(c_8[[#This Row],[hwycov_id]],readme!D:G,4,FALSE)</f>
        <v>19064.914062</v>
      </c>
      <c r="J25" s="49">
        <f t="shared" si="2"/>
        <v>-7.3709354678845651E-2</v>
      </c>
      <c r="K25" s="190" t="str">
        <f>'[2]I-5 SB'!P25</f>
        <v>PeMS2016</v>
      </c>
      <c r="L25" s="148">
        <f t="shared" si="3"/>
        <v>2301549.7432773402</v>
      </c>
      <c r="M25" s="44"/>
    </row>
    <row r="26" spans="1:13" ht="15" customHeight="1" x14ac:dyDescent="0.25">
      <c r="A26" s="43">
        <f>'[2]I-5 SB'!C26</f>
        <v>8</v>
      </c>
      <c r="B26" s="43" t="str">
        <f>'[2]I-5 SB'!H26</f>
        <v>I-5 SB</v>
      </c>
      <c r="C26" s="126">
        <f>'[2]I-5 SB'!E26</f>
        <v>13589</v>
      </c>
      <c r="D26" s="188">
        <f>'[2]I-5 SB'!I26</f>
        <v>52</v>
      </c>
      <c r="E26" s="189">
        <f>'[2]I-5 SB'!J26</f>
        <v>0</v>
      </c>
      <c r="F26" s="189" t="str">
        <f>'[2]I-5 SB'!K26</f>
        <v>BIRMINGHAM</v>
      </c>
      <c r="G26" s="189" t="str">
        <f>'[2]I-5 SB'!L26</f>
        <v>BIRMINGHAM</v>
      </c>
      <c r="H26" s="197">
        <f>'[2]I-5 SB'!O26</f>
        <v>20568</v>
      </c>
      <c r="I26" s="198">
        <f>VLOOKUP(c_8[[#This Row],[hwycov_id]],readme!D:G,4,FALSE)</f>
        <v>19428.822265999999</v>
      </c>
      <c r="J26" s="49">
        <f t="shared" si="2"/>
        <v>-5.5385926390509543E-2</v>
      </c>
      <c r="K26" s="190" t="str">
        <f>'[2]I-5 SB'!P26</f>
        <v>PeMS2016</v>
      </c>
      <c r="L26" s="148">
        <f t="shared" si="3"/>
        <v>1297725.9096413765</v>
      </c>
      <c r="M26" s="44"/>
    </row>
    <row r="27" spans="1:13" ht="15" customHeight="1" x14ac:dyDescent="0.25">
      <c r="A27" s="43">
        <f>'[2]I-5 SB'!C27</f>
        <v>8</v>
      </c>
      <c r="B27" s="43" t="str">
        <f>'[2]I-5 SB'!H27</f>
        <v>I-5 SB</v>
      </c>
      <c r="C27" s="126">
        <f>'[2]I-5 SB'!E27</f>
        <v>13590</v>
      </c>
      <c r="D27" s="188">
        <f>'[2]I-5 SB'!I27</f>
        <v>53</v>
      </c>
      <c r="E27" s="189">
        <f>'[2]I-5 SB'!J27</f>
        <v>0</v>
      </c>
      <c r="F27" s="189" t="str">
        <f>'[2]I-5 SB'!K27</f>
        <v>BIRMINGHAM</v>
      </c>
      <c r="G27" s="189" t="str">
        <f>'[2]I-5 SB'!L27</f>
        <v>MANCHESTER</v>
      </c>
      <c r="H27" s="197">
        <f>'[2]I-5 SB'!O27</f>
        <v>19999</v>
      </c>
      <c r="I27" s="198">
        <f>VLOOKUP(c_8[[#This Row],[hwycov_id]],readme!D:G,4,FALSE)</f>
        <v>20684.109375</v>
      </c>
      <c r="J27" s="49">
        <f t="shared" si="2"/>
        <v>3.4257181609080423E-2</v>
      </c>
      <c r="K27" s="190" t="str">
        <f>'[2]I-5 SB'!P27</f>
        <v>PeMS2016</v>
      </c>
      <c r="L27" s="148">
        <f t="shared" si="3"/>
        <v>469374.85571289063</v>
      </c>
      <c r="M27" s="44"/>
    </row>
    <row r="28" spans="1:13" ht="15" customHeight="1" x14ac:dyDescent="0.25">
      <c r="A28" s="43">
        <f>'[2]I-5 SB'!C28</f>
        <v>8</v>
      </c>
      <c r="B28" s="43" t="str">
        <f>'[2]I-5 SB'!H28</f>
        <v>I-5 SB</v>
      </c>
      <c r="C28" s="126">
        <f>'[2]I-5 SB'!E28</f>
        <v>643</v>
      </c>
      <c r="D28" s="188">
        <f>'[2]I-5 SB'!I28</f>
        <v>54</v>
      </c>
      <c r="E28" s="189">
        <f>'[2]I-5 SB'!J28</f>
        <v>0</v>
      </c>
      <c r="F28" s="189" t="str">
        <f>'[2]I-5 SB'!K28</f>
        <v>MANCHESTER</v>
      </c>
      <c r="G28" s="189" t="str">
        <f>'[2]I-5 SB'!L28</f>
        <v>MANCHESTER</v>
      </c>
      <c r="H28" s="197">
        <f>'[2]I-5 SB'!O28</f>
        <v>21001</v>
      </c>
      <c r="I28" s="198">
        <f>VLOOKUP(c_8[[#This Row],[hwycov_id]],readme!D:G,4,FALSE)</f>
        <v>20615.837890999999</v>
      </c>
      <c r="J28" s="49">
        <f t="shared" si="2"/>
        <v>-1.8340179467644435E-2</v>
      </c>
      <c r="K28" s="190" t="str">
        <f>'[2]I-5 SB'!P28</f>
        <v>PeMS2016</v>
      </c>
      <c r="L28" s="148">
        <f t="shared" si="3"/>
        <v>148349.85020932849</v>
      </c>
      <c r="M28" s="44"/>
    </row>
    <row r="29" spans="1:13" ht="15" customHeight="1" x14ac:dyDescent="0.25">
      <c r="A29" s="43">
        <f>'[2]I-5 SB'!C29</f>
        <v>8</v>
      </c>
      <c r="B29" s="43" t="str">
        <f>'[2]I-5 SB'!H29</f>
        <v>I-5 SB</v>
      </c>
      <c r="C29" s="126">
        <f>'[2]I-5 SB'!E29</f>
        <v>13594</v>
      </c>
      <c r="D29" s="188">
        <f>'[2]I-5 SB'!I29</f>
        <v>56</v>
      </c>
      <c r="E29" s="189">
        <f>'[2]I-5 SB'!J29</f>
        <v>0</v>
      </c>
      <c r="F29" s="189" t="str">
        <f>'[2]I-5 SB'!K29</f>
        <v>MANCHESTER</v>
      </c>
      <c r="G29" s="189" t="str">
        <f>'[2]I-5 SB'!L29</f>
        <v>LOMAS SANTA FE</v>
      </c>
      <c r="H29" s="197">
        <f>'[2]I-5 SB'!O29</f>
        <v>22251</v>
      </c>
      <c r="I29" s="198">
        <f>VLOOKUP(c_8[[#This Row],[hwycov_id]],readme!D:G,4,FALSE)</f>
        <v>23280.683593999998</v>
      </c>
      <c r="J29" s="49">
        <f t="shared" si="2"/>
        <v>4.6275834524291071E-2</v>
      </c>
      <c r="K29" s="190" t="str">
        <f>'[2]I-5 SB'!P29</f>
        <v>PeMS2016</v>
      </c>
      <c r="L29" s="148">
        <f t="shared" si="3"/>
        <v>1060248.3037527532</v>
      </c>
      <c r="M29" s="44"/>
    </row>
    <row r="30" spans="1:13" ht="15" customHeight="1" x14ac:dyDescent="0.25">
      <c r="A30" s="43">
        <f>'[2]I-5 SB'!C30</f>
        <v>8</v>
      </c>
      <c r="B30" s="43" t="str">
        <f>'[2]I-5 SB'!H30</f>
        <v>I-5 SB</v>
      </c>
      <c r="C30" s="126">
        <f>'[2]I-5 SB'!E30</f>
        <v>13598</v>
      </c>
      <c r="D30" s="188">
        <f>'[2]I-5 SB'!I30</f>
        <v>58</v>
      </c>
      <c r="E30" s="189">
        <f>'[2]I-5 SB'!J30</f>
        <v>0</v>
      </c>
      <c r="F30" s="189" t="str">
        <f>'[2]I-5 SB'!K30</f>
        <v>LOMAS SANTA FE</v>
      </c>
      <c r="G30" s="189" t="str">
        <f>'[2]I-5 SB'!L30</f>
        <v>LOMAS SANTA FE</v>
      </c>
      <c r="H30" s="197">
        <f>'[2]I-5 SB'!O30</f>
        <v>21264</v>
      </c>
      <c r="I30" s="198">
        <f>VLOOKUP(c_8[[#This Row],[hwycov_id]],readme!D:G,4,FALSE)</f>
        <v>18697.166015999999</v>
      </c>
      <c r="J30" s="49">
        <f t="shared" si="2"/>
        <v>-0.12071265914221219</v>
      </c>
      <c r="K30" s="190" t="str">
        <f>'[2]I-5 SB'!P30</f>
        <v>PeMS2016</v>
      </c>
      <c r="L30" s="148">
        <f t="shared" si="3"/>
        <v>6588636.7014173167</v>
      </c>
      <c r="M30" s="44"/>
    </row>
    <row r="31" spans="1:13" ht="15" customHeight="1" x14ac:dyDescent="0.25">
      <c r="A31" s="43">
        <f>'[2]I-5 SB'!C31</f>
        <v>8</v>
      </c>
      <c r="B31" s="43" t="str">
        <f>'[2]I-5 SB'!H31</f>
        <v>I-5 SB</v>
      </c>
      <c r="C31" s="126">
        <f>'[2]I-5 SB'!E31</f>
        <v>13597</v>
      </c>
      <c r="D31" s="188">
        <f>'[2]I-5 SB'!I31</f>
        <v>59</v>
      </c>
      <c r="E31" s="189">
        <f>'[2]I-5 SB'!J31</f>
        <v>0</v>
      </c>
      <c r="F31" s="189" t="str">
        <f>'[2]I-5 SB'!K31</f>
        <v>LOMAS SANTA FE</v>
      </c>
      <c r="G31" s="189" t="str">
        <f>'[2]I-5 SB'!L31</f>
        <v>VIA DE LA VALLE</v>
      </c>
      <c r="H31" s="197">
        <f>'[2]I-5 SB'!O31</f>
        <v>24283</v>
      </c>
      <c r="I31" s="198">
        <f>VLOOKUP(c_8[[#This Row],[hwycov_id]],readme!D:G,4,FALSE)</f>
        <v>20878.109375</v>
      </c>
      <c r="J31" s="49">
        <f t="shared" si="2"/>
        <v>-0.14021704999382278</v>
      </c>
      <c r="K31" s="190" t="str">
        <f>'[2]I-5 SB'!P31</f>
        <v>Caltran</v>
      </c>
      <c r="L31" s="148">
        <f t="shared" si="3"/>
        <v>11593280.168212891</v>
      </c>
      <c r="M31" s="44"/>
    </row>
    <row r="32" spans="1:13" ht="15" customHeight="1" x14ac:dyDescent="0.25">
      <c r="A32" s="43">
        <f>'[2]I-5 SB'!C32</f>
        <v>8</v>
      </c>
      <c r="B32" s="43" t="str">
        <f>'[2]I-5 SB'!H32</f>
        <v>I-5 SB</v>
      </c>
      <c r="C32" s="126">
        <f>'[2]I-5 SB'!E32</f>
        <v>14247</v>
      </c>
      <c r="D32" s="188">
        <f>'[2]I-5 SB'!I32</f>
        <v>61</v>
      </c>
      <c r="E32" s="189">
        <f>'[2]I-5 SB'!J32</f>
        <v>0</v>
      </c>
      <c r="F32" s="189" t="str">
        <f>'[2]I-5 SB'!K32</f>
        <v>VIA DE LA VALLE</v>
      </c>
      <c r="G32" s="189" t="str">
        <f>'[2]I-5 SB'!L32</f>
        <v>VIA DE LA VALLE</v>
      </c>
      <c r="H32" s="197">
        <f>'[2]I-5 SB'!O32</f>
        <v>19130</v>
      </c>
      <c r="I32" s="198">
        <f>VLOOKUP(c_8[[#This Row],[hwycov_id]],readme!D:G,4,FALSE)</f>
        <v>20670.119140999999</v>
      </c>
      <c r="J32" s="49">
        <f t="shared" si="2"/>
        <v>8.0508057553580814E-2</v>
      </c>
      <c r="K32" s="190" t="str">
        <f>'[2]I-5 SB'!P32</f>
        <v>PeMS2016</v>
      </c>
      <c r="L32" s="148">
        <f t="shared" si="3"/>
        <v>2371966.9684745753</v>
      </c>
      <c r="M32" s="44"/>
    </row>
    <row r="33" spans="1:13" ht="15" customHeight="1" x14ac:dyDescent="0.25">
      <c r="A33" s="43">
        <f>'[2]I-5 SB'!C33</f>
        <v>8</v>
      </c>
      <c r="B33" s="43" t="str">
        <f>'[2]I-5 SB'!H33</f>
        <v>I-5 SB</v>
      </c>
      <c r="C33" s="126">
        <f>'[2]I-5 SB'!E33</f>
        <v>14246</v>
      </c>
      <c r="D33" s="188">
        <f>'[2]I-5 SB'!I33</f>
        <v>63</v>
      </c>
      <c r="E33" s="189">
        <f>'[2]I-5 SB'!J33</f>
        <v>1</v>
      </c>
      <c r="F33" s="189" t="str">
        <f>'[2]I-5 SB'!K33</f>
        <v>VIA DE LA VALLE</v>
      </c>
      <c r="G33" s="189" t="str">
        <f>'[2]I-5 SB'!L33</f>
        <v>DEL MAR HEIGHTS</v>
      </c>
      <c r="H33" s="197">
        <f>'[2]I-5 SB'!O33</f>
        <v>22898</v>
      </c>
      <c r="I33" s="198">
        <f>VLOOKUP(c_8[[#This Row],[hwycov_id]],readme!D:G,4,FALSE)</f>
        <v>23011.384765999999</v>
      </c>
      <c r="J33" s="49">
        <f t="shared" si="2"/>
        <v>4.9517322910297423E-3</v>
      </c>
      <c r="K33" s="190" t="str">
        <f>'[2]I-5 SB'!P33</f>
        <v>PeMS2016</v>
      </c>
      <c r="L33" s="148">
        <f t="shared" si="3"/>
        <v>12856.105160874578</v>
      </c>
      <c r="M33" s="44"/>
    </row>
    <row r="34" spans="1:13" ht="15" customHeight="1" x14ac:dyDescent="0.25">
      <c r="A34" s="43">
        <f>'[2]I-5 SB'!C34</f>
        <v>8</v>
      </c>
      <c r="B34" s="43" t="str">
        <f>'[2]I-5 SB'!H34</f>
        <v>I-5 SB</v>
      </c>
      <c r="C34" s="126">
        <f>'[2]I-5 SB'!E34</f>
        <v>9022</v>
      </c>
      <c r="D34" s="188">
        <f>'[2]I-5 SB'!I34</f>
        <v>64</v>
      </c>
      <c r="E34" s="189">
        <f>'[2]I-5 SB'!J34</f>
        <v>0</v>
      </c>
      <c r="F34" s="189" t="str">
        <f>'[2]I-5 SB'!K34</f>
        <v>DEL MAR HEIGHTS</v>
      </c>
      <c r="G34" s="189" t="str">
        <f>'[2]I-5 SB'!L34</f>
        <v>DEL MAR HEIGHTS</v>
      </c>
      <c r="H34" s="197">
        <f>'[2]I-5 SB'!O34</f>
        <v>20249</v>
      </c>
      <c r="I34" s="198">
        <f>VLOOKUP(c_8[[#This Row],[hwycov_id]],readme!D:G,4,FALSE)</f>
        <v>20102.951172000001</v>
      </c>
      <c r="J34" s="49">
        <f t="shared" si="2"/>
        <v>-7.2126439824188315E-3</v>
      </c>
      <c r="K34" s="190" t="str">
        <f>'[2]I-5 SB'!P34</f>
        <v>PeMS2016</v>
      </c>
      <c r="L34" s="148">
        <f t="shared" si="3"/>
        <v>21330.260160173308</v>
      </c>
      <c r="M34" s="44"/>
    </row>
    <row r="35" spans="1:13" ht="15" customHeight="1" x14ac:dyDescent="0.25">
      <c r="A35" s="43">
        <f>'[2]I-5 SB'!C35</f>
        <v>8</v>
      </c>
      <c r="B35" s="43" t="str">
        <f>'[2]I-5 SB'!H35</f>
        <v>I-5 SB</v>
      </c>
      <c r="C35" s="126">
        <f>'[2]I-5 SB'!E35</f>
        <v>8774</v>
      </c>
      <c r="D35" s="188">
        <f>'[2]I-5 SB'!I35</f>
        <v>65</v>
      </c>
      <c r="E35" s="189">
        <f>'[2]I-5 SB'!J35</f>
        <v>0</v>
      </c>
      <c r="F35" s="189" t="str">
        <f>'[2]I-5 SB'!K35</f>
        <v>DEL MAR HEIGHTS</v>
      </c>
      <c r="G35" s="189" t="str">
        <f>'[2]I-5 SB'!L35</f>
        <v>DEL MAR HEIGHTS</v>
      </c>
      <c r="H35" s="197">
        <f>'[2]I-5 SB'!O35</f>
        <v>20249</v>
      </c>
      <c r="I35" s="198">
        <f>VLOOKUP(c_8[[#This Row],[hwycov_id]],readme!D:G,4,FALSE)</f>
        <v>20102.951172000001</v>
      </c>
      <c r="J35" s="49">
        <f t="shared" si="2"/>
        <v>-7.2126439824188315E-3</v>
      </c>
      <c r="K35" s="190" t="str">
        <f>'[2]I-5 SB'!P35</f>
        <v>PeMS2016</v>
      </c>
      <c r="L35" s="148">
        <f t="shared" si="3"/>
        <v>21330.260160173308</v>
      </c>
      <c r="M35" s="44"/>
    </row>
    <row r="36" spans="1:13" ht="15" customHeight="1" x14ac:dyDescent="0.25">
      <c r="A36" s="43">
        <f>'[2]I-5 SB'!C36</f>
        <v>8</v>
      </c>
      <c r="B36" s="43" t="str">
        <f>'[2]I-5 SB'!H36</f>
        <v>I-5 SB</v>
      </c>
      <c r="C36" s="126">
        <f>'[2]I-5 SB'!E36</f>
        <v>8899</v>
      </c>
      <c r="D36" s="188">
        <f>'[2]I-5 SB'!I36</f>
        <v>67</v>
      </c>
      <c r="E36" s="189">
        <f>'[2]I-5 SB'!J36</f>
        <v>0</v>
      </c>
      <c r="F36" s="189" t="str">
        <f>'[2]I-5 SB'!K36</f>
        <v>DEL MAR HEIGHTS</v>
      </c>
      <c r="G36" s="189" t="str">
        <f>'[2]I-5 SB'!L36</f>
        <v>CARMEL VALLEY</v>
      </c>
      <c r="H36" s="197">
        <f>'[2]I-5 SB'!O36</f>
        <v>14572</v>
      </c>
      <c r="I36" s="198">
        <f>VLOOKUP(c_8[[#This Row],[hwycov_id]],readme!D:G,4,FALSE)</f>
        <v>23445.865234000001</v>
      </c>
      <c r="J36" s="49">
        <f t="shared" si="2"/>
        <v>0.60896687029920393</v>
      </c>
      <c r="K36" s="190" t="str">
        <f>'[2]I-5 SB'!P36</f>
        <v>PeMS2016</v>
      </c>
      <c r="L36" s="148">
        <f t="shared" si="3"/>
        <v>78745484.191193894</v>
      </c>
      <c r="M36" s="44"/>
    </row>
    <row r="37" spans="1:13" ht="15" customHeight="1" x14ac:dyDescent="0.25">
      <c r="A37" s="43">
        <f>'[2]I-5 SB'!C37</f>
        <v>8</v>
      </c>
      <c r="B37" s="43" t="str">
        <f>'[2]I-5 SB'!H37</f>
        <v>I-5 SB</v>
      </c>
      <c r="C37" s="126">
        <f>'[2]I-5 SB'!E37</f>
        <v>14255</v>
      </c>
      <c r="D37" s="188">
        <f>'[2]I-5 SB'!I37</f>
        <v>70</v>
      </c>
      <c r="E37" s="189">
        <f>'[2]I-5 SB'!J37</f>
        <v>0</v>
      </c>
      <c r="F37" s="189" t="str">
        <f>'[2]I-5 SB'!K37</f>
        <v>CARMEL VALLEY</v>
      </c>
      <c r="G37" s="189" t="str">
        <f>'[2]I-5 SB'!L37</f>
        <v>CARMEL VALLEY</v>
      </c>
      <c r="H37" s="197">
        <f>'[2]I-5 SB'!O37</f>
        <v>14023</v>
      </c>
      <c r="I37" s="198">
        <f>VLOOKUP(c_8[[#This Row],[hwycov_id]],readme!D:G,4,FALSE)</f>
        <v>19650.345702999999</v>
      </c>
      <c r="J37" s="49">
        <f t="shared" si="2"/>
        <v>0.40129399579262626</v>
      </c>
      <c r="K37" s="190" t="str">
        <f>'[2]I-5 SB'!P37</f>
        <v>PeMS2016</v>
      </c>
      <c r="L37" s="148">
        <f t="shared" si="3"/>
        <v>31667019.661072552</v>
      </c>
      <c r="M37" s="44"/>
    </row>
    <row r="38" spans="1:13" ht="15" customHeight="1" x14ac:dyDescent="0.25">
      <c r="A38" s="43">
        <f>'[2]I-5 SB'!C38</f>
        <v>8</v>
      </c>
      <c r="B38" s="43" t="str">
        <f>'[2]I-5 SB'!H38</f>
        <v>I-5 SB</v>
      </c>
      <c r="C38" s="126">
        <f>'[2]I-5 SB'!E38</f>
        <v>30776</v>
      </c>
      <c r="D38" s="188">
        <f>'[2]I-5 SB'!I38</f>
        <v>73</v>
      </c>
      <c r="E38" s="189">
        <f>'[2]I-5 SB'!J38</f>
        <v>0</v>
      </c>
      <c r="F38" s="189" t="str">
        <f>'[2]I-5 SB'!K38</f>
        <v>CARMEL VALLEY</v>
      </c>
      <c r="G38" s="189" t="str">
        <f>'[2]I-5 SB'!L38</f>
        <v>I-805 SB</v>
      </c>
      <c r="H38" s="197">
        <f>'[2]I-5 SB'!O38</f>
        <v>18486</v>
      </c>
      <c r="I38" s="198">
        <f>VLOOKUP(c_8[[#This Row],[hwycov_id]],readme!D:G,4,FALSE)</f>
        <v>21332.662109000001</v>
      </c>
      <c r="J38" s="49">
        <f t="shared" si="2"/>
        <v>0.15399016060802784</v>
      </c>
      <c r="K38" s="190" t="str">
        <f>'[2]I-5 SB'!P38</f>
        <v>Caltran</v>
      </c>
      <c r="L38" s="148">
        <f t="shared" si="3"/>
        <v>8103485.1628163327</v>
      </c>
      <c r="M38" s="44"/>
    </row>
    <row r="39" spans="1:13" ht="15" customHeight="1" x14ac:dyDescent="0.25">
      <c r="A39" s="43">
        <f>'[2]I-5 SB'!C39</f>
        <v>8</v>
      </c>
      <c r="B39" s="43" t="str">
        <f>'[2]I-5 SB'!H39</f>
        <v>I-5 SB</v>
      </c>
      <c r="C39" s="126">
        <f>'[2]I-5 SB'!E39</f>
        <v>14263</v>
      </c>
      <c r="D39" s="188">
        <f>'[2]I-5 SB'!I39</f>
        <v>75</v>
      </c>
      <c r="E39" s="189">
        <f>'[2]I-5 SB'!J39</f>
        <v>0</v>
      </c>
      <c r="F39" s="189" t="str">
        <f>'[2]I-5 SB'!K39</f>
        <v>I-805 SB</v>
      </c>
      <c r="G39" s="189" t="str">
        <f>'[2]I-5 SB'!L39</f>
        <v>SORRENTO VALLEY</v>
      </c>
      <c r="H39" s="197">
        <f>'[2]I-5 SB'!O39</f>
        <v>14198</v>
      </c>
      <c r="I39" s="198">
        <f>VLOOKUP(c_8[[#This Row],[hwycov_id]],readme!D:G,4,FALSE)</f>
        <v>13394.523438</v>
      </c>
      <c r="J39" s="49">
        <f t="shared" si="2"/>
        <v>-5.6590827017889866E-2</v>
      </c>
      <c r="K39" s="190" t="str">
        <f>'[2]I-5 SB'!P39</f>
        <v>Caltran</v>
      </c>
      <c r="L39" s="148">
        <f t="shared" si="3"/>
        <v>645574.58568333962</v>
      </c>
      <c r="M39" s="44"/>
    </row>
    <row r="40" spans="1:13" ht="15" customHeight="1" x14ac:dyDescent="0.25">
      <c r="A40" s="43">
        <f>'[2]I-5 SB'!C40</f>
        <v>8</v>
      </c>
      <c r="B40" s="43" t="str">
        <f>'[2]I-5 SB'!H40</f>
        <v>I-5 SB</v>
      </c>
      <c r="C40" s="126">
        <f>'[2]I-5 SB'!E40</f>
        <v>14286</v>
      </c>
      <c r="D40" s="188">
        <f>'[2]I-5 SB'!I40</f>
        <v>78</v>
      </c>
      <c r="E40" s="189">
        <f>'[2]I-5 SB'!J40</f>
        <v>0</v>
      </c>
      <c r="F40" s="189" t="str">
        <f>'[2]I-5 SB'!K40</f>
        <v>GENESEE</v>
      </c>
      <c r="G40" s="189" t="str">
        <f>'[2]I-5 SB'!L40</f>
        <v>GENESEE</v>
      </c>
      <c r="H40" s="197">
        <f>'[2]I-5 SB'!O40</f>
        <v>14999</v>
      </c>
      <c r="I40" s="198">
        <f>VLOOKUP(c_8[[#This Row],[hwycov_id]],readme!D:G,4,FALSE)</f>
        <v>14800.663086</v>
      </c>
      <c r="J40" s="49">
        <f t="shared" si="2"/>
        <v>-1.3223342489499301E-2</v>
      </c>
      <c r="K40" s="190" t="str">
        <f>'[2]I-5 SB'!P40</f>
        <v>PeMS2016</v>
      </c>
      <c r="L40" s="148">
        <f t="shared" si="3"/>
        <v>39337.531455043209</v>
      </c>
      <c r="M40" s="44"/>
    </row>
    <row r="41" spans="1:13" ht="15" customHeight="1" x14ac:dyDescent="0.25">
      <c r="A41" s="43">
        <f>'[2]I-5 SB'!C41</f>
        <v>8</v>
      </c>
      <c r="B41" s="43" t="str">
        <f>'[2]I-5 SB'!H41</f>
        <v>I-5 SB</v>
      </c>
      <c r="C41" s="126">
        <f>'[2]I-5 SB'!E41</f>
        <v>9252</v>
      </c>
      <c r="D41" s="188">
        <f>'[2]I-5 SB'!I41</f>
        <v>81</v>
      </c>
      <c r="E41" s="189">
        <f>'[2]I-5 SB'!J41</f>
        <v>0</v>
      </c>
      <c r="F41" s="189" t="str">
        <f>'[2]I-5 SB'!K41</f>
        <v>LA JOLLA VILLAGE</v>
      </c>
      <c r="G41" s="189" t="str">
        <f>'[2]I-5 SB'!L41</f>
        <v>LA JOLLA VILLAGE</v>
      </c>
      <c r="H41" s="197">
        <f>'[2]I-5 SB'!O41</f>
        <v>14135</v>
      </c>
      <c r="I41" s="198">
        <f>VLOOKUP(c_8[[#This Row],[hwycov_id]],readme!D:G,4,FALSE)</f>
        <v>17301.013672000001</v>
      </c>
      <c r="J41" s="49">
        <f t="shared" si="2"/>
        <v>0.22398398811460929</v>
      </c>
      <c r="K41" s="190" t="str">
        <f>'[2]I-5 SB'!P41</f>
        <v>PeMS2016</v>
      </c>
      <c r="L41" s="148">
        <f t="shared" si="3"/>
        <v>10023642.571290929</v>
      </c>
      <c r="M41" s="44"/>
    </row>
    <row r="42" spans="1:13" ht="15" customHeight="1" x14ac:dyDescent="0.25">
      <c r="A42" s="43">
        <f>'[2]I-5 SB'!C42</f>
        <v>8</v>
      </c>
      <c r="B42" s="43" t="str">
        <f>'[2]I-5 SB'!H42</f>
        <v>I-5 SB</v>
      </c>
      <c r="C42" s="126">
        <f>'[2]I-5 SB'!E42</f>
        <v>15039</v>
      </c>
      <c r="D42" s="188">
        <f>'[2]I-5 SB'!I42</f>
        <v>83</v>
      </c>
      <c r="E42" s="189">
        <f>'[2]I-5 SB'!J42</f>
        <v>0</v>
      </c>
      <c r="F42" s="189" t="str">
        <f>'[2]I-5 SB'!K42</f>
        <v>LA JOLLA VILLAGE</v>
      </c>
      <c r="G42" s="189" t="str">
        <f>'[2]I-5 SB'!L42</f>
        <v>NOBEL</v>
      </c>
      <c r="H42" s="197">
        <f>'[2]I-5 SB'!O42</f>
        <v>18571</v>
      </c>
      <c r="I42" s="198">
        <f>VLOOKUP(c_8[[#This Row],[hwycov_id]],readme!D:G,4,FALSE)</f>
        <v>21410.935547000001</v>
      </c>
      <c r="J42" s="49">
        <f t="shared" si="2"/>
        <v>0.1529231353723548</v>
      </c>
      <c r="K42" s="190" t="str">
        <f>'[2]I-5 SB'!P42</f>
        <v>PeMS2016</v>
      </c>
      <c r="L42" s="148">
        <f t="shared" si="3"/>
        <v>8065233.9111141944</v>
      </c>
      <c r="M42" s="44"/>
    </row>
    <row r="43" spans="1:13" ht="15" customHeight="1" x14ac:dyDescent="0.25">
      <c r="A43" s="43">
        <f>'[2]I-5 SB'!C43</f>
        <v>8</v>
      </c>
      <c r="B43" s="43" t="str">
        <f>'[2]I-5 SB'!H43</f>
        <v>I-5 SB</v>
      </c>
      <c r="C43" s="126">
        <f>'[2]I-5 SB'!E43</f>
        <v>15035</v>
      </c>
      <c r="D43" s="188">
        <f>'[2]I-5 SB'!I43</f>
        <v>84</v>
      </c>
      <c r="E43" s="189">
        <f>'[2]I-5 SB'!J43</f>
        <v>0</v>
      </c>
      <c r="F43" s="189" t="str">
        <f>'[2]I-5 SB'!K43</f>
        <v>NOBEL</v>
      </c>
      <c r="G43" s="189" t="str">
        <f>'[2]I-5 SB'!L43</f>
        <v>GILMAN</v>
      </c>
      <c r="H43" s="197">
        <f>'[2]I-5 SB'!O43</f>
        <v>18571</v>
      </c>
      <c r="I43" s="198">
        <f>VLOOKUP(c_8[[#This Row],[hwycov_id]],readme!D:G,4,FALSE)</f>
        <v>23333.398438</v>
      </c>
      <c r="J43" s="49">
        <f t="shared" si="2"/>
        <v>0.25644275687900486</v>
      </c>
      <c r="K43" s="190" t="str">
        <f>'[2]I-5 SB'!P43</f>
        <v>PeMS2016</v>
      </c>
      <c r="L43" s="148">
        <f t="shared" si="3"/>
        <v>22680438.882264841</v>
      </c>
      <c r="M43" s="44"/>
    </row>
    <row r="44" spans="1:13" ht="15" customHeight="1" x14ac:dyDescent="0.25">
      <c r="A44" s="43">
        <f>'[2]I-5 SB'!C44</f>
        <v>8</v>
      </c>
      <c r="B44" s="43" t="str">
        <f>'[2]I-5 SB'!H44</f>
        <v>I-5 SB</v>
      </c>
      <c r="C44" s="126">
        <f>'[2]I-5 SB'!E44</f>
        <v>8777</v>
      </c>
      <c r="D44" s="188">
        <f>'[2]I-5 SB'!I44</f>
        <v>85</v>
      </c>
      <c r="E44" s="189">
        <f>'[2]I-5 SB'!J44</f>
        <v>0</v>
      </c>
      <c r="F44" s="189" t="str">
        <f>'[2]I-5 SB'!K44</f>
        <v>GILMAN</v>
      </c>
      <c r="G44" s="189" t="str">
        <f>'[2]I-5 SB'!L44</f>
        <v>GILMAN</v>
      </c>
      <c r="H44" s="197">
        <f>'[2]I-5 SB'!O44</f>
        <v>21678</v>
      </c>
      <c r="I44" s="198">
        <f>VLOOKUP(c_8[[#This Row],[hwycov_id]],readme!D:G,4,FALSE)</f>
        <v>22955.121093999998</v>
      </c>
      <c r="J44" s="49">
        <f t="shared" si="2"/>
        <v>5.8913234338961118E-2</v>
      </c>
      <c r="K44" s="190" t="str">
        <f>'[2]I-5 SB'!P44</f>
        <v>PeMS2016</v>
      </c>
      <c r="L44" s="148">
        <f t="shared" si="3"/>
        <v>1631038.2887397525</v>
      </c>
      <c r="M44" s="44"/>
    </row>
    <row r="45" spans="1:13" ht="15" customHeight="1" x14ac:dyDescent="0.25">
      <c r="A45" s="43">
        <f>'[2]I-5 SB'!C45</f>
        <v>8</v>
      </c>
      <c r="B45" s="43" t="str">
        <f>'[2]I-5 SB'!H45</f>
        <v>I-5 SB</v>
      </c>
      <c r="C45" s="126">
        <f>'[2]I-5 SB'!E45</f>
        <v>12009</v>
      </c>
      <c r="D45" s="188">
        <f>'[2]I-5 SB'!I45</f>
        <v>87</v>
      </c>
      <c r="E45" s="189">
        <f>'[2]I-5 SB'!J45</f>
        <v>0</v>
      </c>
      <c r="F45" s="189" t="str">
        <f>'[2]I-5 SB'!K45</f>
        <v>SR-52 EB</v>
      </c>
      <c r="G45" s="189" t="str">
        <f>'[2]I-5 SB'!L45</f>
        <v>SR-52 WB</v>
      </c>
      <c r="H45" s="197">
        <f>'[2]I-5 SB'!O45</f>
        <v>21728</v>
      </c>
      <c r="I45" s="198">
        <f>VLOOKUP(c_8[[#This Row],[hwycov_id]],readme!D:G,4,FALSE)</f>
        <v>21101.384765999999</v>
      </c>
      <c r="J45" s="49">
        <f t="shared" si="2"/>
        <v>-2.8839066365979438E-2</v>
      </c>
      <c r="K45" s="190" t="str">
        <f>'[2]I-5 SB'!P45</f>
        <v>PeMS2016</v>
      </c>
      <c r="L45" s="148">
        <f t="shared" si="3"/>
        <v>392646.65148087573</v>
      </c>
      <c r="M45" s="44"/>
    </row>
    <row r="46" spans="1:13" ht="15" customHeight="1" x14ac:dyDescent="0.25">
      <c r="A46" s="43">
        <f>'[2]I-5 SB'!C46</f>
        <v>8</v>
      </c>
      <c r="B46" s="43" t="str">
        <f>'[2]I-5 SB'!H46</f>
        <v>I-5 SB</v>
      </c>
      <c r="C46" s="126">
        <f>'[2]I-5 SB'!E46</f>
        <v>26065</v>
      </c>
      <c r="D46" s="188">
        <f>'[2]I-5 SB'!I46</f>
        <v>88</v>
      </c>
      <c r="E46" s="189">
        <f>'[2]I-5 SB'!J46</f>
        <v>0</v>
      </c>
      <c r="F46" s="189" t="str">
        <f>'[2]I-5 SB'!K46</f>
        <v>SR-52 WB</v>
      </c>
      <c r="G46" s="189" t="str">
        <f>'[2]I-5 SB'!L46</f>
        <v>MISSION BAY</v>
      </c>
      <c r="H46" s="197">
        <f>'[2]I-5 SB'!O46</f>
        <v>27538</v>
      </c>
      <c r="I46" s="198">
        <f>VLOOKUP(c_8[[#This Row],[hwycov_id]],readme!D:G,4,FALSE)</f>
        <v>26429.449218999998</v>
      </c>
      <c r="J46" s="49">
        <f t="shared" si="2"/>
        <v>-4.0255311968915741E-2</v>
      </c>
      <c r="K46" s="190" t="str">
        <f>'[2]I-5 SB'!P46</f>
        <v>Caltran</v>
      </c>
      <c r="L46" s="148">
        <f t="shared" si="3"/>
        <v>1228884.8340557138</v>
      </c>
      <c r="M46" s="44"/>
    </row>
    <row r="47" spans="1:13" ht="15" customHeight="1" x14ac:dyDescent="0.25">
      <c r="A47" s="43">
        <f>'[2]I-5 SB'!C47</f>
        <v>8</v>
      </c>
      <c r="B47" s="43" t="str">
        <f>'[2]I-5 SB'!H47</f>
        <v>I-5 SB</v>
      </c>
      <c r="C47" s="126">
        <f>'[2]I-5 SB'!E47</f>
        <v>26017</v>
      </c>
      <c r="D47" s="188">
        <f>'[2]I-5 SB'!I47</f>
        <v>89</v>
      </c>
      <c r="E47" s="189">
        <f>'[2]I-5 SB'!J47</f>
        <v>0</v>
      </c>
      <c r="F47" s="189" t="str">
        <f>'[2]I-5 SB'!K47</f>
        <v>SR-52 WB</v>
      </c>
      <c r="G47" s="189" t="str">
        <f>'[2]I-5 SB'!L47</f>
        <v>MISSION BAY</v>
      </c>
      <c r="H47" s="197">
        <f>'[2]I-5 SB'!O47</f>
        <v>26378</v>
      </c>
      <c r="I47" s="198">
        <f>VLOOKUP(c_8[[#This Row],[hwycov_id]],readme!D:G,4,FALSE)</f>
        <v>26429.449218999998</v>
      </c>
      <c r="J47" s="49">
        <f t="shared" si="2"/>
        <v>1.9504594358934479E-3</v>
      </c>
      <c r="K47" s="190" t="str">
        <f>'[2]I-5 SB'!P47</f>
        <v>PeMS2016</v>
      </c>
      <c r="L47" s="148">
        <f t="shared" si="3"/>
        <v>2647.0221357097826</v>
      </c>
      <c r="M47" s="44"/>
    </row>
    <row r="48" spans="1:13" ht="15" customHeight="1" x14ac:dyDescent="0.25">
      <c r="A48" s="43">
        <f>'[2]I-5 SB'!C48</f>
        <v>8</v>
      </c>
      <c r="B48" s="43" t="str">
        <f>'[2]I-5 SB'!H48</f>
        <v>I-5 SB</v>
      </c>
      <c r="C48" s="126">
        <f>'[2]I-5 SB'!E48</f>
        <v>8780</v>
      </c>
      <c r="D48" s="188">
        <f>'[2]I-5 SB'!I48</f>
        <v>90</v>
      </c>
      <c r="E48" s="189">
        <f>'[2]I-5 SB'!J48</f>
        <v>0</v>
      </c>
      <c r="F48" s="189" t="str">
        <f>'[2]I-5 SB'!K48</f>
        <v>MISSION BAY</v>
      </c>
      <c r="G48" s="189" t="str">
        <f>'[2]I-5 SB'!L48</f>
        <v>GARNET</v>
      </c>
      <c r="H48" s="197">
        <f>'[2]I-5 SB'!O48</f>
        <v>21493</v>
      </c>
      <c r="I48" s="198">
        <f>VLOOKUP(c_8[[#This Row],[hwycov_id]],readme!D:G,4,FALSE)</f>
        <v>20347.445312</v>
      </c>
      <c r="J48" s="49">
        <f t="shared" si="2"/>
        <v>-5.3298966547247972E-2</v>
      </c>
      <c r="K48" s="190" t="str">
        <f>'[2]I-5 SB'!P48</f>
        <v>PeMS2016</v>
      </c>
      <c r="L48" s="148">
        <f t="shared" si="3"/>
        <v>1312295.5431987778</v>
      </c>
      <c r="M48" s="44"/>
    </row>
    <row r="49" spans="1:13" ht="15" customHeight="1" x14ac:dyDescent="0.25">
      <c r="A49" s="43">
        <f>'[2]I-5 SB'!C49</f>
        <v>8</v>
      </c>
      <c r="B49" s="43" t="str">
        <f>'[2]I-5 SB'!H49</f>
        <v>I-5 SB</v>
      </c>
      <c r="C49" s="126">
        <f>'[2]I-5 SB'!E49</f>
        <v>20684</v>
      </c>
      <c r="D49" s="188">
        <f>'[2]I-5 SB'!I49</f>
        <v>91</v>
      </c>
      <c r="E49" s="189">
        <f>'[2]I-5 SB'!J49</f>
        <v>0</v>
      </c>
      <c r="F49" s="189" t="str">
        <f>'[2]I-5 SB'!K49</f>
        <v>GARNET</v>
      </c>
      <c r="G49" s="189" t="str">
        <f>'[2]I-5 SB'!L49</f>
        <v>MISSION BAY</v>
      </c>
      <c r="H49" s="197">
        <f>'[2]I-5 SB'!O49</f>
        <v>23832</v>
      </c>
      <c r="I49" s="198">
        <f>VLOOKUP(c_8[[#This Row],[hwycov_id]],readme!D:G,4,FALSE)</f>
        <v>23282.759765999999</v>
      </c>
      <c r="J49" s="49">
        <f t="shared" si="2"/>
        <v>-2.3046334088620335E-2</v>
      </c>
      <c r="K49" s="190" t="str">
        <f>'[2]I-5 SB'!P49</f>
        <v>PeMS2016</v>
      </c>
      <c r="L49" s="148">
        <f t="shared" si="3"/>
        <v>301664.8346443756</v>
      </c>
      <c r="M49" s="44"/>
    </row>
    <row r="50" spans="1:13" ht="15" customHeight="1" x14ac:dyDescent="0.25">
      <c r="A50" s="43">
        <f>'[2]I-5 SB'!C50</f>
        <v>8</v>
      </c>
      <c r="B50" s="43" t="str">
        <f>'[2]I-5 SB'!H50</f>
        <v>I-5 SB</v>
      </c>
      <c r="C50" s="126">
        <f>'[2]I-5 SB'!E50</f>
        <v>8787</v>
      </c>
      <c r="D50" s="188">
        <f>'[2]I-5 SB'!I50</f>
        <v>93</v>
      </c>
      <c r="E50" s="189">
        <f>'[2]I-5 SB'!J50</f>
        <v>0</v>
      </c>
      <c r="F50" s="189" t="str">
        <f>'[2]I-5 SB'!K50</f>
        <v>CLAIREMONT</v>
      </c>
      <c r="G50" s="189" t="str">
        <f>'[2]I-5 SB'!L50</f>
        <v>CLAIREMONT</v>
      </c>
      <c r="H50" s="197">
        <f>'[2]I-5 SB'!O50</f>
        <v>28959</v>
      </c>
      <c r="I50" s="198">
        <f>VLOOKUP(c_8[[#This Row],[hwycov_id]],readme!D:G,4,FALSE)</f>
        <v>24334.28125</v>
      </c>
      <c r="J50" s="49">
        <f t="shared" si="2"/>
        <v>-0.15969884146552027</v>
      </c>
      <c r="K50" s="190" t="str">
        <f>'[2]I-5 SB'!P50</f>
        <v>PeMS2016</v>
      </c>
      <c r="L50" s="148">
        <f t="shared" si="3"/>
        <v>21388023.516601563</v>
      </c>
      <c r="M50" s="44"/>
    </row>
    <row r="51" spans="1:13" ht="15" customHeight="1" x14ac:dyDescent="0.25">
      <c r="A51" s="43">
        <f>'[2]I-5 SB'!C51</f>
        <v>8</v>
      </c>
      <c r="B51" s="43" t="str">
        <f>'[2]I-5 SB'!H51</f>
        <v>I-5 SB</v>
      </c>
      <c r="C51" s="126">
        <f>'[2]I-5 SB'!E51</f>
        <v>30816</v>
      </c>
      <c r="D51" s="188">
        <f>'[2]I-5 SB'!I51</f>
        <v>95</v>
      </c>
      <c r="E51" s="189">
        <f>'[2]I-5 SB'!J51</f>
        <v>0</v>
      </c>
      <c r="F51" s="189" t="str">
        <f>'[2]I-5 SB'!K51</f>
        <v>CLAIREMONT</v>
      </c>
      <c r="G51" s="189" t="str">
        <f>'[2]I-5 SB'!L51</f>
        <v>SEA WORLD</v>
      </c>
      <c r="H51" s="197">
        <f>'[2]I-5 SB'!O51</f>
        <v>27665</v>
      </c>
      <c r="I51" s="198">
        <f>VLOOKUP(c_8[[#This Row],[hwycov_id]],readme!D:G,4,FALSE)</f>
        <v>26810.771484000001</v>
      </c>
      <c r="J51" s="49">
        <f t="shared" si="2"/>
        <v>-3.08775895897343E-2</v>
      </c>
      <c r="K51" s="190" t="str">
        <f>'[2]I-5 SB'!P51</f>
        <v>PeMS2016</v>
      </c>
      <c r="L51" s="148">
        <f t="shared" si="3"/>
        <v>729706.35754756094</v>
      </c>
      <c r="M51" s="44"/>
    </row>
    <row r="52" spans="1:13" ht="15" customHeight="1" x14ac:dyDescent="0.25">
      <c r="A52" s="43">
        <f>'[2]I-5 SB'!C52</f>
        <v>8</v>
      </c>
      <c r="B52" s="43" t="str">
        <f>'[2]I-5 SB'!H52</f>
        <v>I-5 SB</v>
      </c>
      <c r="C52" s="126">
        <f>'[2]I-5 SB'!E52</f>
        <v>8791</v>
      </c>
      <c r="D52" s="188">
        <f>'[2]I-5 SB'!I52</f>
        <v>97</v>
      </c>
      <c r="E52" s="189">
        <f>'[2]I-5 SB'!J52</f>
        <v>0</v>
      </c>
      <c r="F52" s="189" t="str">
        <f>'[2]I-5 SB'!K52</f>
        <v>SEA WORLD</v>
      </c>
      <c r="G52" s="189" t="str">
        <f>'[2]I-5 SB'!L52</f>
        <v>SEA WORLD</v>
      </c>
      <c r="H52" s="197">
        <f>'[2]I-5 SB'!O52</f>
        <v>25382</v>
      </c>
      <c r="I52" s="198">
        <f>VLOOKUP(c_8[[#This Row],[hwycov_id]],readme!D:G,4,FALSE)</f>
        <v>24434.988281000002</v>
      </c>
      <c r="J52" s="49">
        <f t="shared" si="2"/>
        <v>-3.73103663619887E-2</v>
      </c>
      <c r="K52" s="190" t="str">
        <f>'[2]I-5 SB'!P52</f>
        <v>PeMS2016</v>
      </c>
      <c r="L52" s="148">
        <f t="shared" si="3"/>
        <v>896831.19592333166</v>
      </c>
      <c r="M52" s="44"/>
    </row>
    <row r="53" spans="1:13" ht="15" customHeight="1" x14ac:dyDescent="0.25">
      <c r="A53" s="43">
        <f>'[2]I-5 SB'!C53</f>
        <v>8</v>
      </c>
      <c r="B53" s="43" t="str">
        <f>'[2]I-5 SB'!H53</f>
        <v>I-5 SB</v>
      </c>
      <c r="C53" s="126">
        <f>'[2]I-5 SB'!E53</f>
        <v>20689</v>
      </c>
      <c r="D53" s="188">
        <f>'[2]I-5 SB'!I53</f>
        <v>101</v>
      </c>
      <c r="E53" s="189">
        <f>'[2]I-5 SB'!J53</f>
        <v>0</v>
      </c>
      <c r="F53" s="189" t="str">
        <f>'[2]I-5 SB'!K53</f>
        <v>I-8 EB</v>
      </c>
      <c r="G53" s="189" t="str">
        <f>'[2]I-5 SB'!L53</f>
        <v>OLD TOWN</v>
      </c>
      <c r="H53" s="197">
        <f>'[2]I-5 SB'!O53</f>
        <v>24040</v>
      </c>
      <c r="I53" s="198">
        <f>VLOOKUP(c_8[[#This Row],[hwycov_id]],readme!D:G,4,FALSE)</f>
        <v>23875.779297000001</v>
      </c>
      <c r="J53" s="49">
        <f t="shared" si="2"/>
        <v>-6.8311440515806954E-3</v>
      </c>
      <c r="K53" s="190" t="str">
        <f>'[2]I-5 SB'!P53</f>
        <v>PeMS2016</v>
      </c>
      <c r="L53" s="148">
        <f t="shared" si="3"/>
        <v>26968.439293813895</v>
      </c>
      <c r="M53" s="44"/>
    </row>
    <row r="54" spans="1:13" ht="15" customHeight="1" x14ac:dyDescent="0.25">
      <c r="A54" s="43">
        <f>'[2]I-5 SB'!C54</f>
        <v>8</v>
      </c>
      <c r="B54" s="43" t="str">
        <f>'[2]I-5 SB'!H54</f>
        <v>I-5 SB</v>
      </c>
      <c r="C54" s="126">
        <f>'[2]I-5 SB'!E54</f>
        <v>10965</v>
      </c>
      <c r="D54" s="188">
        <f>'[2]I-5 SB'!I54</f>
        <v>103</v>
      </c>
      <c r="E54" s="189">
        <f>'[2]I-5 SB'!J54</f>
        <v>0</v>
      </c>
      <c r="F54" s="189" t="str">
        <f>'[2]I-5 SB'!K54</f>
        <v>OLD TOWN</v>
      </c>
      <c r="G54" s="189" t="str">
        <f>'[2]I-5 SB'!L54</f>
        <v>OLD TOWN</v>
      </c>
      <c r="H54" s="197">
        <f>'[2]I-5 SB'!O54</f>
        <v>21606</v>
      </c>
      <c r="I54" s="198">
        <f>VLOOKUP(c_8[[#This Row],[hwycov_id]],readme!D:G,4,FALSE)</f>
        <v>22186.445312</v>
      </c>
      <c r="J54" s="49">
        <f t="shared" si="2"/>
        <v>2.6865005646579565E-2</v>
      </c>
      <c r="K54" s="190" t="str">
        <f>'[2]I-5 SB'!P54</f>
        <v>PeMS2016</v>
      </c>
      <c r="L54" s="148">
        <f t="shared" si="3"/>
        <v>336916.76022277714</v>
      </c>
      <c r="M54" s="44"/>
    </row>
    <row r="55" spans="1:13" ht="15" customHeight="1" x14ac:dyDescent="0.25">
      <c r="A55" s="43">
        <f>'[2]I-5 SB'!C55</f>
        <v>8</v>
      </c>
      <c r="B55" s="43" t="str">
        <f>'[2]I-5 SB'!H55</f>
        <v>I-5 SB</v>
      </c>
      <c r="C55" s="126">
        <f>'[2]I-5 SB'!E55</f>
        <v>10968</v>
      </c>
      <c r="D55" s="188">
        <f>'[2]I-5 SB'!I55</f>
        <v>106</v>
      </c>
      <c r="E55" s="189">
        <f>'[2]I-5 SB'!J55</f>
        <v>0</v>
      </c>
      <c r="F55" s="189" t="str">
        <f>'[2]I-5 SB'!K55</f>
        <v>HANCOCK</v>
      </c>
      <c r="G55" s="189" t="str">
        <f>'[2]I-5 SB'!L55</f>
        <v>KETTNER</v>
      </c>
      <c r="H55" s="197">
        <f>'[2]I-5 SB'!O55</f>
        <v>21092</v>
      </c>
      <c r="I55" s="198">
        <f>VLOOKUP(c_8[[#This Row],[hwycov_id]],readme!D:G,4,FALSE)</f>
        <v>22514.90625</v>
      </c>
      <c r="J55" s="49">
        <f t="shared" si="2"/>
        <v>6.7461893134837858E-2</v>
      </c>
      <c r="K55" s="190" t="str">
        <f>'[2]I-5 SB'!P55</f>
        <v>PeMS2016</v>
      </c>
      <c r="L55" s="148">
        <f t="shared" si="3"/>
        <v>2024662.1962890625</v>
      </c>
      <c r="M55" s="44"/>
    </row>
    <row r="56" spans="1:13" ht="15" customHeight="1" x14ac:dyDescent="0.25">
      <c r="A56" s="43">
        <f>'[2]I-5 SB'!C56</f>
        <v>8</v>
      </c>
      <c r="B56" s="43" t="str">
        <f>'[2]I-5 SB'!H56</f>
        <v>I-5 SB</v>
      </c>
      <c r="C56" s="126">
        <f>'[2]I-5 SB'!E56</f>
        <v>20693</v>
      </c>
      <c r="D56" s="188">
        <f>'[2]I-5 SB'!I56</f>
        <v>107</v>
      </c>
      <c r="E56" s="189">
        <f>'[2]I-5 SB'!J56</f>
        <v>0</v>
      </c>
      <c r="F56" s="189" t="str">
        <f>'[2]I-5 SB'!K56</f>
        <v>KETTNER</v>
      </c>
      <c r="G56" s="189" t="str">
        <f>'[2]I-5 SB'!L56</f>
        <v>HANCOCK</v>
      </c>
      <c r="H56" s="197">
        <f>'[2]I-5 SB'!O56</f>
        <v>13655</v>
      </c>
      <c r="I56" s="198">
        <f>VLOOKUP(c_8[[#This Row],[hwycov_id]],readme!D:G,4,FALSE)</f>
        <v>19312.359375</v>
      </c>
      <c r="J56" s="49">
        <f t="shared" si="2"/>
        <v>0.41430680153789812</v>
      </c>
      <c r="K56" s="190" t="str">
        <f>'[2]I-5 SB'!P56</f>
        <v>PeMS2016</v>
      </c>
      <c r="L56" s="148">
        <f t="shared" si="3"/>
        <v>32005715.097900391</v>
      </c>
    </row>
    <row r="57" spans="1:13" ht="15" customHeight="1" x14ac:dyDescent="0.25">
      <c r="A57" s="43">
        <f>'[2]I-5 SB'!C57</f>
        <v>8</v>
      </c>
      <c r="B57" s="43" t="str">
        <f>'[2]I-5 SB'!H57</f>
        <v>I-5 SB</v>
      </c>
      <c r="C57" s="126">
        <f>'[2]I-5 SB'!E57</f>
        <v>20694</v>
      </c>
      <c r="D57" s="188">
        <f>'[2]I-5 SB'!I57</f>
        <v>108</v>
      </c>
      <c r="E57" s="189">
        <f>'[2]I-5 SB'!J57</f>
        <v>0</v>
      </c>
      <c r="F57" s="189" t="str">
        <f>'[2]I-5 SB'!K57</f>
        <v>HANCOCK</v>
      </c>
      <c r="G57" s="189" t="str">
        <f>'[2]I-5 SB'!L57</f>
        <v>PACIFIC</v>
      </c>
      <c r="H57" s="197">
        <f>'[2]I-5 SB'!O57</f>
        <v>14247</v>
      </c>
      <c r="I57" s="198">
        <f>VLOOKUP(c_8[[#This Row],[hwycov_id]],readme!D:G,4,FALSE)</f>
        <v>20951.939452999999</v>
      </c>
      <c r="J57" s="49">
        <f t="shared" si="2"/>
        <v>0.47062114501298513</v>
      </c>
      <c r="K57" s="190" t="str">
        <f>'[2]I-5 SB'!P57</f>
        <v>PeMS2016</v>
      </c>
      <c r="L57" s="148">
        <f t="shared" si="3"/>
        <v>44956213.068395928</v>
      </c>
    </row>
    <row r="58" spans="1:13" ht="15" customHeight="1" x14ac:dyDescent="0.25">
      <c r="A58" s="43">
        <f>'[2]I-5 SB'!C58</f>
        <v>8</v>
      </c>
      <c r="B58" s="43" t="str">
        <f>'[2]I-5 SB'!H58</f>
        <v>I-5 SB</v>
      </c>
      <c r="C58" s="126">
        <f>'[2]I-5 SB'!E58</f>
        <v>16578</v>
      </c>
      <c r="D58" s="188">
        <f>'[2]I-5 SB'!I58</f>
        <v>109</v>
      </c>
      <c r="E58" s="189">
        <f>'[2]I-5 SB'!J58</f>
        <v>0</v>
      </c>
      <c r="F58" s="189" t="str">
        <f>'[2]I-5 SB'!K58</f>
        <v>PACIFIC</v>
      </c>
      <c r="G58" s="189" t="str">
        <f>'[2]I-5 SB'!L58</f>
        <v>KETTNER</v>
      </c>
      <c r="H58" s="197">
        <f>'[2]I-5 SB'!O58</f>
        <v>21357</v>
      </c>
      <c r="I58" s="198">
        <f>VLOOKUP(c_8[[#This Row],[hwycov_id]],readme!D:G,4,FALSE)</f>
        <v>27787.896484000001</v>
      </c>
      <c r="J58" s="49">
        <f t="shared" si="2"/>
        <v>0.30111422409514454</v>
      </c>
      <c r="K58" s="190" t="str">
        <f>'[2]I-5 SB'!P58</f>
        <v>PeMS2016</v>
      </c>
      <c r="L58" s="148">
        <f t="shared" si="3"/>
        <v>41356429.587923571</v>
      </c>
    </row>
    <row r="59" spans="1:13" ht="15" customHeight="1" x14ac:dyDescent="0.25">
      <c r="A59" s="43">
        <f>'[2]I-5 SB'!C59</f>
        <v>8</v>
      </c>
      <c r="B59" s="43" t="str">
        <f>'[2]I-5 SB'!H59</f>
        <v>I-5 SB</v>
      </c>
      <c r="C59" s="126">
        <f>'[2]I-5 SB'!E59</f>
        <v>20700</v>
      </c>
      <c r="D59" s="188">
        <f>'[2]I-5 SB'!I59</f>
        <v>111</v>
      </c>
      <c r="E59" s="189">
        <f>'[2]I-5 SB'!J59</f>
        <v>0</v>
      </c>
      <c r="F59" s="189" t="str">
        <f>'[2]I-5 SB'!K59</f>
        <v>FRONT</v>
      </c>
      <c r="G59" s="189" t="str">
        <f>'[2]I-5 SB'!L59</f>
        <v>STATE</v>
      </c>
      <c r="H59" s="197">
        <f>'[2]I-5 SB'!O59</f>
        <v>19374</v>
      </c>
      <c r="I59" s="198">
        <f>VLOOKUP(c_8[[#This Row],[hwycov_id]],readme!D:G,4,FALSE)</f>
        <v>25383.552734000001</v>
      </c>
      <c r="J59" s="49">
        <f t="shared" si="2"/>
        <v>0.31018647331475169</v>
      </c>
      <c r="K59" s="190" t="str">
        <f>'[2]I-5 SB'!P59</f>
        <v>PeMS2016</v>
      </c>
      <c r="L59" s="148">
        <f t="shared" si="3"/>
        <v>36114724.062726885</v>
      </c>
    </row>
    <row r="60" spans="1:13" ht="15" customHeight="1" x14ac:dyDescent="0.25">
      <c r="A60" s="43">
        <f>'[2]I-5 SB'!C60</f>
        <v>8</v>
      </c>
      <c r="B60" s="43" t="str">
        <f>'[2]I-5 SB'!H60</f>
        <v>I-5 SB</v>
      </c>
      <c r="C60" s="126">
        <f>'[2]I-5 SB'!E60</f>
        <v>27834</v>
      </c>
      <c r="D60" s="188">
        <f>'[2]I-5 SB'!I60</f>
        <v>114</v>
      </c>
      <c r="E60" s="189">
        <f>'[2]I-5 SB'!J60</f>
        <v>0</v>
      </c>
      <c r="F60" s="189">
        <f>'[2]I-5 SB'!K60</f>
        <v>0</v>
      </c>
      <c r="G60" s="189" t="str">
        <f>'[2]I-5 SB'!L60</f>
        <v>05TH</v>
      </c>
      <c r="H60" s="197">
        <f>'[2]I-5 SB'!O60</f>
        <v>25401</v>
      </c>
      <c r="I60" s="198">
        <f>VLOOKUP(c_8[[#This Row],[hwycov_id]],readme!D:G,4,FALSE)</f>
        <v>31763.394531000002</v>
      </c>
      <c r="J60" s="49">
        <f t="shared" si="2"/>
        <v>0.25047811231841277</v>
      </c>
      <c r="K60" s="190" t="str">
        <f>'[2]I-5 SB'!P60</f>
        <v>PeMS2016</v>
      </c>
      <c r="L60" s="148">
        <f t="shared" si="3"/>
        <v>40480064.168098733</v>
      </c>
    </row>
    <row r="61" spans="1:13" ht="15" customHeight="1" x14ac:dyDescent="0.25">
      <c r="A61" s="43">
        <f>'[2]I-5 SB'!C61</f>
        <v>8</v>
      </c>
      <c r="B61" s="43" t="str">
        <f>'[2]I-5 SB'!H61</f>
        <v>I-5 SB</v>
      </c>
      <c r="C61" s="126">
        <f>'[2]I-5 SB'!E61</f>
        <v>27824</v>
      </c>
      <c r="D61" s="188">
        <f>'[2]I-5 SB'!I61</f>
        <v>117</v>
      </c>
      <c r="E61" s="189">
        <f>'[2]I-5 SB'!J61</f>
        <v>0</v>
      </c>
      <c r="F61" s="189" t="str">
        <f>'[2]I-5 SB'!K61</f>
        <v>PERSHING</v>
      </c>
      <c r="G61" s="189" t="str">
        <f>'[2]I-5 SB'!L61</f>
        <v>SR-94 EB</v>
      </c>
      <c r="H61" s="197">
        <f>'[2]I-5 SB'!O61</f>
        <v>26226</v>
      </c>
      <c r="I61" s="198">
        <f>VLOOKUP(c_8[[#This Row],[hwycov_id]],readme!D:G,4,FALSE)</f>
        <v>29831.550781000002</v>
      </c>
      <c r="J61" s="49">
        <f t="shared" si="2"/>
        <v>0.13748001147716016</v>
      </c>
      <c r="K61" s="190" t="str">
        <f>'[2]I-5 SB'!P61</f>
        <v>PeMS2016</v>
      </c>
      <c r="L61" s="148">
        <f t="shared" si="3"/>
        <v>12999996.434369722</v>
      </c>
    </row>
    <row r="62" spans="1:13" ht="15" customHeight="1" x14ac:dyDescent="0.25">
      <c r="A62" s="43">
        <f>'[2]I-5 SB'!C62</f>
        <v>8</v>
      </c>
      <c r="B62" s="43" t="str">
        <f>'[2]I-5 SB'!H62</f>
        <v>I-5 SB</v>
      </c>
      <c r="C62" s="126">
        <f>'[2]I-5 SB'!E62</f>
        <v>20709</v>
      </c>
      <c r="D62" s="188">
        <f>'[2]I-5 SB'!I62</f>
        <v>120</v>
      </c>
      <c r="E62" s="189">
        <f>'[2]I-5 SB'!J62</f>
        <v>0</v>
      </c>
      <c r="F62" s="189" t="str">
        <f>'[2]I-5 SB'!K62</f>
        <v>PERSHING</v>
      </c>
      <c r="G62" s="189" t="str">
        <f>'[2]I-5 SB'!L62</f>
        <v>E</v>
      </c>
      <c r="H62" s="197">
        <f>'[2]I-5 SB'!O62</f>
        <v>20981</v>
      </c>
      <c r="I62" s="198">
        <f>VLOOKUP(c_8[[#This Row],[hwycov_id]],readme!D:G,4,FALSE)</f>
        <v>28713.763672000001</v>
      </c>
      <c r="J62" s="49">
        <f t="shared" si="2"/>
        <v>0.36856030084362046</v>
      </c>
      <c r="K62" s="190" t="str">
        <f>'[2]I-5 SB'!P62</f>
        <v>PeMS2016</v>
      </c>
      <c r="L62" s="148">
        <f t="shared" si="3"/>
        <v>59795634.007002935</v>
      </c>
    </row>
    <row r="63" spans="1:13" ht="15" customHeight="1" x14ac:dyDescent="0.25">
      <c r="A63" s="43">
        <f>'[2]I-5 SB'!C63</f>
        <v>8</v>
      </c>
      <c r="B63" s="43" t="str">
        <f>'[2]I-5 SB'!H63</f>
        <v>I-5 SB</v>
      </c>
      <c r="C63" s="126">
        <f>'[2]I-5 SB'!E63</f>
        <v>27806</v>
      </c>
      <c r="D63" s="188">
        <f>'[2]I-5 SB'!I63</f>
        <v>121</v>
      </c>
      <c r="E63" s="189">
        <f>'[2]I-5 SB'!J63</f>
        <v>0</v>
      </c>
      <c r="F63" s="189" t="str">
        <f>'[2]I-5 SB'!K63</f>
        <v>E</v>
      </c>
      <c r="G63" s="189" t="str">
        <f>'[2]I-5 SB'!L63</f>
        <v>IMPERIAL</v>
      </c>
      <c r="H63" s="197">
        <f>'[2]I-5 SB'!O63</f>
        <v>18771</v>
      </c>
      <c r="I63" s="198">
        <f>VLOOKUP(c_8[[#This Row],[hwycov_id]],readme!D:G,4,FALSE)</f>
        <v>30405.193359000001</v>
      </c>
      <c r="J63" s="49">
        <f t="shared" si="2"/>
        <v>0.61979614080230139</v>
      </c>
      <c r="K63" s="190" t="str">
        <f>'[2]I-5 SB'!P63</f>
        <v>PeMS2016</v>
      </c>
      <c r="L63" s="148">
        <f t="shared" si="3"/>
        <v>135354455.11459973</v>
      </c>
    </row>
    <row r="64" spans="1:13" ht="15" customHeight="1" x14ac:dyDescent="0.25">
      <c r="A64" s="43">
        <f>'[2]I-5 SB'!C64</f>
        <v>8</v>
      </c>
      <c r="B64" s="43" t="str">
        <f>'[2]I-5 SB'!H64</f>
        <v>I-5 SB</v>
      </c>
      <c r="C64" s="126">
        <f>'[2]I-5 SB'!E64</f>
        <v>20711</v>
      </c>
      <c r="D64" s="188">
        <f>'[2]I-5 SB'!I64</f>
        <v>129</v>
      </c>
      <c r="E64" s="189">
        <f>'[2]I-5 SB'!J64</f>
        <v>0</v>
      </c>
      <c r="F64" s="189" t="str">
        <f>'[2]I-5 SB'!K64</f>
        <v>NATIONAL</v>
      </c>
      <c r="G64" s="189" t="str">
        <f>'[2]I-5 SB'!L64</f>
        <v>29TH</v>
      </c>
      <c r="H64" s="197">
        <f>'[2]I-5 SB'!O64</f>
        <v>19188</v>
      </c>
      <c r="I64" s="198">
        <f>VLOOKUP(c_8[[#This Row],[hwycov_id]],readme!D:G,4,FALSE)</f>
        <v>27141.736327999999</v>
      </c>
      <c r="J64" s="49">
        <f t="shared" si="2"/>
        <v>0.41451617302480703</v>
      </c>
      <c r="K64" s="190" t="str">
        <f>'[2]I-5 SB'!P64</f>
        <v>PeMS2016</v>
      </c>
      <c r="L64" s="148">
        <f t="shared" si="3"/>
        <v>63261921.575346909</v>
      </c>
    </row>
    <row r="65" spans="1:13" ht="15" customHeight="1" x14ac:dyDescent="0.25">
      <c r="A65" s="43">
        <f>'[2]I-5 SB'!C65</f>
        <v>8</v>
      </c>
      <c r="B65" s="43" t="str">
        <f>'[2]I-5 SB'!H65</f>
        <v>I-5 SB</v>
      </c>
      <c r="C65" s="126">
        <f>'[2]I-5 SB'!E65</f>
        <v>28736</v>
      </c>
      <c r="D65" s="188">
        <f>'[2]I-5 SB'!I65</f>
        <v>130</v>
      </c>
      <c r="E65" s="189">
        <f>'[2]I-5 SB'!J65</f>
        <v>0</v>
      </c>
      <c r="F65" s="189" t="str">
        <f>'[2]I-5 SB'!K65</f>
        <v>29TH</v>
      </c>
      <c r="G65" s="189" t="str">
        <f>'[2]I-5 SB'!L65</f>
        <v>MAIN</v>
      </c>
      <c r="H65" s="197">
        <f>'[2]I-5 SB'!O65</f>
        <v>20217</v>
      </c>
      <c r="I65" s="198">
        <f>VLOOKUP(c_8[[#This Row],[hwycov_id]],readme!D:G,4,FALSE)</f>
        <v>28089.830077999999</v>
      </c>
      <c r="J65" s="49">
        <f t="shared" si="2"/>
        <v>0.38941633664737596</v>
      </c>
      <c r="K65" s="190" t="str">
        <f>'[2]I-5 SB'!P65</f>
        <v>PeMS2016</v>
      </c>
      <c r="L65" s="148">
        <f t="shared" si="3"/>
        <v>61981453.437061474</v>
      </c>
    </row>
    <row r="66" spans="1:13" ht="15" customHeight="1" x14ac:dyDescent="0.25">
      <c r="A66" s="43">
        <f>'[2]I-5 SB'!C66</f>
        <v>8</v>
      </c>
      <c r="B66" s="43" t="str">
        <f>'[2]I-5 SB'!H66</f>
        <v>I-5 SB</v>
      </c>
      <c r="C66" s="126">
        <f>'[2]I-5 SB'!E66</f>
        <v>27781</v>
      </c>
      <c r="D66" s="188">
        <f>'[2]I-5 SB'!I66</f>
        <v>132</v>
      </c>
      <c r="E66" s="189">
        <f>'[2]I-5 SB'!J66</f>
        <v>0</v>
      </c>
      <c r="F66" s="189" t="str">
        <f>'[2]I-5 SB'!K66</f>
        <v>MAIN</v>
      </c>
      <c r="G66" s="189" t="str">
        <f>'[2]I-5 SB'!L66</f>
        <v>SR-15 SB</v>
      </c>
      <c r="H66" s="197">
        <f>'[2]I-5 SB'!O66</f>
        <v>17560</v>
      </c>
      <c r="I66" s="198">
        <f>VLOOKUP(c_8[[#This Row],[hwycov_id]],readme!D:G,4,FALSE)</f>
        <v>22787.998047000001</v>
      </c>
      <c r="J66" s="49">
        <f t="shared" si="2"/>
        <v>0.297721984453303</v>
      </c>
      <c r="K66" s="190" t="str">
        <f>'[2]I-5 SB'!P66</f>
        <v>PeMS2016</v>
      </c>
      <c r="L66" s="148">
        <f t="shared" si="3"/>
        <v>27331963.579435825</v>
      </c>
    </row>
    <row r="67" spans="1:13" ht="15" customHeight="1" x14ac:dyDescent="0.25">
      <c r="A67" s="43">
        <f>'[2]I-5 SB'!C67</f>
        <v>8</v>
      </c>
      <c r="B67" s="43" t="str">
        <f>'[2]I-5 SB'!H67</f>
        <v>I-5 SB</v>
      </c>
      <c r="C67" s="126">
        <f>'[2]I-5 SB'!E67</f>
        <v>28726</v>
      </c>
      <c r="D67" s="188">
        <f>'[2]I-5 SB'!I67</f>
        <v>134</v>
      </c>
      <c r="E67" s="189">
        <f>'[2]I-5 SB'!J67</f>
        <v>0</v>
      </c>
      <c r="F67" s="189" t="str">
        <f>'[2]I-5 SB'!K67</f>
        <v>MAIN</v>
      </c>
      <c r="G67" s="189" t="str">
        <f>'[2]I-5 SB'!L67</f>
        <v>08TH</v>
      </c>
      <c r="H67" s="197">
        <f>'[2]I-5 SB'!O67</f>
        <v>23110</v>
      </c>
      <c r="I67" s="198">
        <f>VLOOKUP(c_8[[#This Row],[hwycov_id]],readme!D:G,4,FALSE)</f>
        <v>31971.744140999999</v>
      </c>
      <c r="J67" s="49">
        <f t="shared" ref="J67:J72" si="4">I67/H67-1</f>
        <v>0.38345928779749028</v>
      </c>
      <c r="K67" s="190" t="str">
        <f>'[2]I-5 SB'!P67</f>
        <v>PeMS2016</v>
      </c>
      <c r="L67" s="148">
        <f t="shared" ref="L67:L72" si="5">POWER((I67-H67),2)</f>
        <v>78530509.22054781</v>
      </c>
    </row>
    <row r="68" spans="1:13" x14ac:dyDescent="0.25">
      <c r="A68" s="43">
        <f>'[2]I-5 SB'!C68</f>
        <v>8</v>
      </c>
      <c r="B68" s="43" t="str">
        <f>'[2]I-5 SB'!H68</f>
        <v>I-5 SB</v>
      </c>
      <c r="C68" s="126">
        <f>'[2]I-5 SB'!E68</f>
        <v>28717</v>
      </c>
      <c r="D68" s="188">
        <f>'[2]I-5 SB'!I68</f>
        <v>136</v>
      </c>
      <c r="E68" s="189">
        <f>'[2]I-5 SB'!J68</f>
        <v>0</v>
      </c>
      <c r="F68" s="189" t="str">
        <f>'[2]I-5 SB'!K68</f>
        <v>CIVIC CENTER</v>
      </c>
      <c r="G68" s="189" t="str">
        <f>'[2]I-5 SB'!L68</f>
        <v>CIVIC CENTER</v>
      </c>
      <c r="H68" s="197">
        <f>'[2]I-5 SB'!O68</f>
        <v>25627</v>
      </c>
      <c r="I68" s="198">
        <f>VLOOKUP(c_8[[#This Row],[hwycov_id]],readme!D:G,4,FALSE)</f>
        <v>29174.890625</v>
      </c>
      <c r="J68" s="49">
        <f t="shared" si="4"/>
        <v>0.13844346294923326</v>
      </c>
      <c r="K68" s="190" t="str">
        <f>'[2]I-5 SB'!P68</f>
        <v>PeMS2016</v>
      </c>
      <c r="L68" s="148">
        <f t="shared" si="5"/>
        <v>12587527.886962891</v>
      </c>
    </row>
    <row r="69" spans="1:13" x14ac:dyDescent="0.25">
      <c r="A69" s="43">
        <f>'[2]I-5 SB'!C69</f>
        <v>8</v>
      </c>
      <c r="B69" s="43" t="str">
        <f>'[2]I-5 SB'!H69</f>
        <v>I-5 SB</v>
      </c>
      <c r="C69" s="126">
        <f>'[2]I-5 SB'!E69</f>
        <v>28706</v>
      </c>
      <c r="D69" s="188">
        <f>'[2]I-5 SB'!I69</f>
        <v>139</v>
      </c>
      <c r="E69" s="189">
        <f>'[2]I-5 SB'!J69</f>
        <v>0</v>
      </c>
      <c r="F69" s="189" t="str">
        <f>'[2]I-5 SB'!K69</f>
        <v>24TH</v>
      </c>
      <c r="G69" s="189" t="str">
        <f>'[2]I-5 SB'!L69</f>
        <v>24TH</v>
      </c>
      <c r="H69" s="197">
        <f>'[2]I-5 SB'!O69</f>
        <v>22365</v>
      </c>
      <c r="I69" s="198">
        <f>VLOOKUP(c_8[[#This Row],[hwycov_id]],readme!D:G,4,FALSE)</f>
        <v>28445.037109000001</v>
      </c>
      <c r="J69" s="49">
        <f t="shared" si="4"/>
        <v>0.27185500152023256</v>
      </c>
      <c r="K69" s="190" t="str">
        <f>'[2]I-5 SB'!P69</f>
        <v>PeMS2016</v>
      </c>
      <c r="L69" s="148">
        <f t="shared" si="5"/>
        <v>36966851.24681709</v>
      </c>
      <c r="M69" s="44"/>
    </row>
    <row r="70" spans="1:13" x14ac:dyDescent="0.25">
      <c r="A70" s="43">
        <f>'[2]I-5 SB'!C70</f>
        <v>8</v>
      </c>
      <c r="B70" s="43" t="str">
        <f>'[2]I-5 SB'!H70</f>
        <v>I-5 SB</v>
      </c>
      <c r="C70" s="126">
        <f>'[2]I-5 SB'!E70</f>
        <v>27934</v>
      </c>
      <c r="D70" s="188">
        <f>'[2]I-5 SB'!I70</f>
        <v>149</v>
      </c>
      <c r="E70" s="189">
        <f>'[2]I-5 SB'!J70</f>
        <v>0</v>
      </c>
      <c r="F70" s="189" t="str">
        <f>'[2]I-5 SB'!K70</f>
        <v>J</v>
      </c>
      <c r="G70" s="189" t="str">
        <f>'[2]I-5 SB'!L70</f>
        <v>J</v>
      </c>
      <c r="H70" s="197">
        <f>'[2]I-5 SB'!O70</f>
        <v>20376</v>
      </c>
      <c r="I70" s="198">
        <f>VLOOKUP(c_8[[#This Row],[hwycov_id]],readme!D:G,4,FALSE)</f>
        <v>23565.056640999999</v>
      </c>
      <c r="J70" s="49">
        <f t="shared" si="4"/>
        <v>0.15651043585590885</v>
      </c>
      <c r="K70" s="190" t="str">
        <f>'[2]I-5 SB'!P70</f>
        <v>PeMS2016</v>
      </c>
      <c r="L70" s="148">
        <f t="shared" si="5"/>
        <v>10170082.259506198</v>
      </c>
      <c r="M70" s="44"/>
    </row>
    <row r="71" spans="1:13" x14ac:dyDescent="0.25">
      <c r="A71" s="43">
        <f>'[2]I-5 SB'!C71</f>
        <v>8</v>
      </c>
      <c r="B71" s="43" t="str">
        <f>'[2]I-5 SB'!H71</f>
        <v>I-5 SB</v>
      </c>
      <c r="C71" s="126">
        <f>'[2]I-5 SB'!E71</f>
        <v>27915</v>
      </c>
      <c r="D71" s="188">
        <f>'[2]I-5 SB'!I71</f>
        <v>155</v>
      </c>
      <c r="E71" s="189">
        <f>'[2]I-5 SB'!J71</f>
        <v>0</v>
      </c>
      <c r="F71" s="189" t="str">
        <f>'[2]I-5 SB'!K71</f>
        <v>MAIN</v>
      </c>
      <c r="G71" s="189" t="str">
        <f>'[2]I-5 SB'!L71</f>
        <v>MAIN</v>
      </c>
      <c r="H71" s="197">
        <f>'[2]I-5 SB'!O71</f>
        <v>24174</v>
      </c>
      <c r="I71" s="198">
        <f>VLOOKUP(c_8[[#This Row],[hwycov_id]],readme!D:G,4,FALSE)</f>
        <v>19633.830077999999</v>
      </c>
      <c r="J71" s="49">
        <f t="shared" si="4"/>
        <v>-0.18781210896003975</v>
      </c>
      <c r="K71" s="190" t="str">
        <f>'[2]I-5 SB'!P71</f>
        <v>Caltran</v>
      </c>
      <c r="L71" s="148">
        <f t="shared" si="5"/>
        <v>20613142.920633495</v>
      </c>
    </row>
    <row r="72" spans="1:13" x14ac:dyDescent="0.25">
      <c r="A72" s="43">
        <f>'[2]I-5 SB'!C72</f>
        <v>8</v>
      </c>
      <c r="B72" s="43" t="str">
        <f>'[2]I-5 SB'!H72</f>
        <v>I-5 SB</v>
      </c>
      <c r="C72" s="126">
        <f>'[2]I-5 SB'!E72</f>
        <v>27902</v>
      </c>
      <c r="D72" s="188">
        <f>'[2]I-5 SB'!I72</f>
        <v>160</v>
      </c>
      <c r="E72" s="189">
        <f>'[2]I-5 SB'!J72</f>
        <v>0</v>
      </c>
      <c r="F72" s="189" t="str">
        <f>'[2]I-5 SB'!K72</f>
        <v>CORONADO</v>
      </c>
      <c r="G72" s="189" t="str">
        <f>'[2]I-5 SB'!L72</f>
        <v>CORONADO</v>
      </c>
      <c r="H72" s="197">
        <f>'[2]I-5 SB'!O72</f>
        <v>16668</v>
      </c>
      <c r="I72" s="198">
        <f>VLOOKUP(c_8[[#This Row],[hwycov_id]],readme!D:G,4,FALSE)</f>
        <v>13641.490234000001</v>
      </c>
      <c r="J72" s="49">
        <f t="shared" si="4"/>
        <v>-0.18157605987520997</v>
      </c>
      <c r="K72" s="190" t="str">
        <f>'[2]I-5 SB'!P72</f>
        <v>PeMS2016</v>
      </c>
      <c r="L72" s="148">
        <f t="shared" si="5"/>
        <v>9159761.3636933696</v>
      </c>
    </row>
    <row r="73" spans="1:13" x14ac:dyDescent="0.25">
      <c r="A73" s="43">
        <f>'[2]I-5 SB'!C73</f>
        <v>8</v>
      </c>
      <c r="B73" s="43" t="str">
        <f>'[2]I-5 SB'!H73</f>
        <v>I-5 SB</v>
      </c>
      <c r="C73" s="126">
        <f>'[2]I-5 SB'!E73</f>
        <v>27878</v>
      </c>
      <c r="D73" s="188">
        <f>'[2]I-5 SB'!I73</f>
        <v>162</v>
      </c>
      <c r="E73" s="189">
        <f>'[2]I-5 SB'!J73</f>
        <v>0</v>
      </c>
      <c r="F73" s="189" t="str">
        <f>'[2]I-5 SB'!K73</f>
        <v>SR-905</v>
      </c>
      <c r="G73" s="189" t="str">
        <f>'[2]I-5 SB'!L73</f>
        <v>SR-905 WB</v>
      </c>
      <c r="H73" s="197">
        <f>'[2]I-5 SB'!O73</f>
        <v>11019</v>
      </c>
      <c r="I73" s="198">
        <f>VLOOKUP(c_8[[#This Row],[hwycov_id]],readme!D:G,4,FALSE)</f>
        <v>6683.8979490000002</v>
      </c>
      <c r="J73" s="49">
        <f t="shared" ref="J73:J75" si="6">I73/H73-1</f>
        <v>-0.39342064170977398</v>
      </c>
      <c r="K73" s="190" t="str">
        <f>'[2]I-5 SB'!P73</f>
        <v>PeMS2016</v>
      </c>
      <c r="L73" s="148">
        <f t="shared" ref="L73:L75" si="7">POWER((I73-H73),2)</f>
        <v>18793109.792584404</v>
      </c>
    </row>
    <row r="74" spans="1:13" ht="15" customHeight="1" x14ac:dyDescent="0.25">
      <c r="A74" s="43">
        <f>'[2]I-5 SB'!C74</f>
        <v>8</v>
      </c>
      <c r="B74" s="43" t="str">
        <f>'[2]I-5 SB'!H74</f>
        <v>I-5 SB</v>
      </c>
      <c r="C74" s="126">
        <f>'[2]I-5 SB'!E74</f>
        <v>27860</v>
      </c>
      <c r="D74" s="188">
        <f>'[2]I-5 SB'!I74</f>
        <v>164</v>
      </c>
      <c r="E74" s="189">
        <f>'[2]I-5 SB'!J74</f>
        <v>0</v>
      </c>
      <c r="F74" s="189" t="str">
        <f>'[2]I-5 SB'!K74</f>
        <v>SR-905 EB</v>
      </c>
      <c r="G74" s="189" t="str">
        <f>'[2]I-5 SB'!L74</f>
        <v>DAIRY MART</v>
      </c>
      <c r="H74" s="197">
        <f>'[2]I-5 SB'!O74</f>
        <v>11501</v>
      </c>
      <c r="I74" s="198">
        <f>VLOOKUP(c_8[[#This Row],[hwycov_id]],readme!D:G,4,FALSE)</f>
        <v>6869.3139650000003</v>
      </c>
      <c r="J74" s="49">
        <f t="shared" si="6"/>
        <v>-0.40272028823580552</v>
      </c>
      <c r="K74" s="190" t="str">
        <f>'[2]I-5 SB'!P74</f>
        <v>PeMS2016</v>
      </c>
      <c r="L74" s="148">
        <f t="shared" si="7"/>
        <v>21452515.526814017</v>
      </c>
    </row>
    <row r="75" spans="1:13" ht="15" customHeight="1" x14ac:dyDescent="0.25">
      <c r="A75" s="43">
        <f>'[2]I-5 SB'!C75</f>
        <v>8</v>
      </c>
      <c r="B75" s="43" t="str">
        <f>'[2]I-5 SB'!H75</f>
        <v>I-5 SB</v>
      </c>
      <c r="C75" s="126">
        <f>'[2]I-5 SB'!E75</f>
        <v>27887</v>
      </c>
      <c r="D75" s="188">
        <f>'[2]I-5 SB'!I75</f>
        <v>165</v>
      </c>
      <c r="E75" s="189">
        <f>'[2]I-5 SB'!J75</f>
        <v>0</v>
      </c>
      <c r="F75" s="189" t="str">
        <f>'[2]I-5 SB'!K75</f>
        <v>DAIRY MART</v>
      </c>
      <c r="G75" s="189" t="str">
        <f>'[2]I-5 SB'!L75</f>
        <v>DAIRY MART</v>
      </c>
      <c r="H75" s="197">
        <f>'[2]I-5 SB'!O75</f>
        <v>9158</v>
      </c>
      <c r="I75" s="198">
        <f>VLOOKUP(c_8[[#This Row],[hwycov_id]],readme!D:G,4,FALSE)</f>
        <v>5251.6083980000003</v>
      </c>
      <c r="J75" s="49">
        <f t="shared" si="6"/>
        <v>-0.42655509958506221</v>
      </c>
      <c r="K75" s="190" t="str">
        <f>'[2]I-5 SB'!P75</f>
        <v>PeMS2016</v>
      </c>
      <c r="L75" s="148">
        <f t="shared" si="7"/>
        <v>15259895.348176124</v>
      </c>
    </row>
    <row r="76" spans="1:13" ht="15" customHeight="1" x14ac:dyDescent="0.25">
      <c r="A76" s="43"/>
      <c r="B76" s="43"/>
      <c r="C76" s="126"/>
      <c r="D76" s="188"/>
      <c r="E76" s="189"/>
      <c r="F76" s="189"/>
      <c r="G76" s="189"/>
      <c r="H76" s="197"/>
      <c r="I76" s="198"/>
      <c r="J76" s="49"/>
      <c r="K76" s="190"/>
      <c r="L76" s="148"/>
    </row>
    <row r="77" spans="1:13" ht="15" customHeight="1" x14ac:dyDescent="0.25">
      <c r="A77" s="43"/>
      <c r="B77" s="43"/>
      <c r="C77" s="126"/>
      <c r="D77" s="188"/>
      <c r="E77" s="189"/>
      <c r="F77" s="189"/>
      <c r="G77" s="189"/>
      <c r="H77" s="197"/>
      <c r="I77" s="198"/>
      <c r="J77" s="49"/>
      <c r="K77" s="190"/>
      <c r="L77" s="148"/>
    </row>
    <row r="78" spans="1:13" ht="15" customHeight="1" x14ac:dyDescent="0.25">
      <c r="A78" s="43"/>
      <c r="B78" s="43"/>
      <c r="C78" s="126"/>
      <c r="D78" s="188"/>
      <c r="E78" s="189"/>
      <c r="F78" s="189"/>
      <c r="G78" s="189"/>
      <c r="H78" s="197"/>
      <c r="I78" s="198"/>
      <c r="J78" s="49"/>
      <c r="K78" s="190"/>
      <c r="L78" s="148"/>
    </row>
    <row r="79" spans="1:13" ht="15" customHeight="1" x14ac:dyDescent="0.25">
      <c r="A79" s="43"/>
      <c r="B79" s="43"/>
      <c r="C79" s="126"/>
      <c r="D79" s="188"/>
      <c r="E79" s="189"/>
      <c r="F79" s="189"/>
      <c r="G79" s="189"/>
      <c r="H79" s="197"/>
      <c r="I79" s="198"/>
      <c r="J79" s="49"/>
      <c r="K79" s="190"/>
      <c r="L79" s="148"/>
    </row>
    <row r="80" spans="1:13" ht="15" customHeight="1" x14ac:dyDescent="0.25">
      <c r="A80" s="43"/>
      <c r="B80" s="43"/>
      <c r="C80" s="126"/>
      <c r="D80" s="188"/>
      <c r="E80" s="189"/>
      <c r="F80" s="189"/>
      <c r="G80" s="189"/>
      <c r="H80" s="197"/>
      <c r="I80" s="198"/>
      <c r="J80" s="49"/>
      <c r="K80" s="190"/>
      <c r="L80" s="148"/>
    </row>
    <row r="81" spans="1:12" ht="15" customHeight="1" x14ac:dyDescent="0.25">
      <c r="A81" s="43"/>
      <c r="B81" s="43"/>
      <c r="C81" s="126"/>
      <c r="D81" s="188"/>
      <c r="E81" s="189"/>
      <c r="F81" s="189"/>
      <c r="G81" s="189"/>
      <c r="H81" s="197"/>
      <c r="I81" s="198"/>
      <c r="J81" s="49"/>
      <c r="K81" s="190"/>
      <c r="L81" s="148"/>
    </row>
    <row r="82" spans="1:12" ht="15" customHeight="1" x14ac:dyDescent="0.25">
      <c r="A82" s="43"/>
      <c r="B82" s="43"/>
      <c r="C82" s="126"/>
      <c r="D82" s="188"/>
      <c r="E82" s="189"/>
      <c r="F82" s="189"/>
      <c r="G82" s="189"/>
      <c r="H82" s="197"/>
      <c r="I82" s="198"/>
      <c r="J82" s="49"/>
      <c r="K82" s="190"/>
      <c r="L82" s="148"/>
    </row>
    <row r="83" spans="1:12" ht="15" customHeight="1" x14ac:dyDescent="0.2">
      <c r="A83" s="223"/>
      <c r="B83" s="223"/>
      <c r="C83" s="223"/>
      <c r="D83" s="225"/>
      <c r="E83" s="236"/>
      <c r="F83" s="223"/>
      <c r="G83" s="223"/>
      <c r="H83" s="225"/>
      <c r="I83" s="216"/>
      <c r="J83" s="228"/>
      <c r="K83" s="225"/>
      <c r="L83" s="225"/>
    </row>
  </sheetData>
  <conditionalFormatting sqref="N2:N1048576 J83:K1048576">
    <cfRule type="cellIs" dxfId="462" priority="13" operator="lessThan">
      <formula>-0.2</formula>
    </cfRule>
    <cfRule type="cellIs" dxfId="461" priority="14" operator="greaterThan">
      <formula>0.2</formula>
    </cfRule>
  </conditionalFormatting>
  <conditionalFormatting sqref="N1">
    <cfRule type="cellIs" dxfId="460" priority="5" operator="lessThan">
      <formula>-0.2</formula>
    </cfRule>
    <cfRule type="cellIs" dxfId="459" priority="6" operator="greaterThan">
      <formula>0.2</formula>
    </cfRule>
  </conditionalFormatting>
  <conditionalFormatting sqref="J2:J66">
    <cfRule type="cellIs" dxfId="458" priority="3" operator="lessThan">
      <formula>-0.2</formula>
    </cfRule>
    <cfRule type="cellIs" dxfId="457" priority="4" operator="greaterThan">
      <formula>0.2</formula>
    </cfRule>
  </conditionalFormatting>
  <conditionalFormatting sqref="J67:J82">
    <cfRule type="cellIs" dxfId="456" priority="1" operator="lessThan">
      <formula>-0.2</formula>
    </cfRule>
    <cfRule type="cellIs" dxfId="45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0.39997558519241921"/>
  </sheetPr>
  <dimension ref="A1:AI106"/>
  <sheetViews>
    <sheetView showGridLines="0" zoomScale="80" zoomScaleNormal="80" workbookViewId="0">
      <pane ySplit="1" topLeftCell="A44" activePane="bottomLeft" state="frozen"/>
      <selection activeCell="P47" sqref="P47"/>
      <selection pane="bottomLeft" activeCell="O72" sqref="O72"/>
    </sheetView>
  </sheetViews>
  <sheetFormatPr defaultColWidth="9.140625" defaultRowHeight="15" customHeight="1" x14ac:dyDescent="0.25"/>
  <cols>
    <col min="1" max="1" width="10.85546875" style="126" bestFit="1" customWidth="1"/>
    <col min="2" max="2" width="9.140625" style="126"/>
    <col min="3" max="3" width="13.5703125" style="126" bestFit="1" customWidth="1"/>
    <col min="4" max="4" width="7.85546875" style="197" bestFit="1" customWidth="1"/>
    <col min="5" max="5" width="10" style="208" bestFit="1" customWidth="1"/>
    <col min="6" max="7" width="23.7109375" style="126" bestFit="1" customWidth="1"/>
    <col min="8" max="8" width="8.85546875" style="197" bestFit="1" customWidth="1"/>
    <col min="9" max="9" width="8" style="51" bestFit="1" customWidth="1"/>
    <col min="10" max="10" width="7.28515625" style="206" bestFit="1" customWidth="1"/>
    <col min="11" max="11" width="10.7109375" style="206" bestFit="1" customWidth="1"/>
    <col min="12" max="12" width="12" style="19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97" t="s">
        <v>97</v>
      </c>
      <c r="B1" s="97" t="s">
        <v>123</v>
      </c>
      <c r="C1" s="199" t="s">
        <v>53</v>
      </c>
      <c r="D1" s="200" t="s">
        <v>263</v>
      </c>
      <c r="E1" s="201" t="s">
        <v>133</v>
      </c>
      <c r="F1" s="202" t="s">
        <v>135</v>
      </c>
      <c r="G1" s="199" t="s">
        <v>136</v>
      </c>
      <c r="H1" s="203" t="s">
        <v>134</v>
      </c>
      <c r="I1" s="203" t="s">
        <v>17</v>
      </c>
      <c r="J1" s="204" t="s">
        <v>50</v>
      </c>
      <c r="K1" s="204" t="s">
        <v>174</v>
      </c>
      <c r="L1" s="148" t="s">
        <v>105</v>
      </c>
      <c r="M1" s="44"/>
      <c r="N1" s="70">
        <f>SQRT(AVERAGE(c_9[x2]))/AVERAGE(c_9[count])</f>
        <v>0.19926172429648653</v>
      </c>
      <c r="O1" s="69">
        <f>LINEST(c_9[flow],c_9[count],FALSE)</f>
        <v>1.045932894224846</v>
      </c>
      <c r="P1" s="69">
        <f>RSQ(c_9[flow],c_9[count])</f>
        <v>0.7016309912019254</v>
      </c>
      <c r="Q1" s="19">
        <f>IFERROR(AVERAGEIF(c_9[gap],"&gt;=0",c_9[gap]),0)</f>
        <v>0.22755791857464436</v>
      </c>
      <c r="R1" s="20">
        <f>IFERROR(AVERAGEIF(c_9[gap],"&lt;0",c_9[gap]),0)</f>
        <v>-0.10879175617153707</v>
      </c>
      <c r="S1" s="13">
        <f>AVERAGE(c_9[gap])</f>
        <v>0.11010247659978734</v>
      </c>
      <c r="T1" s="18">
        <f>COUNTIFS(c_9[gap],"&lt;10%",c_9[gap],"&gt;=-10%")/COUNTA(c_9[gap])</f>
        <v>0.31746031746031744</v>
      </c>
      <c r="U1" s="18">
        <f>COUNTIFS(c_9[gap],"&lt;20%",c_9[gap],"&gt;=-20%")/COUNTA(c_9[gap])</f>
        <v>0.76190476190476186</v>
      </c>
      <c r="V1" s="18">
        <f>COUNTIFS(c_9[gap],"&lt;30%",c_9[gap],"&gt;=-30%")/COUNTA(c_9[gap])</f>
        <v>0.8571428571428571</v>
      </c>
      <c r="W1" s="19">
        <f>COUNTIF(c_9[gap],"&gt;=0")/COUNTA(c_9[gap])</f>
        <v>0.65079365079365081</v>
      </c>
      <c r="X1" s="21">
        <f>COUNTIF(c_9[gap],"&lt;0")/COUNTA(c_9[gap])</f>
        <v>0.34920634920634919</v>
      </c>
      <c r="Y1" s="39" t="str">
        <f>"%Link(+)="&amp;TEXT(W1,"0%")</f>
        <v>%Link(+)=65%</v>
      </c>
      <c r="Z1" s="39" t="str">
        <f>"%Link(-)="&amp;TEXT(X1,"0%")</f>
        <v>%Link(-)=35%</v>
      </c>
      <c r="AA1" s="36" t="str">
        <f>"AvgGap(+)="&amp;TEXT(Q1,"0%")</f>
        <v>AvgGap(+)=23%</v>
      </c>
      <c r="AB1" s="25" t="str">
        <f>"AvgGap(-)="&amp;TEXT(R1,"0%")</f>
        <v>AvgGap(-)=-11%</v>
      </c>
      <c r="AC1" s="25" t="str">
        <f>"AvgGap(±)="&amp;TEXT(S1,"0%")</f>
        <v>AvgGap(±)=11%</v>
      </c>
      <c r="AD1" s="25" t="str">
        <f>"GapIn(±10%)="&amp;TEXT(T1,"0%")</f>
        <v>GapIn(±10%)=32%</v>
      </c>
      <c r="AE1" s="25" t="str">
        <f>"GapIn(±20%)="&amp;TEXT(U1,"0%")</f>
        <v>GapIn(±20%)=76%</v>
      </c>
      <c r="AF1" s="25" t="str">
        <f>"GapIn(±30%)="&amp;TEXT(V1,"0%")</f>
        <v>GapIn(±30%)=86%</v>
      </c>
      <c r="AG1" s="25" t="str">
        <f>"Linear Slope="&amp;TEXT(O1,"#.###")</f>
        <v>Linear Slope=1.046</v>
      </c>
      <c r="AH1" s="25" t="str">
        <f>"RMSE="&amp;TEXT(N1,"0%")</f>
        <v>RMSE=20%</v>
      </c>
      <c r="AI1" s="25" t="str">
        <f>CONCATENATE(Y1," ",Z1," ",AA1,"  ",AB1,"  ",AC1,"  ",AD1," ",AE1,"  ",AF1,"  ",AG1," ",AH1)</f>
        <v>%Link(+)=65% %Link(-)=35% AvgGap(+)=23%  AvgGap(-)=-11%  AvgGap(±)=11%  GapIn(±10%)=32% GapIn(±20%)=76%  GapIn(±30%)=86%  Linear Slope=1.046 RMSE=20%</v>
      </c>
    </row>
    <row r="2" spans="1:35" ht="15" customHeight="1" x14ac:dyDescent="0.25">
      <c r="A2" s="43">
        <f>'[2]I-15 SB'!C2</f>
        <v>9</v>
      </c>
      <c r="B2" s="43" t="str">
        <f>'[2]I-15 SB'!H2</f>
        <v>I-15 SB</v>
      </c>
      <c r="C2" s="43">
        <f>'[2]I-15 SB'!E2</f>
        <v>27196</v>
      </c>
      <c r="D2" s="188">
        <f>'[2]I-15 SB'!I2</f>
        <v>3</v>
      </c>
      <c r="E2" s="189">
        <f>'[2]I-15 SB'!J2</f>
        <v>2</v>
      </c>
      <c r="F2" s="189" t="str">
        <f>'[2]I-15 SB'!K2</f>
        <v>RAINBOW VALLEY WEST</v>
      </c>
      <c r="G2" s="189" t="str">
        <f>'[2]I-15 SB'!L2</f>
        <v>MISSION</v>
      </c>
      <c r="H2" s="51">
        <f>'[2]I-15 SB'!O2</f>
        <v>7958</v>
      </c>
      <c r="I2" s="198">
        <f>VLOOKUP(c_9[[#This Row],[hwycov_id]],readme!D:G,4,FALSE)</f>
        <v>14727.751953000001</v>
      </c>
      <c r="J2" s="206">
        <f t="shared" ref="J2" si="0">I2/H2-1</f>
        <v>0.85068509085197297</v>
      </c>
      <c r="K2" s="188" t="str">
        <f>'[2]I-15 SB'!P2</f>
        <v>PeMS2016</v>
      </c>
      <c r="L2" s="148">
        <f t="shared" ref="L2" si="1">POWER((I2-H2),2)</f>
        <v>45829541.505147323</v>
      </c>
      <c r="M2" s="44"/>
    </row>
    <row r="3" spans="1:35" ht="15" customHeight="1" x14ac:dyDescent="0.25">
      <c r="A3" s="43">
        <f>'[2]I-15 SB'!C3</f>
        <v>9</v>
      </c>
      <c r="B3" s="43" t="str">
        <f>'[2]I-15 SB'!H3</f>
        <v>I-15 SB</v>
      </c>
      <c r="C3" s="43">
        <f>'[2]I-15 SB'!E3</f>
        <v>27194</v>
      </c>
      <c r="D3" s="188">
        <f>'[2]I-15 SB'!I3</f>
        <v>7</v>
      </c>
      <c r="E3" s="189">
        <f>'[2]I-15 SB'!J3</f>
        <v>1</v>
      </c>
      <c r="F3" s="189" t="str">
        <f>'[2]I-15 SB'!K3</f>
        <v>STEWART CANYON</v>
      </c>
      <c r="G3" s="189" t="str">
        <f>'[2]I-15 SB'!L3</f>
        <v>PALA</v>
      </c>
      <c r="H3" s="51">
        <f>'[2]I-15 SB'!O3</f>
        <v>7434</v>
      </c>
      <c r="I3" s="198">
        <f>VLOOKUP(c_9[[#This Row],[hwycov_id]],readme!D:G,4,FALSE)</f>
        <v>14480.724609000001</v>
      </c>
      <c r="J3" s="206">
        <f t="shared" ref="J3:J64" si="2">I3/H3-1</f>
        <v>0.94790484382566587</v>
      </c>
      <c r="K3" s="188" t="str">
        <f>'[2]I-15 SB'!P3</f>
        <v>PeMS2016</v>
      </c>
      <c r="L3" s="148">
        <f t="shared" ref="L3:L64" si="3">POWER((I3-H3),2)</f>
        <v>49656327.715086214</v>
      </c>
      <c r="M3" s="44"/>
    </row>
    <row r="4" spans="1:35" ht="15" customHeight="1" x14ac:dyDescent="0.25">
      <c r="A4" s="43">
        <f>'[2]I-15 SB'!C4</f>
        <v>9</v>
      </c>
      <c r="B4" s="43" t="str">
        <f>'[2]I-15 SB'!H4</f>
        <v>I-15 SB</v>
      </c>
      <c r="C4" s="43">
        <f>'[2]I-15 SB'!E4</f>
        <v>26675</v>
      </c>
      <c r="D4" s="188">
        <f>'[2]I-15 SB'!I4</f>
        <v>8</v>
      </c>
      <c r="E4" s="189">
        <f>'[2]I-15 SB'!J4</f>
        <v>0</v>
      </c>
      <c r="F4" s="189" t="str">
        <f>'[2]I-15 SB'!K4</f>
        <v>PALA</v>
      </c>
      <c r="G4" s="189" t="str">
        <f>'[2]I-15 SB'!L4</f>
        <v>PALA</v>
      </c>
      <c r="H4" s="51">
        <f>'[2]I-15 SB'!O4</f>
        <v>10880</v>
      </c>
      <c r="I4" s="198">
        <f>VLOOKUP(c_9[[#This Row],[hwycov_id]],readme!D:G,4,FALSE)</f>
        <v>12195.829102</v>
      </c>
      <c r="J4" s="206">
        <f t="shared" si="2"/>
        <v>0.12094017481617647</v>
      </c>
      <c r="K4" s="188" t="str">
        <f>'[2]I-15 SB'!P4</f>
        <v>Caltran</v>
      </c>
      <c r="L4" s="148">
        <f t="shared" si="3"/>
        <v>1731406.2256701256</v>
      </c>
      <c r="M4" s="44"/>
    </row>
    <row r="5" spans="1:35" ht="15" customHeight="1" x14ac:dyDescent="0.25">
      <c r="A5" s="43">
        <f>'[2]I-15 SB'!C5</f>
        <v>9</v>
      </c>
      <c r="B5" s="43" t="str">
        <f>'[2]I-15 SB'!H5</f>
        <v>I-15 SB</v>
      </c>
      <c r="C5" s="43">
        <f>'[2]I-15 SB'!E5</f>
        <v>27172</v>
      </c>
      <c r="D5" s="188">
        <f>'[2]I-15 SB'!I5</f>
        <v>10</v>
      </c>
      <c r="E5" s="189">
        <f>'[2]I-15 SB'!J5</f>
        <v>2</v>
      </c>
      <c r="F5" s="189" t="str">
        <f>'[2]I-15 SB'!K5</f>
        <v>PALA</v>
      </c>
      <c r="G5" s="189" t="str">
        <f>'[2]I-15 SB'!L5</f>
        <v>OLD 395</v>
      </c>
      <c r="H5" s="51">
        <f>'[2]I-15 SB'!O5</f>
        <v>10056</v>
      </c>
      <c r="I5" s="198">
        <f>VLOOKUP(c_9[[#This Row],[hwycov_id]],readme!D:G,4,FALSE)</f>
        <v>13632.411133</v>
      </c>
      <c r="J5" s="206">
        <f t="shared" si="2"/>
        <v>0.35564947623309462</v>
      </c>
      <c r="K5" s="188" t="str">
        <f>'[2]I-15 SB'!P5</f>
        <v>Caltran</v>
      </c>
      <c r="L5" s="148">
        <f t="shared" si="3"/>
        <v>12790716.592246341</v>
      </c>
      <c r="M5" s="44"/>
    </row>
    <row r="6" spans="1:35" ht="15" customHeight="1" x14ac:dyDescent="0.25">
      <c r="A6" s="43">
        <f>'[2]I-15 SB'!C6</f>
        <v>9</v>
      </c>
      <c r="B6" s="43" t="str">
        <f>'[2]I-15 SB'!H6</f>
        <v>I-15 SB</v>
      </c>
      <c r="C6" s="43">
        <f>'[2]I-15 SB'!E6</f>
        <v>27351</v>
      </c>
      <c r="D6" s="188">
        <f>'[2]I-15 SB'!I6</f>
        <v>14</v>
      </c>
      <c r="E6" s="189">
        <f>'[2]I-15 SB'!J6</f>
        <v>3</v>
      </c>
      <c r="F6" s="189" t="str">
        <f>'[2]I-15 SB'!K6</f>
        <v>GOPHER CANYON</v>
      </c>
      <c r="G6" s="189" t="str">
        <f>'[2]I-15 SB'!L6</f>
        <v>DEER SPRINGS</v>
      </c>
      <c r="H6" s="51">
        <f>'[2]I-15 SB'!O6</f>
        <v>11506</v>
      </c>
      <c r="I6" s="198">
        <f>VLOOKUP(c_9[[#This Row],[hwycov_id]],readme!D:G,4,FALSE)</f>
        <v>13605.152344</v>
      </c>
      <c r="J6" s="206">
        <f t="shared" si="2"/>
        <v>0.18243980045193808</v>
      </c>
      <c r="K6" s="188" t="str">
        <f>'[2]I-15 SB'!P6</f>
        <v>PeMS2016</v>
      </c>
      <c r="L6" s="148">
        <f t="shared" si="3"/>
        <v>4406440.5633206945</v>
      </c>
      <c r="M6" s="44"/>
    </row>
    <row r="7" spans="1:35" ht="15" customHeight="1" x14ac:dyDescent="0.25">
      <c r="A7" s="43">
        <f>'[2]I-15 SB'!C7</f>
        <v>9</v>
      </c>
      <c r="B7" s="43" t="str">
        <f>'[2]I-15 SB'!H7</f>
        <v>I-15 SB</v>
      </c>
      <c r="C7" s="43">
        <f>'[2]I-15 SB'!E7</f>
        <v>14782</v>
      </c>
      <c r="D7" s="188">
        <f>'[2]I-15 SB'!I7</f>
        <v>16</v>
      </c>
      <c r="E7" s="189">
        <f>'[2]I-15 SB'!J7</f>
        <v>1</v>
      </c>
      <c r="F7" s="189" t="str">
        <f>'[2]I-15 SB'!K7</f>
        <v>DEER SPRINGS</v>
      </c>
      <c r="G7" s="189" t="str">
        <f>'[2]I-15 SB'!L7</f>
        <v>CENTRE CITY</v>
      </c>
      <c r="H7" s="51">
        <f>'[2]I-15 SB'!O7</f>
        <v>11431</v>
      </c>
      <c r="I7" s="198">
        <f>VLOOKUP(c_9[[#This Row],[hwycov_id]],readme!D:G,4,FALSE)</f>
        <v>12578.014648</v>
      </c>
      <c r="J7" s="206">
        <f t="shared" si="2"/>
        <v>0.10034245892747795</v>
      </c>
      <c r="K7" s="188" t="str">
        <f>'[2]I-15 SB'!P7</f>
        <v>PeMS2016</v>
      </c>
      <c r="L7" s="148">
        <f t="shared" si="3"/>
        <v>1315642.6027265645</v>
      </c>
      <c r="M7" s="44"/>
    </row>
    <row r="8" spans="1:35" ht="15" customHeight="1" x14ac:dyDescent="0.25">
      <c r="A8" s="43">
        <f>'[2]I-15 SB'!C8</f>
        <v>9</v>
      </c>
      <c r="B8" s="43" t="str">
        <f>'[2]I-15 SB'!H8</f>
        <v>I-15 SB</v>
      </c>
      <c r="C8" s="43">
        <f>'[2]I-15 SB'!E8</f>
        <v>27182</v>
      </c>
      <c r="D8" s="188">
        <f>'[2]I-15 SB'!I8</f>
        <v>19</v>
      </c>
      <c r="E8" s="189">
        <f>'[2]I-15 SB'!J8</f>
        <v>1</v>
      </c>
      <c r="F8" s="189" t="str">
        <f>'[2]I-15 SB'!K8</f>
        <v>CENTRE CITY</v>
      </c>
      <c r="G8" s="189" t="str">
        <f>'[2]I-15 SB'!L8</f>
        <v>EL NORTE</v>
      </c>
      <c r="H8" s="51">
        <f>'[2]I-15 SB'!O8</f>
        <v>8921</v>
      </c>
      <c r="I8" s="198">
        <f>VLOOKUP(c_9[[#This Row],[hwycov_id]],readme!D:G,4,FALSE)</f>
        <v>10564.071289</v>
      </c>
      <c r="J8" s="206">
        <f t="shared" si="2"/>
        <v>0.18418016915144042</v>
      </c>
      <c r="K8" s="188" t="str">
        <f>'[2]I-15 SB'!P8</f>
        <v>PeMS2016</v>
      </c>
      <c r="L8" s="148">
        <f t="shared" si="3"/>
        <v>2699683.2607361199</v>
      </c>
      <c r="M8" s="44"/>
    </row>
    <row r="9" spans="1:35" ht="15" customHeight="1" x14ac:dyDescent="0.25">
      <c r="A9" s="43">
        <f>'[2]I-15 SB'!C9</f>
        <v>9</v>
      </c>
      <c r="B9" s="43" t="str">
        <f>'[2]I-15 SB'!H9</f>
        <v>I-15 SB</v>
      </c>
      <c r="C9" s="43">
        <f>'[2]I-15 SB'!E9</f>
        <v>27184</v>
      </c>
      <c r="D9" s="188">
        <f>'[2]I-15 SB'!I9</f>
        <v>20</v>
      </c>
      <c r="E9" s="189">
        <f>'[2]I-15 SB'!J9</f>
        <v>0</v>
      </c>
      <c r="F9" s="189" t="str">
        <f>'[2]I-15 SB'!K9</f>
        <v>EL NORTE</v>
      </c>
      <c r="G9" s="189" t="str">
        <f>'[2]I-15 SB'!L9</f>
        <v>EL NORTE</v>
      </c>
      <c r="H9" s="51">
        <f>'[2]I-15 SB'!O9</f>
        <v>9672</v>
      </c>
      <c r="I9" s="198">
        <f>VLOOKUP(c_9[[#This Row],[hwycov_id]],readme!D:G,4,FALSE)</f>
        <v>10145.104492</v>
      </c>
      <c r="J9" s="206">
        <f t="shared" si="2"/>
        <v>4.8914856492969339E-2</v>
      </c>
      <c r="K9" s="188" t="str">
        <f>'[2]I-15 SB'!P9</f>
        <v>PeMS2016</v>
      </c>
      <c r="L9" s="148">
        <f t="shared" si="3"/>
        <v>223827.86035057844</v>
      </c>
      <c r="M9" s="44"/>
    </row>
    <row r="10" spans="1:35" ht="15" customHeight="1" x14ac:dyDescent="0.25">
      <c r="A10" s="43">
        <f>'[2]I-15 SB'!C10</f>
        <v>9</v>
      </c>
      <c r="B10" s="43" t="str">
        <f>'[2]I-15 SB'!H10</f>
        <v>I-15 SB</v>
      </c>
      <c r="C10" s="43">
        <f>'[2]I-15 SB'!E10</f>
        <v>28569</v>
      </c>
      <c r="D10" s="188">
        <f>'[2]I-15 SB'!I10</f>
        <v>22</v>
      </c>
      <c r="E10" s="189">
        <f>'[2]I-15 SB'!J10</f>
        <v>0</v>
      </c>
      <c r="F10" s="189" t="str">
        <f>'[2]I-15 SB'!K10</f>
        <v>SR-78 WB</v>
      </c>
      <c r="G10" s="189" t="str">
        <f>'[2]I-15 SB'!L10</f>
        <v>SR-78 WB</v>
      </c>
      <c r="H10" s="51">
        <f>'[2]I-15 SB'!O10</f>
        <v>12337</v>
      </c>
      <c r="I10" s="198">
        <f>VLOOKUP(c_9[[#This Row],[hwycov_id]],readme!D:G,4,FALSE)</f>
        <v>10345.674805000001</v>
      </c>
      <c r="J10" s="206">
        <f t="shared" si="2"/>
        <v>-0.16141081259625512</v>
      </c>
      <c r="K10" s="188" t="str">
        <f>'[2]I-15 SB'!P10</f>
        <v>PeMS2016</v>
      </c>
      <c r="L10" s="148">
        <f t="shared" si="3"/>
        <v>3965376.0322417859</v>
      </c>
      <c r="M10" s="44"/>
    </row>
    <row r="11" spans="1:35" ht="15" customHeight="1" x14ac:dyDescent="0.25">
      <c r="A11" s="43">
        <f>'[2]I-15 SB'!C11</f>
        <v>9</v>
      </c>
      <c r="B11" s="43" t="str">
        <f>'[2]I-15 SB'!H11</f>
        <v>I-15 SB</v>
      </c>
      <c r="C11" s="43">
        <f>'[2]I-15 SB'!E11</f>
        <v>31193</v>
      </c>
      <c r="D11" s="188">
        <f>'[2]I-15 SB'!I11</f>
        <v>23</v>
      </c>
      <c r="E11" s="189">
        <f>'[2]I-15 SB'!J11</f>
        <v>0</v>
      </c>
      <c r="F11" s="189" t="str">
        <f>'[2]I-15 SB'!K11</f>
        <v>SR-78 WB</v>
      </c>
      <c r="G11" s="189" t="str">
        <f>'[2]I-15 SB'!L11</f>
        <v>SR-78 EB</v>
      </c>
      <c r="H11" s="51">
        <f>'[2]I-15 SB'!O11</f>
        <v>12404</v>
      </c>
      <c r="I11" s="198">
        <f>VLOOKUP(c_9[[#This Row],[hwycov_id]],readme!D:G,4,FALSE)</f>
        <v>12606.211914</v>
      </c>
      <c r="J11" s="206">
        <f t="shared" si="2"/>
        <v>1.6302153660109564E-2</v>
      </c>
      <c r="K11" s="188" t="str">
        <f>'[2]I-15 SB'!P11</f>
        <v>SANDAG</v>
      </c>
      <c r="L11" s="148">
        <f t="shared" si="3"/>
        <v>40889.658163543201</v>
      </c>
      <c r="M11" s="44"/>
    </row>
    <row r="12" spans="1:35" ht="15" customHeight="1" x14ac:dyDescent="0.25">
      <c r="A12" s="43">
        <f>'[2]I-15 SB'!C12</f>
        <v>9</v>
      </c>
      <c r="B12" s="43" t="str">
        <f>'[2]I-15 SB'!H12</f>
        <v>I-15 SB</v>
      </c>
      <c r="C12" s="43">
        <f>'[2]I-15 SB'!E12</f>
        <v>28587</v>
      </c>
      <c r="D12" s="188">
        <f>'[2]I-15 SB'!I12</f>
        <v>26</v>
      </c>
      <c r="E12" s="189">
        <f>'[2]I-15 SB'!J12</f>
        <v>0</v>
      </c>
      <c r="F12" s="189" t="str">
        <f>'[2]I-15 SB'!K12</f>
        <v>VALLEY</v>
      </c>
      <c r="G12" s="189" t="str">
        <f>'[2]I-15 SB'!L12</f>
        <v>VALLEY</v>
      </c>
      <c r="H12" s="51">
        <f>'[2]I-15 SB'!O12</f>
        <v>18744</v>
      </c>
      <c r="I12" s="198">
        <f>VLOOKUP(c_9[[#This Row],[hwycov_id]],readme!D:G,4,FALSE)</f>
        <v>21829.029297000001</v>
      </c>
      <c r="J12" s="206">
        <f t="shared" si="2"/>
        <v>0.16458756386043549</v>
      </c>
      <c r="K12" s="188" t="str">
        <f>'[2]I-15 SB'!P12</f>
        <v>PeMS2016</v>
      </c>
      <c r="L12" s="148">
        <f t="shared" si="3"/>
        <v>9517405.7633483205</v>
      </c>
      <c r="M12" s="44"/>
    </row>
    <row r="13" spans="1:35" ht="15" customHeight="1" x14ac:dyDescent="0.25">
      <c r="A13" s="43">
        <f>'[2]I-15 SB'!C13</f>
        <v>9</v>
      </c>
      <c r="B13" s="43" t="str">
        <f>'[2]I-15 SB'!H13</f>
        <v>I-15 SB</v>
      </c>
      <c r="C13" s="43">
        <f>'[2]I-15 SB'!E13</f>
        <v>12943</v>
      </c>
      <c r="D13" s="188">
        <f>'[2]I-15 SB'!I13</f>
        <v>27</v>
      </c>
      <c r="E13" s="189">
        <f>'[2]I-15 SB'!J13</f>
        <v>0</v>
      </c>
      <c r="F13" s="189" t="str">
        <f>'[2]I-15 SB'!K13</f>
        <v>VALLEY</v>
      </c>
      <c r="G13" s="189" t="str">
        <f>'[2]I-15 SB'!L13</f>
        <v>09TH</v>
      </c>
      <c r="H13" s="51">
        <f>'[2]I-15 SB'!O13</f>
        <v>18909</v>
      </c>
      <c r="I13" s="198">
        <f>VLOOKUP(c_9[[#This Row],[hwycov_id]],readme!D:G,4,FALSE)</f>
        <v>22804.449218999998</v>
      </c>
      <c r="J13" s="206">
        <f t="shared" si="2"/>
        <v>0.206010324131366</v>
      </c>
      <c r="K13" s="188" t="str">
        <f>'[2]I-15 SB'!P13</f>
        <v>Caltran</v>
      </c>
      <c r="L13" s="148">
        <f t="shared" si="3"/>
        <v>15174524.617807696</v>
      </c>
      <c r="M13" s="44"/>
    </row>
    <row r="14" spans="1:35" ht="15" customHeight="1" x14ac:dyDescent="0.25">
      <c r="A14" s="43">
        <f>'[2]I-15 SB'!C14</f>
        <v>9</v>
      </c>
      <c r="B14" s="43" t="str">
        <f>'[2]I-15 SB'!H14</f>
        <v>I-15 SB</v>
      </c>
      <c r="C14" s="43">
        <f>'[2]I-15 SB'!E14</f>
        <v>12944</v>
      </c>
      <c r="D14" s="188">
        <f>'[2]I-15 SB'!I14</f>
        <v>28</v>
      </c>
      <c r="E14" s="189">
        <f>'[2]I-15 SB'!J14</f>
        <v>0</v>
      </c>
      <c r="F14" s="189" t="str">
        <f>'[2]I-15 SB'!K14</f>
        <v>09TH</v>
      </c>
      <c r="G14" s="189" t="str">
        <f>'[2]I-15 SB'!L14</f>
        <v>09TH</v>
      </c>
      <c r="H14" s="51">
        <f>'[2]I-15 SB'!O14</f>
        <v>16666</v>
      </c>
      <c r="I14" s="198">
        <f>VLOOKUP(c_9[[#This Row],[hwycov_id]],readme!D:G,4,FALSE)</f>
        <v>21718.832031000002</v>
      </c>
      <c r="J14" s="206">
        <f t="shared" si="2"/>
        <v>0.30318204914196589</v>
      </c>
      <c r="K14" s="188" t="str">
        <f>'[2]I-15 SB'!P14</f>
        <v>PeMS2016</v>
      </c>
      <c r="L14" s="148">
        <f t="shared" si="3"/>
        <v>25531111.533499602</v>
      </c>
      <c r="M14" s="44"/>
    </row>
    <row r="15" spans="1:35" ht="15" customHeight="1" x14ac:dyDescent="0.25">
      <c r="A15" s="43">
        <f>'[2]I-15 SB'!C15</f>
        <v>9</v>
      </c>
      <c r="B15" s="43" t="str">
        <f>'[2]I-15 SB'!H15</f>
        <v>I-15 SB</v>
      </c>
      <c r="C15" s="43">
        <f>'[2]I-15 SB'!E15</f>
        <v>12946</v>
      </c>
      <c r="D15" s="188">
        <f>'[2]I-15 SB'!I15</f>
        <v>31</v>
      </c>
      <c r="E15" s="189">
        <f>'[2]I-15 SB'!J15</f>
        <v>0</v>
      </c>
      <c r="F15" s="189" t="str">
        <f>'[2]I-15 SB'!K15</f>
        <v>CITRACADO</v>
      </c>
      <c r="G15" s="189" t="str">
        <f>'[2]I-15 SB'!L15</f>
        <v>CITRACADO</v>
      </c>
      <c r="H15" s="51">
        <f>'[2]I-15 SB'!O15</f>
        <v>19255</v>
      </c>
      <c r="I15" s="198">
        <f>VLOOKUP(c_9[[#This Row],[hwycov_id]],readme!D:G,4,FALSE)</f>
        <v>21684.171875</v>
      </c>
      <c r="J15" s="206">
        <f t="shared" si="2"/>
        <v>0.12615797844715648</v>
      </c>
      <c r="K15" s="188" t="str">
        <f>'[2]I-15 SB'!P15</f>
        <v>PeMS2016</v>
      </c>
      <c r="L15" s="148">
        <f t="shared" si="3"/>
        <v>5900875.9982910156</v>
      </c>
      <c r="M15" s="44"/>
    </row>
    <row r="16" spans="1:35" ht="15" customHeight="1" x14ac:dyDescent="0.25">
      <c r="A16" s="43">
        <f>'[2]I-15 SB'!C16</f>
        <v>9</v>
      </c>
      <c r="B16" s="43" t="str">
        <f>'[2]I-15 SB'!H16</f>
        <v>I-15 SB</v>
      </c>
      <c r="C16" s="43">
        <f>'[2]I-15 SB'!E16</f>
        <v>12952</v>
      </c>
      <c r="D16" s="188">
        <f>'[2]I-15 SB'!I16</f>
        <v>32</v>
      </c>
      <c r="E16" s="189">
        <f>'[2]I-15 SB'!J16</f>
        <v>1</v>
      </c>
      <c r="F16" s="189" t="str">
        <f>'[2]I-15 SB'!K16</f>
        <v>CITRACADO</v>
      </c>
      <c r="G16" s="189" t="str">
        <f>'[2]I-15 SB'!L16</f>
        <v>CENTRE CITY</v>
      </c>
      <c r="H16" s="51">
        <f>'[2]I-15 SB'!O16</f>
        <v>19724</v>
      </c>
      <c r="I16" s="198">
        <f>VLOOKUP(c_9[[#This Row],[hwycov_id]],readme!D:G,4,FALSE)</f>
        <v>22115.740234000001</v>
      </c>
      <c r="J16" s="206">
        <f t="shared" si="2"/>
        <v>0.12126040529304394</v>
      </c>
      <c r="K16" s="188" t="str">
        <f>'[2]I-15 SB'!P16</f>
        <v>PeMS2016</v>
      </c>
      <c r="L16" s="148">
        <f t="shared" si="3"/>
        <v>5720421.3469343781</v>
      </c>
      <c r="M16" s="44"/>
    </row>
    <row r="17" spans="1:13" ht="15" customHeight="1" x14ac:dyDescent="0.25">
      <c r="A17" s="43">
        <f>'[2]I-15 SB'!C17</f>
        <v>9</v>
      </c>
      <c r="B17" s="43" t="str">
        <f>'[2]I-15 SB'!H17</f>
        <v>I-15 SB</v>
      </c>
      <c r="C17" s="43">
        <f>'[2]I-15 SB'!E17</f>
        <v>12950</v>
      </c>
      <c r="D17" s="188">
        <f>'[2]I-15 SB'!I17</f>
        <v>34</v>
      </c>
      <c r="E17" s="189">
        <f>'[2]I-15 SB'!J17</f>
        <v>0</v>
      </c>
      <c r="F17" s="189" t="str">
        <f>'[2]I-15 SB'!K17</f>
        <v>CENTRE CITY</v>
      </c>
      <c r="G17" s="189" t="str">
        <f>'[2]I-15 SB'!L17</f>
        <v>VIA RANCHO</v>
      </c>
      <c r="H17" s="51">
        <f>'[2]I-15 SB'!O17</f>
        <v>22193</v>
      </c>
      <c r="I17" s="198">
        <f>VLOOKUP(c_9[[#This Row],[hwycov_id]],readme!D:G,4,FALSE)</f>
        <v>25555.226562</v>
      </c>
      <c r="J17" s="206">
        <f t="shared" si="2"/>
        <v>0.15149941702338565</v>
      </c>
      <c r="K17" s="188" t="str">
        <f>'[2]I-15 SB'!P17</f>
        <v>PeMS2016</v>
      </c>
      <c r="L17" s="148">
        <f t="shared" si="3"/>
        <v>11304567.454218339</v>
      </c>
      <c r="M17" s="44"/>
    </row>
    <row r="18" spans="1:13" ht="15" customHeight="1" x14ac:dyDescent="0.25">
      <c r="A18" s="43">
        <f>'[2]I-15 SB'!C18</f>
        <v>9</v>
      </c>
      <c r="B18" s="43" t="str">
        <f>'[2]I-15 SB'!H18</f>
        <v>I-15 SB</v>
      </c>
      <c r="C18" s="43">
        <f>'[2]I-15 SB'!E18</f>
        <v>26879</v>
      </c>
      <c r="D18" s="188">
        <f>'[2]I-15 SB'!I18</f>
        <v>35</v>
      </c>
      <c r="E18" s="189">
        <f>'[2]I-15 SB'!J18</f>
        <v>0</v>
      </c>
      <c r="F18" s="189" t="str">
        <f>'[2]I-15 SB'!K18</f>
        <v>VIA RANCHO</v>
      </c>
      <c r="G18" s="189" t="str">
        <f>'[2]I-15 SB'!L18</f>
        <v>VIA RANCHO</v>
      </c>
      <c r="H18" s="51">
        <f>'[2]I-15 SB'!O18</f>
        <v>19445</v>
      </c>
      <c r="I18" s="198">
        <f>VLOOKUP(c_9[[#This Row],[hwycov_id]],readme!D:G,4,FALSE)</f>
        <v>24528.134765999999</v>
      </c>
      <c r="J18" s="206">
        <f t="shared" si="2"/>
        <v>0.26141089051169963</v>
      </c>
      <c r="K18" s="188" t="str">
        <f>'[2]I-15 SB'!P18</f>
        <v>PeMS2016</v>
      </c>
      <c r="L18" s="148">
        <f t="shared" si="3"/>
        <v>25838259.049317867</v>
      </c>
      <c r="M18" s="44"/>
    </row>
    <row r="19" spans="1:13" ht="15" customHeight="1" x14ac:dyDescent="0.25">
      <c r="A19" s="43">
        <f>'[2]I-15 SB'!C19</f>
        <v>9</v>
      </c>
      <c r="B19" s="43" t="str">
        <f>'[2]I-15 SB'!H19</f>
        <v>I-15 SB</v>
      </c>
      <c r="C19" s="43">
        <f>'[2]I-15 SB'!E19</f>
        <v>8808</v>
      </c>
      <c r="D19" s="188">
        <f>'[2]I-15 SB'!I19</f>
        <v>37</v>
      </c>
      <c r="E19" s="189">
        <f>'[2]I-15 SB'!J19</f>
        <v>0</v>
      </c>
      <c r="F19" s="189" t="str">
        <f>'[2]I-15 SB'!K19</f>
        <v>VIA RANCHO</v>
      </c>
      <c r="G19" s="189" t="str">
        <f>'[2]I-15 SB'!L19</f>
        <v>WEST BERNARDO</v>
      </c>
      <c r="H19" s="51">
        <f>'[2]I-15 SB'!O19</f>
        <v>22985</v>
      </c>
      <c r="I19" s="198">
        <f>VLOOKUP(c_9[[#This Row],[hwycov_id]],readme!D:G,4,FALSE)</f>
        <v>26946.195312</v>
      </c>
      <c r="J19" s="206">
        <f t="shared" si="2"/>
        <v>0.17233827765934295</v>
      </c>
      <c r="K19" s="188" t="str">
        <f>'[2]I-15 SB'!P19</f>
        <v>PeMS2016</v>
      </c>
      <c r="L19" s="148">
        <f t="shared" si="3"/>
        <v>15691068.299810776</v>
      </c>
      <c r="M19" s="44"/>
    </row>
    <row r="20" spans="1:13" ht="15" customHeight="1" x14ac:dyDescent="0.25">
      <c r="A20" s="43">
        <f>'[2]I-15 SB'!C20</f>
        <v>9</v>
      </c>
      <c r="B20" s="43" t="str">
        <f>'[2]I-15 SB'!H20</f>
        <v>I-15 SB</v>
      </c>
      <c r="C20" s="43">
        <f>'[2]I-15 SB'!E20</f>
        <v>8810</v>
      </c>
      <c r="D20" s="188">
        <f>'[2]I-15 SB'!I20</f>
        <v>38</v>
      </c>
      <c r="E20" s="189">
        <f>'[2]I-15 SB'!J20</f>
        <v>0</v>
      </c>
      <c r="F20" s="189" t="str">
        <f>'[2]I-15 SB'!K20</f>
        <v>WEST BERNARDO</v>
      </c>
      <c r="G20" s="189" t="str">
        <f>'[2]I-15 SB'!L20</f>
        <v>WEST BERNARDO</v>
      </c>
      <c r="H20" s="51">
        <f>'[2]I-15 SB'!O20</f>
        <v>20830</v>
      </c>
      <c r="I20" s="198">
        <f>VLOOKUP(c_9[[#This Row],[hwycov_id]],readme!D:G,4,FALSE)</f>
        <v>21752.992188</v>
      </c>
      <c r="J20" s="206">
        <f t="shared" si="2"/>
        <v>4.4310714738358126E-2</v>
      </c>
      <c r="K20" s="188" t="str">
        <f>'[2]I-15 SB'!P20</f>
        <v>PeMS2016</v>
      </c>
      <c r="L20" s="148">
        <f t="shared" si="3"/>
        <v>851914.57910902763</v>
      </c>
      <c r="M20" s="44"/>
    </row>
    <row r="21" spans="1:13" ht="15" customHeight="1" x14ac:dyDescent="0.25">
      <c r="A21" s="43">
        <f>'[2]I-15 SB'!C21</f>
        <v>9</v>
      </c>
      <c r="B21" s="43" t="str">
        <f>'[2]I-15 SB'!H21</f>
        <v>I-15 SB</v>
      </c>
      <c r="C21" s="43">
        <f>'[2]I-15 SB'!E21</f>
        <v>31207</v>
      </c>
      <c r="D21" s="188">
        <f>'[2]I-15 SB'!I21</f>
        <v>39</v>
      </c>
      <c r="E21" s="189">
        <f>'[2]I-15 SB'!J21</f>
        <v>1</v>
      </c>
      <c r="F21" s="189" t="str">
        <f>'[2]I-15 SB'!K21</f>
        <v>WEST BERNARDO</v>
      </c>
      <c r="G21" s="189" t="str">
        <f>'[2]I-15 SB'!L21</f>
        <v>RANCHO BERNARDO</v>
      </c>
      <c r="H21" s="51">
        <f>'[2]I-15 SB'!O21</f>
        <v>21409</v>
      </c>
      <c r="I21" s="198">
        <f>VLOOKUP(c_9[[#This Row],[hwycov_id]],readme!D:G,4,FALSE)</f>
        <v>22075.931640999999</v>
      </c>
      <c r="J21" s="206">
        <f t="shared" si="2"/>
        <v>3.1151928674856277E-2</v>
      </c>
      <c r="K21" s="188" t="str">
        <f>'[2]I-15 SB'!P21</f>
        <v>PeMS2016</v>
      </c>
      <c r="L21" s="148">
        <f t="shared" si="3"/>
        <v>444797.81376695185</v>
      </c>
      <c r="M21" s="44"/>
    </row>
    <row r="22" spans="1:13" ht="15" customHeight="1" x14ac:dyDescent="0.25">
      <c r="A22" s="43">
        <f>'[2]I-15 SB'!C22</f>
        <v>9</v>
      </c>
      <c r="B22" s="43" t="str">
        <f>'[2]I-15 SB'!H22</f>
        <v>I-15 SB</v>
      </c>
      <c r="C22" s="43">
        <f>'[2]I-15 SB'!E22</f>
        <v>568</v>
      </c>
      <c r="D22" s="188">
        <f>'[2]I-15 SB'!I22</f>
        <v>41</v>
      </c>
      <c r="E22" s="189">
        <f>'[2]I-15 SB'!J22</f>
        <v>0</v>
      </c>
      <c r="F22" s="189" t="str">
        <f>'[2]I-15 SB'!K22</f>
        <v>RANCHO BERNARDO</v>
      </c>
      <c r="G22" s="189" t="str">
        <f>'[2]I-15 SB'!L22</f>
        <v>RANCHO BERNARDO</v>
      </c>
      <c r="H22" s="51">
        <f>'[2]I-15 SB'!O22</f>
        <v>18692</v>
      </c>
      <c r="I22" s="198">
        <f>VLOOKUP(c_9[[#This Row],[hwycov_id]],readme!D:G,4,FALSE)</f>
        <v>20140.960938</v>
      </c>
      <c r="J22" s="206">
        <f t="shared" si="2"/>
        <v>7.7517704793494513E-2</v>
      </c>
      <c r="K22" s="188" t="str">
        <f>'[2]I-15 SB'!P22</f>
        <v>PeMS2016</v>
      </c>
      <c r="L22" s="148">
        <f t="shared" si="3"/>
        <v>2099487.7998498403</v>
      </c>
      <c r="M22" s="44"/>
    </row>
    <row r="23" spans="1:13" ht="15" customHeight="1" x14ac:dyDescent="0.25">
      <c r="A23" s="43">
        <f>'[2]I-15 SB'!C23</f>
        <v>9</v>
      </c>
      <c r="B23" s="43" t="str">
        <f>'[2]I-15 SB'!H23</f>
        <v>I-15 SB</v>
      </c>
      <c r="C23" s="43">
        <f>'[2]I-15 SB'!E23</f>
        <v>13646</v>
      </c>
      <c r="D23" s="188">
        <f>'[2]I-15 SB'!I23</f>
        <v>42</v>
      </c>
      <c r="E23" s="189">
        <f>'[2]I-15 SB'!J23</f>
        <v>0</v>
      </c>
      <c r="F23" s="189" t="str">
        <f>'[2]I-15 SB'!K23</f>
        <v>RANCHO BERNARDO</v>
      </c>
      <c r="G23" s="189" t="str">
        <f>'[2]I-15 SB'!L23</f>
        <v>BERNARDO CENTER</v>
      </c>
      <c r="H23" s="51">
        <f>'[2]I-15 SB'!O23</f>
        <v>22442</v>
      </c>
      <c r="I23" s="198">
        <f>VLOOKUP(c_9[[#This Row],[hwycov_id]],readme!D:G,4,FALSE)</f>
        <v>22404.412109000001</v>
      </c>
      <c r="J23" s="206">
        <f t="shared" si="2"/>
        <v>-1.6748904286605359E-3</v>
      </c>
      <c r="K23" s="188" t="str">
        <f>'[2]I-15 SB'!P23</f>
        <v>SANDAG</v>
      </c>
      <c r="L23" s="148">
        <f t="shared" si="3"/>
        <v>1412.8495498278221</v>
      </c>
      <c r="M23" s="44"/>
    </row>
    <row r="24" spans="1:13" ht="15" customHeight="1" x14ac:dyDescent="0.25">
      <c r="A24" s="43">
        <f>'[2]I-15 SB'!C24</f>
        <v>9</v>
      </c>
      <c r="B24" s="43" t="str">
        <f>'[2]I-15 SB'!H24</f>
        <v>I-15 SB</v>
      </c>
      <c r="C24" s="43">
        <f>'[2]I-15 SB'!E24</f>
        <v>13649</v>
      </c>
      <c r="D24" s="188">
        <f>'[2]I-15 SB'!I24</f>
        <v>43</v>
      </c>
      <c r="E24" s="189">
        <f>'[2]I-15 SB'!J24</f>
        <v>0</v>
      </c>
      <c r="F24" s="189" t="str">
        <f>'[2]I-15 SB'!K24</f>
        <v>BERNARDO CENTER</v>
      </c>
      <c r="G24" s="189" t="str">
        <f>'[2]I-15 SB'!L24</f>
        <v>BERNARDO CENTER</v>
      </c>
      <c r="H24" s="51">
        <f>'[2]I-15 SB'!O24</f>
        <v>21029</v>
      </c>
      <c r="I24" s="198">
        <f>VLOOKUP(c_9[[#This Row],[hwycov_id]],readme!D:G,4,FALSE)</f>
        <v>20416.167968999998</v>
      </c>
      <c r="J24" s="206">
        <f t="shared" si="2"/>
        <v>-2.9142233629749437E-2</v>
      </c>
      <c r="K24" s="188" t="str">
        <f>'[2]I-15 SB'!P24</f>
        <v>PeMS2016</v>
      </c>
      <c r="L24" s="148">
        <f t="shared" si="3"/>
        <v>375563.09821958706</v>
      </c>
      <c r="M24" s="44"/>
    </row>
    <row r="25" spans="1:13" ht="15" customHeight="1" x14ac:dyDescent="0.25">
      <c r="A25" s="43">
        <f>'[2]I-15 SB'!C25</f>
        <v>9</v>
      </c>
      <c r="B25" s="43" t="str">
        <f>'[2]I-15 SB'!H25</f>
        <v>I-15 SB</v>
      </c>
      <c r="C25" s="43">
        <f>'[2]I-15 SB'!E25</f>
        <v>13653</v>
      </c>
      <c r="D25" s="188">
        <f>'[2]I-15 SB'!I25</f>
        <v>44</v>
      </c>
      <c r="E25" s="189">
        <f>'[2]I-15 SB'!J25</f>
        <v>0</v>
      </c>
      <c r="F25" s="189" t="str">
        <f>'[2]I-15 SB'!K25</f>
        <v>BERNARDO CENTER</v>
      </c>
      <c r="G25" s="189" t="str">
        <f>'[2]I-15 SB'!L25</f>
        <v>CAM DEL NORTE</v>
      </c>
      <c r="H25" s="51">
        <f>'[2]I-15 SB'!O25</f>
        <v>24646</v>
      </c>
      <c r="I25" s="198">
        <f>VLOOKUP(c_9[[#This Row],[hwycov_id]],readme!D:G,4,FALSE)</f>
        <v>21767.917968999998</v>
      </c>
      <c r="J25" s="206">
        <f t="shared" si="2"/>
        <v>-0.11677684131299204</v>
      </c>
      <c r="K25" s="188" t="str">
        <f>'[2]I-15 SB'!P25</f>
        <v>PeMS2016</v>
      </c>
      <c r="L25" s="148">
        <f t="shared" si="3"/>
        <v>8283356.1771650948</v>
      </c>
      <c r="M25" s="44"/>
    </row>
    <row r="26" spans="1:13" ht="15" customHeight="1" x14ac:dyDescent="0.25">
      <c r="A26" s="43">
        <f>'[2]I-15 SB'!C26</f>
        <v>9</v>
      </c>
      <c r="B26" s="43" t="str">
        <f>'[2]I-15 SB'!H26</f>
        <v>I-15 SB</v>
      </c>
      <c r="C26" s="43">
        <f>'[2]I-15 SB'!E26</f>
        <v>31208</v>
      </c>
      <c r="D26" s="188">
        <f>'[2]I-15 SB'!I26</f>
        <v>45</v>
      </c>
      <c r="E26" s="189">
        <f>'[2]I-15 SB'!J26</f>
        <v>0</v>
      </c>
      <c r="F26" s="189" t="str">
        <f>'[2]I-15 SB'!K26</f>
        <v>CAM DEL NORTE</v>
      </c>
      <c r="G26" s="189" t="str">
        <f>'[2]I-15 SB'!L26</f>
        <v>CAM DEL NORTE</v>
      </c>
      <c r="H26" s="51">
        <f>'[2]I-15 SB'!O26</f>
        <v>21420</v>
      </c>
      <c r="I26" s="198">
        <f>VLOOKUP(c_9[[#This Row],[hwycov_id]],readme!D:G,4,FALSE)</f>
        <v>19453.318359000001</v>
      </c>
      <c r="J26" s="206">
        <f t="shared" si="2"/>
        <v>-9.1815202661064355E-2</v>
      </c>
      <c r="K26" s="188" t="str">
        <f>'[2]I-15 SB'!P26</f>
        <v>PeMS2016</v>
      </c>
      <c r="L26" s="148">
        <f t="shared" si="3"/>
        <v>3867836.6770464499</v>
      </c>
      <c r="M26" s="44"/>
    </row>
    <row r="27" spans="1:13" ht="15" customHeight="1" x14ac:dyDescent="0.25">
      <c r="A27" s="43">
        <f>'[2]I-15 SB'!C27</f>
        <v>9</v>
      </c>
      <c r="B27" s="43" t="str">
        <f>'[2]I-15 SB'!H27</f>
        <v>I-15 SB</v>
      </c>
      <c r="C27" s="43">
        <f>'[2]I-15 SB'!E27</f>
        <v>13661</v>
      </c>
      <c r="D27" s="188">
        <f>'[2]I-15 SB'!I27</f>
        <v>46</v>
      </c>
      <c r="E27" s="189">
        <f>'[2]I-15 SB'!J27</f>
        <v>0</v>
      </c>
      <c r="F27" s="189" t="str">
        <f>'[2]I-15 SB'!K27</f>
        <v>CAM DEL NORTE</v>
      </c>
      <c r="G27" s="189" t="str">
        <f>'[2]I-15 SB'!L27</f>
        <v>CAM DEL NORTE</v>
      </c>
      <c r="H27" s="51">
        <f>'[2]I-15 SB'!O27</f>
        <v>21294</v>
      </c>
      <c r="I27" s="198">
        <f>VLOOKUP(c_9[[#This Row],[hwycov_id]],readme!D:G,4,FALSE)</f>
        <v>20548.189452999999</v>
      </c>
      <c r="J27" s="206">
        <f t="shared" si="2"/>
        <v>-3.5024445712407259E-2</v>
      </c>
      <c r="K27" s="188" t="str">
        <f>'[2]I-15 SB'!P27</f>
        <v>SANDAG</v>
      </c>
      <c r="L27" s="148">
        <f t="shared" si="3"/>
        <v>556233.37201644061</v>
      </c>
      <c r="M27" s="44"/>
    </row>
    <row r="28" spans="1:13" ht="15" customHeight="1" x14ac:dyDescent="0.25">
      <c r="A28" s="43">
        <f>'[2]I-15 SB'!C28</f>
        <v>9</v>
      </c>
      <c r="B28" s="43" t="str">
        <f>'[2]I-15 SB'!H28</f>
        <v>I-15 SB</v>
      </c>
      <c r="C28" s="43">
        <f>'[2]I-15 SB'!E28</f>
        <v>13664</v>
      </c>
      <c r="D28" s="188">
        <f>'[2]I-15 SB'!I28</f>
        <v>47</v>
      </c>
      <c r="E28" s="189">
        <f>'[2]I-15 SB'!J28</f>
        <v>0</v>
      </c>
      <c r="F28" s="189" t="str">
        <f>'[2]I-15 SB'!K28</f>
        <v>CAM DEL NORTE</v>
      </c>
      <c r="G28" s="189" t="str">
        <f>'[2]I-15 SB'!L28</f>
        <v>CARMEL MTN</v>
      </c>
      <c r="H28" s="51">
        <f>'[2]I-15 SB'!O28</f>
        <v>27852</v>
      </c>
      <c r="I28" s="198">
        <f>VLOOKUP(c_9[[#This Row],[hwycov_id]],readme!D:G,4,FALSE)</f>
        <v>23023.044922000001</v>
      </c>
      <c r="J28" s="206">
        <f t="shared" si="2"/>
        <v>-0.17337911381588389</v>
      </c>
      <c r="K28" s="188" t="str">
        <f>'[2]I-15 SB'!P28</f>
        <v>PeMS2016</v>
      </c>
      <c r="L28" s="148">
        <f t="shared" si="3"/>
        <v>23318807.145341977</v>
      </c>
      <c r="M28" s="44"/>
    </row>
    <row r="29" spans="1:13" ht="15" customHeight="1" x14ac:dyDescent="0.25">
      <c r="A29" s="43">
        <f>'[2]I-15 SB'!C29</f>
        <v>9</v>
      </c>
      <c r="B29" s="43" t="str">
        <f>'[2]I-15 SB'!H29</f>
        <v>I-15 SB</v>
      </c>
      <c r="C29" s="43">
        <f>'[2]I-15 SB'!E29</f>
        <v>13673</v>
      </c>
      <c r="D29" s="188">
        <f>'[2]I-15 SB'!I29</f>
        <v>48</v>
      </c>
      <c r="E29" s="189">
        <f>'[2]I-15 SB'!J29</f>
        <v>0</v>
      </c>
      <c r="F29" s="189" t="str">
        <f>'[2]I-15 SB'!K29</f>
        <v>CARMEL MTN</v>
      </c>
      <c r="G29" s="189" t="str">
        <f>'[2]I-15 SB'!L29</f>
        <v>CARMEL MTN</v>
      </c>
      <c r="H29" s="51">
        <f>'[2]I-15 SB'!O29</f>
        <v>24049</v>
      </c>
      <c r="I29" s="198">
        <f>VLOOKUP(c_9[[#This Row],[hwycov_id]],readme!D:G,4,FALSE)</f>
        <v>20931.857422000001</v>
      </c>
      <c r="J29" s="206">
        <f t="shared" si="2"/>
        <v>-0.12961630745561137</v>
      </c>
      <c r="K29" s="188" t="str">
        <f>'[2]I-15 SB'!P29</f>
        <v>PeMS2016</v>
      </c>
      <c r="L29" s="148">
        <f t="shared" si="3"/>
        <v>9716577.8515804801</v>
      </c>
      <c r="M29" s="44"/>
    </row>
    <row r="30" spans="1:13" ht="15" customHeight="1" x14ac:dyDescent="0.25">
      <c r="A30" s="43">
        <f>'[2]I-15 SB'!C30</f>
        <v>9</v>
      </c>
      <c r="B30" s="43" t="str">
        <f>'[2]I-15 SB'!H30</f>
        <v>I-15 SB</v>
      </c>
      <c r="C30" s="43">
        <f>'[2]I-15 SB'!E30</f>
        <v>14644</v>
      </c>
      <c r="D30" s="188">
        <f>'[2]I-15 SB'!I30</f>
        <v>49</v>
      </c>
      <c r="E30" s="189">
        <f>'[2]I-15 SB'!J30</f>
        <v>0</v>
      </c>
      <c r="F30" s="189" t="str">
        <f>'[2]I-15 SB'!K30</f>
        <v>CARMEL MTN</v>
      </c>
      <c r="G30" s="189" t="str">
        <f>'[2]I-15 SB'!L30</f>
        <v>SR-56 WB</v>
      </c>
      <c r="H30" s="51">
        <f>'[2]I-15 SB'!O30</f>
        <v>35147</v>
      </c>
      <c r="I30" s="198">
        <f>VLOOKUP(c_9[[#This Row],[hwycov_id]],readme!D:G,4,FALSE)</f>
        <v>23679.675781000002</v>
      </c>
      <c r="J30" s="206">
        <f t="shared" si="2"/>
        <v>-0.32626751128119036</v>
      </c>
      <c r="K30" s="188" t="str">
        <f>'[2]I-15 SB'!P30</f>
        <v>SANDAG</v>
      </c>
      <c r="L30" s="148">
        <f t="shared" si="3"/>
        <v>131499524.74366392</v>
      </c>
      <c r="M30" s="44"/>
    </row>
    <row r="31" spans="1:13" ht="15" customHeight="1" x14ac:dyDescent="0.25">
      <c r="A31" s="43">
        <f>'[2]I-15 SB'!C31</f>
        <v>9</v>
      </c>
      <c r="B31" s="43" t="str">
        <f>'[2]I-15 SB'!H31</f>
        <v>I-15 SB</v>
      </c>
      <c r="C31" s="43">
        <f>'[2]I-15 SB'!E31</f>
        <v>570</v>
      </c>
      <c r="D31" s="188">
        <f>'[2]I-15 SB'!I31</f>
        <v>53</v>
      </c>
      <c r="E31" s="189">
        <f>'[2]I-15 SB'!J31</f>
        <v>0</v>
      </c>
      <c r="F31" s="189" t="str">
        <f>'[2]I-15 SB'!K31</f>
        <v>I-15 HOV SB</v>
      </c>
      <c r="G31" s="189" t="str">
        <f>'[2]I-15 SB'!L31</f>
        <v>SR-56 EB</v>
      </c>
      <c r="H31" s="51">
        <f>'[2]I-15 SB'!O31</f>
        <v>23334</v>
      </c>
      <c r="I31" s="198">
        <f>VLOOKUP(c_9[[#This Row],[hwycov_id]],readme!D:G,4,FALSE)</f>
        <v>20131.929688</v>
      </c>
      <c r="J31" s="206">
        <f t="shared" si="2"/>
        <v>-0.13722766400959974</v>
      </c>
      <c r="K31" s="188" t="str">
        <f>'[2]I-15 SB'!P31</f>
        <v>PeMS2016</v>
      </c>
      <c r="L31" s="148">
        <f t="shared" si="3"/>
        <v>10253254.282991776</v>
      </c>
      <c r="M31" s="44"/>
    </row>
    <row r="32" spans="1:13" ht="15" customHeight="1" x14ac:dyDescent="0.25">
      <c r="A32" s="43">
        <f>'[2]I-15 SB'!C32</f>
        <v>9</v>
      </c>
      <c r="B32" s="43" t="str">
        <f>'[2]I-15 SB'!H32</f>
        <v>I-15 SB</v>
      </c>
      <c r="C32" s="43">
        <f>'[2]I-15 SB'!E32</f>
        <v>14637</v>
      </c>
      <c r="D32" s="188">
        <f>'[2]I-15 SB'!I32</f>
        <v>54</v>
      </c>
      <c r="E32" s="189">
        <f>'[2]I-15 SB'!J32</f>
        <v>0</v>
      </c>
      <c r="F32" s="189" t="str">
        <f>'[2]I-15 SB'!K32</f>
        <v>SR-56 EB</v>
      </c>
      <c r="G32" s="189" t="str">
        <f>'[2]I-15 SB'!L32</f>
        <v>RANCHO PENASQUITOS</v>
      </c>
      <c r="H32" s="51">
        <f>'[2]I-15 SB'!O32</f>
        <v>22950</v>
      </c>
      <c r="I32" s="198">
        <f>VLOOKUP(c_9[[#This Row],[hwycov_id]],readme!D:G,4,FALSE)</f>
        <v>21245.775390999999</v>
      </c>
      <c r="J32" s="206">
        <f t="shared" si="2"/>
        <v>-7.4258152897603513E-2</v>
      </c>
      <c r="K32" s="188" t="str">
        <f>'[2]I-15 SB'!P32</f>
        <v>PeMS2016</v>
      </c>
      <c r="L32" s="148">
        <f t="shared" si="3"/>
        <v>2904381.5179212056</v>
      </c>
      <c r="M32" s="44"/>
    </row>
    <row r="33" spans="1:13" ht="15" customHeight="1" x14ac:dyDescent="0.25">
      <c r="A33" s="43">
        <f>'[2]I-15 SB'!C33</f>
        <v>9</v>
      </c>
      <c r="B33" s="43" t="str">
        <f>'[2]I-15 SB'!H33</f>
        <v>I-15 SB</v>
      </c>
      <c r="C33" s="43">
        <f>'[2]I-15 SB'!E33</f>
        <v>14660</v>
      </c>
      <c r="D33" s="188">
        <f>'[2]I-15 SB'!I33</f>
        <v>55</v>
      </c>
      <c r="E33" s="189">
        <f>'[2]I-15 SB'!J33</f>
        <v>0</v>
      </c>
      <c r="F33" s="189" t="str">
        <f>'[2]I-15 SB'!K33</f>
        <v>RANCHO PENASQUITOS</v>
      </c>
      <c r="G33" s="189" t="str">
        <f>'[2]I-15 SB'!L33</f>
        <v>RANCHO PENASQUITOS</v>
      </c>
      <c r="H33" s="51">
        <f>'[2]I-15 SB'!O33</f>
        <v>24886</v>
      </c>
      <c r="I33" s="198">
        <f>VLOOKUP(c_9[[#This Row],[hwycov_id]],readme!D:G,4,FALSE)</f>
        <v>20698.996093999998</v>
      </c>
      <c r="J33" s="206">
        <f t="shared" si="2"/>
        <v>-0.16824736422084718</v>
      </c>
      <c r="K33" s="188" t="str">
        <f>'[2]I-15 SB'!P33</f>
        <v>PeMS2016</v>
      </c>
      <c r="L33" s="148">
        <f t="shared" si="3"/>
        <v>17531001.708859272</v>
      </c>
      <c r="M33" s="44"/>
    </row>
    <row r="34" spans="1:13" ht="15" customHeight="1" x14ac:dyDescent="0.25">
      <c r="A34" s="43">
        <f>'[2]I-15 SB'!C34</f>
        <v>9</v>
      </c>
      <c r="B34" s="43" t="str">
        <f>'[2]I-15 SB'!H34</f>
        <v>I-15 SB</v>
      </c>
      <c r="C34" s="43">
        <f>'[2]I-15 SB'!E34</f>
        <v>789</v>
      </c>
      <c r="D34" s="188">
        <f>'[2]I-15 SB'!I34</f>
        <v>59</v>
      </c>
      <c r="E34" s="189">
        <f>'[2]I-15 SB'!J34</f>
        <v>0</v>
      </c>
      <c r="F34" s="189" t="str">
        <f>'[2]I-15 SB'!K34</f>
        <v>MERCY</v>
      </c>
      <c r="G34" s="189" t="str">
        <f>'[2]I-15 SB'!L34</f>
        <v>MERCY</v>
      </c>
      <c r="H34" s="51">
        <f>'[2]I-15 SB'!O34</f>
        <v>27068</v>
      </c>
      <c r="I34" s="198">
        <f>VLOOKUP(c_9[[#This Row],[hwycov_id]],readme!D:G,4,FALSE)</f>
        <v>24104.873047000001</v>
      </c>
      <c r="J34" s="206">
        <f t="shared" si="2"/>
        <v>-0.10946974113344166</v>
      </c>
      <c r="K34" s="188" t="str">
        <f>'[2]I-15 SB'!P34</f>
        <v>PeMS2016</v>
      </c>
      <c r="L34" s="148">
        <f t="shared" si="3"/>
        <v>8780121.3395950589</v>
      </c>
      <c r="M34" s="44"/>
    </row>
    <row r="35" spans="1:13" ht="15" customHeight="1" x14ac:dyDescent="0.25">
      <c r="A35" s="43">
        <f>'[2]I-15 SB'!C35</f>
        <v>9</v>
      </c>
      <c r="B35" s="43" t="str">
        <f>'[2]I-15 SB'!H35</f>
        <v>I-15 SB</v>
      </c>
      <c r="C35" s="43">
        <f>'[2]I-15 SB'!E35</f>
        <v>14383</v>
      </c>
      <c r="D35" s="188">
        <f>'[2]I-15 SB'!I35</f>
        <v>60</v>
      </c>
      <c r="E35" s="189">
        <f>'[2]I-15 SB'!J35</f>
        <v>0</v>
      </c>
      <c r="F35" s="189" t="str">
        <f>'[2]I-15 SB'!K35</f>
        <v>MERCY</v>
      </c>
      <c r="G35" s="189" t="str">
        <f>'[2]I-15 SB'!L35</f>
        <v>MIRA MESA</v>
      </c>
      <c r="H35" s="51">
        <f>'[2]I-15 SB'!O35</f>
        <v>31601</v>
      </c>
      <c r="I35" s="198">
        <f>VLOOKUP(c_9[[#This Row],[hwycov_id]],readme!D:G,4,FALSE)</f>
        <v>26727.076172000001</v>
      </c>
      <c r="J35" s="206">
        <f t="shared" si="2"/>
        <v>-0.154233215024841</v>
      </c>
      <c r="K35" s="188" t="str">
        <f>'[2]I-15 SB'!P35</f>
        <v>PeMS2016</v>
      </c>
      <c r="L35" s="148">
        <f t="shared" si="3"/>
        <v>23755133.481146164</v>
      </c>
      <c r="M35" s="44"/>
    </row>
    <row r="36" spans="1:13" ht="15" customHeight="1" x14ac:dyDescent="0.25">
      <c r="A36" s="43">
        <f>'[2]I-15 SB'!C36</f>
        <v>9</v>
      </c>
      <c r="B36" s="43" t="str">
        <f>'[2]I-15 SB'!H36</f>
        <v>I-15 SB</v>
      </c>
      <c r="C36" s="43">
        <f>'[2]I-15 SB'!E36</f>
        <v>28809</v>
      </c>
      <c r="D36" s="188">
        <f>'[2]I-15 SB'!I36</f>
        <v>62</v>
      </c>
      <c r="E36" s="189">
        <f>'[2]I-15 SB'!J36</f>
        <v>0</v>
      </c>
      <c r="F36" s="189" t="str">
        <f>'[2]I-15 SB'!K36</f>
        <v>MIRA MESA</v>
      </c>
      <c r="G36" s="189" t="str">
        <f>'[2]I-15 SB'!L36</f>
        <v>MIRA MESA</v>
      </c>
      <c r="H36" s="51">
        <f>'[2]I-15 SB'!O36</f>
        <v>24549</v>
      </c>
      <c r="I36" s="198">
        <f>VLOOKUP(c_9[[#This Row],[hwycov_id]],readme!D:G,4,FALSE)</f>
        <v>23598.720702999999</v>
      </c>
      <c r="J36" s="206">
        <f t="shared" si="2"/>
        <v>-3.8709491099433779E-2</v>
      </c>
      <c r="K36" s="188" t="str">
        <f>'[2]I-15 SB'!P36</f>
        <v>PeMS2016</v>
      </c>
      <c r="L36" s="148">
        <f t="shared" si="3"/>
        <v>903030.74230681604</v>
      </c>
      <c r="M36" s="44"/>
    </row>
    <row r="37" spans="1:13" ht="15" customHeight="1" x14ac:dyDescent="0.25">
      <c r="A37" s="43">
        <f>'[2]I-15 SB'!C37</f>
        <v>9</v>
      </c>
      <c r="B37" s="43" t="str">
        <f>'[2]I-15 SB'!H37</f>
        <v>I-15 SB</v>
      </c>
      <c r="C37" s="43">
        <f>'[2]I-15 SB'!E37</f>
        <v>8814</v>
      </c>
      <c r="D37" s="188">
        <f>'[2]I-15 SB'!I37</f>
        <v>64</v>
      </c>
      <c r="E37" s="189">
        <f>'[2]I-15 SB'!J37</f>
        <v>0</v>
      </c>
      <c r="F37" s="189" t="str">
        <f>'[2]I-15 SB'!K37</f>
        <v>MIRA MESA</v>
      </c>
      <c r="G37" s="189" t="str">
        <f>'[2]I-15 SB'!L37</f>
        <v>CARROLL CANYON</v>
      </c>
      <c r="H37" s="51">
        <f>'[2]I-15 SB'!O37</f>
        <v>30102</v>
      </c>
      <c r="I37" s="198">
        <f>VLOOKUP(c_9[[#This Row],[hwycov_id]],readme!D:G,4,FALSE)</f>
        <v>29478.955077999999</v>
      </c>
      <c r="J37" s="206">
        <f t="shared" si="2"/>
        <v>-2.0697791575310598E-2</v>
      </c>
      <c r="K37" s="188" t="str">
        <f>'[2]I-15 SB'!P37</f>
        <v>PeMS2016</v>
      </c>
      <c r="L37" s="148">
        <f t="shared" si="3"/>
        <v>388184.97482998727</v>
      </c>
      <c r="M37" s="44"/>
    </row>
    <row r="38" spans="1:13" ht="15" customHeight="1" x14ac:dyDescent="0.25">
      <c r="A38" s="43">
        <f>'[2]I-15 SB'!C38</f>
        <v>9</v>
      </c>
      <c r="B38" s="43" t="str">
        <f>'[2]I-15 SB'!H38</f>
        <v>I-15 SB</v>
      </c>
      <c r="C38" s="43">
        <f>'[2]I-15 SB'!E38</f>
        <v>14400</v>
      </c>
      <c r="D38" s="188">
        <f>'[2]I-15 SB'!I38</f>
        <v>65</v>
      </c>
      <c r="E38" s="189">
        <f>'[2]I-15 SB'!J38</f>
        <v>0</v>
      </c>
      <c r="F38" s="189" t="str">
        <f>'[2]I-15 SB'!K38</f>
        <v>CARROLL CANYON</v>
      </c>
      <c r="G38" s="189" t="str">
        <f>'[2]I-15 SB'!L38</f>
        <v>CARROLL CANYON</v>
      </c>
      <c r="H38" s="51">
        <f>'[2]I-15 SB'!O38</f>
        <v>28355</v>
      </c>
      <c r="I38" s="198">
        <f>VLOOKUP(c_9[[#This Row],[hwycov_id]],readme!D:G,4,FALSE)</f>
        <v>27969.427734000001</v>
      </c>
      <c r="J38" s="206">
        <f t="shared" si="2"/>
        <v>-1.3598034420737037E-2</v>
      </c>
      <c r="K38" s="188" t="str">
        <f>'[2]I-15 SB'!P38</f>
        <v>PeMS2016</v>
      </c>
      <c r="L38" s="148">
        <f t="shared" si="3"/>
        <v>148665.97230837416</v>
      </c>
      <c r="M38" s="44"/>
    </row>
    <row r="39" spans="1:13" ht="15" customHeight="1" x14ac:dyDescent="0.25">
      <c r="A39" s="43">
        <f>'[2]I-15 SB'!C39</f>
        <v>9</v>
      </c>
      <c r="B39" s="43" t="str">
        <f>'[2]I-15 SB'!H39</f>
        <v>I-15 SB</v>
      </c>
      <c r="C39" s="43">
        <f>'[2]I-15 SB'!E39</f>
        <v>14407</v>
      </c>
      <c r="D39" s="188">
        <f>'[2]I-15 SB'!I39</f>
        <v>67</v>
      </c>
      <c r="E39" s="189">
        <f>'[2]I-15 SB'!J39</f>
        <v>0</v>
      </c>
      <c r="F39" s="189" t="str">
        <f>'[2]I-15 SB'!K39</f>
        <v>MIRAMAR</v>
      </c>
      <c r="G39" s="189" t="str">
        <f>'[2]I-15 SB'!L39</f>
        <v>MIRAMAR</v>
      </c>
      <c r="H39" s="51">
        <f>'[2]I-15 SB'!O39</f>
        <v>29905</v>
      </c>
      <c r="I39" s="198">
        <f>VLOOKUP(c_9[[#This Row],[hwycov_id]],readme!D:G,4,FALSE)</f>
        <v>28587.242188</v>
      </c>
      <c r="J39" s="206">
        <f t="shared" si="2"/>
        <v>-4.4064798929944859E-2</v>
      </c>
      <c r="K39" s="188" t="str">
        <f>'[2]I-15 SB'!P39</f>
        <v>PeMS2016</v>
      </c>
      <c r="L39" s="148">
        <f t="shared" si="3"/>
        <v>1736485.6510870268</v>
      </c>
      <c r="M39" s="44"/>
    </row>
    <row r="40" spans="1:13" ht="15" customHeight="1" x14ac:dyDescent="0.25">
      <c r="A40" s="43">
        <f>'[2]I-15 SB'!C40</f>
        <v>9</v>
      </c>
      <c r="B40" s="43" t="str">
        <f>'[2]I-15 SB'!H40</f>
        <v>I-15 SB</v>
      </c>
      <c r="C40" s="43">
        <f>'[2]I-15 SB'!E40</f>
        <v>14411</v>
      </c>
      <c r="D40" s="188">
        <f>'[2]I-15 SB'!I40</f>
        <v>68</v>
      </c>
      <c r="E40" s="189">
        <f>'[2]I-15 SB'!J40</f>
        <v>0</v>
      </c>
      <c r="F40" s="189" t="str">
        <f>'[2]I-15 SB'!K40</f>
        <v>MIRAMAR</v>
      </c>
      <c r="G40" s="189" t="str">
        <f>'[2]I-15 SB'!L40</f>
        <v>MIRAMAR</v>
      </c>
      <c r="H40" s="51">
        <f>'[2]I-15 SB'!O40</f>
        <v>29788</v>
      </c>
      <c r="I40" s="198">
        <f>VLOOKUP(c_9[[#This Row],[hwycov_id]],readme!D:G,4,FALSE)</f>
        <v>30836.078125</v>
      </c>
      <c r="J40" s="206">
        <f t="shared" si="2"/>
        <v>3.5184575164495691E-2</v>
      </c>
      <c r="K40" s="188" t="str">
        <f>'[2]I-15 SB'!P40</f>
        <v>PeMS2016</v>
      </c>
      <c r="L40" s="148">
        <f t="shared" si="3"/>
        <v>1098467.7561035156</v>
      </c>
      <c r="M40" s="44"/>
    </row>
    <row r="41" spans="1:13" ht="15" customHeight="1" x14ac:dyDescent="0.25">
      <c r="A41" s="43">
        <f>'[2]I-15 SB'!C41</f>
        <v>9</v>
      </c>
      <c r="B41" s="43" t="str">
        <f>'[2]I-15 SB'!H41</f>
        <v>I-15 SB</v>
      </c>
      <c r="C41" s="43">
        <f>'[2]I-15 SB'!E41</f>
        <v>14412</v>
      </c>
      <c r="D41" s="188">
        <f>'[2]I-15 SB'!I41</f>
        <v>69</v>
      </c>
      <c r="E41" s="189">
        <f>'[2]I-15 SB'!J41</f>
        <v>0</v>
      </c>
      <c r="F41" s="189" t="str">
        <f>'[2]I-15 SB'!K41</f>
        <v>MIRAMAR</v>
      </c>
      <c r="G41" s="189" t="str">
        <f>'[2]I-15 SB'!L41</f>
        <v>MIRAMAR WAY</v>
      </c>
      <c r="H41" s="51">
        <f>'[2]I-15 SB'!O41</f>
        <v>28889</v>
      </c>
      <c r="I41" s="198">
        <f>VLOOKUP(c_9[[#This Row],[hwycov_id]],readme!D:G,4,FALSE)</f>
        <v>32198.744140999999</v>
      </c>
      <c r="J41" s="206">
        <f t="shared" si="2"/>
        <v>0.11456762577451629</v>
      </c>
      <c r="K41" s="188" t="str">
        <f>'[2]I-15 SB'!P41</f>
        <v>PeMS2016</v>
      </c>
      <c r="L41" s="148">
        <f t="shared" si="3"/>
        <v>10954406.278883822</v>
      </c>
      <c r="M41" s="44"/>
    </row>
    <row r="42" spans="1:13" ht="15" customHeight="1" x14ac:dyDescent="0.25">
      <c r="A42" s="43">
        <f>'[2]I-15 SB'!C42</f>
        <v>9</v>
      </c>
      <c r="B42" s="43" t="str">
        <f>'[2]I-15 SB'!H42</f>
        <v>I-15 SB</v>
      </c>
      <c r="C42" s="43">
        <f>'[2]I-15 SB'!E42</f>
        <v>14418</v>
      </c>
      <c r="D42" s="188">
        <f>'[2]I-15 SB'!I42</f>
        <v>71</v>
      </c>
      <c r="E42" s="189">
        <f>'[2]I-15 SB'!J42</f>
        <v>0</v>
      </c>
      <c r="F42" s="189" t="str">
        <f>'[2]I-15 SB'!K42</f>
        <v>MIRAMAR WAY</v>
      </c>
      <c r="G42" s="189" t="str">
        <f>'[2]I-15 SB'!L42</f>
        <v>MIRAMAR WAY</v>
      </c>
      <c r="H42" s="51">
        <f>'[2]I-15 SB'!O42</f>
        <v>30700</v>
      </c>
      <c r="I42" s="198">
        <f>VLOOKUP(c_9[[#This Row],[hwycov_id]],readme!D:G,4,FALSE)</f>
        <v>33734.023437999997</v>
      </c>
      <c r="J42" s="206">
        <f t="shared" si="2"/>
        <v>9.8828125016286572E-2</v>
      </c>
      <c r="K42" s="188" t="str">
        <f>'[2]I-15 SB'!P42</f>
        <v>PeMS2016</v>
      </c>
      <c r="L42" s="148">
        <f t="shared" si="3"/>
        <v>9205298.2223333195</v>
      </c>
      <c r="M42" s="44"/>
    </row>
    <row r="43" spans="1:13" ht="15" customHeight="1" x14ac:dyDescent="0.25">
      <c r="A43" s="43">
        <f>'[2]I-15 SB'!C43</f>
        <v>9</v>
      </c>
      <c r="B43" s="43" t="str">
        <f>'[2]I-15 SB'!H43</f>
        <v>I-15 SB</v>
      </c>
      <c r="C43" s="43">
        <f>'[2]I-15 SB'!E43</f>
        <v>14419</v>
      </c>
      <c r="D43" s="188">
        <f>'[2]I-15 SB'!I43</f>
        <v>72</v>
      </c>
      <c r="E43" s="189">
        <f>'[2]I-15 SB'!J43</f>
        <v>0</v>
      </c>
      <c r="F43" s="189" t="str">
        <f>'[2]I-15 SB'!K43</f>
        <v>MIRAMAR WAY</v>
      </c>
      <c r="G43" s="189" t="str">
        <f>'[2]I-15 SB'!L43</f>
        <v>SR-163 SB</v>
      </c>
      <c r="H43" s="51">
        <f>'[2]I-15 SB'!O43</f>
        <v>28943</v>
      </c>
      <c r="I43" s="198">
        <f>VLOOKUP(c_9[[#This Row],[hwycov_id]],readme!D:G,4,FALSE)</f>
        <v>34108.730469000002</v>
      </c>
      <c r="J43" s="206">
        <f t="shared" si="2"/>
        <v>0.1784794412811388</v>
      </c>
      <c r="K43" s="188" t="str">
        <f>'[2]I-15 SB'!P43</f>
        <v>PeMS2016</v>
      </c>
      <c r="L43" s="148">
        <f t="shared" si="3"/>
        <v>26684771.27835498</v>
      </c>
      <c r="M43" s="44"/>
    </row>
    <row r="44" spans="1:13" ht="15" customHeight="1" x14ac:dyDescent="0.25">
      <c r="A44" s="43">
        <f>'[2]I-15 SB'!C44</f>
        <v>9</v>
      </c>
      <c r="B44" s="43" t="str">
        <f>'[2]I-15 SB'!H44</f>
        <v>I-15 SB</v>
      </c>
      <c r="C44" s="43">
        <f>'[2]I-15 SB'!E44</f>
        <v>8816</v>
      </c>
      <c r="D44" s="188">
        <f>'[2]I-15 SB'!I44</f>
        <v>74</v>
      </c>
      <c r="E44" s="189">
        <f>'[2]I-15 SB'!J44</f>
        <v>0</v>
      </c>
      <c r="F44" s="189" t="str">
        <f>'[2]I-15 SB'!K44</f>
        <v>I-15 HOV SB</v>
      </c>
      <c r="G44" s="189" t="str">
        <f>'[2]I-15 SB'!L44</f>
        <v>SR-52 WB</v>
      </c>
      <c r="H44" s="51">
        <f>'[2]I-15 SB'!O44</f>
        <v>11716</v>
      </c>
      <c r="I44" s="198">
        <f>VLOOKUP(c_9[[#This Row],[hwycov_id]],readme!D:G,4,FALSE)</f>
        <v>24601.699218999998</v>
      </c>
      <c r="J44" s="206">
        <f t="shared" si="2"/>
        <v>1.0998377619494706</v>
      </c>
      <c r="K44" s="188" t="str">
        <f>'[2]I-15 SB'!P44</f>
        <v>PeMS2016</v>
      </c>
      <c r="L44" s="148">
        <f t="shared" si="3"/>
        <v>166041244.36253718</v>
      </c>
      <c r="M44" s="44"/>
    </row>
    <row r="45" spans="1:13" ht="15" customHeight="1" x14ac:dyDescent="0.25">
      <c r="A45" s="43">
        <f>'[2]I-15 SB'!C45</f>
        <v>9</v>
      </c>
      <c r="B45" s="43" t="str">
        <f>'[2]I-15 SB'!H45</f>
        <v>I-15 SB</v>
      </c>
      <c r="C45" s="43">
        <f>'[2]I-15 SB'!E45</f>
        <v>28899</v>
      </c>
      <c r="D45" s="188">
        <f>'[2]I-15 SB'!I45</f>
        <v>75</v>
      </c>
      <c r="E45" s="189">
        <f>'[2]I-15 SB'!J45</f>
        <v>0</v>
      </c>
      <c r="F45" s="189" t="str">
        <f>'[2]I-15 SB'!K45</f>
        <v>SR-52 WB</v>
      </c>
      <c r="G45" s="189" t="str">
        <f>'[2]I-15 SB'!L45</f>
        <v>SR-52 EB</v>
      </c>
      <c r="H45" s="51">
        <f>'[2]I-15 SB'!O45</f>
        <v>10958</v>
      </c>
      <c r="I45" s="198">
        <f>VLOOKUP(c_9[[#This Row],[hwycov_id]],readme!D:G,4,FALSE)</f>
        <v>19602.171875</v>
      </c>
      <c r="J45" s="206">
        <f t="shared" si="2"/>
        <v>0.78884576336922807</v>
      </c>
      <c r="K45" s="188" t="str">
        <f>'[2]I-15 SB'!P45</f>
        <v>PeMS2016</v>
      </c>
      <c r="L45" s="148">
        <f t="shared" si="3"/>
        <v>74721707.404541016</v>
      </c>
      <c r="M45" s="44"/>
    </row>
    <row r="46" spans="1:13" ht="15" customHeight="1" x14ac:dyDescent="0.25">
      <c r="A46" s="43">
        <f>'[2]I-15 SB'!C46</f>
        <v>9</v>
      </c>
      <c r="B46" s="43" t="str">
        <f>'[2]I-15 SB'!H46</f>
        <v>I-15 SB</v>
      </c>
      <c r="C46" s="43">
        <f>'[2]I-15 SB'!E46</f>
        <v>15196</v>
      </c>
      <c r="D46" s="188">
        <f>'[2]I-15 SB'!I46</f>
        <v>76</v>
      </c>
      <c r="E46" s="189">
        <f>'[2]I-15 SB'!J46</f>
        <v>0</v>
      </c>
      <c r="F46" s="189" t="str">
        <f>'[2]I-15 SB'!K46</f>
        <v>CLAIREMONT MESA</v>
      </c>
      <c r="G46" s="189" t="str">
        <f>'[2]I-15 SB'!L46</f>
        <v>CLAIREMONT MESA</v>
      </c>
      <c r="H46" s="51">
        <f>'[2]I-15 SB'!O46</f>
        <v>19875</v>
      </c>
      <c r="I46" s="198">
        <f>VLOOKUP(c_9[[#This Row],[hwycov_id]],readme!D:G,4,FALSE)</f>
        <v>24547.953125</v>
      </c>
      <c r="J46" s="206">
        <f t="shared" si="2"/>
        <v>0.23511713836477988</v>
      </c>
      <c r="K46" s="188" t="str">
        <f>'[2]I-15 SB'!P46</f>
        <v>PeMS2016</v>
      </c>
      <c r="L46" s="148">
        <f t="shared" si="3"/>
        <v>21836490.908447266</v>
      </c>
      <c r="M46" s="44"/>
    </row>
    <row r="47" spans="1:13" ht="15" customHeight="1" x14ac:dyDescent="0.25">
      <c r="A47" s="43">
        <f>'[2]I-15 SB'!C47</f>
        <v>9</v>
      </c>
      <c r="B47" s="43" t="str">
        <f>'[2]I-15 SB'!H47</f>
        <v>I-15 SB</v>
      </c>
      <c r="C47" s="43">
        <f>'[2]I-15 SB'!E47</f>
        <v>15191</v>
      </c>
      <c r="D47" s="188">
        <f>'[2]I-15 SB'!I47</f>
        <v>77</v>
      </c>
      <c r="E47" s="189">
        <f>'[2]I-15 SB'!J47</f>
        <v>0</v>
      </c>
      <c r="F47" s="189" t="str">
        <f>'[2]I-15 SB'!K47</f>
        <v>CLAIREMONT MESA</v>
      </c>
      <c r="G47" s="189" t="str">
        <f>'[2]I-15 SB'!L47</f>
        <v>BALBOA</v>
      </c>
      <c r="H47" s="51">
        <f>'[2]I-15 SB'!O47</f>
        <v>21049</v>
      </c>
      <c r="I47" s="198">
        <f>VLOOKUP(c_9[[#This Row],[hwycov_id]],readme!D:G,4,FALSE)</f>
        <v>28499.787109000001</v>
      </c>
      <c r="J47" s="206">
        <f t="shared" si="2"/>
        <v>0.35397344809729692</v>
      </c>
      <c r="K47" s="188" t="str">
        <f>'[2]I-15 SB'!P47</f>
        <v>PeMS2016</v>
      </c>
      <c r="L47" s="148">
        <f t="shared" si="3"/>
        <v>55514228.543640591</v>
      </c>
      <c r="M47" s="44"/>
    </row>
    <row r="48" spans="1:13" ht="15" customHeight="1" x14ac:dyDescent="0.25">
      <c r="A48" s="43">
        <f>'[2]I-15 SB'!C48</f>
        <v>9</v>
      </c>
      <c r="B48" s="43" t="str">
        <f>'[2]I-15 SB'!H48</f>
        <v>I-15 SB</v>
      </c>
      <c r="C48" s="43">
        <f>'[2]I-15 SB'!E48</f>
        <v>9338</v>
      </c>
      <c r="D48" s="188">
        <f>'[2]I-15 SB'!I48</f>
        <v>81</v>
      </c>
      <c r="E48" s="189">
        <f>'[2]I-15 SB'!J48</f>
        <v>0</v>
      </c>
      <c r="F48" s="189" t="str">
        <f>'[2]I-15 SB'!K48</f>
        <v>BALBOA</v>
      </c>
      <c r="G48" s="189" t="str">
        <f>'[2]I-15 SB'!L48</f>
        <v>AERO</v>
      </c>
      <c r="H48" s="51">
        <f>'[2]I-15 SB'!O48</f>
        <v>26635</v>
      </c>
      <c r="I48" s="198">
        <f>VLOOKUP(c_9[[#This Row],[hwycov_id]],readme!D:G,4,FALSE)</f>
        <v>32959.472655999998</v>
      </c>
      <c r="J48" s="206">
        <f t="shared" si="2"/>
        <v>0.23744969611413547</v>
      </c>
      <c r="K48" s="188" t="str">
        <f>'[2]I-15 SB'!P48</f>
        <v>PeMS2016</v>
      </c>
      <c r="L48" s="148">
        <f t="shared" si="3"/>
        <v>39998954.376491673</v>
      </c>
      <c r="M48" s="44"/>
    </row>
    <row r="49" spans="1:13" ht="15" customHeight="1" x14ac:dyDescent="0.25">
      <c r="A49" s="43">
        <f>'[2]I-15 SB'!C49</f>
        <v>9</v>
      </c>
      <c r="B49" s="43" t="str">
        <f>'[2]I-15 SB'!H49</f>
        <v>I-15 SB</v>
      </c>
      <c r="C49" s="43">
        <f>'[2]I-15 SB'!E49</f>
        <v>9335</v>
      </c>
      <c r="D49" s="188">
        <f>'[2]I-15 SB'!I49</f>
        <v>82</v>
      </c>
      <c r="E49" s="189">
        <f>'[2]I-15 SB'!J49</f>
        <v>0</v>
      </c>
      <c r="F49" s="189" t="str">
        <f>'[2]I-15 SB'!K49</f>
        <v>AERO</v>
      </c>
      <c r="G49" s="189" t="str">
        <f>'[2]I-15 SB'!L49</f>
        <v>AERO</v>
      </c>
      <c r="H49" s="51">
        <f>'[2]I-15 SB'!O49</f>
        <v>26697</v>
      </c>
      <c r="I49" s="198">
        <f>VLOOKUP(c_9[[#This Row],[hwycov_id]],readme!D:G,4,FALSE)</f>
        <v>30784.339843999998</v>
      </c>
      <c r="J49" s="206">
        <f t="shared" si="2"/>
        <v>0.15310109165823871</v>
      </c>
      <c r="K49" s="188" t="str">
        <f>'[2]I-15 SB'!P49</f>
        <v>PeMS2016</v>
      </c>
      <c r="L49" s="148">
        <f t="shared" si="3"/>
        <v>16706347.00034993</v>
      </c>
      <c r="M49" s="44"/>
    </row>
    <row r="50" spans="1:13" ht="15" customHeight="1" x14ac:dyDescent="0.25">
      <c r="A50" s="43">
        <f>'[2]I-15 SB'!C50</f>
        <v>9</v>
      </c>
      <c r="B50" s="43" t="str">
        <f>'[2]I-15 SB'!H50</f>
        <v>I-15 SB</v>
      </c>
      <c r="C50" s="43">
        <f>'[2]I-15 SB'!E50</f>
        <v>9330</v>
      </c>
      <c r="D50" s="188">
        <f>'[2]I-15 SB'!I50</f>
        <v>83</v>
      </c>
      <c r="E50" s="189">
        <f>'[2]I-15 SB'!J50</f>
        <v>0</v>
      </c>
      <c r="F50" s="189" t="str">
        <f>'[2]I-15 SB'!K50</f>
        <v>STONECREST</v>
      </c>
      <c r="G50" s="189" t="str">
        <f>'[2]I-15 SB'!L50</f>
        <v>STONECREST</v>
      </c>
      <c r="H50" s="51">
        <f>'[2]I-15 SB'!O50</f>
        <v>29803</v>
      </c>
      <c r="I50" s="198">
        <f>VLOOKUP(c_9[[#This Row],[hwycov_id]],readme!D:G,4,FALSE)</f>
        <v>35017.234375</v>
      </c>
      <c r="J50" s="206">
        <f t="shared" si="2"/>
        <v>0.17495669479582587</v>
      </c>
      <c r="K50" s="188" t="str">
        <f>'[2]I-15 SB'!P50</f>
        <v>PeMS2016</v>
      </c>
      <c r="L50" s="148">
        <f t="shared" si="3"/>
        <v>27188240.117431641</v>
      </c>
      <c r="M50" s="44"/>
    </row>
    <row r="51" spans="1:13" ht="15" customHeight="1" x14ac:dyDescent="0.25">
      <c r="A51" s="43">
        <f>'[2]I-15 SB'!C51</f>
        <v>9</v>
      </c>
      <c r="B51" s="43" t="str">
        <f>'[2]I-15 SB'!H51</f>
        <v>I-15 SB</v>
      </c>
      <c r="C51" s="43">
        <f>'[2]I-15 SB'!E51</f>
        <v>15768</v>
      </c>
      <c r="D51" s="188">
        <f>'[2]I-15 SB'!I51</f>
        <v>85</v>
      </c>
      <c r="E51" s="189">
        <f>'[2]I-15 SB'!J51</f>
        <v>0</v>
      </c>
      <c r="F51" s="189" t="str">
        <f>'[2]I-15 SB'!K51</f>
        <v>FRIARS</v>
      </c>
      <c r="G51" s="189" t="str">
        <f>'[2]I-15 SB'!L51</f>
        <v>FRIARS</v>
      </c>
      <c r="H51" s="51">
        <f>'[2]I-15 SB'!O51</f>
        <v>28304</v>
      </c>
      <c r="I51" s="198">
        <f>VLOOKUP(c_9[[#This Row],[hwycov_id]],readme!D:G,4,FALSE)</f>
        <v>31958.804688</v>
      </c>
      <c r="J51" s="206">
        <f t="shared" si="2"/>
        <v>0.12912679084228373</v>
      </c>
      <c r="K51" s="188" t="str">
        <f>'[2]I-15 SB'!P51</f>
        <v>PeMS2016</v>
      </c>
      <c r="L51" s="148">
        <f t="shared" si="3"/>
        <v>13357597.307426779</v>
      </c>
      <c r="M51" s="44"/>
    </row>
    <row r="52" spans="1:13" ht="15" customHeight="1" x14ac:dyDescent="0.25">
      <c r="A52" s="43">
        <f>'[2]I-15 SB'!C52</f>
        <v>9</v>
      </c>
      <c r="B52" s="43" t="str">
        <f>'[2]I-15 SB'!H52</f>
        <v>I-15 SB</v>
      </c>
      <c r="C52" s="43">
        <f>'[2]I-15 SB'!E52</f>
        <v>16570</v>
      </c>
      <c r="D52" s="188">
        <f>'[2]I-15 SB'!I52</f>
        <v>86</v>
      </c>
      <c r="E52" s="189">
        <f>'[2]I-15 SB'!J52</f>
        <v>0</v>
      </c>
      <c r="F52" s="189" t="str">
        <f>'[2]I-15 SB'!K52</f>
        <v>FRIARS</v>
      </c>
      <c r="G52" s="189" t="str">
        <f>'[2]I-15 SB'!L52</f>
        <v>I-8 WB</v>
      </c>
      <c r="H52" s="51">
        <f>'[2]I-15 SB'!O52</f>
        <v>30787</v>
      </c>
      <c r="I52" s="198">
        <f>VLOOKUP(c_9[[#This Row],[hwycov_id]],readme!D:G,4,FALSE)</f>
        <v>34693.183594000002</v>
      </c>
      <c r="J52" s="206">
        <f t="shared" si="2"/>
        <v>0.12687769493617451</v>
      </c>
      <c r="K52" s="188" t="str">
        <f>'[2]I-15 SB'!P52</f>
        <v>Caltran</v>
      </c>
      <c r="L52" s="148">
        <f t="shared" si="3"/>
        <v>15258270.270034771</v>
      </c>
      <c r="M52" s="44"/>
    </row>
    <row r="53" spans="1:13" ht="15" customHeight="1" x14ac:dyDescent="0.25">
      <c r="A53" s="43">
        <f>'[2]I-15 SB'!C53</f>
        <v>9</v>
      </c>
      <c r="B53" s="43" t="str">
        <f>'[2]I-15 SB'!H53</f>
        <v>I-15 SB</v>
      </c>
      <c r="C53" s="43">
        <f>'[2]I-15 SB'!E53</f>
        <v>16761</v>
      </c>
      <c r="D53" s="188">
        <f>'[2]I-15 SB'!I53</f>
        <v>90</v>
      </c>
      <c r="E53" s="189">
        <f>'[2]I-15 SB'!J53</f>
        <v>0</v>
      </c>
      <c r="F53" s="189" t="str">
        <f>'[2]I-15 SB'!K53</f>
        <v>I-8 WB</v>
      </c>
      <c r="G53" s="189" t="str">
        <f>'[2]I-15 SB'!L53</f>
        <v>I-8 WB</v>
      </c>
      <c r="H53" s="51">
        <f>'[2]I-15 SB'!O53</f>
        <v>17524</v>
      </c>
      <c r="I53" s="198">
        <f>VLOOKUP(c_9[[#This Row],[hwycov_id]],readme!D:G,4,FALSE)</f>
        <v>19930.167968999998</v>
      </c>
      <c r="J53" s="206">
        <f t="shared" si="2"/>
        <v>0.13730700576352417</v>
      </c>
      <c r="K53" s="188" t="str">
        <f>'[2]I-15 SB'!P53</f>
        <v>PeMS2016</v>
      </c>
      <c r="L53" s="148">
        <f t="shared" si="3"/>
        <v>5789644.295041577</v>
      </c>
      <c r="M53" s="44"/>
    </row>
    <row r="54" spans="1:13" ht="15" customHeight="1" x14ac:dyDescent="0.25">
      <c r="A54" s="43">
        <f>'[2]I-15 SB'!C54</f>
        <v>9</v>
      </c>
      <c r="B54" s="43" t="str">
        <f>'[2]I-15 SB'!H54</f>
        <v>I-15 SB</v>
      </c>
      <c r="C54" s="43">
        <f>'[2]I-15 SB'!E54</f>
        <v>8933</v>
      </c>
      <c r="D54" s="188">
        <f>'[2]I-15 SB'!I54</f>
        <v>93</v>
      </c>
      <c r="E54" s="189">
        <f>'[2]I-15 SB'!J54</f>
        <v>0</v>
      </c>
      <c r="F54" s="189" t="str">
        <f>'[2]I-15 SB'!K54</f>
        <v>I-8 EB</v>
      </c>
      <c r="G54" s="189" t="str">
        <f>'[2]I-15 SB'!L54</f>
        <v>ADAMS</v>
      </c>
      <c r="H54" s="51">
        <f>'[2]I-15 SB'!O54</f>
        <v>25927</v>
      </c>
      <c r="I54" s="198">
        <f>VLOOKUP(c_9[[#This Row],[hwycov_id]],readme!D:G,4,FALSE)</f>
        <v>30509.046875</v>
      </c>
      <c r="J54" s="206">
        <f t="shared" si="2"/>
        <v>0.17672877212944038</v>
      </c>
      <c r="K54" s="188" t="str">
        <f>'[2]I-15 SB'!P54</f>
        <v>Caltran</v>
      </c>
      <c r="L54" s="148">
        <f t="shared" si="3"/>
        <v>20995153.564697266</v>
      </c>
      <c r="M54" s="44"/>
    </row>
    <row r="55" spans="1:13" ht="15" customHeight="1" x14ac:dyDescent="0.25">
      <c r="A55" s="43">
        <f>'[2]I-15 SB'!C55</f>
        <v>9</v>
      </c>
      <c r="B55" s="43" t="str">
        <f>'[2]I-15 SB'!H55</f>
        <v>I-15 SB</v>
      </c>
      <c r="C55" s="43">
        <f>'[2]I-15 SB'!E55</f>
        <v>8968</v>
      </c>
      <c r="D55" s="188">
        <f>'[2]I-15 SB'!I55</f>
        <v>95</v>
      </c>
      <c r="E55" s="189">
        <f>'[2]I-15 SB'!J55</f>
        <v>0</v>
      </c>
      <c r="F55" s="189" t="str">
        <f>'[2]I-15 SB'!K55</f>
        <v>ADAMS</v>
      </c>
      <c r="G55" s="189" t="str">
        <f>'[2]I-15 SB'!L55</f>
        <v>ADAMS</v>
      </c>
      <c r="H55" s="51">
        <f>'[2]I-15 SB'!O55</f>
        <v>21780</v>
      </c>
      <c r="I55" s="198">
        <f>VLOOKUP(c_9[[#This Row],[hwycov_id]],readme!D:G,4,FALSE)</f>
        <v>25798.265625</v>
      </c>
      <c r="J55" s="206">
        <f t="shared" si="2"/>
        <v>0.18449337121212128</v>
      </c>
      <c r="K55" s="188" t="str">
        <f>'[2]I-15 SB'!P55</f>
        <v>PeMS2016</v>
      </c>
      <c r="L55" s="148">
        <f t="shared" si="3"/>
        <v>16146458.633056641</v>
      </c>
      <c r="M55" s="44"/>
    </row>
    <row r="56" spans="1:13" ht="15" customHeight="1" x14ac:dyDescent="0.25">
      <c r="A56" s="43">
        <f>'[2]I-15 SB'!C56</f>
        <v>9</v>
      </c>
      <c r="B56" s="43" t="str">
        <f>'[2]I-15 SB'!H56</f>
        <v>I-15 SB</v>
      </c>
      <c r="C56" s="43">
        <f>'[2]I-15 SB'!E56</f>
        <v>20463</v>
      </c>
      <c r="D56" s="188">
        <f>'[2]I-15 SB'!I56</f>
        <v>3</v>
      </c>
      <c r="E56" s="189">
        <f>'[2]I-15 SB'!J56</f>
        <v>0</v>
      </c>
      <c r="F56" s="189" t="str">
        <f>'[2]I-15 SB'!K56</f>
        <v>EL CAJON</v>
      </c>
      <c r="G56" s="189" t="str">
        <f>'[2]I-15 SB'!L56</f>
        <v>UNIVERSITY</v>
      </c>
      <c r="H56" s="51">
        <f>'[2]I-15 SB'!O56</f>
        <v>20069</v>
      </c>
      <c r="I56" s="198">
        <f>VLOOKUP(c_9[[#This Row],[hwycov_id]],readme!D:G,4,FALSE)</f>
        <v>20716.410156000002</v>
      </c>
      <c r="J56" s="206">
        <f t="shared" si="2"/>
        <v>3.2259213513379015E-2</v>
      </c>
      <c r="K56" s="188" t="str">
        <f>'[2]I-15 SB'!P56</f>
        <v>PeMS2016</v>
      </c>
      <c r="L56" s="148">
        <f t="shared" si="3"/>
        <v>419139.9100919466</v>
      </c>
      <c r="M56" s="44"/>
    </row>
    <row r="57" spans="1:13" ht="15" customHeight="1" x14ac:dyDescent="0.25">
      <c r="A57" s="43">
        <f>'[2]I-15 SB'!C57</f>
        <v>9</v>
      </c>
      <c r="B57" s="43" t="str">
        <f>'[2]I-15 SB'!H57</f>
        <v>I-15 SB</v>
      </c>
      <c r="C57" s="43">
        <f>'[2]I-15 SB'!E57</f>
        <v>8955</v>
      </c>
      <c r="D57" s="188">
        <f>'[2]I-15 SB'!I57</f>
        <v>4</v>
      </c>
      <c r="E57" s="189">
        <f>'[2]I-15 SB'!J57</f>
        <v>0</v>
      </c>
      <c r="F57" s="189">
        <f>'[2]I-15 SB'!K57</f>
        <v>0</v>
      </c>
      <c r="G57" s="189" t="str">
        <f>'[2]I-15 SB'!L57</f>
        <v>UNIVERSITY</v>
      </c>
      <c r="H57" s="51">
        <f>'[2]I-15 SB'!O57</f>
        <v>16611</v>
      </c>
      <c r="I57" s="198">
        <f>VLOOKUP(c_9[[#This Row],[hwycov_id]],readme!D:G,4,FALSE)</f>
        <v>22213.375</v>
      </c>
      <c r="J57" s="206">
        <f t="shared" si="2"/>
        <v>0.33726897838781533</v>
      </c>
      <c r="K57" s="188" t="str">
        <f>'[2]I-15 SB'!P57</f>
        <v>PeMS2016</v>
      </c>
      <c r="L57" s="148">
        <f t="shared" si="3"/>
        <v>31386605.640625</v>
      </c>
      <c r="M57" s="44"/>
    </row>
    <row r="58" spans="1:13" ht="15" customHeight="1" x14ac:dyDescent="0.25">
      <c r="A58" s="43">
        <f>'[2]I-15 SB'!C58</f>
        <v>9</v>
      </c>
      <c r="B58" s="43" t="str">
        <f>'[2]I-15 SB'!H58</f>
        <v>I-15 SB</v>
      </c>
      <c r="C58" s="43">
        <f>'[2]I-15 SB'!E58</f>
        <v>8938</v>
      </c>
      <c r="D58" s="188">
        <f>'[2]I-15 SB'!I58</f>
        <v>6</v>
      </c>
      <c r="E58" s="189">
        <f>'[2]I-15 SB'!J58</f>
        <v>0</v>
      </c>
      <c r="F58" s="189" t="str">
        <f>'[2]I-15 SB'!K58</f>
        <v>40TH</v>
      </c>
      <c r="G58" s="189" t="str">
        <f>'[2]I-15 SB'!L58</f>
        <v>I-805 SB</v>
      </c>
      <c r="H58" s="51">
        <f>'[2]I-15 SB'!O58</f>
        <v>21035</v>
      </c>
      <c r="I58" s="198">
        <f>VLOOKUP(c_9[[#This Row],[hwycov_id]],readme!D:G,4,FALSE)</f>
        <v>23700.261718999998</v>
      </c>
      <c r="J58" s="206">
        <f t="shared" si="2"/>
        <v>0.12670604796767293</v>
      </c>
      <c r="K58" s="188" t="str">
        <f>'[2]I-15 SB'!P58</f>
        <v>PeMS2016</v>
      </c>
      <c r="L58" s="148">
        <f t="shared" si="3"/>
        <v>7103620.0307668261</v>
      </c>
      <c r="M58" s="44"/>
    </row>
    <row r="59" spans="1:13" ht="15" customHeight="1" x14ac:dyDescent="0.25">
      <c r="A59" s="43">
        <f>'[2]I-15 SB'!C59</f>
        <v>9</v>
      </c>
      <c r="B59" s="43" t="str">
        <f>'[2]I-15 SB'!H59</f>
        <v>I-15 SB</v>
      </c>
      <c r="C59" s="43">
        <f>'[2]I-15 SB'!E59</f>
        <v>22757</v>
      </c>
      <c r="D59" s="188">
        <f>'[2]I-15 SB'!I59</f>
        <v>7</v>
      </c>
      <c r="E59" s="189">
        <f>'[2]I-15 SB'!J59</f>
        <v>0</v>
      </c>
      <c r="F59" s="189" t="str">
        <f>'[2]I-15 SB'!K59</f>
        <v>I-805 SB</v>
      </c>
      <c r="G59" s="189" t="str">
        <f>'[2]I-15 SB'!L59</f>
        <v>I-805 SB</v>
      </c>
      <c r="H59" s="51">
        <f>'[2]I-15 SB'!O59</f>
        <v>13241</v>
      </c>
      <c r="I59" s="198">
        <f>VLOOKUP(c_9[[#This Row],[hwycov_id]],readme!D:G,4,FALSE)</f>
        <v>10274.478515999999</v>
      </c>
      <c r="J59" s="206">
        <f t="shared" si="2"/>
        <v>-0.22404059240238661</v>
      </c>
      <c r="K59" s="188" t="str">
        <f>'[2]I-15 SB'!P59</f>
        <v>PeMS2016</v>
      </c>
      <c r="L59" s="148">
        <f t="shared" si="3"/>
        <v>8800249.7150335666</v>
      </c>
      <c r="M59" s="44"/>
    </row>
    <row r="60" spans="1:13" ht="15" customHeight="1" x14ac:dyDescent="0.25">
      <c r="A60" s="43">
        <f>'[2]I-15 SB'!C60</f>
        <v>9</v>
      </c>
      <c r="B60" s="43" t="str">
        <f>'[2]I-15 SB'!H60</f>
        <v>I-15 SB</v>
      </c>
      <c r="C60" s="43">
        <f>'[2]I-15 SB'!E60</f>
        <v>15917</v>
      </c>
      <c r="D60" s="188">
        <f>'[2]I-15 SB'!I60</f>
        <v>8</v>
      </c>
      <c r="E60" s="189">
        <f>'[2]I-15 SB'!J60</f>
        <v>0</v>
      </c>
      <c r="F60" s="189" t="str">
        <f>'[2]I-15 SB'!K60</f>
        <v>I-805 SB</v>
      </c>
      <c r="G60" s="189" t="str">
        <f>'[2]I-15 SB'!L60</f>
        <v>I-805 SB</v>
      </c>
      <c r="H60" s="51">
        <f>'[2]I-15 SB'!O60</f>
        <v>13241</v>
      </c>
      <c r="I60" s="198">
        <f>VLOOKUP(c_9[[#This Row],[hwycov_id]],readme!D:G,4,FALSE)</f>
        <v>10274.478515999999</v>
      </c>
      <c r="J60" s="206">
        <f t="shared" si="2"/>
        <v>-0.22404059240238661</v>
      </c>
      <c r="K60" s="188" t="str">
        <f>'[2]I-15 SB'!P60</f>
        <v>PeMS2016</v>
      </c>
      <c r="L60" s="148">
        <f t="shared" si="3"/>
        <v>8800249.7150335666</v>
      </c>
      <c r="M60" s="44"/>
    </row>
    <row r="61" spans="1:13" ht="15" customHeight="1" x14ac:dyDescent="0.25">
      <c r="A61" s="43">
        <f>'[2]I-15 SB'!C61</f>
        <v>9</v>
      </c>
      <c r="B61" s="43" t="str">
        <f>'[2]I-15 SB'!H61</f>
        <v>I-15 SB</v>
      </c>
      <c r="C61" s="43">
        <f>'[2]I-15 SB'!E61</f>
        <v>15914</v>
      </c>
      <c r="D61" s="188">
        <f>'[2]I-15 SB'!I61</f>
        <v>9</v>
      </c>
      <c r="E61" s="189">
        <f>'[2]I-15 SB'!J61</f>
        <v>0</v>
      </c>
      <c r="F61" s="189" t="str">
        <f>'[2]I-15 SB'!K61</f>
        <v>I-805 SB</v>
      </c>
      <c r="G61" s="189" t="str">
        <f>'[2]I-15 SB'!L61</f>
        <v>SR-94 WB</v>
      </c>
      <c r="H61" s="51">
        <f>'[2]I-15 SB'!O61</f>
        <v>17883</v>
      </c>
      <c r="I61" s="198">
        <f>VLOOKUP(c_9[[#This Row],[hwycov_id]],readme!D:G,4,FALSE)</f>
        <v>16453.330077999999</v>
      </c>
      <c r="J61" s="206">
        <f t="shared" si="2"/>
        <v>-7.9945754179947537E-2</v>
      </c>
      <c r="K61" s="188" t="str">
        <f>'[2]I-15 SB'!P61</f>
        <v>PeMS2016</v>
      </c>
      <c r="L61" s="148">
        <f t="shared" si="3"/>
        <v>2043956.0858714888</v>
      </c>
      <c r="M61" s="44"/>
    </row>
    <row r="62" spans="1:13" ht="15" customHeight="1" x14ac:dyDescent="0.25">
      <c r="A62" s="43">
        <f>'[2]I-15 SB'!C62</f>
        <v>9</v>
      </c>
      <c r="B62" s="43" t="str">
        <f>'[2]I-15 SB'!H62</f>
        <v>I-15 SB</v>
      </c>
      <c r="C62" s="43">
        <f>'[2]I-15 SB'!E62</f>
        <v>1173</v>
      </c>
      <c r="D62" s="188">
        <f>'[2]I-15 SB'!I62</f>
        <v>12</v>
      </c>
      <c r="E62" s="189">
        <f>'[2]I-15 SB'!J62</f>
        <v>0</v>
      </c>
      <c r="F62" s="189" t="str">
        <f>'[2]I-15 SB'!K62</f>
        <v>SR-94 EB</v>
      </c>
      <c r="G62" s="189" t="str">
        <f>'[2]I-15 SB'!L62</f>
        <v>MARKET</v>
      </c>
      <c r="H62" s="51">
        <f>'[2]I-15 SB'!O62</f>
        <v>17864</v>
      </c>
      <c r="I62" s="198">
        <f>VLOOKUP(c_9[[#This Row],[hwycov_id]],readme!D:G,4,FALSE)</f>
        <v>17153.404297000001</v>
      </c>
      <c r="J62" s="206">
        <f t="shared" si="2"/>
        <v>-3.9778084583519835E-2</v>
      </c>
      <c r="K62" s="188" t="str">
        <f>'[2]I-15 SB'!P62</f>
        <v>Caltran</v>
      </c>
      <c r="L62" s="148">
        <f t="shared" si="3"/>
        <v>504946.25312206283</v>
      </c>
      <c r="M62" s="44"/>
    </row>
    <row r="63" spans="1:13" ht="15" customHeight="1" x14ac:dyDescent="0.25">
      <c r="A63" s="43">
        <f>'[2]I-15 SB'!C63</f>
        <v>9</v>
      </c>
      <c r="B63" s="43" t="str">
        <f>'[2]I-15 SB'!H63</f>
        <v>I-15 SB</v>
      </c>
      <c r="C63" s="43">
        <f>'[2]I-15 SB'!E63</f>
        <v>28417</v>
      </c>
      <c r="D63" s="188">
        <f>'[2]I-15 SB'!I63</f>
        <v>16</v>
      </c>
      <c r="E63" s="189">
        <f>'[2]I-15 SB'!J63</f>
        <v>0</v>
      </c>
      <c r="F63" s="189" t="str">
        <f>'[2]I-15 SB'!K63</f>
        <v>IMPERIAL</v>
      </c>
      <c r="G63" s="189" t="str">
        <f>'[2]I-15 SB'!L63</f>
        <v>IMPERIAL</v>
      </c>
      <c r="H63" s="51">
        <f>'[2]I-15 SB'!O63</f>
        <v>16528</v>
      </c>
      <c r="I63" s="198">
        <f>VLOOKUP(c_9[[#This Row],[hwycov_id]],readme!D:G,4,FALSE)</f>
        <v>16870.421875</v>
      </c>
      <c r="J63" s="206">
        <f t="shared" si="2"/>
        <v>2.0717683627783146E-2</v>
      </c>
      <c r="K63" s="188" t="str">
        <f>'[2]I-15 SB'!P63</f>
        <v>PeMS2016</v>
      </c>
      <c r="L63" s="148">
        <f t="shared" si="3"/>
        <v>117252.74047851563</v>
      </c>
      <c r="M63" s="44"/>
    </row>
    <row r="64" spans="1:13" ht="15" customHeight="1" x14ac:dyDescent="0.25">
      <c r="A64" s="43">
        <f>'[2]I-15 SB'!C64</f>
        <v>9</v>
      </c>
      <c r="B64" s="43" t="str">
        <f>'[2]I-15 SB'!H64</f>
        <v>I-15 SB</v>
      </c>
      <c r="C64" s="43">
        <f>'[2]I-15 SB'!E64</f>
        <v>579</v>
      </c>
      <c r="D64" s="188">
        <f>'[2]I-15 SB'!I64</f>
        <v>18</v>
      </c>
      <c r="E64" s="189">
        <f>'[2]I-15 SB'!J64</f>
        <v>0</v>
      </c>
      <c r="F64" s="189" t="str">
        <f>'[2]I-15 SB'!K64</f>
        <v>OCEAN VIEW</v>
      </c>
      <c r="G64" s="189" t="str">
        <f>'[2]I-15 SB'!L64</f>
        <v>I-5 SB</v>
      </c>
      <c r="H64" s="51">
        <f>'[2]I-15 SB'!O64</f>
        <v>14033</v>
      </c>
      <c r="I64" s="198">
        <f>VLOOKUP(c_9[[#This Row],[hwycov_id]],readme!D:G,4,FALSE)</f>
        <v>15734.662109000001</v>
      </c>
      <c r="J64" s="206">
        <f t="shared" si="2"/>
        <v>0.12126146290885775</v>
      </c>
      <c r="K64" s="188" t="str">
        <f>'[2]I-15 SB'!P64</f>
        <v>Caltran</v>
      </c>
      <c r="L64" s="148">
        <f t="shared" si="3"/>
        <v>2895653.9332063305</v>
      </c>
      <c r="M64" s="44"/>
    </row>
    <row r="65" spans="1:13" ht="15" customHeight="1" x14ac:dyDescent="0.25">
      <c r="A65" s="43"/>
      <c r="B65" s="43"/>
      <c r="C65" s="43"/>
      <c r="D65" s="188"/>
      <c r="E65" s="189"/>
      <c r="F65" s="189"/>
      <c r="G65" s="189"/>
      <c r="H65" s="51"/>
      <c r="I65" s="198"/>
      <c r="K65" s="188"/>
      <c r="L65" s="148"/>
      <c r="M65" s="44"/>
    </row>
    <row r="66" spans="1:13" ht="15" customHeight="1" x14ac:dyDescent="0.25">
      <c r="A66" s="43"/>
      <c r="B66" s="43"/>
      <c r="C66" s="43"/>
      <c r="D66" s="188"/>
      <c r="E66" s="189"/>
      <c r="F66" s="189"/>
      <c r="G66" s="189"/>
      <c r="H66" s="51"/>
      <c r="I66" s="198"/>
      <c r="K66" s="188"/>
      <c r="L66" s="148"/>
      <c r="M66" s="44"/>
    </row>
    <row r="67" spans="1:13" ht="15" customHeight="1" x14ac:dyDescent="0.25">
      <c r="A67" s="43"/>
      <c r="B67" s="43"/>
      <c r="C67" s="43"/>
      <c r="D67" s="188"/>
      <c r="E67" s="189"/>
      <c r="F67" s="189"/>
      <c r="G67" s="189"/>
      <c r="H67" s="51"/>
      <c r="I67" s="198"/>
      <c r="K67" s="188"/>
      <c r="L67" s="148"/>
      <c r="M67" s="44"/>
    </row>
    <row r="68" spans="1:13" ht="15" customHeight="1" x14ac:dyDescent="0.25">
      <c r="A68" s="43"/>
      <c r="B68" s="43"/>
      <c r="C68" s="43"/>
      <c r="D68" s="188"/>
      <c r="E68" s="189"/>
      <c r="F68" s="189"/>
      <c r="G68" s="189"/>
      <c r="H68" s="51"/>
      <c r="I68" s="198"/>
      <c r="K68" s="188"/>
      <c r="L68" s="148"/>
      <c r="M68" s="44"/>
    </row>
    <row r="69" spans="1:13" ht="15" customHeight="1" x14ac:dyDescent="0.25">
      <c r="A69" s="43"/>
      <c r="B69" s="43"/>
      <c r="C69" s="43"/>
      <c r="D69" s="188"/>
      <c r="E69" s="189"/>
      <c r="F69" s="189"/>
      <c r="G69" s="189"/>
      <c r="H69" s="51"/>
      <c r="I69" s="198"/>
      <c r="K69" s="188"/>
      <c r="L69" s="148"/>
      <c r="M69" s="44"/>
    </row>
    <row r="70" spans="1:13" ht="15" customHeight="1" x14ac:dyDescent="0.25">
      <c r="A70" s="43"/>
      <c r="B70" s="43"/>
      <c r="C70" s="43"/>
      <c r="D70" s="188"/>
      <c r="E70" s="189"/>
      <c r="F70" s="189"/>
      <c r="G70" s="189"/>
      <c r="H70" s="51"/>
      <c r="I70" s="198"/>
      <c r="K70" s="188"/>
      <c r="L70" s="148"/>
      <c r="M70" s="44"/>
    </row>
    <row r="71" spans="1:13" ht="15" customHeight="1" x14ac:dyDescent="0.25">
      <c r="A71" s="43"/>
      <c r="B71" s="43"/>
      <c r="C71" s="43"/>
      <c r="D71" s="188"/>
      <c r="E71" s="189"/>
      <c r="F71" s="189"/>
      <c r="G71" s="189"/>
      <c r="H71" s="51"/>
      <c r="I71" s="198"/>
      <c r="K71" s="188"/>
      <c r="L71" s="148"/>
      <c r="M71" s="44"/>
    </row>
    <row r="72" spans="1:13" ht="15" customHeight="1" x14ac:dyDescent="0.25">
      <c r="A72" s="43"/>
      <c r="B72" s="43"/>
      <c r="C72" s="43"/>
      <c r="D72" s="188"/>
      <c r="E72" s="189"/>
      <c r="F72" s="189"/>
      <c r="G72" s="189"/>
      <c r="H72" s="51"/>
      <c r="I72" s="198"/>
      <c r="K72" s="188"/>
      <c r="L72" s="148"/>
      <c r="M72" s="44"/>
    </row>
    <row r="73" spans="1:13" ht="15" customHeight="1" x14ac:dyDescent="0.25">
      <c r="A73" s="43"/>
      <c r="B73" s="43"/>
      <c r="C73" s="43"/>
      <c r="D73" s="188"/>
      <c r="E73" s="189"/>
      <c r="F73" s="189"/>
      <c r="G73" s="189"/>
      <c r="H73" s="51"/>
      <c r="I73" s="198"/>
      <c r="K73" s="188"/>
      <c r="L73" s="148"/>
      <c r="M73" s="44"/>
    </row>
    <row r="74" spans="1:13" ht="15" customHeight="1" x14ac:dyDescent="0.25">
      <c r="A74" s="43"/>
      <c r="B74" s="43"/>
      <c r="C74" s="43"/>
      <c r="D74" s="188"/>
      <c r="E74" s="189"/>
      <c r="F74" s="189"/>
      <c r="G74" s="189"/>
      <c r="H74" s="51"/>
      <c r="I74" s="198"/>
      <c r="K74" s="188"/>
      <c r="L74" s="148"/>
      <c r="M74" s="44"/>
    </row>
    <row r="75" spans="1:13" ht="15" customHeight="1" x14ac:dyDescent="0.25">
      <c r="A75" s="43"/>
      <c r="B75" s="43"/>
      <c r="C75" s="43"/>
      <c r="D75" s="188"/>
      <c r="E75" s="189"/>
      <c r="F75" s="189"/>
      <c r="G75" s="189"/>
      <c r="H75" s="51"/>
      <c r="I75" s="198"/>
      <c r="K75" s="188"/>
      <c r="L75" s="148"/>
      <c r="M75" s="44"/>
    </row>
    <row r="76" spans="1:13" ht="15" customHeight="1" x14ac:dyDescent="0.25">
      <c r="A76" s="43"/>
      <c r="B76" s="43"/>
      <c r="C76" s="43"/>
      <c r="D76" s="188"/>
      <c r="E76" s="189"/>
      <c r="F76" s="189"/>
      <c r="G76" s="189"/>
      <c r="H76" s="51"/>
      <c r="I76" s="198"/>
      <c r="K76" s="188"/>
      <c r="L76" s="148"/>
      <c r="M76" s="44"/>
    </row>
    <row r="77" spans="1:13" ht="15" customHeight="1" x14ac:dyDescent="0.25">
      <c r="A77" s="43"/>
      <c r="B77" s="43"/>
      <c r="C77" s="43"/>
      <c r="D77" s="188"/>
      <c r="E77" s="189"/>
      <c r="F77" s="189"/>
      <c r="G77" s="189"/>
      <c r="H77" s="51"/>
      <c r="I77" s="198"/>
      <c r="K77" s="188"/>
      <c r="L77" s="148"/>
      <c r="M77" s="44"/>
    </row>
    <row r="78" spans="1:13" ht="15" customHeight="1" x14ac:dyDescent="0.25">
      <c r="A78" s="43"/>
      <c r="B78" s="43"/>
      <c r="C78" s="43"/>
      <c r="D78" s="188"/>
      <c r="E78" s="189"/>
      <c r="F78" s="189"/>
      <c r="G78" s="189"/>
      <c r="H78" s="51"/>
      <c r="I78" s="198"/>
      <c r="K78" s="188"/>
      <c r="L78" s="148"/>
      <c r="M78" s="44"/>
    </row>
    <row r="79" spans="1:13" ht="15" customHeight="1" x14ac:dyDescent="0.25">
      <c r="A79" s="43"/>
      <c r="B79" s="43"/>
      <c r="C79" s="43"/>
      <c r="D79" s="188"/>
      <c r="E79" s="189"/>
      <c r="F79" s="189"/>
      <c r="G79" s="189"/>
      <c r="H79" s="51"/>
      <c r="I79" s="198"/>
      <c r="K79" s="188"/>
      <c r="L79" s="148"/>
      <c r="M79" s="44"/>
    </row>
    <row r="80" spans="1:13" ht="15" customHeight="1" x14ac:dyDescent="0.25">
      <c r="A80" s="43"/>
      <c r="B80" s="43"/>
      <c r="C80" s="43"/>
      <c r="D80" s="188"/>
      <c r="E80" s="189"/>
      <c r="F80" s="189"/>
      <c r="G80" s="189"/>
      <c r="H80" s="51"/>
      <c r="I80" s="198"/>
      <c r="K80" s="188"/>
      <c r="L80" s="148"/>
    </row>
    <row r="81" spans="1:12" ht="15" customHeight="1" x14ac:dyDescent="0.25">
      <c r="A81" s="43"/>
      <c r="B81" s="43"/>
      <c r="C81" s="43"/>
      <c r="D81" s="188"/>
      <c r="E81" s="189"/>
      <c r="F81" s="189"/>
      <c r="G81" s="189"/>
      <c r="H81" s="51"/>
      <c r="I81" s="198"/>
      <c r="K81" s="188"/>
      <c r="L81" s="148"/>
    </row>
    <row r="82" spans="1:12" ht="15" customHeight="1" x14ac:dyDescent="0.25">
      <c r="A82" s="43"/>
      <c r="B82" s="43"/>
      <c r="C82" s="43"/>
      <c r="D82" s="188"/>
      <c r="E82" s="189"/>
      <c r="F82" s="189"/>
      <c r="G82" s="189"/>
      <c r="H82" s="51"/>
      <c r="I82" s="198"/>
      <c r="K82" s="188"/>
      <c r="L82" s="148"/>
    </row>
    <row r="83" spans="1:12" ht="15" customHeight="1" x14ac:dyDescent="0.25">
      <c r="A83" s="43"/>
      <c r="B83" s="43"/>
      <c r="C83" s="43"/>
      <c r="D83" s="188"/>
      <c r="E83" s="189"/>
      <c r="F83" s="189"/>
      <c r="G83" s="189"/>
      <c r="H83" s="51"/>
      <c r="I83" s="198"/>
      <c r="K83" s="188"/>
      <c r="L83" s="148"/>
    </row>
    <row r="84" spans="1:12" ht="15" customHeight="1" x14ac:dyDescent="0.25">
      <c r="A84" s="43"/>
      <c r="B84" s="43"/>
      <c r="C84" s="43"/>
      <c r="D84" s="188"/>
      <c r="E84" s="189"/>
      <c r="F84" s="189"/>
      <c r="G84" s="189"/>
      <c r="H84" s="51"/>
      <c r="I84" s="198"/>
      <c r="K84" s="188"/>
      <c r="L84" s="148"/>
    </row>
    <row r="85" spans="1:12" ht="15" customHeight="1" x14ac:dyDescent="0.25">
      <c r="A85" s="43"/>
      <c r="B85" s="43"/>
      <c r="C85" s="43"/>
      <c r="D85" s="188"/>
      <c r="E85" s="189"/>
      <c r="F85" s="189"/>
      <c r="G85" s="189"/>
      <c r="H85" s="51"/>
      <c r="I85" s="198"/>
      <c r="K85" s="188"/>
      <c r="L85" s="148"/>
    </row>
    <row r="86" spans="1:12" ht="15" customHeight="1" x14ac:dyDescent="0.25">
      <c r="A86" s="232"/>
      <c r="B86" s="232"/>
      <c r="C86" s="232"/>
      <c r="D86" s="234"/>
      <c r="E86" s="237"/>
      <c r="F86" s="232"/>
      <c r="G86" s="232"/>
      <c r="H86" s="230"/>
      <c r="I86" s="231"/>
      <c r="J86" s="233"/>
      <c r="K86" s="234"/>
      <c r="L86" s="235"/>
    </row>
    <row r="87" spans="1:12" ht="15" customHeight="1" x14ac:dyDescent="0.25">
      <c r="A87" s="232"/>
      <c r="B87" s="232"/>
      <c r="C87" s="232"/>
      <c r="D87" s="234"/>
      <c r="E87" s="237"/>
      <c r="F87" s="232"/>
      <c r="G87" s="232"/>
      <c r="H87" s="230"/>
      <c r="I87" s="231"/>
      <c r="J87" s="233"/>
      <c r="K87" s="234"/>
      <c r="L87" s="235"/>
    </row>
    <row r="88" spans="1:12" ht="15" customHeight="1" x14ac:dyDescent="0.25">
      <c r="A88" s="232"/>
      <c r="B88" s="232"/>
      <c r="C88" s="232"/>
      <c r="D88" s="234"/>
      <c r="E88" s="237"/>
      <c r="F88" s="232"/>
      <c r="G88" s="232"/>
      <c r="H88" s="230"/>
      <c r="I88" s="231"/>
      <c r="J88" s="233"/>
      <c r="K88" s="234"/>
      <c r="L88" s="235"/>
    </row>
    <row r="89" spans="1:12" ht="15" customHeight="1" x14ac:dyDescent="0.25">
      <c r="A89" s="232"/>
      <c r="B89" s="232"/>
      <c r="C89" s="232"/>
      <c r="D89" s="234"/>
      <c r="E89" s="237"/>
      <c r="F89" s="232"/>
      <c r="G89" s="232"/>
      <c r="H89" s="230"/>
      <c r="I89" s="231"/>
      <c r="J89" s="233"/>
      <c r="K89" s="234"/>
      <c r="L89" s="235"/>
    </row>
    <row r="90" spans="1:12" ht="15" customHeight="1" x14ac:dyDescent="0.25">
      <c r="A90" s="232"/>
      <c r="B90" s="232"/>
      <c r="C90" s="232"/>
      <c r="D90" s="234"/>
      <c r="E90" s="237"/>
      <c r="F90" s="232"/>
      <c r="G90" s="232"/>
      <c r="H90" s="230"/>
      <c r="I90" s="231"/>
      <c r="J90" s="233"/>
      <c r="K90" s="234"/>
      <c r="L90" s="235"/>
    </row>
    <row r="91" spans="1:12" ht="15" customHeight="1" x14ac:dyDescent="0.25">
      <c r="A91" s="232"/>
      <c r="B91" s="232"/>
      <c r="C91" s="232"/>
      <c r="D91" s="234"/>
      <c r="E91" s="237"/>
      <c r="F91" s="232"/>
      <c r="G91" s="232"/>
      <c r="H91" s="230"/>
      <c r="I91" s="231"/>
      <c r="J91" s="233"/>
      <c r="K91" s="234"/>
      <c r="L91" s="235"/>
    </row>
    <row r="92" spans="1:12" ht="15" customHeight="1" x14ac:dyDescent="0.25">
      <c r="A92" s="232"/>
      <c r="B92" s="232"/>
      <c r="C92" s="232"/>
      <c r="D92" s="234"/>
      <c r="E92" s="237"/>
      <c r="F92" s="232"/>
      <c r="G92" s="232"/>
      <c r="H92" s="230"/>
      <c r="I92" s="231"/>
      <c r="J92" s="233"/>
      <c r="K92" s="234"/>
      <c r="L92" s="235"/>
    </row>
    <row r="93" spans="1:12" ht="15" customHeight="1" x14ac:dyDescent="0.25">
      <c r="A93" s="232"/>
      <c r="B93" s="232"/>
      <c r="C93" s="232"/>
      <c r="D93" s="234"/>
      <c r="E93" s="237"/>
      <c r="F93" s="232"/>
      <c r="G93" s="232"/>
      <c r="H93" s="230"/>
      <c r="I93" s="231"/>
      <c r="J93" s="233"/>
      <c r="K93" s="234"/>
      <c r="L93" s="235"/>
    </row>
    <row r="94" spans="1:12" ht="15" customHeight="1" x14ac:dyDescent="0.25">
      <c r="A94" s="232"/>
      <c r="B94" s="232"/>
      <c r="C94" s="232"/>
      <c r="D94" s="234"/>
      <c r="E94" s="237"/>
      <c r="F94" s="232"/>
      <c r="G94" s="232"/>
      <c r="H94" s="230"/>
      <c r="I94" s="231"/>
      <c r="J94" s="233"/>
      <c r="K94" s="234"/>
      <c r="L94" s="235"/>
    </row>
    <row r="95" spans="1:12" ht="15" customHeight="1" x14ac:dyDescent="0.25">
      <c r="A95" s="232"/>
      <c r="B95" s="232"/>
      <c r="C95" s="232"/>
      <c r="D95" s="234"/>
      <c r="E95" s="237"/>
      <c r="F95" s="232"/>
      <c r="G95" s="232"/>
      <c r="H95" s="230"/>
      <c r="I95" s="231"/>
      <c r="J95" s="233"/>
      <c r="K95" s="234"/>
      <c r="L95" s="235"/>
    </row>
    <row r="96" spans="1:12" ht="15" customHeight="1" x14ac:dyDescent="0.25">
      <c r="A96" s="232"/>
      <c r="B96" s="232"/>
      <c r="C96" s="232"/>
      <c r="D96" s="234"/>
      <c r="E96" s="237"/>
      <c r="F96" s="232"/>
      <c r="G96" s="232"/>
      <c r="H96" s="230"/>
      <c r="I96" s="231"/>
      <c r="J96" s="233"/>
      <c r="K96" s="234"/>
      <c r="L96" s="235"/>
    </row>
    <row r="97" spans="12:12" ht="15" customHeight="1" x14ac:dyDescent="0.25">
      <c r="L97" s="148"/>
    </row>
    <row r="98" spans="12:12" ht="15" customHeight="1" x14ac:dyDescent="0.25">
      <c r="L98" s="148"/>
    </row>
    <row r="99" spans="12:12" ht="15" customHeight="1" x14ac:dyDescent="0.25">
      <c r="L99" s="148"/>
    </row>
    <row r="100" spans="12:12" ht="15" customHeight="1" x14ac:dyDescent="0.25">
      <c r="L100" s="148"/>
    </row>
    <row r="101" spans="12:12" ht="15" customHeight="1" x14ac:dyDescent="0.25">
      <c r="L101" s="148"/>
    </row>
    <row r="102" spans="12:12" ht="15" customHeight="1" x14ac:dyDescent="0.25">
      <c r="L102" s="148"/>
    </row>
    <row r="103" spans="12:12" ht="15" customHeight="1" x14ac:dyDescent="0.25">
      <c r="L103" s="148"/>
    </row>
    <row r="104" spans="12:12" ht="15" customHeight="1" x14ac:dyDescent="0.25">
      <c r="L104" s="148"/>
    </row>
    <row r="105" spans="12:12" ht="15" customHeight="1" x14ac:dyDescent="0.25">
      <c r="L105" s="148"/>
    </row>
    <row r="106" spans="12:12" ht="15" customHeight="1" x14ac:dyDescent="0.25">
      <c r="L106" s="148"/>
    </row>
  </sheetData>
  <conditionalFormatting sqref="N2:N1048576">
    <cfRule type="cellIs" dxfId="441" priority="8" operator="lessThan">
      <formula>-0.3</formula>
    </cfRule>
    <cfRule type="cellIs" dxfId="440" priority="9" operator="greaterThan">
      <formula>0.3</formula>
    </cfRule>
  </conditionalFormatting>
  <conditionalFormatting sqref="J86:K1048576 J2:J64">
    <cfRule type="cellIs" dxfId="439" priority="5" operator="lessThan">
      <formula>-0.2</formula>
    </cfRule>
    <cfRule type="cellIs" dxfId="438" priority="6" operator="greaterThan">
      <formula>0.2</formula>
    </cfRule>
  </conditionalFormatting>
  <conditionalFormatting sqref="N1">
    <cfRule type="cellIs" dxfId="437" priority="1" operator="lessThan">
      <formula>-0.2</formula>
    </cfRule>
    <cfRule type="cellIs" dxfId="43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AI105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3" sqref="I3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0.28515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SQRT(AVERAGE(c_10[x2]))/AVERAGE(c_10[count])</f>
        <v>0.27379073688669225</v>
      </c>
      <c r="O1" s="69">
        <f>LINEST(c_10[flow],c_10[count],FALSE)</f>
        <v>1.1763352342398861</v>
      </c>
      <c r="P1" s="69">
        <f>RSQ(c_10[flow],c_10[count])</f>
        <v>0.75247515908024487</v>
      </c>
      <c r="Q1" s="19">
        <f>IFERROR(AVERAGEIF(c_10[gap],"&gt;=0",c_10[gap]),0)</f>
        <v>0.26749935612950837</v>
      </c>
      <c r="R1" s="20">
        <f>IFERROR(AVERAGEIF(c_10[gap],"&lt;0",c_10[gap]),0)</f>
        <v>-0.1015076373869004</v>
      </c>
      <c r="S1" s="13">
        <f>AVERAGE(c_10[gap])</f>
        <v>0.19884689221947882</v>
      </c>
      <c r="T1" s="18">
        <f>COUNTIFS(c_10[gap],"&lt;10%",c_10[gap],"&gt;=-10%")/COUNTA(c_10[gap])</f>
        <v>0.20930232558139536</v>
      </c>
      <c r="U1" s="18">
        <f>COUNTIFS(c_10[gap],"&lt;20%",c_10[gap],"&gt;=-20%")/COUNTA(c_10[gap])</f>
        <v>0.48837209302325579</v>
      </c>
      <c r="V1" s="18">
        <f>COUNTIFS(c_10[gap],"&lt;30%",c_10[gap],"&gt;=-30%")/COUNTA(c_10[gap])</f>
        <v>0.62790697674418605</v>
      </c>
      <c r="W1" s="19">
        <f>COUNTIF(c_10[gap],"&gt;=0")/COUNTA(c_10[gap])</f>
        <v>0.81395348837209303</v>
      </c>
      <c r="X1" s="21">
        <f>COUNTIF(c_10[gap],"&lt;0")/COUNTA(c_10[gap])</f>
        <v>0.18604651162790697</v>
      </c>
      <c r="Y1" s="39" t="str">
        <f>"%Link(+)="&amp;TEXT(W1,"0%")</f>
        <v>%Link(+)=81%</v>
      </c>
      <c r="Z1" s="39" t="str">
        <f>"%Link(-)="&amp;TEXT(X1,"0%")</f>
        <v>%Link(-)=19%</v>
      </c>
      <c r="AA1" s="36" t="str">
        <f>"AvgGap(+)="&amp;TEXT(Q1,"0%")</f>
        <v>AvgGap(+)=27%</v>
      </c>
      <c r="AB1" s="25" t="str">
        <f>"AvgGap(-)="&amp;TEXT(R1,"0%")</f>
        <v>AvgGap(-)=-10%</v>
      </c>
      <c r="AC1" s="25" t="str">
        <f>"AvgGap(±)="&amp;TEXT(S1,"0%")</f>
        <v>AvgGap(±)=20%</v>
      </c>
      <c r="AD1" s="25" t="str">
        <f>"GapIn(±10%)="&amp;TEXT(T1,"0%")</f>
        <v>GapIn(±10%)=21%</v>
      </c>
      <c r="AE1" s="25" t="str">
        <f>"GapIn(±20%)="&amp;TEXT(U1,"0%")</f>
        <v>GapIn(±20%)=49%</v>
      </c>
      <c r="AF1" s="25" t="str">
        <f>"GapIn(±30%)="&amp;TEXT(V1,"0%")</f>
        <v>GapIn(±30%)=63%</v>
      </c>
      <c r="AG1" s="25" t="str">
        <f>"Linear Slope="&amp;TEXT(O1,"#.###")</f>
        <v>Linear Slope=1.176</v>
      </c>
      <c r="AH1" s="25" t="str">
        <f>"RMSE="&amp;TEXT(N1,"0%")</f>
        <v>RMSE=27%</v>
      </c>
      <c r="AI1" s="25" t="str">
        <f>CONCATENATE(Y1," ",Z1," ",AA1,"  ",AB1,"  ",AC1,"  ",AD1," ",AE1,"  ",AF1,"  ",AG1," ",AH1)</f>
        <v>%Link(+)=81% %Link(-)=19% AvgGap(+)=27%  AvgGap(-)=-10%  AvgGap(±)=20%  GapIn(±10%)=21% GapIn(±20%)=49%  GapIn(±30%)=63%  Linear Slope=1.176 RMSE=27%</v>
      </c>
    </row>
    <row r="2" spans="1:35" ht="15" customHeight="1" x14ac:dyDescent="0.25">
      <c r="A2" s="43">
        <f>'[2]I-805 SB'!C2</f>
        <v>10</v>
      </c>
      <c r="B2" s="43" t="str">
        <f>'[2]I-805 SB'!H2</f>
        <v>I-805 SB</v>
      </c>
      <c r="C2" s="43">
        <f>'[2]I-805 SB'!E2</f>
        <v>28793</v>
      </c>
      <c r="D2" s="188">
        <f>'[2]I-805 SB'!I2</f>
        <v>1</v>
      </c>
      <c r="E2" s="189">
        <f>'[2]I-805 SB'!J2</f>
        <v>0</v>
      </c>
      <c r="F2" s="189" t="str">
        <f>'[2]I-805 SB'!K2</f>
        <v>I-5 SB</v>
      </c>
      <c r="G2" s="189" t="str">
        <f>'[2]I-805 SB'!L2</f>
        <v>I-5 SB</v>
      </c>
      <c r="H2" s="51">
        <f>'[2]I-805 SB'!O2</f>
        <v>9432</v>
      </c>
      <c r="I2" s="198">
        <f>VLOOKUP(c_10[[#This Row],[hwycov_id]],readme!D:G,4,FALSE)</f>
        <v>12409.535156</v>
      </c>
      <c r="J2" s="206">
        <f>I2/H2-1</f>
        <v>0.31568438888888894</v>
      </c>
      <c r="K2" s="188" t="str">
        <f>'[2]I-805 SB'!P2</f>
        <v>PeMS2016</v>
      </c>
      <c r="L2" s="148">
        <f t="shared" ref="L2" si="0">POWER((I2-H2),2)</f>
        <v>8865715.6052159443</v>
      </c>
      <c r="M2" s="44"/>
    </row>
    <row r="3" spans="1:35" ht="15" customHeight="1" x14ac:dyDescent="0.25">
      <c r="A3" s="43">
        <f>'[2]I-805 SB'!C3</f>
        <v>10</v>
      </c>
      <c r="B3" s="43" t="str">
        <f>'[2]I-805 SB'!H3</f>
        <v>I-805 SB</v>
      </c>
      <c r="C3" s="43">
        <f>'[2]I-805 SB'!E3</f>
        <v>20781</v>
      </c>
      <c r="D3" s="188">
        <f>'[2]I-805 SB'!I3</f>
        <v>2</v>
      </c>
      <c r="E3" s="189">
        <f>'[2]I-805 SB'!J3</f>
        <v>0</v>
      </c>
      <c r="F3" s="189" t="str">
        <f>'[2]I-805 SB'!K3</f>
        <v>I-5 SB</v>
      </c>
      <c r="G3" s="189" t="str">
        <f>'[2]I-805 SB'!L3</f>
        <v>SORRENTO VALLEY</v>
      </c>
      <c r="H3" s="51">
        <f>'[2]I-805 SB'!O3</f>
        <v>15531</v>
      </c>
      <c r="I3" s="198">
        <f>VLOOKUP(c_10[[#This Row],[hwycov_id]],readme!D:G,4,FALSE)</f>
        <v>16690.216797000001</v>
      </c>
      <c r="J3" s="206">
        <f t="shared" ref="J3:J44" si="1">I3/H3-1</f>
        <v>7.4638902646320338E-2</v>
      </c>
      <c r="K3" s="188" t="str">
        <f>'[2]I-805 SB'!P3</f>
        <v>Caltran</v>
      </c>
      <c r="L3" s="148">
        <f t="shared" ref="L3:L44" si="2">POWER((I3-H3),2)</f>
        <v>1343783.5824469414</v>
      </c>
      <c r="M3" s="44"/>
    </row>
    <row r="4" spans="1:35" ht="15" customHeight="1" x14ac:dyDescent="0.25">
      <c r="A4" s="43">
        <f>'[2]I-805 SB'!C4</f>
        <v>10</v>
      </c>
      <c r="B4" s="43" t="str">
        <f>'[2]I-805 SB'!H4</f>
        <v>I-805 SB</v>
      </c>
      <c r="C4" s="43">
        <f>'[2]I-805 SB'!E4</f>
        <v>28798</v>
      </c>
      <c r="D4" s="188">
        <f>'[2]I-805 SB'!I4</f>
        <v>4</v>
      </c>
      <c r="E4" s="189">
        <f>'[2]I-805 SB'!J4</f>
        <v>0</v>
      </c>
      <c r="F4" s="189" t="str">
        <f>'[2]I-805 SB'!K4</f>
        <v>SORRENTO VALLEY</v>
      </c>
      <c r="G4" s="189" t="str">
        <f>'[2]I-805 SB'!L4</f>
        <v>SORRENTO VALLEY</v>
      </c>
      <c r="H4" s="51">
        <f>'[2]I-805 SB'!O4</f>
        <v>12370</v>
      </c>
      <c r="I4" s="198">
        <f>VLOOKUP(c_10[[#This Row],[hwycov_id]],readme!D:G,4,FALSE)</f>
        <v>14624.327148</v>
      </c>
      <c r="J4" s="206">
        <f t="shared" si="1"/>
        <v>0.18224148326596601</v>
      </c>
      <c r="K4" s="188" t="str">
        <f>'[2]I-805 SB'!P4</f>
        <v>PeMS2016</v>
      </c>
      <c r="L4" s="148">
        <f t="shared" si="2"/>
        <v>5081990.8902098155</v>
      </c>
      <c r="M4" s="44"/>
    </row>
    <row r="5" spans="1:35" ht="15" customHeight="1" x14ac:dyDescent="0.25">
      <c r="A5" s="43">
        <f>'[2]I-805 SB'!C5</f>
        <v>10</v>
      </c>
      <c r="B5" s="43" t="str">
        <f>'[2]I-805 SB'!H5</f>
        <v>I-805 SB</v>
      </c>
      <c r="C5" s="43">
        <f>'[2]I-805 SB'!E5</f>
        <v>8802</v>
      </c>
      <c r="D5" s="188">
        <f>'[2]I-805 SB'!I5</f>
        <v>5</v>
      </c>
      <c r="E5" s="189">
        <f>'[2]I-805 SB'!J5</f>
        <v>0</v>
      </c>
      <c r="F5" s="189" t="str">
        <f>'[2]I-805 SB'!K5</f>
        <v>SORRENTO VALLEY</v>
      </c>
      <c r="G5" s="189" t="str">
        <f>'[2]I-805 SB'!L5</f>
        <v>SORRENTO VALLEY</v>
      </c>
      <c r="H5" s="51">
        <f>'[2]I-805 SB'!O5</f>
        <v>16116</v>
      </c>
      <c r="I5" s="198">
        <f>VLOOKUP(c_10[[#This Row],[hwycov_id]],readme!D:G,4,FALSE)</f>
        <v>19336.683593999998</v>
      </c>
      <c r="J5" s="206">
        <f t="shared" si="1"/>
        <v>0.19984385666418447</v>
      </c>
      <c r="K5" s="188" t="str">
        <f>'[2]I-805 SB'!P5</f>
        <v>PeMS2016</v>
      </c>
      <c r="L5" s="148">
        <f t="shared" si="2"/>
        <v>10372802.812660746</v>
      </c>
      <c r="M5" s="44"/>
    </row>
    <row r="6" spans="1:35" ht="15" customHeight="1" x14ac:dyDescent="0.25">
      <c r="A6" s="43">
        <f>'[2]I-805 SB'!C6</f>
        <v>10</v>
      </c>
      <c r="B6" s="43" t="str">
        <f>'[2]I-805 SB'!H6</f>
        <v>I-805 SB</v>
      </c>
      <c r="C6" s="43">
        <f>'[2]I-805 SB'!E6</f>
        <v>26791</v>
      </c>
      <c r="D6" s="188">
        <f>'[2]I-805 SB'!I6</f>
        <v>7</v>
      </c>
      <c r="E6" s="189">
        <f>'[2]I-805 SB'!J6</f>
        <v>0</v>
      </c>
      <c r="F6" s="189" t="str">
        <f>'[2]I-805 SB'!K6</f>
        <v>SORRENTO VALLEY</v>
      </c>
      <c r="G6" s="189" t="str">
        <f>'[2]I-805 SB'!L6</f>
        <v>LA JOLLA VILLAGE</v>
      </c>
      <c r="H6" s="51">
        <f>'[2]I-805 SB'!O6</f>
        <v>16818</v>
      </c>
      <c r="I6" s="198">
        <f>VLOOKUP(c_10[[#This Row],[hwycov_id]],readme!D:G,4,FALSE)</f>
        <v>23914.396484000001</v>
      </c>
      <c r="J6" s="206">
        <f t="shared" si="1"/>
        <v>0.42195246069687253</v>
      </c>
      <c r="K6" s="188" t="str">
        <f>'[2]I-805 SB'!P6</f>
        <v>PeMS2016</v>
      </c>
      <c r="L6" s="148">
        <f t="shared" si="2"/>
        <v>50358843.058127575</v>
      </c>
      <c r="M6" s="44"/>
    </row>
    <row r="7" spans="1:35" ht="15" customHeight="1" x14ac:dyDescent="0.25">
      <c r="A7" s="43">
        <f>'[2]I-805 SB'!C7</f>
        <v>10</v>
      </c>
      <c r="B7" s="43" t="str">
        <f>'[2]I-805 SB'!H7</f>
        <v>I-805 SB</v>
      </c>
      <c r="C7" s="43">
        <f>'[2]I-805 SB'!E7</f>
        <v>24703</v>
      </c>
      <c r="D7" s="188">
        <f>'[2]I-805 SB'!I7</f>
        <v>9</v>
      </c>
      <c r="E7" s="189">
        <f>'[2]I-805 SB'!J7</f>
        <v>0</v>
      </c>
      <c r="F7" s="189" t="str">
        <f>'[2]I-805 SB'!K7</f>
        <v>LA JOLLA VILLAGE</v>
      </c>
      <c r="G7" s="189" t="str">
        <f>'[2]I-805 SB'!L7</f>
        <v>LA JOLLA VILLAGE</v>
      </c>
      <c r="H7" s="51">
        <f>'[2]I-805 SB'!O7</f>
        <v>14690</v>
      </c>
      <c r="I7" s="198">
        <f>VLOOKUP(c_10[[#This Row],[hwycov_id]],readme!D:G,4,FALSE)</f>
        <v>21097.476562</v>
      </c>
      <c r="J7" s="206">
        <f t="shared" si="1"/>
        <v>0.43617948005445872</v>
      </c>
      <c r="K7" s="188" t="str">
        <f>'[2]I-805 SB'!P7</f>
        <v>PeMS2016</v>
      </c>
      <c r="L7" s="148">
        <f t="shared" si="2"/>
        <v>41055755.892579339</v>
      </c>
      <c r="M7" s="44"/>
    </row>
    <row r="8" spans="1:35" ht="15" customHeight="1" x14ac:dyDescent="0.25">
      <c r="A8" s="43">
        <f>'[2]I-805 SB'!C8</f>
        <v>10</v>
      </c>
      <c r="B8" s="43" t="str">
        <f>'[2]I-805 SB'!H8</f>
        <v>I-805 SB</v>
      </c>
      <c r="C8" s="43">
        <f>'[2]I-805 SB'!E8</f>
        <v>15065</v>
      </c>
      <c r="D8" s="188">
        <f>'[2]I-805 SB'!I8</f>
        <v>11</v>
      </c>
      <c r="E8" s="189">
        <f>'[2]I-805 SB'!J8</f>
        <v>0</v>
      </c>
      <c r="F8" s="189" t="str">
        <f>'[2]I-805 SB'!K8</f>
        <v>LA JOLLA VILLAGE</v>
      </c>
      <c r="G8" s="189" t="str">
        <f>'[2]I-805 SB'!L8</f>
        <v>NOBEL</v>
      </c>
      <c r="H8" s="51">
        <f>'[2]I-805 SB'!O8</f>
        <v>19570</v>
      </c>
      <c r="I8" s="198">
        <f>VLOOKUP(c_10[[#This Row],[hwycov_id]],readme!D:G,4,FALSE)</f>
        <v>26757.148438</v>
      </c>
      <c r="J8" s="206">
        <f t="shared" si="1"/>
        <v>0.36725336934082775</v>
      </c>
      <c r="K8" s="188" t="str">
        <f>'[2]I-805 SB'!P8</f>
        <v>PeMS2016</v>
      </c>
      <c r="L8" s="148">
        <f t="shared" si="2"/>
        <v>51655102.669845842</v>
      </c>
      <c r="M8" s="44"/>
    </row>
    <row r="9" spans="1:35" ht="15" customHeight="1" x14ac:dyDescent="0.25">
      <c r="A9" s="43">
        <f>'[2]I-805 SB'!C9</f>
        <v>10</v>
      </c>
      <c r="B9" s="43" t="str">
        <f>'[2]I-805 SB'!H9</f>
        <v>I-805 SB</v>
      </c>
      <c r="C9" s="43">
        <f>'[2]I-805 SB'!E9</f>
        <v>24704</v>
      </c>
      <c r="D9" s="188">
        <f>'[2]I-805 SB'!I9</f>
        <v>13</v>
      </c>
      <c r="E9" s="189">
        <f>'[2]I-805 SB'!J9</f>
        <v>0</v>
      </c>
      <c r="F9" s="189" t="str">
        <f>'[2]I-805 SB'!K9</f>
        <v>GOVERNOR</v>
      </c>
      <c r="G9" s="189" t="str">
        <f>'[2]I-805 SB'!L9</f>
        <v>GOVERNOR</v>
      </c>
      <c r="H9" s="51">
        <f>'[2]I-805 SB'!O9</f>
        <v>20288</v>
      </c>
      <c r="I9" s="198">
        <f>VLOOKUP(c_10[[#This Row],[hwycov_id]],readme!D:G,4,FALSE)</f>
        <v>31391.683593999998</v>
      </c>
      <c r="J9" s="206">
        <f t="shared" si="1"/>
        <v>0.54730301626577282</v>
      </c>
      <c r="K9" s="188" t="str">
        <f>'[2]I-805 SB'!P9</f>
        <v>PeMS2016</v>
      </c>
      <c r="L9" s="148">
        <f t="shared" si="2"/>
        <v>123291789.35566472</v>
      </c>
      <c r="M9" s="44"/>
    </row>
    <row r="10" spans="1:35" ht="15" customHeight="1" x14ac:dyDescent="0.25">
      <c r="A10" s="43">
        <f>'[2]I-805 SB'!C10</f>
        <v>10</v>
      </c>
      <c r="B10" s="43" t="str">
        <f>'[2]I-805 SB'!H10</f>
        <v>I-805 SB</v>
      </c>
      <c r="C10" s="43">
        <f>'[2]I-805 SB'!E10</f>
        <v>770</v>
      </c>
      <c r="D10" s="188">
        <f>'[2]I-805 SB'!I10</f>
        <v>18</v>
      </c>
      <c r="E10" s="189">
        <f>'[2]I-805 SB'!J10</f>
        <v>0</v>
      </c>
      <c r="F10" s="189" t="str">
        <f>'[2]I-805 SB'!K10</f>
        <v>SR-52 WB</v>
      </c>
      <c r="G10" s="189" t="str">
        <f>'[2]I-805 SB'!L10</f>
        <v>SR-52 EB</v>
      </c>
      <c r="H10" s="51">
        <f>'[2]I-805 SB'!O10</f>
        <v>19295</v>
      </c>
      <c r="I10" s="198">
        <f>VLOOKUP(c_10[[#This Row],[hwycov_id]],readme!D:G,4,FALSE)</f>
        <v>26809.523438</v>
      </c>
      <c r="J10" s="206">
        <f t="shared" si="1"/>
        <v>0.38945444094324966</v>
      </c>
      <c r="K10" s="188" t="str">
        <f>'[2]I-805 SB'!P10</f>
        <v>PeMS2016</v>
      </c>
      <c r="L10" s="148">
        <f t="shared" si="2"/>
        <v>56468062.500251345</v>
      </c>
      <c r="M10" s="44"/>
    </row>
    <row r="11" spans="1:35" ht="15" customHeight="1" x14ac:dyDescent="0.25">
      <c r="A11" s="43">
        <f>'[2]I-805 SB'!C11</f>
        <v>10</v>
      </c>
      <c r="B11" s="43" t="str">
        <f>'[2]I-805 SB'!H11</f>
        <v>I-805 SB</v>
      </c>
      <c r="C11" s="43">
        <f>'[2]I-805 SB'!E11</f>
        <v>771</v>
      </c>
      <c r="D11" s="188">
        <f>'[2]I-805 SB'!I11</f>
        <v>19</v>
      </c>
      <c r="E11" s="189">
        <f>'[2]I-805 SB'!J11</f>
        <v>0</v>
      </c>
      <c r="F11" s="189" t="str">
        <f>'[2]I-805 SB'!K11</f>
        <v>SR-52 EB</v>
      </c>
      <c r="G11" s="189" t="str">
        <f>'[2]I-805 SB'!L11</f>
        <v>CLAIREMONT MESA</v>
      </c>
      <c r="H11" s="51">
        <f>'[2]I-805 SB'!O11</f>
        <v>20237</v>
      </c>
      <c r="I11" s="198">
        <f>VLOOKUP(c_10[[#This Row],[hwycov_id]],readme!D:G,4,FALSE)</f>
        <v>30883.025390999999</v>
      </c>
      <c r="J11" s="206">
        <f t="shared" si="1"/>
        <v>0.5260673712012649</v>
      </c>
      <c r="K11" s="188" t="str">
        <f>'[2]I-805 SB'!P11</f>
        <v>PeMS2016</v>
      </c>
      <c r="L11" s="148">
        <f t="shared" si="2"/>
        <v>113337856.62581669</v>
      </c>
      <c r="M11" s="44"/>
    </row>
    <row r="12" spans="1:35" ht="15" customHeight="1" x14ac:dyDescent="0.25">
      <c r="A12" s="43">
        <f>'[2]I-805 SB'!C12</f>
        <v>10</v>
      </c>
      <c r="B12" s="43" t="str">
        <f>'[2]I-805 SB'!H12</f>
        <v>I-805 SB</v>
      </c>
      <c r="C12" s="43">
        <f>'[2]I-805 SB'!E12</f>
        <v>772</v>
      </c>
      <c r="D12" s="188">
        <f>'[2]I-805 SB'!I12</f>
        <v>20</v>
      </c>
      <c r="E12" s="189">
        <f>'[2]I-805 SB'!J12</f>
        <v>0</v>
      </c>
      <c r="F12" s="189" t="str">
        <f>'[2]I-805 SB'!K12</f>
        <v>CLAIREMONT MESA</v>
      </c>
      <c r="G12" s="189" t="str">
        <f>'[2]I-805 SB'!L12</f>
        <v>CLAIREMONT MESA</v>
      </c>
      <c r="H12" s="51">
        <f>'[2]I-805 SB'!O12</f>
        <v>20101</v>
      </c>
      <c r="I12" s="198">
        <f>VLOOKUP(c_10[[#This Row],[hwycov_id]],readme!D:G,4,FALSE)</f>
        <v>26490.0625</v>
      </c>
      <c r="J12" s="206">
        <f t="shared" si="1"/>
        <v>0.31784799263718222</v>
      </c>
      <c r="K12" s="188" t="str">
        <f>'[2]I-805 SB'!P12</f>
        <v>PeMS2016</v>
      </c>
      <c r="L12" s="148">
        <f t="shared" si="2"/>
        <v>40820119.62890625</v>
      </c>
      <c r="M12" s="44"/>
    </row>
    <row r="13" spans="1:35" ht="15" customHeight="1" x14ac:dyDescent="0.25">
      <c r="A13" s="43">
        <f>'[2]I-805 SB'!C13</f>
        <v>10</v>
      </c>
      <c r="B13" s="43" t="str">
        <f>'[2]I-805 SB'!H13</f>
        <v>I-805 SB</v>
      </c>
      <c r="C13" s="43">
        <f>'[2]I-805 SB'!E13</f>
        <v>777</v>
      </c>
      <c r="D13" s="188">
        <f>'[2]I-805 SB'!I13</f>
        <v>24</v>
      </c>
      <c r="E13" s="189">
        <f>'[2]I-805 SB'!J13</f>
        <v>0</v>
      </c>
      <c r="F13" s="189" t="str">
        <f>'[2]I-805 SB'!K13</f>
        <v>BALBOA</v>
      </c>
      <c r="G13" s="189" t="str">
        <f>'[2]I-805 SB'!L13</f>
        <v>SR-163 SB</v>
      </c>
      <c r="H13" s="51">
        <f>'[2]I-805 SB'!O13</f>
        <v>23020</v>
      </c>
      <c r="I13" s="198">
        <f>VLOOKUP(c_10[[#This Row],[hwycov_id]],readme!D:G,4,FALSE)</f>
        <v>31576.833984000001</v>
      </c>
      <c r="J13" s="206">
        <f t="shared" si="1"/>
        <v>0.37171303145091228</v>
      </c>
      <c r="K13" s="188" t="str">
        <f>'[2]I-805 SB'!P13</f>
        <v>PeMS2016</v>
      </c>
      <c r="L13" s="148">
        <f t="shared" si="2"/>
        <v>73219407.829737321</v>
      </c>
      <c r="M13" s="44"/>
    </row>
    <row r="14" spans="1:35" ht="15" customHeight="1" x14ac:dyDescent="0.25">
      <c r="A14" s="43">
        <f>'[2]I-805 SB'!C14</f>
        <v>10</v>
      </c>
      <c r="B14" s="43" t="str">
        <f>'[2]I-805 SB'!H14</f>
        <v>I-805 SB</v>
      </c>
      <c r="C14" s="43">
        <f>'[2]I-805 SB'!E14</f>
        <v>22716</v>
      </c>
      <c r="D14" s="188">
        <f>'[2]I-805 SB'!I14</f>
        <v>25</v>
      </c>
      <c r="E14" s="189">
        <f>'[2]I-805 SB'!J14</f>
        <v>0</v>
      </c>
      <c r="F14" s="189" t="str">
        <f>'[2]I-805 SB'!K14</f>
        <v>SR-163 SB</v>
      </c>
      <c r="G14" s="189" t="str">
        <f>'[2]I-805 SB'!L14</f>
        <v>SR-163 SB</v>
      </c>
      <c r="H14" s="51">
        <f>'[2]I-805 SB'!O14</f>
        <v>17403</v>
      </c>
      <c r="I14" s="198">
        <f>VLOOKUP(c_10[[#This Row],[hwycov_id]],readme!D:G,4,FALSE)</f>
        <v>24890.080077999999</v>
      </c>
      <c r="J14" s="206">
        <f t="shared" si="1"/>
        <v>0.43021778302591507</v>
      </c>
      <c r="K14" s="188" t="str">
        <f>'[2]I-805 SB'!P14</f>
        <v>PeMS2016</v>
      </c>
      <c r="L14" s="148">
        <f t="shared" si="2"/>
        <v>56056368.094384469</v>
      </c>
      <c r="M14" s="44"/>
    </row>
    <row r="15" spans="1:35" ht="15" customHeight="1" x14ac:dyDescent="0.25">
      <c r="A15" s="43">
        <f>'[2]I-805 SB'!C15</f>
        <v>10</v>
      </c>
      <c r="B15" s="43" t="str">
        <f>'[2]I-805 SB'!H15</f>
        <v>I-805 SB</v>
      </c>
      <c r="C15" s="43">
        <f>'[2]I-805 SB'!E15</f>
        <v>778</v>
      </c>
      <c r="D15" s="188">
        <f>'[2]I-805 SB'!I15</f>
        <v>26</v>
      </c>
      <c r="E15" s="189">
        <f>'[2]I-805 SB'!J15</f>
        <v>0</v>
      </c>
      <c r="F15" s="189" t="str">
        <f>'[2]I-805 SB'!K15</f>
        <v>SR-163 SB</v>
      </c>
      <c r="G15" s="189" t="str">
        <f>'[2]I-805 SB'!L15</f>
        <v>SR-163 SB</v>
      </c>
      <c r="H15" s="51">
        <f>'[2]I-805 SB'!O15</f>
        <v>18107</v>
      </c>
      <c r="I15" s="198">
        <f>VLOOKUP(c_10[[#This Row],[hwycov_id]],readme!D:G,4,FALSE)</f>
        <v>24890.080077999999</v>
      </c>
      <c r="J15" s="206">
        <f t="shared" si="1"/>
        <v>0.37461092825978892</v>
      </c>
      <c r="K15" s="188" t="str">
        <f>'[2]I-805 SB'!P15</f>
        <v>PeMS2016</v>
      </c>
      <c r="L15" s="148">
        <f t="shared" si="2"/>
        <v>46010175.344560474</v>
      </c>
      <c r="M15" s="44"/>
    </row>
    <row r="16" spans="1:35" ht="15" customHeight="1" x14ac:dyDescent="0.25">
      <c r="A16" s="43">
        <f>'[2]I-805 SB'!C16</f>
        <v>10</v>
      </c>
      <c r="B16" s="43" t="str">
        <f>'[2]I-805 SB'!H16</f>
        <v>I-805 SB</v>
      </c>
      <c r="C16" s="43">
        <f>'[2]I-805 SB'!E16</f>
        <v>779</v>
      </c>
      <c r="D16" s="188">
        <f>'[2]I-805 SB'!I16</f>
        <v>27</v>
      </c>
      <c r="E16" s="189">
        <f>'[2]I-805 SB'!J16</f>
        <v>0</v>
      </c>
      <c r="F16" s="189" t="str">
        <f>'[2]I-805 SB'!K16</f>
        <v>SR-163 SB</v>
      </c>
      <c r="G16" s="189" t="str">
        <f>'[2]I-805 SB'!L16</f>
        <v>MESA COLLEGE</v>
      </c>
      <c r="H16" s="51">
        <f>'[2]I-805 SB'!O16</f>
        <v>18499</v>
      </c>
      <c r="I16" s="198">
        <f>VLOOKUP(c_10[[#This Row],[hwycov_id]],readme!D:G,4,FALSE)</f>
        <v>34519.601562000003</v>
      </c>
      <c r="J16" s="206">
        <f t="shared" si="1"/>
        <v>0.86602527498783743</v>
      </c>
      <c r="K16" s="188" t="str">
        <f>'[2]I-805 SB'!P16</f>
        <v>PeMS2016</v>
      </c>
      <c r="L16" s="148">
        <f t="shared" si="2"/>
        <v>256659674.40835696</v>
      </c>
      <c r="M16" s="44"/>
    </row>
    <row r="17" spans="1:13" ht="15" customHeight="1" x14ac:dyDescent="0.25">
      <c r="A17" s="43">
        <f>'[2]I-805 SB'!C17</f>
        <v>10</v>
      </c>
      <c r="B17" s="43" t="str">
        <f>'[2]I-805 SB'!H17</f>
        <v>I-805 SB</v>
      </c>
      <c r="C17" s="43">
        <f>'[2]I-805 SB'!E17</f>
        <v>786</v>
      </c>
      <c r="D17" s="188">
        <f>'[2]I-805 SB'!I17</f>
        <v>28</v>
      </c>
      <c r="E17" s="189">
        <f>'[2]I-805 SB'!J17</f>
        <v>0</v>
      </c>
      <c r="F17" s="189" t="str">
        <f>'[2]I-805 SB'!K17</f>
        <v>MESA COLLEGE</v>
      </c>
      <c r="G17" s="189" t="str">
        <f>'[2]I-805 SB'!L17</f>
        <v>MURRAY RIDGE</v>
      </c>
      <c r="H17" s="51">
        <f>'[2]I-805 SB'!O17</f>
        <v>29959</v>
      </c>
      <c r="I17" s="198">
        <f>VLOOKUP(c_10[[#This Row],[hwycov_id]],readme!D:G,4,FALSE)</f>
        <v>37906.003905999998</v>
      </c>
      <c r="J17" s="206">
        <f t="shared" si="1"/>
        <v>0.26526265582963382</v>
      </c>
      <c r="K17" s="188" t="str">
        <f>'[2]I-805 SB'!P17</f>
        <v>PeMS2016</v>
      </c>
      <c r="L17" s="148">
        <f t="shared" si="2"/>
        <v>63154871.08197923</v>
      </c>
      <c r="M17" s="44"/>
    </row>
    <row r="18" spans="1:13" ht="15" customHeight="1" x14ac:dyDescent="0.25">
      <c r="A18" s="43">
        <f>'[2]I-805 SB'!C18</f>
        <v>10</v>
      </c>
      <c r="B18" s="43" t="str">
        <f>'[2]I-805 SB'!H18</f>
        <v>I-805 SB</v>
      </c>
      <c r="C18" s="43">
        <f>'[2]I-805 SB'!E18</f>
        <v>787</v>
      </c>
      <c r="D18" s="188">
        <f>'[2]I-805 SB'!I18</f>
        <v>29</v>
      </c>
      <c r="E18" s="189">
        <f>'[2]I-805 SB'!J18</f>
        <v>0</v>
      </c>
      <c r="F18" s="189" t="str">
        <f>'[2]I-805 SB'!K18</f>
        <v>MURRAY RIDGE</v>
      </c>
      <c r="G18" s="189" t="str">
        <f>'[2]I-805 SB'!L18</f>
        <v>MURRAY RIDGE</v>
      </c>
      <c r="H18" s="51">
        <f>'[2]I-805 SB'!O18</f>
        <v>29030</v>
      </c>
      <c r="I18" s="198">
        <f>VLOOKUP(c_10[[#This Row],[hwycov_id]],readme!D:G,4,FALSE)</f>
        <v>36127.359375</v>
      </c>
      <c r="J18" s="206">
        <f t="shared" si="1"/>
        <v>0.24448361608680669</v>
      </c>
      <c r="K18" s="188" t="str">
        <f>'[2]I-805 SB'!P18</f>
        <v>PeMS2016</v>
      </c>
      <c r="L18" s="148">
        <f t="shared" si="2"/>
        <v>50372510.097900391</v>
      </c>
      <c r="M18" s="44"/>
    </row>
    <row r="19" spans="1:13" ht="15" customHeight="1" x14ac:dyDescent="0.25">
      <c r="A19" s="43">
        <f>'[2]I-805 SB'!C19</f>
        <v>10</v>
      </c>
      <c r="B19" s="43" t="str">
        <f>'[2]I-805 SB'!H19</f>
        <v>I-805 SB</v>
      </c>
      <c r="C19" s="43">
        <f>'[2]I-805 SB'!E19</f>
        <v>788</v>
      </c>
      <c r="D19" s="188">
        <f>'[2]I-805 SB'!I19</f>
        <v>30</v>
      </c>
      <c r="E19" s="189">
        <f>'[2]I-805 SB'!J19</f>
        <v>0</v>
      </c>
      <c r="F19" s="189" t="str">
        <f>'[2]I-805 SB'!K19</f>
        <v>MURRAY RIDGE</v>
      </c>
      <c r="G19" s="189" t="str">
        <f>'[2]I-805 SB'!L19</f>
        <v>I-8 WB</v>
      </c>
      <c r="H19" s="51">
        <f>'[2]I-805 SB'!O19</f>
        <v>30741</v>
      </c>
      <c r="I19" s="198">
        <f>VLOOKUP(c_10[[#This Row],[hwycov_id]],readme!D:G,4,FALSE)</f>
        <v>37786.039062000003</v>
      </c>
      <c r="J19" s="206">
        <f t="shared" si="1"/>
        <v>0.22917403669366654</v>
      </c>
      <c r="K19" s="188" t="str">
        <f>'[2]I-805 SB'!P19</f>
        <v>PeMS2016</v>
      </c>
      <c r="L19" s="148">
        <f t="shared" si="2"/>
        <v>49632575.385105886</v>
      </c>
      <c r="M19" s="44"/>
    </row>
    <row r="20" spans="1:13" ht="15" customHeight="1" x14ac:dyDescent="0.25">
      <c r="A20" s="43">
        <f>'[2]I-805 SB'!C20</f>
        <v>10</v>
      </c>
      <c r="B20" s="43" t="str">
        <f>'[2]I-805 SB'!H20</f>
        <v>I-805 SB</v>
      </c>
      <c r="C20" s="43">
        <f>'[2]I-805 SB'!E20</f>
        <v>20782</v>
      </c>
      <c r="D20" s="188">
        <f>'[2]I-805 SB'!I20</f>
        <v>31</v>
      </c>
      <c r="E20" s="189">
        <f>'[2]I-805 SB'!J20</f>
        <v>0</v>
      </c>
      <c r="F20" s="189" t="str">
        <f>'[2]I-805 SB'!K20</f>
        <v>I-8 WB</v>
      </c>
      <c r="G20" s="189" t="str">
        <f>'[2]I-805 SB'!L20</f>
        <v>I-8 EB</v>
      </c>
      <c r="H20" s="51">
        <f>'[2]I-805 SB'!O20</f>
        <v>21829</v>
      </c>
      <c r="I20" s="198">
        <f>VLOOKUP(c_10[[#This Row],[hwycov_id]],readme!D:G,4,FALSE)</f>
        <v>26535.144531000002</v>
      </c>
      <c r="J20" s="206">
        <f t="shared" si="1"/>
        <v>0.2155913936048377</v>
      </c>
      <c r="K20" s="188" t="str">
        <f>'[2]I-805 SB'!P20</f>
        <v>PeMS2016</v>
      </c>
      <c r="L20" s="148">
        <f t="shared" si="2"/>
        <v>22147796.346661225</v>
      </c>
      <c r="M20" s="44"/>
    </row>
    <row r="21" spans="1:13" ht="15" customHeight="1" x14ac:dyDescent="0.25">
      <c r="A21" s="43">
        <f>'[2]I-805 SB'!C21</f>
        <v>10</v>
      </c>
      <c r="B21" s="43" t="str">
        <f>'[2]I-805 SB'!H21</f>
        <v>I-805 SB</v>
      </c>
      <c r="C21" s="43">
        <f>'[2]I-805 SB'!E21</f>
        <v>792</v>
      </c>
      <c r="D21" s="188">
        <f>'[2]I-805 SB'!I21</f>
        <v>33</v>
      </c>
      <c r="E21" s="189">
        <f>'[2]I-805 SB'!J21</f>
        <v>0</v>
      </c>
      <c r="F21" s="189" t="str">
        <f>'[2]I-805 SB'!K21</f>
        <v>MADISON</v>
      </c>
      <c r="G21" s="189" t="str">
        <f>'[2]I-805 SB'!L21</f>
        <v>EL CAJON</v>
      </c>
      <c r="H21" s="51">
        <f>'[2]I-805 SB'!O21</f>
        <v>29038</v>
      </c>
      <c r="I21" s="198">
        <f>VLOOKUP(c_10[[#This Row],[hwycov_id]],readme!D:G,4,FALSE)</f>
        <v>33287.972655999998</v>
      </c>
      <c r="J21" s="206">
        <f t="shared" si="1"/>
        <v>0.14635900048212691</v>
      </c>
      <c r="K21" s="188" t="str">
        <f>'[2]I-805 SB'!P21</f>
        <v>PeMS2016</v>
      </c>
      <c r="L21" s="148">
        <f t="shared" si="2"/>
        <v>18062267.576747678</v>
      </c>
      <c r="M21" s="44"/>
    </row>
    <row r="22" spans="1:13" ht="15" customHeight="1" x14ac:dyDescent="0.25">
      <c r="A22" s="43">
        <f>'[2]I-805 SB'!C22</f>
        <v>10</v>
      </c>
      <c r="B22" s="43" t="str">
        <f>'[2]I-805 SB'!H22</f>
        <v>I-805 SB</v>
      </c>
      <c r="C22" s="43">
        <f>'[2]I-805 SB'!E22</f>
        <v>797</v>
      </c>
      <c r="D22" s="188">
        <f>'[2]I-805 SB'!I22</f>
        <v>35</v>
      </c>
      <c r="E22" s="189">
        <f>'[2]I-805 SB'!J22</f>
        <v>0</v>
      </c>
      <c r="F22" s="189" t="str">
        <f>'[2]I-805 SB'!K22</f>
        <v>EL CAJON</v>
      </c>
      <c r="G22" s="189" t="str">
        <f>'[2]I-805 SB'!L22</f>
        <v>UNIVERSITY</v>
      </c>
      <c r="H22" s="51">
        <f>'[2]I-805 SB'!O22</f>
        <v>28272</v>
      </c>
      <c r="I22" s="198">
        <f>VLOOKUP(c_10[[#This Row],[hwycov_id]],readme!D:G,4,FALSE)</f>
        <v>33477.5625</v>
      </c>
      <c r="J22" s="206">
        <f t="shared" si="1"/>
        <v>0.18412431027164677</v>
      </c>
      <c r="K22" s="188" t="str">
        <f>'[2]I-805 SB'!P22</f>
        <v>Caltran</v>
      </c>
      <c r="L22" s="148">
        <f t="shared" si="2"/>
        <v>27097880.94140625</v>
      </c>
      <c r="M22" s="44"/>
    </row>
    <row r="23" spans="1:13" ht="15" customHeight="1" x14ac:dyDescent="0.25">
      <c r="A23" s="43">
        <f>'[2]I-805 SB'!C23</f>
        <v>10</v>
      </c>
      <c r="B23" s="43" t="str">
        <f>'[2]I-805 SB'!H23</f>
        <v>I-805 SB</v>
      </c>
      <c r="C23" s="43">
        <f>'[2]I-805 SB'!E23</f>
        <v>801</v>
      </c>
      <c r="D23" s="188">
        <f>'[2]I-805 SB'!I23</f>
        <v>39</v>
      </c>
      <c r="E23" s="189">
        <f>'[2]I-805 SB'!J23</f>
        <v>0</v>
      </c>
      <c r="F23" s="189" t="str">
        <f>'[2]I-805 SB'!K23</f>
        <v>SR-15 SB</v>
      </c>
      <c r="G23" s="189" t="str">
        <f>'[2]I-805 SB'!L23</f>
        <v>SR-15 SB</v>
      </c>
      <c r="H23" s="51">
        <f>'[2]I-805 SB'!O23</f>
        <v>23425</v>
      </c>
      <c r="I23" s="198">
        <f>VLOOKUP(c_10[[#This Row],[hwycov_id]],readme!D:G,4,FALSE)</f>
        <v>26420.966797000001</v>
      </c>
      <c r="J23" s="206">
        <f t="shared" si="1"/>
        <v>0.12789612794023486</v>
      </c>
      <c r="K23" s="188" t="str">
        <f>'[2]I-805 SB'!P23</f>
        <v>PeMS2016</v>
      </c>
      <c r="L23" s="148">
        <f t="shared" si="2"/>
        <v>8975817.0487264451</v>
      </c>
      <c r="M23" s="44"/>
    </row>
    <row r="24" spans="1:13" ht="15" customHeight="1" x14ac:dyDescent="0.25">
      <c r="A24" s="43">
        <f>'[2]I-805 SB'!C24</f>
        <v>10</v>
      </c>
      <c r="B24" s="43" t="str">
        <f>'[2]I-805 SB'!H24</f>
        <v>I-805 SB</v>
      </c>
      <c r="C24" s="43">
        <f>'[2]I-805 SB'!E24</f>
        <v>802</v>
      </c>
      <c r="D24" s="188">
        <f>'[2]I-805 SB'!I24</f>
        <v>40</v>
      </c>
      <c r="E24" s="189">
        <f>'[2]I-805 SB'!J24</f>
        <v>0</v>
      </c>
      <c r="F24" s="189" t="str">
        <f>'[2]I-805 SB'!K24</f>
        <v>SR-15 SB</v>
      </c>
      <c r="G24" s="189" t="str">
        <f>'[2]I-805 SB'!L24</f>
        <v>HOME</v>
      </c>
      <c r="H24" s="51">
        <f>'[2]I-805 SB'!O24</f>
        <v>32716</v>
      </c>
      <c r="I24" s="198">
        <f>VLOOKUP(c_10[[#This Row],[hwycov_id]],readme!D:G,4,FALSE)</f>
        <v>39846.75</v>
      </c>
      <c r="J24" s="206">
        <f t="shared" si="1"/>
        <v>0.21795910257977757</v>
      </c>
      <c r="K24" s="188" t="str">
        <f>'[2]I-805 SB'!P24</f>
        <v>PeMS2016</v>
      </c>
      <c r="L24" s="148">
        <f t="shared" si="2"/>
        <v>50847595.5625</v>
      </c>
      <c r="M24" s="44"/>
    </row>
    <row r="25" spans="1:13" ht="15" customHeight="1" x14ac:dyDescent="0.25">
      <c r="A25" s="43">
        <f>'[2]I-805 SB'!C25</f>
        <v>10</v>
      </c>
      <c r="B25" s="43" t="str">
        <f>'[2]I-805 SB'!H25</f>
        <v>I-805 SB</v>
      </c>
      <c r="C25" s="43">
        <f>'[2]I-805 SB'!E25</f>
        <v>804</v>
      </c>
      <c r="D25" s="188">
        <f>'[2]I-805 SB'!I25</f>
        <v>42</v>
      </c>
      <c r="E25" s="189">
        <f>'[2]I-805 SB'!J25</f>
        <v>0</v>
      </c>
      <c r="F25" s="189">
        <f>'[2]I-805 SB'!K25</f>
        <v>0</v>
      </c>
      <c r="G25" s="189" t="str">
        <f>'[2]I-805 SB'!L25</f>
        <v>SR-94 EB</v>
      </c>
      <c r="H25" s="51">
        <f>'[2]I-805 SB'!O25</f>
        <v>21789</v>
      </c>
      <c r="I25" s="198">
        <f>VLOOKUP(c_10[[#This Row],[hwycov_id]],readme!D:G,4,FALSE)</f>
        <v>28762.302734000001</v>
      </c>
      <c r="J25" s="206">
        <f t="shared" si="1"/>
        <v>0.32003775914452248</v>
      </c>
      <c r="K25" s="188" t="str">
        <f>'[2]I-805 SB'!P25</f>
        <v>PeMS2016</v>
      </c>
      <c r="L25" s="148">
        <f t="shared" si="2"/>
        <v>48626951.020011887</v>
      </c>
      <c r="M25" s="44"/>
    </row>
    <row r="26" spans="1:13" ht="15" customHeight="1" x14ac:dyDescent="0.25">
      <c r="A26" s="43">
        <f>'[2]I-805 SB'!C26</f>
        <v>10</v>
      </c>
      <c r="B26" s="43" t="str">
        <f>'[2]I-805 SB'!H26</f>
        <v>I-805 SB</v>
      </c>
      <c r="C26" s="43">
        <f>'[2]I-805 SB'!E26</f>
        <v>806</v>
      </c>
      <c r="D26" s="188">
        <f>'[2]I-805 SB'!I26</f>
        <v>45</v>
      </c>
      <c r="E26" s="189">
        <f>'[2]I-805 SB'!J26</f>
        <v>0</v>
      </c>
      <c r="F26" s="189" t="str">
        <f>'[2]I-805 SB'!K26</f>
        <v>MARKET</v>
      </c>
      <c r="G26" s="189" t="str">
        <f>'[2]I-805 SB'!L26</f>
        <v>SR-94 EB</v>
      </c>
      <c r="H26" s="51">
        <f>'[2]I-805 SB'!O26</f>
        <v>19717</v>
      </c>
      <c r="I26" s="198">
        <f>VLOOKUP(c_10[[#This Row],[hwycov_id]],readme!D:G,4,FALSE)</f>
        <v>26552.71875</v>
      </c>
      <c r="J26" s="206">
        <f t="shared" si="1"/>
        <v>0.3466916239793072</v>
      </c>
      <c r="K26" s="188" t="str">
        <f>'[2]I-805 SB'!P26</f>
        <v>PeMS2016</v>
      </c>
      <c r="L26" s="148">
        <f t="shared" si="2"/>
        <v>46727050.829101563</v>
      </c>
      <c r="M26" s="44"/>
    </row>
    <row r="27" spans="1:13" ht="15" customHeight="1" x14ac:dyDescent="0.25">
      <c r="A27" s="43">
        <f>'[2]I-805 SB'!C27</f>
        <v>10</v>
      </c>
      <c r="B27" s="43" t="str">
        <f>'[2]I-805 SB'!H27</f>
        <v>I-805 SB</v>
      </c>
      <c r="C27" s="43">
        <f>'[2]I-805 SB'!E27</f>
        <v>807</v>
      </c>
      <c r="D27" s="188">
        <f>'[2]I-805 SB'!I27</f>
        <v>46</v>
      </c>
      <c r="E27" s="189">
        <f>'[2]I-805 SB'!J27</f>
        <v>0</v>
      </c>
      <c r="F27" s="189" t="str">
        <f>'[2]I-805 SB'!K27</f>
        <v>SR-94 EB</v>
      </c>
      <c r="G27" s="189" t="str">
        <f>'[2]I-805 SB'!L27</f>
        <v>MARKET</v>
      </c>
      <c r="H27" s="51">
        <f>'[2]I-805 SB'!O27</f>
        <v>32011</v>
      </c>
      <c r="I27" s="198">
        <f>VLOOKUP(c_10[[#This Row],[hwycov_id]],readme!D:G,4,FALSE)</f>
        <v>35267.824219000002</v>
      </c>
      <c r="J27" s="206">
        <f t="shared" si="1"/>
        <v>0.10174078344943926</v>
      </c>
      <c r="K27" s="188" t="str">
        <f>'[2]I-805 SB'!P27</f>
        <v>Caltran</v>
      </c>
      <c r="L27" s="148">
        <f t="shared" si="2"/>
        <v>10606903.993464973</v>
      </c>
      <c r="M27" s="44"/>
    </row>
    <row r="28" spans="1:13" ht="15" customHeight="1" x14ac:dyDescent="0.25">
      <c r="A28" s="43">
        <f>'[2]I-805 SB'!C28</f>
        <v>10</v>
      </c>
      <c r="B28" s="43" t="str">
        <f>'[2]I-805 SB'!H28</f>
        <v>I-805 SB</v>
      </c>
      <c r="C28" s="43">
        <f>'[2]I-805 SB'!E28</f>
        <v>3222</v>
      </c>
      <c r="D28" s="188">
        <f>'[2]I-805 SB'!I28</f>
        <v>51</v>
      </c>
      <c r="E28" s="189">
        <f>'[2]I-805 SB'!J28</f>
        <v>0</v>
      </c>
      <c r="F28" s="189" t="str">
        <f>'[2]I-805 SB'!K28</f>
        <v>47TH</v>
      </c>
      <c r="G28" s="189" t="str">
        <f>'[2]I-805 SB'!L28</f>
        <v>47TH</v>
      </c>
      <c r="H28" s="51">
        <f>'[2]I-805 SB'!O28</f>
        <v>21475</v>
      </c>
      <c r="I28" s="198">
        <f>VLOOKUP(c_10[[#This Row],[hwycov_id]],readme!D:G,4,FALSE)</f>
        <v>29358.111327999999</v>
      </c>
      <c r="J28" s="206">
        <f t="shared" si="1"/>
        <v>0.36708318174621657</v>
      </c>
      <c r="K28" s="188" t="str">
        <f>'[2]I-805 SB'!P28</f>
        <v>PeMS2016</v>
      </c>
      <c r="L28" s="148">
        <f t="shared" si="2"/>
        <v>62143444.209641911</v>
      </c>
      <c r="M28" s="44"/>
    </row>
    <row r="29" spans="1:13" ht="15" customHeight="1" x14ac:dyDescent="0.25">
      <c r="A29" s="43">
        <f>'[2]I-805 SB'!C29</f>
        <v>10</v>
      </c>
      <c r="B29" s="43" t="str">
        <f>'[2]I-805 SB'!H29</f>
        <v>I-805 SB</v>
      </c>
      <c r="C29" s="43">
        <f>'[2]I-805 SB'!E29</f>
        <v>813</v>
      </c>
      <c r="D29" s="188">
        <f>'[2]I-805 SB'!I29</f>
        <v>53</v>
      </c>
      <c r="E29" s="189">
        <f>'[2]I-805 SB'!J29</f>
        <v>0</v>
      </c>
      <c r="F29" s="189" t="str">
        <f>'[2]I-805 SB'!K29</f>
        <v>47TH</v>
      </c>
      <c r="G29" s="189" t="str">
        <f>'[2]I-805 SB'!L29</f>
        <v>43RD</v>
      </c>
      <c r="H29" s="51">
        <f>'[2]I-805 SB'!O29</f>
        <v>27118</v>
      </c>
      <c r="I29" s="198">
        <f>VLOOKUP(c_10[[#This Row],[hwycov_id]],readme!D:G,4,FALSE)</f>
        <v>30525.400390999999</v>
      </c>
      <c r="J29" s="206">
        <f t="shared" si="1"/>
        <v>0.1256508736263735</v>
      </c>
      <c r="K29" s="188" t="str">
        <f>'[2]I-805 SB'!P29</f>
        <v>PeMS2016</v>
      </c>
      <c r="L29" s="148">
        <f t="shared" si="2"/>
        <v>11610377.424586948</v>
      </c>
      <c r="M29" s="44"/>
    </row>
    <row r="30" spans="1:13" ht="15" customHeight="1" x14ac:dyDescent="0.25">
      <c r="A30" s="43">
        <f>'[2]I-805 SB'!C30</f>
        <v>10</v>
      </c>
      <c r="B30" s="43" t="str">
        <f>'[2]I-805 SB'!H30</f>
        <v>I-805 SB</v>
      </c>
      <c r="C30" s="43">
        <f>'[2]I-805 SB'!E30</f>
        <v>815</v>
      </c>
      <c r="D30" s="188">
        <f>'[2]I-805 SB'!I30</f>
        <v>54</v>
      </c>
      <c r="E30" s="189">
        <f>'[2]I-805 SB'!J30</f>
        <v>0</v>
      </c>
      <c r="F30" s="189" t="str">
        <f>'[2]I-805 SB'!K30</f>
        <v>43RD</v>
      </c>
      <c r="G30" s="189" t="str">
        <f>'[2]I-805 SB'!L30</f>
        <v>PLAZA</v>
      </c>
      <c r="H30" s="51">
        <f>'[2]I-805 SB'!O30</f>
        <v>31203</v>
      </c>
      <c r="I30" s="198">
        <f>VLOOKUP(c_10[[#This Row],[hwycov_id]],readme!D:G,4,FALSE)</f>
        <v>32409.998047000001</v>
      </c>
      <c r="J30" s="206">
        <f t="shared" si="1"/>
        <v>3.8682115405570094E-2</v>
      </c>
      <c r="K30" s="188" t="str">
        <f>'[2]I-805 SB'!P30</f>
        <v>Caltran</v>
      </c>
      <c r="L30" s="148">
        <f t="shared" si="2"/>
        <v>1456844.2854618165</v>
      </c>
      <c r="M30" s="44"/>
    </row>
    <row r="31" spans="1:13" ht="15" customHeight="1" x14ac:dyDescent="0.25">
      <c r="A31" s="43">
        <f>'[2]I-805 SB'!C31</f>
        <v>10</v>
      </c>
      <c r="B31" s="43" t="str">
        <f>'[2]I-805 SB'!H31</f>
        <v>I-805 SB</v>
      </c>
      <c r="C31" s="43">
        <f>'[2]I-805 SB'!E31</f>
        <v>20789</v>
      </c>
      <c r="D31" s="188">
        <f>'[2]I-805 SB'!I31</f>
        <v>55</v>
      </c>
      <c r="E31" s="189">
        <f>'[2]I-805 SB'!J31</f>
        <v>0</v>
      </c>
      <c r="F31" s="189" t="str">
        <f>'[2]I-805 SB'!K31</f>
        <v>PLAZA</v>
      </c>
      <c r="G31" s="189" t="str">
        <f>'[2]I-805 SB'!L31</f>
        <v>PLAZA</v>
      </c>
      <c r="H31" s="51">
        <f>'[2]I-805 SB'!O31</f>
        <v>27045</v>
      </c>
      <c r="I31" s="198">
        <f>VLOOKUP(c_10[[#This Row],[hwycov_id]],readme!D:G,4,FALSE)</f>
        <v>28318.865234000001</v>
      </c>
      <c r="J31" s="206">
        <f t="shared" si="1"/>
        <v>4.7101691033462734E-2</v>
      </c>
      <c r="K31" s="188" t="str">
        <f>'[2]I-805 SB'!P31</f>
        <v>PeMS2016</v>
      </c>
      <c r="L31" s="148">
        <f t="shared" si="2"/>
        <v>1622732.6343938767</v>
      </c>
      <c r="M31" s="44"/>
    </row>
    <row r="32" spans="1:13" ht="15" customHeight="1" x14ac:dyDescent="0.25">
      <c r="A32" s="43">
        <f>'[2]I-805 SB'!C32</f>
        <v>10</v>
      </c>
      <c r="B32" s="43" t="str">
        <f>'[2]I-805 SB'!H32</f>
        <v>I-805 SB</v>
      </c>
      <c r="C32" s="43">
        <f>'[2]I-805 SB'!E32</f>
        <v>20790</v>
      </c>
      <c r="D32" s="188">
        <f>'[2]I-805 SB'!I32</f>
        <v>56</v>
      </c>
      <c r="E32" s="189">
        <f>'[2]I-805 SB'!J32</f>
        <v>0</v>
      </c>
      <c r="F32" s="189" t="str">
        <f>'[2]I-805 SB'!K32</f>
        <v>PLAZA</v>
      </c>
      <c r="G32" s="189" t="str">
        <f>'[2]I-805 SB'!L32</f>
        <v>SR-54 WB</v>
      </c>
      <c r="H32" s="51">
        <f>'[2]I-805 SB'!O32</f>
        <v>27413</v>
      </c>
      <c r="I32" s="198">
        <f>VLOOKUP(c_10[[#This Row],[hwycov_id]],readme!D:G,4,FALSE)</f>
        <v>30701.773438</v>
      </c>
      <c r="J32" s="206">
        <f t="shared" si="1"/>
        <v>0.119971306971145</v>
      </c>
      <c r="K32" s="188" t="str">
        <f>'[2]I-805 SB'!P32</f>
        <v>PeMS2016</v>
      </c>
      <c r="L32" s="148">
        <f t="shared" si="2"/>
        <v>10816030.72649434</v>
      </c>
      <c r="M32" s="44"/>
    </row>
    <row r="33" spans="1:13" ht="15" customHeight="1" x14ac:dyDescent="0.25">
      <c r="A33" s="43">
        <f>'[2]I-805 SB'!C33</f>
        <v>10</v>
      </c>
      <c r="B33" s="43" t="str">
        <f>'[2]I-805 SB'!H33</f>
        <v>I-805 SB</v>
      </c>
      <c r="C33" s="43">
        <f>'[2]I-805 SB'!E33</f>
        <v>835</v>
      </c>
      <c r="D33" s="188">
        <f>'[2]I-805 SB'!I33</f>
        <v>62</v>
      </c>
      <c r="E33" s="189">
        <f>'[2]I-805 SB'!J33</f>
        <v>0</v>
      </c>
      <c r="F33" s="189" t="str">
        <f>'[2]I-805 SB'!K33</f>
        <v>SR-54 EB</v>
      </c>
      <c r="G33" s="189" t="str">
        <f>'[2]I-805 SB'!L33</f>
        <v>BONITA</v>
      </c>
      <c r="H33" s="51">
        <f>'[2]I-805 SB'!O33</f>
        <v>35806</v>
      </c>
      <c r="I33" s="198">
        <f>VLOOKUP(c_10[[#This Row],[hwycov_id]],readme!D:G,4,FALSE)</f>
        <v>32834.386719000002</v>
      </c>
      <c r="J33" s="206">
        <f t="shared" si="1"/>
        <v>-8.2992048287996334E-2</v>
      </c>
      <c r="K33" s="188" t="str">
        <f>'[2]I-805 SB'!P33</f>
        <v>Caltran</v>
      </c>
      <c r="L33" s="148">
        <f t="shared" si="2"/>
        <v>8830485.4918155745</v>
      </c>
      <c r="M33" s="44"/>
    </row>
    <row r="34" spans="1:13" ht="15" customHeight="1" x14ac:dyDescent="0.25">
      <c r="A34" s="43">
        <f>'[2]I-805 SB'!C34</f>
        <v>10</v>
      </c>
      <c r="B34" s="43" t="str">
        <f>'[2]I-805 SB'!H34</f>
        <v>I-805 SB</v>
      </c>
      <c r="C34" s="43">
        <f>'[2]I-805 SB'!E34</f>
        <v>836</v>
      </c>
      <c r="D34" s="188">
        <f>'[2]I-805 SB'!I34</f>
        <v>63</v>
      </c>
      <c r="E34" s="189">
        <f>'[2]I-805 SB'!J34</f>
        <v>0</v>
      </c>
      <c r="F34" s="189" t="str">
        <f>'[2]I-805 SB'!K34</f>
        <v>BONITA</v>
      </c>
      <c r="G34" s="189" t="str">
        <f>'[2]I-805 SB'!L34</f>
        <v>BONITA</v>
      </c>
      <c r="H34" s="51">
        <f>'[2]I-805 SB'!O34</f>
        <v>30376</v>
      </c>
      <c r="I34" s="198">
        <f>VLOOKUP(c_10[[#This Row],[hwycov_id]],readme!D:G,4,FALSE)</f>
        <v>30056.591797000001</v>
      </c>
      <c r="J34" s="206">
        <f t="shared" si="1"/>
        <v>-1.0515150217276781E-2</v>
      </c>
      <c r="K34" s="188" t="str">
        <f>'[2]I-805 SB'!P34</f>
        <v>PeMS2016</v>
      </c>
      <c r="L34" s="148">
        <f t="shared" si="2"/>
        <v>102021.6001436886</v>
      </c>
      <c r="M34" s="44"/>
    </row>
    <row r="35" spans="1:13" ht="15" customHeight="1" x14ac:dyDescent="0.25">
      <c r="A35" s="43">
        <f>'[2]I-805 SB'!C35</f>
        <v>10</v>
      </c>
      <c r="B35" s="43" t="str">
        <f>'[2]I-805 SB'!H35</f>
        <v>I-805 SB</v>
      </c>
      <c r="C35" s="43">
        <f>'[2]I-805 SB'!E35</f>
        <v>22157</v>
      </c>
      <c r="D35" s="188">
        <f>'[2]I-805 SB'!I35</f>
        <v>66</v>
      </c>
      <c r="E35" s="189">
        <f>'[2]I-805 SB'!J35</f>
        <v>0</v>
      </c>
      <c r="F35" s="189" t="str">
        <f>'[2]I-805 SB'!K35</f>
        <v>H</v>
      </c>
      <c r="G35" s="189" t="str">
        <f>'[2]I-805 SB'!L35</f>
        <v>H</v>
      </c>
      <c r="H35" s="51">
        <f>'[2]I-805 SB'!O35</f>
        <v>26889</v>
      </c>
      <c r="I35" s="198">
        <f>VLOOKUP(c_10[[#This Row],[hwycov_id]],readme!D:G,4,FALSE)</f>
        <v>23564.941406000002</v>
      </c>
      <c r="J35" s="206">
        <f t="shared" si="1"/>
        <v>-0.12362150299378927</v>
      </c>
      <c r="K35" s="188" t="str">
        <f>'[2]I-805 SB'!P35</f>
        <v>PeMS2016</v>
      </c>
      <c r="L35" s="148">
        <f t="shared" si="2"/>
        <v>11049365.536345245</v>
      </c>
      <c r="M35" s="44"/>
    </row>
    <row r="36" spans="1:13" ht="15" customHeight="1" x14ac:dyDescent="0.25">
      <c r="A36" s="43">
        <f>'[2]I-805 SB'!C36</f>
        <v>10</v>
      </c>
      <c r="B36" s="43" t="str">
        <f>'[2]I-805 SB'!H36</f>
        <v>I-805 SB</v>
      </c>
      <c r="C36" s="43">
        <f>'[2]I-805 SB'!E36</f>
        <v>841</v>
      </c>
      <c r="D36" s="188">
        <f>'[2]I-805 SB'!I36</f>
        <v>69</v>
      </c>
      <c r="E36" s="189">
        <f>'[2]I-805 SB'!J36</f>
        <v>0</v>
      </c>
      <c r="F36" s="189" t="str">
        <f>'[2]I-805 SB'!K36</f>
        <v>H</v>
      </c>
      <c r="G36" s="189" t="str">
        <f>'[2]I-805 SB'!L36</f>
        <v>TELEGRAPH CANYON</v>
      </c>
      <c r="H36" s="51">
        <f>'[2]I-805 SB'!O36</f>
        <v>26224</v>
      </c>
      <c r="I36" s="198">
        <f>VLOOKUP(c_10[[#This Row],[hwycov_id]],readme!D:G,4,FALSE)</f>
        <v>25396.898438</v>
      </c>
      <c r="J36" s="206">
        <f t="shared" si="1"/>
        <v>-3.1539870424039051E-2</v>
      </c>
      <c r="K36" s="188" t="str">
        <f>'[2]I-805 SB'!P36</f>
        <v>PeMS2016</v>
      </c>
      <c r="L36" s="148">
        <f t="shared" si="2"/>
        <v>684096.99386283953</v>
      </c>
      <c r="M36" s="44"/>
    </row>
    <row r="37" spans="1:13" ht="15" customHeight="1" x14ac:dyDescent="0.25">
      <c r="A37" s="43">
        <f>'[2]I-805 SB'!C37</f>
        <v>10</v>
      </c>
      <c r="B37" s="43" t="str">
        <f>'[2]I-805 SB'!H37</f>
        <v>I-805 SB</v>
      </c>
      <c r="C37" s="43">
        <f>'[2]I-805 SB'!E37</f>
        <v>10633</v>
      </c>
      <c r="D37" s="188">
        <f>'[2]I-805 SB'!I37</f>
        <v>70</v>
      </c>
      <c r="E37" s="189">
        <f>'[2]I-805 SB'!J37</f>
        <v>0</v>
      </c>
      <c r="F37" s="189" t="str">
        <f>'[2]I-805 SB'!K37</f>
        <v>TELEGRAPH CANYON</v>
      </c>
      <c r="G37" s="189" t="str">
        <f>'[2]I-805 SB'!L37</f>
        <v>TELEGRAPH CANYON</v>
      </c>
      <c r="H37" s="51">
        <f>'[2]I-805 SB'!O37</f>
        <v>16943</v>
      </c>
      <c r="I37" s="198">
        <f>VLOOKUP(c_10[[#This Row],[hwycov_id]],readme!D:G,4,FALSE)</f>
        <v>14929.143555000001</v>
      </c>
      <c r="J37" s="206">
        <f t="shared" si="1"/>
        <v>-0.11886067668063505</v>
      </c>
      <c r="K37" s="188" t="str">
        <f>'[2]I-805 SB'!P37</f>
        <v>PeMS2016</v>
      </c>
      <c r="L37" s="148">
        <f t="shared" si="2"/>
        <v>4055617.7810680359</v>
      </c>
      <c r="M37" s="44"/>
    </row>
    <row r="38" spans="1:13" ht="15" customHeight="1" x14ac:dyDescent="0.25">
      <c r="A38" s="43">
        <f>'[2]I-805 SB'!C38</f>
        <v>10</v>
      </c>
      <c r="B38" s="43" t="str">
        <f>'[2]I-805 SB'!H38</f>
        <v>I-805 SB</v>
      </c>
      <c r="C38" s="43">
        <f>'[2]I-805 SB'!E38</f>
        <v>843</v>
      </c>
      <c r="D38" s="188">
        <f>'[2]I-805 SB'!I38</f>
        <v>72</v>
      </c>
      <c r="E38" s="189">
        <f>'[2]I-805 SB'!J38</f>
        <v>0</v>
      </c>
      <c r="F38" s="189" t="str">
        <f>'[2]I-805 SB'!K38</f>
        <v>TELEGRAPH CANYON</v>
      </c>
      <c r="G38" s="189" t="str">
        <f>'[2]I-805 SB'!L38</f>
        <v>PALOMAR</v>
      </c>
      <c r="H38" s="51">
        <f>'[2]I-805 SB'!O38</f>
        <v>16630</v>
      </c>
      <c r="I38" s="198">
        <f>VLOOKUP(c_10[[#This Row],[hwycov_id]],readme!D:G,4,FALSE)</f>
        <v>16984.791015999999</v>
      </c>
      <c r="J38" s="206">
        <f t="shared" si="1"/>
        <v>2.1334396632591623E-2</v>
      </c>
      <c r="K38" s="188" t="str">
        <f>'[2]I-805 SB'!P38</f>
        <v>PeMS2016</v>
      </c>
      <c r="L38" s="148">
        <f t="shared" si="2"/>
        <v>125876.66503431171</v>
      </c>
      <c r="M38" s="44"/>
    </row>
    <row r="39" spans="1:13" ht="15" customHeight="1" x14ac:dyDescent="0.25">
      <c r="A39" s="43">
        <f>'[2]I-805 SB'!C39</f>
        <v>10</v>
      </c>
      <c r="B39" s="43" t="str">
        <f>'[2]I-805 SB'!H39</f>
        <v>I-805 SB</v>
      </c>
      <c r="C39" s="43">
        <f>'[2]I-805 SB'!E39</f>
        <v>851</v>
      </c>
      <c r="D39" s="188">
        <f>'[2]I-805 SB'!I39</f>
        <v>77</v>
      </c>
      <c r="E39" s="189">
        <f>'[2]I-805 SB'!J39</f>
        <v>0</v>
      </c>
      <c r="F39" s="189" t="str">
        <f>'[2]I-805 SB'!K39</f>
        <v>OTAY VALLEY</v>
      </c>
      <c r="G39" s="189" t="str">
        <f>'[2]I-805 SB'!L39</f>
        <v>OTAY VALLEY</v>
      </c>
      <c r="H39" s="51">
        <f>'[2]I-805 SB'!O39</f>
        <v>17965</v>
      </c>
      <c r="I39" s="198">
        <f>VLOOKUP(c_10[[#This Row],[hwycov_id]],readme!D:G,4,FALSE)</f>
        <v>17630.005859000001</v>
      </c>
      <c r="J39" s="206">
        <f t="shared" si="1"/>
        <v>-1.8647043751739423E-2</v>
      </c>
      <c r="K39" s="188" t="str">
        <f>'[2]I-805 SB'!P39</f>
        <v>PeMS2016</v>
      </c>
      <c r="L39" s="148">
        <f t="shared" si="2"/>
        <v>112221.07450432736</v>
      </c>
      <c r="M39" s="44"/>
    </row>
    <row r="40" spans="1:13" ht="15" customHeight="1" x14ac:dyDescent="0.25">
      <c r="A40" s="43">
        <f>'[2]I-805 SB'!C40</f>
        <v>10</v>
      </c>
      <c r="B40" s="43" t="str">
        <f>'[2]I-805 SB'!H40</f>
        <v>I-805 SB</v>
      </c>
      <c r="C40" s="43">
        <f>'[2]I-805 SB'!E40</f>
        <v>853</v>
      </c>
      <c r="D40" s="188">
        <f>'[2]I-805 SB'!I40</f>
        <v>79</v>
      </c>
      <c r="E40" s="189">
        <f>'[2]I-805 SB'!J40</f>
        <v>0</v>
      </c>
      <c r="F40" s="189" t="str">
        <f>'[2]I-805 SB'!K40</f>
        <v>PALM</v>
      </c>
      <c r="G40" s="189" t="str">
        <f>'[2]I-805 SB'!L40</f>
        <v>PALM</v>
      </c>
      <c r="H40" s="51">
        <f>'[2]I-805 SB'!O40</f>
        <v>13679</v>
      </c>
      <c r="I40" s="198">
        <f>VLOOKUP(c_10[[#This Row],[hwycov_id]],readme!D:G,4,FALSE)</f>
        <v>15539.817383</v>
      </c>
      <c r="J40" s="206">
        <f t="shared" si="1"/>
        <v>0.13603460655018629</v>
      </c>
      <c r="K40" s="188" t="str">
        <f>'[2]I-805 SB'!P40</f>
        <v>PeMS2016</v>
      </c>
      <c r="L40" s="148">
        <f t="shared" si="2"/>
        <v>3462641.3328749673</v>
      </c>
      <c r="M40" s="44"/>
    </row>
    <row r="41" spans="1:13" ht="15" customHeight="1" x14ac:dyDescent="0.25">
      <c r="A41" s="43">
        <f>'[2]I-805 SB'!C41</f>
        <v>10</v>
      </c>
      <c r="B41" s="43" t="str">
        <f>'[2]I-805 SB'!H41</f>
        <v>I-805 SB</v>
      </c>
      <c r="C41" s="43">
        <f>'[2]I-805 SB'!E41</f>
        <v>854</v>
      </c>
      <c r="D41" s="188">
        <f>'[2]I-805 SB'!I41</f>
        <v>80</v>
      </c>
      <c r="E41" s="189">
        <f>'[2]I-805 SB'!J41</f>
        <v>0</v>
      </c>
      <c r="F41" s="189" t="str">
        <f>'[2]I-805 SB'!K41</f>
        <v>PALM</v>
      </c>
      <c r="G41" s="189" t="str">
        <f>'[2]I-805 SB'!L41</f>
        <v>SR-905 WB</v>
      </c>
      <c r="H41" s="51">
        <f>'[2]I-805 SB'!O41</f>
        <v>14280</v>
      </c>
      <c r="I41" s="198">
        <f>VLOOKUP(c_10[[#This Row],[hwycov_id]],readme!D:G,4,FALSE)</f>
        <v>18086.373047000001</v>
      </c>
      <c r="J41" s="206">
        <f t="shared" si="1"/>
        <v>0.26655273438375349</v>
      </c>
      <c r="K41" s="188" t="str">
        <f>'[2]I-805 SB'!P41</f>
        <v>PeMS2016</v>
      </c>
      <c r="L41" s="148">
        <f t="shared" si="2"/>
        <v>14488475.772928072</v>
      </c>
      <c r="M41" s="44"/>
    </row>
    <row r="42" spans="1:13" ht="15" customHeight="1" x14ac:dyDescent="0.25">
      <c r="A42" s="43">
        <f>'[2]I-805 SB'!C42</f>
        <v>10</v>
      </c>
      <c r="B42" s="43" t="str">
        <f>'[2]I-805 SB'!H42</f>
        <v>I-805 SB</v>
      </c>
      <c r="C42" s="43">
        <f>'[2]I-805 SB'!E42</f>
        <v>25533</v>
      </c>
      <c r="D42" s="188">
        <f>'[2]I-805 SB'!I42</f>
        <v>81</v>
      </c>
      <c r="E42" s="189">
        <f>'[2]I-805 SB'!J42</f>
        <v>0</v>
      </c>
      <c r="F42" s="189" t="str">
        <f>'[2]I-805 SB'!K42</f>
        <v>SR-905 WB</v>
      </c>
      <c r="G42" s="189" t="str">
        <f>'[2]I-805 SB'!L42</f>
        <v>SR-905 WB</v>
      </c>
      <c r="H42" s="51">
        <f>'[2]I-805 SB'!O42</f>
        <v>8561</v>
      </c>
      <c r="I42" s="198">
        <f>VLOOKUP(c_10[[#This Row],[hwycov_id]],readme!D:G,4,FALSE)</f>
        <v>7642.4145509999998</v>
      </c>
      <c r="J42" s="206">
        <f t="shared" si="1"/>
        <v>-0.10729884931666867</v>
      </c>
      <c r="K42" s="188" t="str">
        <f>'[2]I-805 SB'!P42</f>
        <v>PeMS2016</v>
      </c>
      <c r="L42" s="148">
        <f t="shared" si="2"/>
        <v>843799.22711453191</v>
      </c>
      <c r="M42" s="44"/>
    </row>
    <row r="43" spans="1:13" ht="15" customHeight="1" x14ac:dyDescent="0.25">
      <c r="A43" s="43">
        <f>'[2]I-805 SB'!C43</f>
        <v>10</v>
      </c>
      <c r="B43" s="43" t="str">
        <f>'[2]I-805 SB'!H43</f>
        <v>I-805 SB</v>
      </c>
      <c r="C43" s="43">
        <f>'[2]I-805 SB'!E43</f>
        <v>857</v>
      </c>
      <c r="D43" s="188">
        <f>'[2]I-805 SB'!I43</f>
        <v>85</v>
      </c>
      <c r="E43" s="189">
        <f>'[2]I-805 SB'!J43</f>
        <v>0</v>
      </c>
      <c r="F43" s="189" t="str">
        <f>'[2]I-805 SB'!K43</f>
        <v>SR-905 EB</v>
      </c>
      <c r="G43" s="189" t="str">
        <f>'[2]I-805 SB'!L43</f>
        <v>EAST SAN YSIDRO</v>
      </c>
      <c r="H43" s="51">
        <f>'[2]I-805 SB'!O43</f>
        <v>12542</v>
      </c>
      <c r="I43" s="198">
        <f>VLOOKUP(c_10[[#This Row],[hwycov_id]],readme!D:G,4,FALSE)</f>
        <v>8546.2949219999991</v>
      </c>
      <c r="J43" s="206">
        <f t="shared" si="1"/>
        <v>-0.31858595742305862</v>
      </c>
      <c r="K43" s="188" t="str">
        <f>'[2]I-805 SB'!P43</f>
        <v>PeMS2016</v>
      </c>
      <c r="L43" s="148">
        <f t="shared" si="2"/>
        <v>15965659.070354993</v>
      </c>
      <c r="M43" s="44"/>
    </row>
    <row r="44" spans="1:13" ht="15" customHeight="1" x14ac:dyDescent="0.25">
      <c r="A44" s="43">
        <f>'[2]I-805 SB'!C44</f>
        <v>10</v>
      </c>
      <c r="B44" s="43" t="str">
        <f>'[2]I-805 SB'!H44</f>
        <v>I-805 SB</v>
      </c>
      <c r="C44" s="43">
        <f>'[2]I-805 SB'!E44</f>
        <v>858</v>
      </c>
      <c r="D44" s="188">
        <f>'[2]I-805 SB'!I44</f>
        <v>86</v>
      </c>
      <c r="E44" s="189">
        <f>'[2]I-805 SB'!J44</f>
        <v>0</v>
      </c>
      <c r="F44" s="189" t="str">
        <f>'[2]I-805 SB'!K44</f>
        <v>EAST SAN YSIDRO</v>
      </c>
      <c r="G44" s="189" t="str">
        <f>'[2]I-805 SB'!L44</f>
        <v>EAST SAN YSIDRO</v>
      </c>
      <c r="H44" s="51">
        <f>'[2]I-805 SB'!O44</f>
        <v>6694</v>
      </c>
      <c r="I44" s="198">
        <f>VLOOKUP(c_10[[#This Row],[hwycov_id]],readme!D:G,4,FALSE)</f>
        <v>6825.9545900000003</v>
      </c>
      <c r="J44" s="206">
        <f t="shared" si="1"/>
        <v>1.9712367792052543E-2</v>
      </c>
      <c r="K44" s="188" t="str">
        <f>'[2]I-805 SB'!P44</f>
        <v>PeMS2016</v>
      </c>
      <c r="L44" s="148">
        <f t="shared" si="2"/>
        <v>17412.013822068173</v>
      </c>
      <c r="M44" s="44"/>
    </row>
    <row r="45" spans="1:13" ht="15" customHeight="1" x14ac:dyDescent="0.25">
      <c r="A45" s="43"/>
      <c r="B45" s="43"/>
      <c r="C45" s="43"/>
      <c r="D45" s="188"/>
      <c r="E45" s="189"/>
      <c r="F45" s="189"/>
      <c r="G45" s="189"/>
      <c r="H45" s="51"/>
      <c r="I45" s="198"/>
      <c r="J45" s="206"/>
      <c r="K45" s="188"/>
      <c r="L45" s="148"/>
      <c r="M45" s="44"/>
    </row>
    <row r="46" spans="1:13" ht="15" customHeight="1" x14ac:dyDescent="0.25">
      <c r="A46" s="43"/>
      <c r="B46" s="43"/>
      <c r="C46" s="43"/>
      <c r="D46" s="188"/>
      <c r="E46" s="189"/>
      <c r="F46" s="189"/>
      <c r="G46" s="189"/>
      <c r="H46" s="51"/>
      <c r="I46" s="198"/>
      <c r="J46" s="206"/>
      <c r="K46" s="188"/>
      <c r="L46" s="148"/>
      <c r="M46" s="44"/>
    </row>
    <row r="47" spans="1:13" ht="15" customHeight="1" x14ac:dyDescent="0.25">
      <c r="A47" s="43"/>
      <c r="B47" s="43"/>
      <c r="C47" s="43"/>
      <c r="D47" s="188"/>
      <c r="E47" s="189"/>
      <c r="F47" s="189"/>
      <c r="G47" s="189"/>
      <c r="H47" s="51"/>
      <c r="I47" s="198"/>
      <c r="J47" s="206"/>
      <c r="K47" s="188"/>
      <c r="L47" s="148"/>
      <c r="M47" s="44"/>
    </row>
    <row r="48" spans="1:13" ht="15" customHeight="1" x14ac:dyDescent="0.25">
      <c r="A48" s="43"/>
      <c r="B48" s="43"/>
      <c r="C48" s="43"/>
      <c r="D48" s="188"/>
      <c r="E48" s="189"/>
      <c r="F48" s="189"/>
      <c r="G48" s="189"/>
      <c r="H48" s="51"/>
      <c r="I48" s="198"/>
      <c r="J48" s="206"/>
      <c r="K48" s="188"/>
      <c r="L48" s="148"/>
      <c r="M48" s="44"/>
    </row>
    <row r="49" spans="1:13" ht="15" customHeight="1" x14ac:dyDescent="0.25">
      <c r="A49" s="43"/>
      <c r="B49" s="43"/>
      <c r="C49" s="43"/>
      <c r="D49" s="188"/>
      <c r="E49" s="189"/>
      <c r="F49" s="189"/>
      <c r="G49" s="189"/>
      <c r="H49" s="51"/>
      <c r="I49" s="198"/>
      <c r="J49" s="206"/>
      <c r="K49" s="188"/>
      <c r="L49" s="148"/>
      <c r="M49" s="44"/>
    </row>
    <row r="50" spans="1:13" ht="15" customHeight="1" x14ac:dyDescent="0.25">
      <c r="A50" s="43"/>
      <c r="B50" s="43"/>
      <c r="C50" s="43"/>
      <c r="D50" s="188"/>
      <c r="E50" s="189"/>
      <c r="F50" s="189"/>
      <c r="G50" s="189"/>
      <c r="H50" s="51"/>
      <c r="I50" s="198"/>
      <c r="J50" s="206"/>
      <c r="K50" s="188"/>
      <c r="L50" s="148"/>
      <c r="M50" s="44"/>
    </row>
    <row r="51" spans="1:13" ht="15" customHeight="1" x14ac:dyDescent="0.25">
      <c r="A51" s="43"/>
      <c r="B51" s="43"/>
      <c r="C51" s="43"/>
      <c r="D51" s="188"/>
      <c r="E51" s="189"/>
      <c r="F51" s="189"/>
      <c r="G51" s="189"/>
      <c r="H51" s="51"/>
      <c r="I51" s="198"/>
      <c r="J51" s="206"/>
      <c r="K51" s="188"/>
      <c r="L51" s="148"/>
      <c r="M51" s="44"/>
    </row>
    <row r="52" spans="1:13" ht="15" customHeight="1" x14ac:dyDescent="0.25">
      <c r="A52" s="43"/>
      <c r="B52" s="43"/>
      <c r="C52" s="43"/>
      <c r="D52" s="188"/>
      <c r="E52" s="189"/>
      <c r="F52" s="189"/>
      <c r="G52" s="189"/>
      <c r="H52" s="51"/>
      <c r="I52" s="198"/>
      <c r="J52" s="206"/>
      <c r="K52" s="188"/>
      <c r="L52" s="148"/>
      <c r="M52" s="44"/>
    </row>
    <row r="53" spans="1:13" ht="15" customHeight="1" x14ac:dyDescent="0.25">
      <c r="A53" s="43"/>
      <c r="B53" s="43"/>
      <c r="C53" s="43"/>
      <c r="D53" s="188"/>
      <c r="E53" s="189"/>
      <c r="F53" s="189"/>
      <c r="G53" s="189"/>
      <c r="H53" s="51"/>
      <c r="I53" s="198"/>
      <c r="J53" s="206"/>
      <c r="K53" s="188"/>
      <c r="L53" s="148"/>
      <c r="M53" s="44"/>
    </row>
    <row r="54" spans="1:13" ht="15" customHeight="1" x14ac:dyDescent="0.25">
      <c r="A54" s="43"/>
      <c r="B54" s="43"/>
      <c r="C54" s="43"/>
      <c r="D54" s="188"/>
      <c r="E54" s="189"/>
      <c r="F54" s="189"/>
      <c r="G54" s="189"/>
      <c r="H54" s="51"/>
      <c r="I54" s="198"/>
      <c r="J54" s="206"/>
      <c r="K54" s="188"/>
      <c r="L54" s="148"/>
      <c r="M54" s="44"/>
    </row>
    <row r="55" spans="1:13" ht="15" customHeight="1" x14ac:dyDescent="0.25">
      <c r="A55" s="43"/>
      <c r="B55" s="43"/>
      <c r="C55" s="43"/>
      <c r="D55" s="188"/>
      <c r="E55" s="189"/>
      <c r="F55" s="189"/>
      <c r="G55" s="189"/>
      <c r="H55" s="51"/>
      <c r="I55" s="198"/>
      <c r="J55" s="206"/>
      <c r="K55" s="188"/>
      <c r="L55" s="148"/>
      <c r="M55" s="44"/>
    </row>
    <row r="56" spans="1:13" ht="15" customHeight="1" x14ac:dyDescent="0.25">
      <c r="A56" s="43"/>
      <c r="B56" s="43"/>
      <c r="C56" s="43"/>
      <c r="D56" s="188"/>
      <c r="E56" s="189"/>
      <c r="F56" s="189"/>
      <c r="G56" s="189"/>
      <c r="H56" s="51"/>
      <c r="I56" s="198"/>
      <c r="J56" s="206"/>
      <c r="K56" s="188"/>
      <c r="L56" s="148"/>
      <c r="M56" s="44"/>
    </row>
    <row r="57" spans="1:13" ht="15" customHeight="1" x14ac:dyDescent="0.25">
      <c r="A57" s="43"/>
      <c r="B57" s="43"/>
      <c r="C57" s="43"/>
      <c r="D57" s="188"/>
      <c r="E57" s="189"/>
      <c r="F57" s="189"/>
      <c r="G57" s="189"/>
      <c r="H57" s="51"/>
      <c r="I57" s="198"/>
      <c r="J57" s="206"/>
      <c r="K57" s="188"/>
      <c r="L57" s="148"/>
      <c r="M57" s="44"/>
    </row>
    <row r="58" spans="1:13" ht="15" customHeight="1" x14ac:dyDescent="0.25">
      <c r="A58" s="43"/>
      <c r="B58" s="43"/>
      <c r="C58" s="43"/>
      <c r="D58" s="188"/>
      <c r="E58" s="189"/>
      <c r="F58" s="189"/>
      <c r="G58" s="189"/>
      <c r="H58" s="51"/>
      <c r="I58" s="198"/>
      <c r="J58" s="206"/>
      <c r="K58" s="188"/>
      <c r="L58" s="148"/>
      <c r="M58" s="44"/>
    </row>
    <row r="59" spans="1:13" ht="15" customHeight="1" x14ac:dyDescent="0.25">
      <c r="A59" s="43"/>
      <c r="B59" s="43"/>
      <c r="C59" s="43"/>
      <c r="D59" s="188"/>
      <c r="E59" s="189"/>
      <c r="F59" s="189"/>
      <c r="G59" s="189"/>
      <c r="H59" s="51"/>
      <c r="I59" s="198"/>
      <c r="J59" s="206"/>
      <c r="K59" s="188"/>
      <c r="L59" s="148"/>
      <c r="M59" s="44"/>
    </row>
    <row r="60" spans="1:13" ht="15" customHeight="1" x14ac:dyDescent="0.25">
      <c r="A60" s="43"/>
      <c r="B60" s="43"/>
      <c r="C60" s="43"/>
      <c r="D60" s="188"/>
      <c r="E60" s="189"/>
      <c r="F60" s="189"/>
      <c r="G60" s="189"/>
      <c r="H60" s="51"/>
      <c r="I60" s="198"/>
      <c r="J60" s="206"/>
      <c r="K60" s="188"/>
      <c r="L60" s="148"/>
      <c r="M60" s="44"/>
    </row>
    <row r="61" spans="1:13" ht="15" customHeight="1" x14ac:dyDescent="0.25">
      <c r="A61" s="43"/>
      <c r="B61" s="43"/>
      <c r="C61" s="43"/>
      <c r="D61" s="188"/>
      <c r="E61" s="189"/>
      <c r="F61" s="189"/>
      <c r="G61" s="189"/>
      <c r="H61" s="51"/>
      <c r="I61" s="198"/>
      <c r="J61" s="206"/>
      <c r="K61" s="188"/>
      <c r="L61" s="148"/>
      <c r="M61" s="44"/>
    </row>
    <row r="62" spans="1:13" ht="15" customHeight="1" x14ac:dyDescent="0.25">
      <c r="A62" s="43"/>
      <c r="B62" s="43"/>
      <c r="C62" s="43"/>
      <c r="D62" s="188"/>
      <c r="E62" s="189"/>
      <c r="F62" s="189"/>
      <c r="G62" s="189"/>
      <c r="H62" s="51"/>
      <c r="I62" s="198"/>
      <c r="J62" s="206"/>
      <c r="K62" s="188"/>
      <c r="L62" s="148"/>
      <c r="M62" s="44"/>
    </row>
    <row r="63" spans="1:13" ht="15" customHeight="1" x14ac:dyDescent="0.2">
      <c r="L63" s="44"/>
      <c r="M63" s="44"/>
    </row>
    <row r="64" spans="1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  <row r="88" spans="12:12" ht="15" customHeight="1" x14ac:dyDescent="0.2">
      <c r="L88" s="44"/>
    </row>
    <row r="89" spans="12:12" ht="15" customHeight="1" x14ac:dyDescent="0.2">
      <c r="L89" s="44"/>
    </row>
    <row r="90" spans="12:12" ht="15" customHeight="1" x14ac:dyDescent="0.2">
      <c r="L90" s="44"/>
    </row>
    <row r="91" spans="12:12" ht="15" customHeight="1" x14ac:dyDescent="0.2">
      <c r="L91" s="44"/>
    </row>
    <row r="92" spans="12:12" ht="15" customHeight="1" x14ac:dyDescent="0.2">
      <c r="L92" s="44"/>
    </row>
    <row r="93" spans="12:12" ht="15" customHeight="1" x14ac:dyDescent="0.2">
      <c r="L93" s="44"/>
    </row>
    <row r="94" spans="12:12" ht="15" customHeight="1" x14ac:dyDescent="0.2">
      <c r="L94" s="44"/>
    </row>
    <row r="95" spans="12:12" ht="15" customHeight="1" x14ac:dyDescent="0.2">
      <c r="L95" s="44"/>
    </row>
    <row r="96" spans="12:12" ht="15" customHeight="1" x14ac:dyDescent="0.2">
      <c r="L96" s="44"/>
    </row>
    <row r="97" spans="12:12" ht="15" customHeight="1" x14ac:dyDescent="0.2">
      <c r="L97" s="44"/>
    </row>
    <row r="98" spans="12:12" ht="15" customHeight="1" x14ac:dyDescent="0.2">
      <c r="L98" s="44"/>
    </row>
    <row r="99" spans="12:12" ht="15" customHeight="1" x14ac:dyDescent="0.2">
      <c r="L99" s="44"/>
    </row>
    <row r="100" spans="12:12" ht="15" customHeight="1" x14ac:dyDescent="0.2">
      <c r="L100" s="44"/>
    </row>
    <row r="101" spans="12:12" ht="15" customHeight="1" x14ac:dyDescent="0.2">
      <c r="L101" s="44"/>
    </row>
    <row r="102" spans="12:12" ht="15" customHeight="1" x14ac:dyDescent="0.2">
      <c r="L102" s="44"/>
    </row>
    <row r="103" spans="12:12" ht="15" customHeight="1" x14ac:dyDescent="0.2">
      <c r="L103" s="44"/>
    </row>
    <row r="104" spans="12:12" ht="15" customHeight="1" x14ac:dyDescent="0.2">
      <c r="L104" s="44"/>
    </row>
    <row r="105" spans="12:12" ht="15" customHeight="1" x14ac:dyDescent="0.2">
      <c r="L105" s="44"/>
    </row>
  </sheetData>
  <conditionalFormatting sqref="N2:N1048576 J63:K1048576">
    <cfRule type="cellIs" dxfId="421" priority="7" operator="lessThan">
      <formula>-0.2</formula>
    </cfRule>
    <cfRule type="cellIs" dxfId="420" priority="8" operator="greaterThan">
      <formula>0.2</formula>
    </cfRule>
  </conditionalFormatting>
  <conditionalFormatting sqref="J2:J44">
    <cfRule type="cellIs" dxfId="419" priority="3" operator="lessThan">
      <formula>-0.2</formula>
    </cfRule>
    <cfRule type="cellIs" dxfId="418" priority="4" operator="greaterThan">
      <formula>0.2</formula>
    </cfRule>
  </conditionalFormatting>
  <conditionalFormatting sqref="N1">
    <cfRule type="cellIs" dxfId="417" priority="1" operator="lessThan">
      <formula>-0.2</formula>
    </cfRule>
    <cfRule type="cellIs" dxfId="41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AI91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9.28515625" style="25" bestFit="1" customWidth="1"/>
    <col min="7" max="7" width="1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SQRT(AVERAGE(c_11[x2]))/AVERAGE(c_11[count])</f>
        <v>0.20963820898051916</v>
      </c>
      <c r="O1" s="69">
        <f>LINEST(c_11[flow],c_11[count],FALSE)</f>
        <v>0.92010454460407498</v>
      </c>
      <c r="P1" s="69">
        <f>RSQ(c_11[flow],c_11[count])</f>
        <v>0.36385683644806199</v>
      </c>
      <c r="Q1" s="19">
        <f>IFERROR(AVERAGEIF(c_11[gap],"&gt;=0",c_11[gap]),0)</f>
        <v>0.10858373007998323</v>
      </c>
      <c r="R1" s="20">
        <f>IFERROR(AVERAGEIF(c_11[gap],"&lt;0",c_11[gap]),0)</f>
        <v>-0.18999765308194691</v>
      </c>
      <c r="S1" s="13">
        <f>AVERAGE(c_11[gap])</f>
        <v>-5.2190860853363781E-2</v>
      </c>
      <c r="T1" s="18">
        <f>COUNTIFS(c_11[gap],"&lt;10%",c_11[gap],"&gt;=-10%")/COUNTA(c_11[gap])</f>
        <v>0.46153846153846156</v>
      </c>
      <c r="U1" s="18">
        <f>COUNTIFS(c_11[gap],"&lt;20%",c_11[gap],"&gt;=-20%")/COUNTA(c_11[gap])</f>
        <v>0.69230769230769229</v>
      </c>
      <c r="V1" s="18">
        <f>COUNTIFS(c_11[gap],"&lt;30%",c_11[gap],"&gt;=-30%")/COUNTA(c_11[gap])</f>
        <v>0.84615384615384615</v>
      </c>
      <c r="W1" s="19">
        <f>COUNTIF(c_11[gap],"&gt;=0")/COUNTA(c_11[gap])</f>
        <v>0.46153846153846156</v>
      </c>
      <c r="X1" s="21">
        <f>COUNTIF(c_11[gap],"&lt;0")/COUNTA(c_11[gap])</f>
        <v>0.53846153846153844</v>
      </c>
      <c r="Y1" s="39" t="str">
        <f>"%Link(+)="&amp;TEXT(W1,"0%")</f>
        <v>%Link(+)=46%</v>
      </c>
      <c r="Z1" s="39" t="str">
        <f>"%Link(-)="&amp;TEXT(X1,"0%")</f>
        <v>%Link(-)=54%</v>
      </c>
      <c r="AA1" s="36" t="str">
        <f>"AvgGap(+)="&amp;TEXT(Q1,"0%")</f>
        <v>AvgGap(+)=11%</v>
      </c>
      <c r="AB1" s="25" t="str">
        <f>"AvgGap(-)="&amp;TEXT(R1,"0%")</f>
        <v>AvgGap(-)=-19%</v>
      </c>
      <c r="AC1" s="25" t="str">
        <f>"AvgGap(±)="&amp;TEXT(S1,"0%")</f>
        <v>AvgGap(±)=-5%</v>
      </c>
      <c r="AD1" s="25" t="str">
        <f>"GapIn(±10%)="&amp;TEXT(T1,"0%")</f>
        <v>GapIn(±10%)=46%</v>
      </c>
      <c r="AE1" s="25" t="str">
        <f>"GapIn(±20%)="&amp;TEXT(U1,"0%")</f>
        <v>GapIn(±20%)=69%</v>
      </c>
      <c r="AF1" s="25" t="str">
        <f>"GapIn(±30%)="&amp;TEXT(V1,"0%")</f>
        <v>GapIn(±30%)=85%</v>
      </c>
      <c r="AG1" s="25" t="str">
        <f>"Linear Slope="&amp;TEXT(O1,"#.###")</f>
        <v>Linear Slope=.92</v>
      </c>
      <c r="AH1" s="25" t="str">
        <f>"RMSE="&amp;TEXT(N1,"0%")</f>
        <v>RMSE=21%</v>
      </c>
      <c r="AI1" s="25" t="str">
        <f>CONCATENATE(Y1," ",Z1," ",AA1,"  ",AB1,"  ",AC1,"  ",AD1," ",AE1,"  ",AF1,"  ",AG1," ",AH1)</f>
        <v>%Link(+)=46% %Link(-)=54% AvgGap(+)=11%  AvgGap(-)=-19%  AvgGap(±)=-5%  GapIn(±10%)=46% GapIn(±20%)=69%  GapIn(±30%)=85%  Linear Slope=.92 RMSE=21%</v>
      </c>
    </row>
    <row r="2" spans="1:35" ht="15" customHeight="1" x14ac:dyDescent="0.25">
      <c r="A2" s="43">
        <f>'[2]SR-163 SB'!C2</f>
        <v>11</v>
      </c>
      <c r="B2" s="43" t="str">
        <f>'[2]SR-163 SB'!H2</f>
        <v>SR-163 SB</v>
      </c>
      <c r="C2" s="126">
        <f>'[2]SR-163 SB'!E2</f>
        <v>7374</v>
      </c>
      <c r="D2" s="188">
        <f>'[2]SR-163 SB'!I2</f>
        <v>1</v>
      </c>
      <c r="E2" s="189">
        <f>'[2]SR-163 SB'!J2</f>
        <v>0</v>
      </c>
      <c r="F2" s="189" t="str">
        <f>'[2]SR-163 SB'!K2</f>
        <v>I-15 SB</v>
      </c>
      <c r="G2" s="189" t="str">
        <f>'[2]SR-163 SB'!L2</f>
        <v>I-15 HOV SB</v>
      </c>
      <c r="H2" s="197">
        <f>'[2]SR-163 SB'!O2</f>
        <v>17739</v>
      </c>
      <c r="I2" s="198">
        <f>VLOOKUP(c_11[[#This Row],[hwycov_id]],readme!D:G,4,FALSE)</f>
        <v>13165.798828000001</v>
      </c>
      <c r="J2" s="206">
        <f>I2/H2-1</f>
        <v>-0.25780490286938385</v>
      </c>
      <c r="K2" s="190" t="str">
        <f>'[2]SR-163 SB'!P2</f>
        <v>PeMS2016</v>
      </c>
      <c r="L2" s="148">
        <f t="shared" ref="L2" si="0">POWER((I2-H2),2)</f>
        <v>20914168.959582165</v>
      </c>
      <c r="M2" s="44"/>
    </row>
    <row r="3" spans="1:35" ht="15" customHeight="1" x14ac:dyDescent="0.25">
      <c r="A3" s="43">
        <f>'[2]SR-163 SB'!C3</f>
        <v>11</v>
      </c>
      <c r="B3" s="43" t="str">
        <f>'[2]SR-163 SB'!H3</f>
        <v>SR-163 SB</v>
      </c>
      <c r="C3" s="126">
        <f>'[2]SR-163 SB'!E3</f>
        <v>16162</v>
      </c>
      <c r="D3" s="188">
        <f>'[2]SR-163 SB'!I3</f>
        <v>2</v>
      </c>
      <c r="E3" s="189">
        <f>'[2]SR-163 SB'!J3</f>
        <v>0</v>
      </c>
      <c r="F3" s="189" t="str">
        <f>'[2]SR-163 SB'!K3</f>
        <v>I-15 HOV SB</v>
      </c>
      <c r="G3" s="189" t="str">
        <f>'[2]SR-163 SB'!L3</f>
        <v>KEARNY VILLA</v>
      </c>
      <c r="H3" s="197">
        <f>'[2]SR-163 SB'!O3</f>
        <v>20825</v>
      </c>
      <c r="I3" s="198">
        <f>VLOOKUP(c_11[[#This Row],[hwycov_id]],readme!D:G,4,FALSE)</f>
        <v>13179.798828000001</v>
      </c>
      <c r="J3" s="206">
        <f t="shared" ref="J3:J14" si="1">I3/H3-1</f>
        <v>-0.36711650285714281</v>
      </c>
      <c r="K3" s="190" t="str">
        <f>'[2]SR-163 SB'!P3</f>
        <v>PeMS2016</v>
      </c>
      <c r="L3" s="148">
        <f t="shared" ref="L3:L14" si="2">POWER((I3-H3),2)</f>
        <v>58449100.960350163</v>
      </c>
      <c r="M3" s="44"/>
    </row>
    <row r="4" spans="1:35" ht="15" customHeight="1" x14ac:dyDescent="0.25">
      <c r="A4" s="43">
        <f>'[2]SR-163 SB'!C4</f>
        <v>11</v>
      </c>
      <c r="B4" s="43" t="str">
        <f>'[2]SR-163 SB'!H4</f>
        <v>SR-163 SB</v>
      </c>
      <c r="C4" s="126">
        <f>'[2]SR-163 SB'!E4</f>
        <v>16163</v>
      </c>
      <c r="D4" s="188">
        <f>'[2]SR-163 SB'!I4</f>
        <v>4</v>
      </c>
      <c r="E4" s="189">
        <f>'[2]SR-163 SB'!J4</f>
        <v>0</v>
      </c>
      <c r="F4" s="189" t="str">
        <f>'[2]SR-163 SB'!K4</f>
        <v>KEARNY VILLA</v>
      </c>
      <c r="G4" s="189" t="str">
        <f>'[2]SR-163 SB'!L4</f>
        <v>SR-52 WB</v>
      </c>
      <c r="H4" s="197">
        <f>'[2]SR-163 SB'!O4</f>
        <v>25016</v>
      </c>
      <c r="I4" s="198">
        <f>VLOOKUP(c_11[[#This Row],[hwycov_id]],readme!D:G,4,FALSE)</f>
        <v>15696.981444999999</v>
      </c>
      <c r="J4" s="206">
        <f t="shared" si="1"/>
        <v>-0.37252232791013751</v>
      </c>
      <c r="K4" s="190" t="str">
        <f>'[2]SR-163 SB'!P4</f>
        <v>PeMS2016</v>
      </c>
      <c r="L4" s="148">
        <f t="shared" si="2"/>
        <v>86844106.828434303</v>
      </c>
      <c r="M4" s="44"/>
    </row>
    <row r="5" spans="1:35" ht="15" customHeight="1" x14ac:dyDescent="0.25">
      <c r="A5" s="43">
        <f>'[2]SR-163 SB'!C5</f>
        <v>11</v>
      </c>
      <c r="B5" s="43" t="str">
        <f>'[2]SR-163 SB'!H5</f>
        <v>SR-163 SB</v>
      </c>
      <c r="C5" s="126">
        <f>'[2]SR-163 SB'!E5</f>
        <v>8820</v>
      </c>
      <c r="D5" s="188">
        <f>'[2]SR-163 SB'!I5</f>
        <v>9</v>
      </c>
      <c r="E5" s="189">
        <f>'[2]SR-163 SB'!J5</f>
        <v>0</v>
      </c>
      <c r="F5" s="189" t="str">
        <f>'[2]SR-163 SB'!K5</f>
        <v>CLAIREMONT MESA</v>
      </c>
      <c r="G5" s="189" t="str">
        <f>'[2]SR-163 SB'!L5</f>
        <v>BALBOA</v>
      </c>
      <c r="H5" s="197">
        <f>'[2]SR-163 SB'!O5</f>
        <v>23317</v>
      </c>
      <c r="I5" s="198">
        <f>VLOOKUP(c_11[[#This Row],[hwycov_id]],readme!D:G,4,FALSE)</f>
        <v>19762.931640999999</v>
      </c>
      <c r="J5" s="206">
        <f t="shared" si="1"/>
        <v>-0.15242391212420126</v>
      </c>
      <c r="K5" s="190" t="str">
        <f>'[2]SR-163 SB'!P5</f>
        <v>PeMS2016</v>
      </c>
      <c r="L5" s="148">
        <f t="shared" si="2"/>
        <v>12631401.900444958</v>
      </c>
      <c r="M5" s="44"/>
    </row>
    <row r="6" spans="1:35" ht="15" customHeight="1" x14ac:dyDescent="0.25">
      <c r="A6" s="43">
        <f>'[2]SR-163 SB'!C6</f>
        <v>11</v>
      </c>
      <c r="B6" s="43" t="str">
        <f>'[2]SR-163 SB'!H6</f>
        <v>SR-163 SB</v>
      </c>
      <c r="C6" s="126">
        <f>'[2]SR-163 SB'!E6</f>
        <v>8823</v>
      </c>
      <c r="D6" s="188">
        <f>'[2]SR-163 SB'!I6</f>
        <v>10</v>
      </c>
      <c r="E6" s="189">
        <f>'[2]SR-163 SB'!J6</f>
        <v>0</v>
      </c>
      <c r="F6" s="189" t="str">
        <f>'[2]SR-163 SB'!K6</f>
        <v>BALBOA</v>
      </c>
      <c r="G6" s="189" t="str">
        <f>'[2]SR-163 SB'!L6</f>
        <v>BALBOA</v>
      </c>
      <c r="H6" s="197">
        <f>'[2]SR-163 SB'!O6</f>
        <v>18036</v>
      </c>
      <c r="I6" s="198">
        <f>VLOOKUP(c_11[[#This Row],[hwycov_id]],readme!D:G,4,FALSE)</f>
        <v>15473.75</v>
      </c>
      <c r="J6" s="206">
        <f t="shared" si="1"/>
        <v>-0.14206309603016187</v>
      </c>
      <c r="K6" s="190" t="str">
        <f>'[2]SR-163 SB'!P6</f>
        <v>PeMS2016</v>
      </c>
      <c r="L6" s="148">
        <f t="shared" si="2"/>
        <v>6565125.0625</v>
      </c>
      <c r="M6" s="44"/>
    </row>
    <row r="7" spans="1:35" ht="15" customHeight="1" x14ac:dyDescent="0.25">
      <c r="A7" s="43">
        <f>'[2]SR-163 SB'!C7</f>
        <v>11</v>
      </c>
      <c r="B7" s="43" t="str">
        <f>'[2]SR-163 SB'!H7</f>
        <v>SR-163 SB</v>
      </c>
      <c r="C7" s="126">
        <f>'[2]SR-163 SB'!E7</f>
        <v>15688</v>
      </c>
      <c r="D7" s="188">
        <f>'[2]SR-163 SB'!I7</f>
        <v>11</v>
      </c>
      <c r="E7" s="189">
        <f>'[2]SR-163 SB'!J7</f>
        <v>0</v>
      </c>
      <c r="F7" s="189" t="str">
        <f>'[2]SR-163 SB'!K7</f>
        <v>BALBOA</v>
      </c>
      <c r="G7" s="189" t="str">
        <f>'[2]SR-163 SB'!L7</f>
        <v>I-805 SB</v>
      </c>
      <c r="H7" s="197">
        <f>'[2]SR-163 SB'!O7</f>
        <v>23134</v>
      </c>
      <c r="I7" s="198">
        <f>VLOOKUP(c_11[[#This Row],[hwycov_id]],readme!D:G,4,FALSE)</f>
        <v>24033.806640999999</v>
      </c>
      <c r="J7" s="206">
        <f t="shared" si="1"/>
        <v>3.8895419771764361E-2</v>
      </c>
      <c r="K7" s="190" t="str">
        <f>'[2]SR-163 SB'!P7</f>
        <v>PeMS2016</v>
      </c>
      <c r="L7" s="148">
        <f t="shared" si="2"/>
        <v>809651.99118770147</v>
      </c>
      <c r="M7" s="44"/>
    </row>
    <row r="8" spans="1:35" ht="15" customHeight="1" x14ac:dyDescent="0.25">
      <c r="A8" s="43">
        <f>'[2]SR-163 SB'!C8</f>
        <v>11</v>
      </c>
      <c r="B8" s="43" t="str">
        <f>'[2]SR-163 SB'!H8</f>
        <v>SR-163 SB</v>
      </c>
      <c r="C8" s="126">
        <f>'[2]SR-163 SB'!E8</f>
        <v>31184</v>
      </c>
      <c r="D8" s="188">
        <f>'[2]SR-163 SB'!I8</f>
        <v>13</v>
      </c>
      <c r="E8" s="189">
        <f>'[2]SR-163 SB'!J8</f>
        <v>0</v>
      </c>
      <c r="F8" s="189" t="str">
        <f>'[2]SR-163 SB'!K8</f>
        <v>I-805 SB</v>
      </c>
      <c r="G8" s="189" t="str">
        <f>'[2]SR-163 SB'!L8</f>
        <v>MESA COLLEGE</v>
      </c>
      <c r="H8" s="197">
        <f>'[2]SR-163 SB'!O8</f>
        <v>21898</v>
      </c>
      <c r="I8" s="198">
        <f>VLOOKUP(c_11[[#This Row],[hwycov_id]],readme!D:G,4,FALSE)</f>
        <v>21091.041015999999</v>
      </c>
      <c r="J8" s="206">
        <f t="shared" si="1"/>
        <v>-3.6850807562334498E-2</v>
      </c>
      <c r="K8" s="190" t="str">
        <f>'[2]SR-163 SB'!P8</f>
        <v>PeMS2016</v>
      </c>
      <c r="L8" s="148">
        <f t="shared" si="2"/>
        <v>651182.8018583135</v>
      </c>
      <c r="M8" s="44"/>
    </row>
    <row r="9" spans="1:35" ht="15" customHeight="1" x14ac:dyDescent="0.25">
      <c r="A9" s="43">
        <f>'[2]SR-163 SB'!C9</f>
        <v>11</v>
      </c>
      <c r="B9" s="43" t="str">
        <f>'[2]SR-163 SB'!H9</f>
        <v>SR-163 SB</v>
      </c>
      <c r="C9" s="126">
        <f>'[2]SR-163 SB'!E9</f>
        <v>15705</v>
      </c>
      <c r="D9" s="188">
        <f>'[2]SR-163 SB'!I9</f>
        <v>17</v>
      </c>
      <c r="E9" s="189">
        <f>'[2]SR-163 SB'!J9</f>
        <v>0</v>
      </c>
      <c r="F9" s="189" t="str">
        <f>'[2]SR-163 SB'!K9</f>
        <v>GENESEE</v>
      </c>
      <c r="G9" s="189" t="str">
        <f>'[2]SR-163 SB'!L9</f>
        <v>GENESEE</v>
      </c>
      <c r="H9" s="197">
        <f>'[2]SR-163 SB'!O9</f>
        <v>17086</v>
      </c>
      <c r="I9" s="198">
        <f>VLOOKUP(c_11[[#This Row],[hwycov_id]],readme!D:G,4,FALSE)</f>
        <v>21550.384765999999</v>
      </c>
      <c r="J9" s="206">
        <f t="shared" si="1"/>
        <v>0.26128905337703379</v>
      </c>
      <c r="K9" s="190" t="str">
        <f>'[2]SR-163 SB'!P9</f>
        <v>PeMS2016</v>
      </c>
      <c r="L9" s="148">
        <f t="shared" si="2"/>
        <v>19930731.338892866</v>
      </c>
      <c r="M9" s="44"/>
    </row>
    <row r="10" spans="1:35" ht="15" customHeight="1" x14ac:dyDescent="0.25">
      <c r="A10" s="43">
        <f>'[2]SR-163 SB'!C10</f>
        <v>11</v>
      </c>
      <c r="B10" s="43" t="str">
        <f>'[2]SR-163 SB'!H10</f>
        <v>SR-163 SB</v>
      </c>
      <c r="C10" s="126">
        <f>'[2]SR-163 SB'!E10</f>
        <v>25142</v>
      </c>
      <c r="D10" s="188">
        <f>'[2]SR-163 SB'!I10</f>
        <v>19</v>
      </c>
      <c r="E10" s="189">
        <f>'[2]SR-163 SB'!J10</f>
        <v>0</v>
      </c>
      <c r="F10" s="189" t="str">
        <f>'[2]SR-163 SB'!K10</f>
        <v>GENESEE</v>
      </c>
      <c r="G10" s="189" t="str">
        <f>'[2]SR-163 SB'!L10</f>
        <v>FRIARS</v>
      </c>
      <c r="H10" s="197">
        <f>'[2]SR-163 SB'!O10</f>
        <v>21723</v>
      </c>
      <c r="I10" s="198">
        <f>VLOOKUP(c_11[[#This Row],[hwycov_id]],readme!D:G,4,FALSE)</f>
        <v>24406.072265999999</v>
      </c>
      <c r="J10" s="206">
        <f t="shared" si="1"/>
        <v>0.12351297086037838</v>
      </c>
      <c r="K10" s="190" t="str">
        <f>'[2]SR-163 SB'!P10</f>
        <v>PeMS2016</v>
      </c>
      <c r="L10" s="148">
        <f t="shared" si="2"/>
        <v>7198876.7845783709</v>
      </c>
      <c r="M10" s="44"/>
    </row>
    <row r="11" spans="1:35" ht="15" customHeight="1" x14ac:dyDescent="0.25">
      <c r="A11" s="43">
        <f>'[2]SR-163 SB'!C11</f>
        <v>11</v>
      </c>
      <c r="B11" s="43" t="str">
        <f>'[2]SR-163 SB'!H11</f>
        <v>SR-163 SB</v>
      </c>
      <c r="C11" s="126">
        <f>'[2]SR-163 SB'!E11</f>
        <v>15722</v>
      </c>
      <c r="D11" s="188">
        <f>'[2]SR-163 SB'!I11</f>
        <v>22</v>
      </c>
      <c r="E11" s="189">
        <f>'[2]SR-163 SB'!J11</f>
        <v>0</v>
      </c>
      <c r="F11" s="189" t="str">
        <f>'[2]SR-163 SB'!K11</f>
        <v>FRIARS</v>
      </c>
      <c r="G11" s="189" t="str">
        <f>'[2]SR-163 SB'!L11</f>
        <v>FRIARS</v>
      </c>
      <c r="H11" s="197">
        <f>'[2]SR-163 SB'!O11</f>
        <v>19872</v>
      </c>
      <c r="I11" s="198">
        <f>VLOOKUP(c_11[[#This Row],[hwycov_id]],readme!D:G,4,FALSE)</f>
        <v>21519.048827999999</v>
      </c>
      <c r="J11" s="206">
        <f t="shared" si="1"/>
        <v>8.2882891908212519E-2</v>
      </c>
      <c r="K11" s="190" t="str">
        <f>'[2]SR-163 SB'!P11</f>
        <v>PeMS2016</v>
      </c>
      <c r="L11" s="148">
        <f t="shared" si="2"/>
        <v>2712769.8418161706</v>
      </c>
      <c r="M11" s="44"/>
    </row>
    <row r="12" spans="1:35" s="167" customFormat="1" ht="15" hidden="1" customHeight="1" x14ac:dyDescent="0.25">
      <c r="A12" s="43">
        <f>'[2]SR-163 SB'!C12</f>
        <v>11</v>
      </c>
      <c r="B12" s="43" t="str">
        <f>'[2]SR-163 SB'!H12</f>
        <v>SR-163 SB</v>
      </c>
      <c r="C12" s="126">
        <f>'[2]SR-163 SB'!E12</f>
        <v>8887</v>
      </c>
      <c r="D12" s="188">
        <f>'[2]SR-163 SB'!I12</f>
        <v>28</v>
      </c>
      <c r="E12" s="189">
        <f>'[2]SR-163 SB'!J12</f>
        <v>0</v>
      </c>
      <c r="F12" s="189" t="str">
        <f>'[2]SR-163 SB'!K12</f>
        <v>I-8 EB</v>
      </c>
      <c r="G12" s="189" t="str">
        <f>'[2]SR-163 SB'!L12</f>
        <v>06TH EX</v>
      </c>
      <c r="H12" s="197">
        <f>'[2]SR-163 SB'!O12</f>
        <v>22727</v>
      </c>
      <c r="I12" s="198">
        <f>VLOOKUP(c_11[[#This Row],[hwycov_id]],readme!D:G,4,FALSE)</f>
        <v>22699.681640999999</v>
      </c>
      <c r="J12" s="206">
        <f t="shared" si="1"/>
        <v>-1.2020222202666631E-3</v>
      </c>
      <c r="K12" s="190" t="str">
        <f>'[2]SR-163 SB'!P12</f>
        <v>PeMS2016</v>
      </c>
      <c r="L12" s="148">
        <f t="shared" si="2"/>
        <v>746.2927384529238</v>
      </c>
      <c r="M12" s="173"/>
      <c r="N12" s="172"/>
    </row>
    <row r="13" spans="1:35" ht="15" customHeight="1" x14ac:dyDescent="0.25">
      <c r="A13" s="43">
        <f>'[2]SR-163 SB'!C13</f>
        <v>11</v>
      </c>
      <c r="B13" s="43" t="str">
        <f>'[2]SR-163 SB'!H13</f>
        <v>SR-163 SB</v>
      </c>
      <c r="C13" s="126">
        <f>'[2]SR-163 SB'!E13</f>
        <v>16045</v>
      </c>
      <c r="D13" s="188">
        <f>'[2]SR-163 SB'!I13</f>
        <v>30</v>
      </c>
      <c r="E13" s="189">
        <f>'[2]SR-163 SB'!J13</f>
        <v>0</v>
      </c>
      <c r="F13" s="189" t="str">
        <f>'[2]SR-163 SB'!K13</f>
        <v>WASHINGTON</v>
      </c>
      <c r="G13" s="189" t="str">
        <f>'[2]SR-163 SB'!L13</f>
        <v>WASHINGTON</v>
      </c>
      <c r="H13" s="197">
        <f>'[2]SR-163 SB'!O13</f>
        <v>10840</v>
      </c>
      <c r="I13" s="198">
        <f>VLOOKUP(c_11[[#This Row],[hwycov_id]],readme!D:G,4,FALSE)</f>
        <v>11890.033203000001</v>
      </c>
      <c r="J13" s="206">
        <f t="shared" si="1"/>
        <v>9.6866531642066489E-2</v>
      </c>
      <c r="K13" s="190" t="str">
        <f>'[2]SR-163 SB'!P13</f>
        <v>PeMS2016</v>
      </c>
      <c r="L13" s="148">
        <f t="shared" si="2"/>
        <v>1102569.727402441</v>
      </c>
      <c r="M13" s="44"/>
    </row>
    <row r="14" spans="1:35" ht="15" customHeight="1" x14ac:dyDescent="0.25">
      <c r="A14" s="43">
        <f>'[2]SR-163 SB'!C14</f>
        <v>11</v>
      </c>
      <c r="B14" s="43" t="str">
        <f>'[2]SR-163 SB'!H14</f>
        <v>SR-163 SB</v>
      </c>
      <c r="C14" s="126">
        <f>'[2]SR-163 SB'!E14</f>
        <v>21848</v>
      </c>
      <c r="D14" s="188">
        <f>'[2]SR-163 SB'!I14</f>
        <v>32</v>
      </c>
      <c r="E14" s="189">
        <f>'[2]SR-163 SB'!J14</f>
        <v>0</v>
      </c>
      <c r="F14" s="189" t="str">
        <f>'[2]SR-163 SB'!K14</f>
        <v>UNIVERSITY</v>
      </c>
      <c r="G14" s="189" t="str">
        <f>'[2]SR-163 SB'!L14</f>
        <v>ROBINSON</v>
      </c>
      <c r="H14" s="197">
        <f>'[2]SR-163 SB'!O14</f>
        <v>11803</v>
      </c>
      <c r="I14" s="198">
        <f>VLOOKUP(c_11[[#This Row],[hwycov_id]],readme!D:G,4,FALSE)</f>
        <v>12370.199219</v>
      </c>
      <c r="J14" s="206">
        <f t="shared" si="1"/>
        <v>4.8055512920443855E-2</v>
      </c>
      <c r="K14" s="190" t="str">
        <f>'[2]SR-163 SB'!P14</f>
        <v>Caltran</v>
      </c>
      <c r="L14" s="148">
        <f t="shared" si="2"/>
        <v>321714.95403421007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5">
      <c r="A20" s="43"/>
      <c r="B20" s="43"/>
      <c r="C20" s="126"/>
      <c r="D20" s="188"/>
      <c r="E20" s="189"/>
      <c r="F20" s="189"/>
      <c r="G20" s="189"/>
      <c r="H20" s="197"/>
      <c r="I20" s="198"/>
      <c r="J20" s="206"/>
      <c r="K20" s="190"/>
      <c r="L20" s="148"/>
      <c r="M20" s="44"/>
    </row>
    <row r="21" spans="1:13" ht="15" customHeight="1" x14ac:dyDescent="0.25">
      <c r="A21" s="43"/>
      <c r="B21" s="43"/>
      <c r="C21" s="126"/>
      <c r="D21" s="188"/>
      <c r="E21" s="189"/>
      <c r="F21" s="189"/>
      <c r="G21" s="189"/>
      <c r="H21" s="197"/>
      <c r="I21" s="198"/>
      <c r="J21" s="206"/>
      <c r="K21" s="190"/>
      <c r="L21" s="148"/>
      <c r="M21" s="44"/>
    </row>
    <row r="22" spans="1:13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3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</row>
    <row r="24" spans="1:13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">
      <c r="A27" s="167"/>
      <c r="B27" s="167"/>
      <c r="C27" s="168"/>
      <c r="D27" s="169"/>
      <c r="E27" s="170"/>
      <c r="F27" s="168"/>
      <c r="G27" s="168"/>
      <c r="H27" s="171"/>
      <c r="I27" s="171"/>
      <c r="J27" s="172"/>
      <c r="K27" s="172"/>
      <c r="L27" s="173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  <row r="88" spans="12:12" ht="15" customHeight="1" x14ac:dyDescent="0.2">
      <c r="L88" s="44"/>
    </row>
    <row r="89" spans="12:12" ht="15" customHeight="1" x14ac:dyDescent="0.2">
      <c r="L89" s="44"/>
    </row>
    <row r="90" spans="12:12" ht="15" customHeight="1" x14ac:dyDescent="0.2">
      <c r="L90" s="44"/>
    </row>
    <row r="91" spans="12:12" ht="15" customHeight="1" x14ac:dyDescent="0.2">
      <c r="L91" s="44"/>
    </row>
  </sheetData>
  <conditionalFormatting sqref="N2:N7 J27:K32 J2:J14">
    <cfRule type="cellIs" dxfId="403" priority="11" operator="lessThan">
      <formula>-0.2</formula>
    </cfRule>
    <cfRule type="cellIs" dxfId="402" priority="12" operator="greaterThan">
      <formula>0.2</formula>
    </cfRule>
  </conditionalFormatting>
  <conditionalFormatting sqref="J33:K1048576">
    <cfRule type="cellIs" dxfId="401" priority="5" operator="lessThan">
      <formula>-0.2</formula>
    </cfRule>
    <cfRule type="cellIs" dxfId="400" priority="6" operator="greaterThan">
      <formula>0.2</formula>
    </cfRule>
  </conditionalFormatting>
  <conditionalFormatting sqref="N1">
    <cfRule type="cellIs" dxfId="399" priority="1" operator="lessThan">
      <formula>-0.2</formula>
    </cfRule>
    <cfRule type="cellIs" dxfId="3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K27" sqref="K27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5.28515625" style="25" bestFit="1" customWidth="1"/>
    <col min="8" max="8" width="8.85546875" style="27" bestFit="1" customWidth="1"/>
    <col min="9" max="9" width="8" style="48" bestFit="1" customWidth="1"/>
    <col min="10" max="10" width="7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3" t="s">
        <v>17</v>
      </c>
      <c r="J1" s="26" t="s">
        <v>50</v>
      </c>
      <c r="K1" s="26" t="s">
        <v>174</v>
      </c>
      <c r="L1" s="44" t="s">
        <v>105</v>
      </c>
      <c r="M1" s="44"/>
      <c r="N1" s="70">
        <f>SQRT(AVERAGE(c_12[x2]))/AVERAGE(c_12[count])</f>
        <v>0.14519700138534514</v>
      </c>
      <c r="O1" s="69">
        <f>LINEST(c_12[flow],c_12[count],FALSE)</f>
        <v>0.96023704827150325</v>
      </c>
      <c r="P1" s="69">
        <f>RSQ(c_12[flow],c_12[count])</f>
        <v>0.9532853743935219</v>
      </c>
      <c r="Q1" s="19">
        <f>IFERROR(AVERAGEIF(c_12[gap],"&gt;=0",c_12[gap]),0)</f>
        <v>0.16148959395777876</v>
      </c>
      <c r="R1" s="20">
        <f>IFERROR(AVERAGEIF(c_12[gap],"&lt;0",c_12[gap]),0)</f>
        <v>-0.14008276451026133</v>
      </c>
      <c r="S1" s="13">
        <f>AVERAGE(c_12[gap])</f>
        <v>1.8336394746987098E-3</v>
      </c>
      <c r="T1" s="18">
        <f>COUNTIFS(c_12[gap],"&lt;10%",c_12[gap],"&gt;=-10%")/COUNTA(c_12[gap])</f>
        <v>0.41176470588235292</v>
      </c>
      <c r="U1" s="18">
        <f>COUNTIFS(c_12[gap],"&lt;20%",c_12[gap],"&gt;=-20%")/COUNTA(c_12[gap])</f>
        <v>0.76470588235294112</v>
      </c>
      <c r="V1" s="18">
        <f>COUNTIFS(c_12[gap],"&lt;30%",c_12[gap],"&gt;=-30%")/COUNTA(c_12[gap])</f>
        <v>0.88235294117647056</v>
      </c>
      <c r="W1" s="19">
        <f>COUNTIF(c_12[gap],"&gt;=0")/COUNTA(c_12[gap])</f>
        <v>0.47058823529411764</v>
      </c>
      <c r="X1" s="21">
        <f>COUNTIF(c_12[gap],"&lt;0")/COUNTA(c_12[gap])</f>
        <v>0.52941176470588236</v>
      </c>
      <c r="Y1" s="39" t="str">
        <f>"%Link(+)="&amp;TEXT(W1,"0%")</f>
        <v>%Link(+)=47%</v>
      </c>
      <c r="Z1" s="39" t="str">
        <f>"%Link(-)="&amp;TEXT(X1,"0%")</f>
        <v>%Link(-)=53%</v>
      </c>
      <c r="AA1" s="36" t="str">
        <f>"AvgGap(+)="&amp;TEXT(Q1,"0%")</f>
        <v>AvgGap(+)=16%</v>
      </c>
      <c r="AB1" s="25" t="str">
        <f>"AvgGap(-)="&amp;TEXT(R1,"0%")</f>
        <v>AvgGap(-)=-14%</v>
      </c>
      <c r="AC1" s="25" t="str">
        <f>"AvgGap(±)="&amp;TEXT(S1,"0%")</f>
        <v>AvgGap(±)=0%</v>
      </c>
      <c r="AD1" s="25" t="str">
        <f>"GapIn(±10%)="&amp;TEXT(T1,"0%")</f>
        <v>GapIn(±10%)=41%</v>
      </c>
      <c r="AE1" s="25" t="str">
        <f>"GapIn(±20%)="&amp;TEXT(U1,"0%")</f>
        <v>GapIn(±20%)=76%</v>
      </c>
      <c r="AF1" s="25" t="str">
        <f>"GapIn(±30%)="&amp;TEXT(V1,"0%")</f>
        <v>GapIn(±30%)=88%</v>
      </c>
      <c r="AG1" s="25" t="str">
        <f>"Linear Slope="&amp;TEXT(O1,"#.###")</f>
        <v>Linear Slope=.96</v>
      </c>
      <c r="AH1" s="25" t="str">
        <f>"RMSE="&amp;TEXT(N1,"0%")</f>
        <v>RMSE=15%</v>
      </c>
      <c r="AI1" s="25" t="str">
        <f>CONCATENATE(Y1," ",Z1," ",AA1,"  ",AB1,"  ",AC1,"  ",AD1," ",AE1,"  ",AF1,"  ",AG1," ",AH1)</f>
        <v>%Link(+)=47% %Link(-)=53% AvgGap(+)=16%  AvgGap(-)=-14%  AvgGap(±)=0%  GapIn(±10%)=41% GapIn(±20%)=76%  GapIn(±30%)=88%  Linear Slope=.96 RMSE=15%</v>
      </c>
    </row>
    <row r="2" spans="1:35" ht="15" customHeight="1" x14ac:dyDescent="0.25">
      <c r="A2" s="43">
        <f>'[2]SR-125 SB'!C2</f>
        <v>12</v>
      </c>
      <c r="B2" s="43" t="str">
        <f>'[2]SR-125 SB'!H2</f>
        <v>SR-125 SB</v>
      </c>
      <c r="C2" s="126">
        <f>'[2]SR-125 SB'!E2</f>
        <v>28925</v>
      </c>
      <c r="D2" s="188">
        <f>'[2]SR-125 SB'!I2</f>
        <v>2</v>
      </c>
      <c r="E2" s="189">
        <f>'[2]SR-125 SB'!J2</f>
        <v>0</v>
      </c>
      <c r="F2" s="189" t="str">
        <f>'[2]SR-125 SB'!K2</f>
        <v>SR-52 WB</v>
      </c>
      <c r="G2" s="189" t="str">
        <f>'[2]SR-125 SB'!L2</f>
        <v>SR-52 EB</v>
      </c>
      <c r="H2" s="197">
        <f>'[2]SR-125 SB'!O2</f>
        <v>5438</v>
      </c>
      <c r="I2" s="198">
        <f>VLOOKUP(c_12[[#This Row],[hwycov_id]],readme!D:G,4,FALSE)</f>
        <v>4813.5258789999998</v>
      </c>
      <c r="J2" s="206">
        <f t="shared" ref="J2" si="0">I2/H2-1</f>
        <v>-0.11483525579257081</v>
      </c>
      <c r="K2" s="190" t="str">
        <f>'[2]SR-125 SB'!P2</f>
        <v>PeMS2016</v>
      </c>
      <c r="L2" s="148">
        <f t="shared" ref="L2" si="1">POWER((I2-H2),2)</f>
        <v>389967.92779872287</v>
      </c>
      <c r="M2" s="44"/>
    </row>
    <row r="3" spans="1:35" ht="15" customHeight="1" x14ac:dyDescent="0.25">
      <c r="A3" s="43">
        <f>'[2]SR-125 SB'!C3</f>
        <v>12</v>
      </c>
      <c r="B3" s="43" t="str">
        <f>'[2]SR-125 SB'!H3</f>
        <v>SR-125 SB</v>
      </c>
      <c r="C3" s="126">
        <f>'[2]SR-125 SB'!E3</f>
        <v>28950</v>
      </c>
      <c r="D3" s="188">
        <f>'[2]SR-125 SB'!I3</f>
        <v>3</v>
      </c>
      <c r="E3" s="189">
        <f>'[2]SR-125 SB'!J3</f>
        <v>1</v>
      </c>
      <c r="F3" s="189" t="str">
        <f>'[2]SR-125 SB'!K3</f>
        <v>SR-52 EB</v>
      </c>
      <c r="G3" s="189" t="str">
        <f>'[2]SR-125 SB'!L3</f>
        <v>GROSSMONT COLLEGE DR</v>
      </c>
      <c r="H3" s="197">
        <f>'[2]SR-125 SB'!O3</f>
        <v>10546</v>
      </c>
      <c r="I3" s="198">
        <f>VLOOKUP(c_12[[#This Row],[hwycov_id]],readme!D:G,4,FALSE)</f>
        <v>8111.9604490000002</v>
      </c>
      <c r="J3" s="206">
        <f t="shared" ref="J3:J18" si="2">I3/H3-1</f>
        <v>-0.23080215731082876</v>
      </c>
      <c r="K3" s="190" t="str">
        <f>'[2]SR-125 SB'!P3</f>
        <v>Caltran</v>
      </c>
      <c r="L3" s="148">
        <f t="shared" ref="L3:L18" si="3">POWER((I3-H3),2)</f>
        <v>5924548.5358322812</v>
      </c>
      <c r="M3" s="44"/>
    </row>
    <row r="4" spans="1:35" ht="15" customHeight="1" x14ac:dyDescent="0.25">
      <c r="A4" s="43">
        <f>'[2]SR-125 SB'!C4</f>
        <v>12</v>
      </c>
      <c r="B4" s="43" t="str">
        <f>'[2]SR-125 SB'!H4</f>
        <v>SR-125 SB</v>
      </c>
      <c r="C4" s="126">
        <f>'[2]SR-125 SB'!E4</f>
        <v>28949</v>
      </c>
      <c r="D4" s="188">
        <f>'[2]SR-125 SB'!I4</f>
        <v>5</v>
      </c>
      <c r="E4" s="189">
        <f>'[2]SR-125 SB'!J4</f>
        <v>0</v>
      </c>
      <c r="F4" s="189" t="str">
        <f>'[2]SR-125 SB'!K4</f>
        <v>GROSSMONT COLLEGE DR</v>
      </c>
      <c r="G4" s="189" t="str">
        <f>'[2]SR-125 SB'!L4</f>
        <v>NAVAJO</v>
      </c>
      <c r="H4" s="197">
        <f>'[2]SR-125 SB'!O4</f>
        <v>7791</v>
      </c>
      <c r="I4" s="198">
        <f>VLOOKUP(c_12[[#This Row],[hwycov_id]],readme!D:G,4,FALSE)</f>
        <v>5423.7290039999998</v>
      </c>
      <c r="J4" s="206">
        <f t="shared" si="2"/>
        <v>-0.30384687408548328</v>
      </c>
      <c r="K4" s="190" t="str">
        <f>'[2]SR-125 SB'!P4</f>
        <v>PeMS2016</v>
      </c>
      <c r="L4" s="148">
        <f t="shared" si="3"/>
        <v>5603971.9685028326</v>
      </c>
      <c r="M4" s="44"/>
    </row>
    <row r="5" spans="1:35" ht="15" customHeight="1" x14ac:dyDescent="0.25">
      <c r="A5" s="43">
        <f>'[2]SR-125 SB'!C5</f>
        <v>12</v>
      </c>
      <c r="B5" s="43" t="str">
        <f>'[2]SR-125 SB'!H5</f>
        <v>SR-125 SB</v>
      </c>
      <c r="C5" s="126">
        <f>'[2]SR-125 SB'!E5</f>
        <v>12065</v>
      </c>
      <c r="D5" s="188">
        <f>'[2]SR-125 SB'!I5</f>
        <v>7</v>
      </c>
      <c r="E5" s="189">
        <f>'[2]SR-125 SB'!J5</f>
        <v>0</v>
      </c>
      <c r="F5" s="189" t="str">
        <f>'[2]SR-125 SB'!K5</f>
        <v>NAVAJO</v>
      </c>
      <c r="G5" s="189" t="str">
        <f>'[2]SR-125 SB'!L5</f>
        <v>NAVAJO</v>
      </c>
      <c r="H5" s="197">
        <f>'[2]SR-125 SB'!O5</f>
        <v>9705</v>
      </c>
      <c r="I5" s="198">
        <f>VLOOKUP(c_12[[#This Row],[hwycov_id]],readme!D:G,4,FALSE)</f>
        <v>7908.3774409999996</v>
      </c>
      <c r="J5" s="206">
        <f t="shared" si="2"/>
        <v>-0.18512339608449258</v>
      </c>
      <c r="K5" s="190" t="str">
        <f>'[2]SR-125 SB'!P5</f>
        <v>PeMS2016</v>
      </c>
      <c r="L5" s="148">
        <f t="shared" si="3"/>
        <v>3227852.61950771</v>
      </c>
      <c r="M5" s="44"/>
    </row>
    <row r="6" spans="1:35" ht="15" customHeight="1" x14ac:dyDescent="0.25">
      <c r="A6" s="43">
        <f>'[2]SR-125 SB'!C6</f>
        <v>12</v>
      </c>
      <c r="B6" s="43" t="str">
        <f>'[2]SR-125 SB'!H6</f>
        <v>SR-125 SB</v>
      </c>
      <c r="C6" s="126">
        <f>'[2]SR-125 SB'!E6</f>
        <v>28941</v>
      </c>
      <c r="D6" s="188">
        <f>'[2]SR-125 SB'!I6</f>
        <v>8</v>
      </c>
      <c r="E6" s="189">
        <f>'[2]SR-125 SB'!J6</f>
        <v>0</v>
      </c>
      <c r="F6" s="189" t="str">
        <f>'[2]SR-125 SB'!K6</f>
        <v>NAVAJO</v>
      </c>
      <c r="G6" s="189" t="str">
        <f>'[2]SR-125 SB'!L6</f>
        <v>AMAYA</v>
      </c>
      <c r="H6" s="197">
        <f>'[2]SR-125 SB'!O6</f>
        <v>12576</v>
      </c>
      <c r="I6" s="198">
        <f>VLOOKUP(c_12[[#This Row],[hwycov_id]],readme!D:G,4,FALSE)</f>
        <v>10987.779296999999</v>
      </c>
      <c r="J6" s="206">
        <f t="shared" si="2"/>
        <v>-0.12628981416984741</v>
      </c>
      <c r="K6" s="190" t="str">
        <f>'[2]SR-125 SB'!P6</f>
        <v>PeMS2016</v>
      </c>
      <c r="L6" s="148">
        <f t="shared" si="3"/>
        <v>2522445.0014378168</v>
      </c>
      <c r="M6" s="44"/>
    </row>
    <row r="7" spans="1:35" ht="15" customHeight="1" x14ac:dyDescent="0.25">
      <c r="A7" s="43">
        <f>'[2]SR-125 SB'!C7</f>
        <v>12</v>
      </c>
      <c r="B7" s="43" t="str">
        <f>'[2]SR-125 SB'!H7</f>
        <v>SR-125 SB</v>
      </c>
      <c r="C7" s="126">
        <f>'[2]SR-125 SB'!E7</f>
        <v>28938</v>
      </c>
      <c r="D7" s="188">
        <f>'[2]SR-125 SB'!I7</f>
        <v>9</v>
      </c>
      <c r="E7" s="189">
        <f>'[2]SR-125 SB'!J7</f>
        <v>0</v>
      </c>
      <c r="F7" s="189" t="str">
        <f>'[2]SR-125 SB'!K7</f>
        <v>AMAYA</v>
      </c>
      <c r="G7" s="189" t="str">
        <f>'[2]SR-125 SB'!L7</f>
        <v>AMAYA</v>
      </c>
      <c r="H7" s="197">
        <f>'[2]SR-125 SB'!O7</f>
        <v>11022</v>
      </c>
      <c r="I7" s="198">
        <f>VLOOKUP(c_12[[#This Row],[hwycov_id]],readme!D:G,4,FALSE)</f>
        <v>10223.458008</v>
      </c>
      <c r="J7" s="206">
        <f t="shared" si="2"/>
        <v>-7.2449826891671232E-2</v>
      </c>
      <c r="K7" s="190" t="str">
        <f>'[2]SR-125 SB'!P7</f>
        <v>PeMS2016</v>
      </c>
      <c r="L7" s="148">
        <f t="shared" si="3"/>
        <v>637669.31298732874</v>
      </c>
      <c r="M7" s="44"/>
    </row>
    <row r="8" spans="1:35" ht="15" customHeight="1" x14ac:dyDescent="0.25">
      <c r="A8" s="43">
        <f>'[2]SR-125 SB'!C8</f>
        <v>12</v>
      </c>
      <c r="B8" s="43" t="str">
        <f>'[2]SR-125 SB'!H8</f>
        <v>SR-125 SB</v>
      </c>
      <c r="C8" s="126">
        <f>'[2]SR-125 SB'!E8</f>
        <v>9043</v>
      </c>
      <c r="D8" s="188">
        <f>'[2]SR-125 SB'!I8</f>
        <v>20</v>
      </c>
      <c r="E8" s="189">
        <f>'[2]SR-125 SB'!J8</f>
        <v>0</v>
      </c>
      <c r="F8" s="189" t="str">
        <f>'[2]SR-125 SB'!K8</f>
        <v>SPRING</v>
      </c>
      <c r="G8" s="189" t="str">
        <f>'[2]SR-125 SB'!L8</f>
        <v>SPRING</v>
      </c>
      <c r="H8" s="197">
        <f>'[2]SR-125 SB'!O8</f>
        <v>18998</v>
      </c>
      <c r="I8" s="198">
        <f>VLOOKUP(c_12[[#This Row],[hwycov_id]],readme!D:G,4,FALSE)</f>
        <v>21269.275390999999</v>
      </c>
      <c r="J8" s="206">
        <f t="shared" si="2"/>
        <v>0.11955339462048631</v>
      </c>
      <c r="K8" s="190" t="str">
        <f>'[2]SR-125 SB'!P8</f>
        <v>PeMS2016</v>
      </c>
      <c r="L8" s="148">
        <f t="shared" si="3"/>
        <v>5158691.9017621996</v>
      </c>
      <c r="M8" s="44"/>
    </row>
    <row r="9" spans="1:35" ht="15" customHeight="1" x14ac:dyDescent="0.25">
      <c r="A9" s="43">
        <f>'[2]SR-125 SB'!C9</f>
        <v>12</v>
      </c>
      <c r="B9" s="43" t="str">
        <f>'[2]SR-125 SB'!H9</f>
        <v>SR-125 SB</v>
      </c>
      <c r="C9" s="126">
        <f>'[2]SR-125 SB'!E9</f>
        <v>10177</v>
      </c>
      <c r="D9" s="188">
        <f>'[2]SR-125 SB'!I9</f>
        <v>21</v>
      </c>
      <c r="E9" s="189">
        <f>'[2]SR-125 SB'!J9</f>
        <v>0</v>
      </c>
      <c r="F9" s="189" t="str">
        <f>'[2]SR-125 SB'!K9</f>
        <v>SPRING</v>
      </c>
      <c r="G9" s="189" t="str">
        <f>'[2]SR-125 SB'!L9</f>
        <v>SR-94 WB</v>
      </c>
      <c r="H9" s="197">
        <f>'[2]SR-125 SB'!O9</f>
        <v>20215</v>
      </c>
      <c r="I9" s="198">
        <f>VLOOKUP(c_12[[#This Row],[hwycov_id]],readme!D:G,4,FALSE)</f>
        <v>21269.275390999999</v>
      </c>
      <c r="J9" s="206">
        <f t="shared" si="2"/>
        <v>5.2153123472668872E-2</v>
      </c>
      <c r="K9" s="190" t="str">
        <f>'[2]SR-125 SB'!P9</f>
        <v>PeMS2016</v>
      </c>
      <c r="L9" s="148">
        <f t="shared" si="3"/>
        <v>1111496.6000682013</v>
      </c>
      <c r="M9" s="44"/>
    </row>
    <row r="10" spans="1:35" ht="15" customHeight="1" x14ac:dyDescent="0.25">
      <c r="A10" s="43">
        <f>'[2]SR-125 SB'!C10</f>
        <v>12</v>
      </c>
      <c r="B10" s="43" t="str">
        <f>'[2]SR-125 SB'!H10</f>
        <v>SR-125 SB</v>
      </c>
      <c r="C10" s="126">
        <f>'[2]SR-125 SB'!E10</f>
        <v>10791</v>
      </c>
      <c r="D10" s="188">
        <f>'[2]SR-125 SB'!I10</f>
        <v>3</v>
      </c>
      <c r="E10" s="189">
        <f>'[2]SR-125 SB'!J10</f>
        <v>1</v>
      </c>
      <c r="F10" s="189" t="str">
        <f>'[2]SR-125 SB'!K10</f>
        <v>TROY</v>
      </c>
      <c r="G10" s="189" t="str">
        <f>'[2]SR-125 SB'!L10</f>
        <v>JAMACHA ROAD</v>
      </c>
      <c r="H10" s="197">
        <f>'[2]SR-125 SB'!O10</f>
        <v>20233</v>
      </c>
      <c r="I10" s="198">
        <f>VLOOKUP(c_12[[#This Row],[hwycov_id]],readme!D:G,4,FALSE)</f>
        <v>17562.330077999999</v>
      </c>
      <c r="J10" s="206">
        <f t="shared" si="2"/>
        <v>-0.13199574566302574</v>
      </c>
      <c r="K10" s="190" t="str">
        <f>'[2]SR-125 SB'!P10</f>
        <v>PeMS2016</v>
      </c>
      <c r="L10" s="148">
        <f t="shared" si="3"/>
        <v>7132477.8322754912</v>
      </c>
      <c r="M10" s="44"/>
    </row>
    <row r="11" spans="1:35" ht="15" customHeight="1" x14ac:dyDescent="0.25">
      <c r="A11" s="43">
        <f>'[2]SR-125 SB'!C11</f>
        <v>12</v>
      </c>
      <c r="B11" s="43" t="str">
        <f>'[2]SR-125 SB'!H11</f>
        <v>SR-125 SB</v>
      </c>
      <c r="C11" s="126">
        <f>'[2]SR-125 SB'!E11</f>
        <v>7258</v>
      </c>
      <c r="D11" s="188">
        <f>'[2]SR-125 SB'!I11</f>
        <v>5</v>
      </c>
      <c r="E11" s="189">
        <f>'[2]SR-125 SB'!J11</f>
        <v>0</v>
      </c>
      <c r="F11" s="189" t="str">
        <f>'[2]SR-125 SB'!K11</f>
        <v>JAMACHA ROAD</v>
      </c>
      <c r="G11" s="189" t="str">
        <f>'[2]SR-125 SB'!L11</f>
        <v>SR  54</v>
      </c>
      <c r="H11" s="197">
        <f>'[2]SR-125 SB'!O11</f>
        <v>14935</v>
      </c>
      <c r="I11" s="198">
        <f>VLOOKUP(c_12[[#This Row],[hwycov_id]],readme!D:G,4,FALSE)</f>
        <v>15151.928711</v>
      </c>
      <c r="J11" s="206">
        <f t="shared" si="2"/>
        <v>1.4524855105457091E-2</v>
      </c>
      <c r="K11" s="190" t="str">
        <f>'[2]SR-125 SB'!P11</f>
        <v>PeMS2016</v>
      </c>
      <c r="L11" s="148">
        <f t="shared" si="3"/>
        <v>47058.065656121726</v>
      </c>
      <c r="M11" s="44"/>
    </row>
    <row r="12" spans="1:35" ht="15" customHeight="1" x14ac:dyDescent="0.25">
      <c r="A12" s="43">
        <f>'[2]SR-125 SB'!C12</f>
        <v>12</v>
      </c>
      <c r="B12" s="43" t="str">
        <f>'[2]SR-125 SB'!H12</f>
        <v>SR-125 SB</v>
      </c>
      <c r="C12" s="126">
        <f>'[2]SR-125 SB'!E12</f>
        <v>7259</v>
      </c>
      <c r="D12" s="188">
        <f>'[2]SR-125 SB'!I12</f>
        <v>6</v>
      </c>
      <c r="E12" s="189">
        <f>'[2]SR-125 SB'!J12</f>
        <v>0</v>
      </c>
      <c r="F12" s="189" t="str">
        <f>'[2]SR-125 SB'!K12</f>
        <v>SR  54</v>
      </c>
      <c r="G12" s="189" t="str">
        <f>'[2]SR-125 SB'!L12</f>
        <v>PARADISE VALLEY</v>
      </c>
      <c r="H12" s="197">
        <f>'[2]SR-125 SB'!O12</f>
        <v>14060</v>
      </c>
      <c r="I12" s="198">
        <f>VLOOKUP(c_12[[#This Row],[hwycov_id]],readme!D:G,4,FALSE)</f>
        <v>12828.628906</v>
      </c>
      <c r="J12" s="206">
        <f t="shared" si="2"/>
        <v>-8.7579736415362763E-2</v>
      </c>
      <c r="K12" s="190" t="str">
        <f>'[2]SR-125 SB'!P12</f>
        <v>PeMS2016</v>
      </c>
      <c r="L12" s="148">
        <f t="shared" si="3"/>
        <v>1516274.771138757</v>
      </c>
      <c r="M12" s="44"/>
    </row>
    <row r="13" spans="1:35" ht="15" customHeight="1" x14ac:dyDescent="0.25">
      <c r="A13" s="43">
        <f>'[2]SR-125 SB'!C13</f>
        <v>12</v>
      </c>
      <c r="B13" s="43" t="str">
        <f>'[2]SR-125 SB'!H13</f>
        <v>SR-125 SB</v>
      </c>
      <c r="C13" s="126">
        <f>'[2]SR-125 SB'!E13</f>
        <v>9012</v>
      </c>
      <c r="D13" s="188">
        <f>'[2]SR-125 SB'!I13</f>
        <v>1</v>
      </c>
      <c r="E13" s="189">
        <f>'[2]SR-125 SB'!J13</f>
        <v>2</v>
      </c>
      <c r="F13" s="189" t="str">
        <f>'[2]SR-125 SB'!K13</f>
        <v>SR-54 EB</v>
      </c>
      <c r="G13" s="189" t="str">
        <f>'[2]SR-125 SB'!L13</f>
        <v>SAN MIGUEL</v>
      </c>
      <c r="H13" s="197">
        <f>'[2]SR-125 SB'!O13</f>
        <v>5914</v>
      </c>
      <c r="I13" s="198">
        <f>VLOOKUP(c_12[[#This Row],[hwycov_id]],readme!D:G,4,FALSE)</f>
        <v>6356.9423829999996</v>
      </c>
      <c r="J13" s="206">
        <f t="shared" si="2"/>
        <v>7.4897257862698519E-2</v>
      </c>
      <c r="K13" s="190" t="str">
        <f>'[2]SR-125 SB'!P13</f>
        <v>SANDAG</v>
      </c>
      <c r="L13" s="148">
        <f t="shared" si="3"/>
        <v>196197.95465771834</v>
      </c>
      <c r="M13" s="48"/>
    </row>
    <row r="14" spans="1:35" s="53" customFormat="1" ht="15" customHeight="1" x14ac:dyDescent="0.25">
      <c r="A14" s="43">
        <f>'[2]SR-125 SB'!C14</f>
        <v>12</v>
      </c>
      <c r="B14" s="43" t="str">
        <f>'[2]SR-125 SB'!H14</f>
        <v>SR-125 SB</v>
      </c>
      <c r="C14" s="126">
        <f>'[2]SR-125 SB'!E14</f>
        <v>30782</v>
      </c>
      <c r="D14" s="188">
        <f>'[2]SR-125 SB'!I14</f>
        <v>3</v>
      </c>
      <c r="E14" s="189">
        <f>'[2]SR-125 SB'!J14</f>
        <v>0</v>
      </c>
      <c r="F14" s="189" t="str">
        <f>'[2]SR-125 SB'!K14</f>
        <v>SAN MIGUEL</v>
      </c>
      <c r="G14" s="189" t="str">
        <f>'[2]SR-125 SB'!L14</f>
        <v>H</v>
      </c>
      <c r="H14" s="197">
        <f>'[2]SR-125 SB'!O14</f>
        <v>5332</v>
      </c>
      <c r="I14" s="198">
        <f>VLOOKUP(c_12[[#This Row],[hwycov_id]],readme!D:G,4,FALSE)</f>
        <v>5855.5986329999996</v>
      </c>
      <c r="J14" s="206">
        <f t="shared" si="2"/>
        <v>9.819929351087775E-2</v>
      </c>
      <c r="K14" s="190" t="str">
        <f>'[2]SR-125 SB'!P14</f>
        <v>SANDAG</v>
      </c>
      <c r="L14" s="148">
        <f t="shared" si="3"/>
        <v>274155.52847946825</v>
      </c>
      <c r="M14" s="48"/>
      <c r="N14" s="55"/>
      <c r="O14" s="54"/>
    </row>
    <row r="15" spans="1:35" ht="15" customHeight="1" x14ac:dyDescent="0.25">
      <c r="A15" s="43">
        <f>'[2]SR-125 SB'!C15</f>
        <v>12</v>
      </c>
      <c r="B15" s="43" t="str">
        <f>'[2]SR-125 SB'!H15</f>
        <v>SR-125 SB</v>
      </c>
      <c r="C15" s="126">
        <f>'[2]SR-125 SB'!E15</f>
        <v>9142</v>
      </c>
      <c r="D15" s="188">
        <f>'[2]SR-125 SB'!I15</f>
        <v>6</v>
      </c>
      <c r="E15" s="189">
        <f>'[2]SR-125 SB'!J15</f>
        <v>0</v>
      </c>
      <c r="F15" s="189" t="str">
        <f>'[2]SR-125 SB'!K15</f>
        <v>H</v>
      </c>
      <c r="G15" s="189" t="str">
        <f>'[2]SR-125 SB'!L15</f>
        <v>TELEGRAPH CANYON</v>
      </c>
      <c r="H15" s="197">
        <f>'[2]SR-125 SB'!O15</f>
        <v>4233</v>
      </c>
      <c r="I15" s="198">
        <f>VLOOKUP(c_12[[#This Row],[hwycov_id]],readme!D:G,4,FALSE)</f>
        <v>4199.8891599999997</v>
      </c>
      <c r="J15" s="206">
        <f t="shared" si="2"/>
        <v>-7.8220741790693271E-3</v>
      </c>
      <c r="K15" s="190" t="str">
        <f>'[2]SR-125 SB'!P15</f>
        <v>SANDAG</v>
      </c>
      <c r="L15" s="148">
        <f t="shared" si="3"/>
        <v>1096.3277255056187</v>
      </c>
      <c r="M15" s="44"/>
    </row>
    <row r="16" spans="1:35" ht="15" customHeight="1" x14ac:dyDescent="0.25">
      <c r="A16" s="43">
        <f>'[2]SR-125 SB'!C16</f>
        <v>12</v>
      </c>
      <c r="B16" s="43" t="str">
        <f>'[2]SR-125 SB'!H16</f>
        <v>SR-125 SB</v>
      </c>
      <c r="C16" s="126">
        <f>'[2]SR-125 SB'!E16</f>
        <v>9516</v>
      </c>
      <c r="D16" s="188">
        <f>'[2]SR-125 SB'!I16</f>
        <v>9</v>
      </c>
      <c r="E16" s="189">
        <f>'[2]SR-125 SB'!J16</f>
        <v>0</v>
      </c>
      <c r="F16" s="189" t="str">
        <f>'[2]SR-125 SB'!K16</f>
        <v>TELEGRAPH CANYON</v>
      </c>
      <c r="G16" s="189" t="str">
        <f>'[2]SR-125 SB'!L16</f>
        <v>TOLL PLAZA</v>
      </c>
      <c r="H16" s="197">
        <f>'[2]SR-125 SB'!O16</f>
        <v>2769</v>
      </c>
      <c r="I16" s="198">
        <f>VLOOKUP(c_12[[#This Row],[hwycov_id]],readme!D:G,4,FALSE)</f>
        <v>3155.4753420000002</v>
      </c>
      <c r="J16" s="206">
        <f t="shared" si="2"/>
        <v>0.1395721711809319</v>
      </c>
      <c r="K16" s="190" t="str">
        <f>'[2]SR-125 SB'!P16</f>
        <v>SANDAG</v>
      </c>
      <c r="L16" s="148">
        <f t="shared" si="3"/>
        <v>149363.18997401709</v>
      </c>
      <c r="M16" s="44"/>
    </row>
    <row r="17" spans="1:13" ht="15" customHeight="1" x14ac:dyDescent="0.25">
      <c r="A17" s="43">
        <f>'[2]SR-125 SB'!C17</f>
        <v>12</v>
      </c>
      <c r="B17" s="43" t="str">
        <f>'[2]SR-125 SB'!H17</f>
        <v>SR-125 SB</v>
      </c>
      <c r="C17" s="126">
        <f>'[2]SR-125 SB'!E17</f>
        <v>9510</v>
      </c>
      <c r="D17" s="188">
        <f>'[2]SR-125 SB'!I17</f>
        <v>12</v>
      </c>
      <c r="E17" s="189">
        <f>'[2]SR-125 SB'!J17</f>
        <v>0</v>
      </c>
      <c r="F17" s="189" t="str">
        <f>'[2]SR-125 SB'!K17</f>
        <v>RAMP</v>
      </c>
      <c r="G17" s="189" t="str">
        <f>'[2]SR-125 SB'!L17</f>
        <v>EAST CENTER</v>
      </c>
      <c r="H17" s="197">
        <f>'[2]SR-125 SB'!O17</f>
        <v>1552</v>
      </c>
      <c r="I17" s="198">
        <f>VLOOKUP(c_12[[#This Row],[hwycov_id]],readme!D:G,4,FALSE)</f>
        <v>1915.2257079999999</v>
      </c>
      <c r="J17" s="206">
        <f t="shared" si="2"/>
        <v>0.23403718298969078</v>
      </c>
      <c r="K17" s="190" t="str">
        <f>'[2]SR-125 SB'!P17</f>
        <v>SANDAG</v>
      </c>
      <c r="L17" s="148">
        <f t="shared" si="3"/>
        <v>131932.91495210122</v>
      </c>
      <c r="M17" s="44"/>
    </row>
    <row r="18" spans="1:13" ht="15" customHeight="1" x14ac:dyDescent="0.25">
      <c r="A18" s="43">
        <f>'[2]SR-125 SB'!C18</f>
        <v>12</v>
      </c>
      <c r="B18" s="43" t="str">
        <f>'[2]SR-125 SB'!H18</f>
        <v>SR-125 SB</v>
      </c>
      <c r="C18" s="126">
        <f>'[2]SR-125 SB'!E18</f>
        <v>9488</v>
      </c>
      <c r="D18" s="188">
        <f>'[2]SR-125 SB'!I18</f>
        <v>15</v>
      </c>
      <c r="E18" s="189">
        <f>'[2]SR-125 SB'!J18</f>
        <v>0</v>
      </c>
      <c r="F18" s="189" t="str">
        <f>'[2]SR-125 SB'!K18</f>
        <v>EAST CENTER</v>
      </c>
      <c r="G18" s="189" t="str">
        <f>'[2]SR-125 SB'!L18</f>
        <v>WOLF CANYON</v>
      </c>
      <c r="H18" s="197">
        <f>'[2]SR-125 SB'!O18</f>
        <v>757</v>
      </c>
      <c r="I18" s="198">
        <f>VLOOKUP(c_12[[#This Row],[hwycov_id]],readme!D:G,4,FALSE)</f>
        <v>1180.147461</v>
      </c>
      <c r="J18" s="206">
        <f t="shared" si="2"/>
        <v>0.55897947291941885</v>
      </c>
      <c r="K18" s="190" t="str">
        <f>'[2]SR-125 SB'!P18</f>
        <v>SANDAG</v>
      </c>
      <c r="L18" s="148">
        <f t="shared" si="3"/>
        <v>179053.77375074654</v>
      </c>
      <c r="M18" s="44"/>
    </row>
    <row r="19" spans="1:13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5">
      <c r="A20" s="43"/>
      <c r="B20" s="43"/>
      <c r="C20" s="126"/>
      <c r="D20" s="188"/>
      <c r="E20" s="189"/>
      <c r="F20" s="189"/>
      <c r="G20" s="189"/>
      <c r="H20" s="197"/>
      <c r="I20" s="198"/>
      <c r="J20" s="206"/>
      <c r="K20" s="190"/>
      <c r="L20" s="148"/>
      <c r="M20" s="44"/>
    </row>
    <row r="21" spans="1:13" ht="15" customHeight="1" x14ac:dyDescent="0.25">
      <c r="A21" s="43"/>
      <c r="B21" s="43"/>
      <c r="C21" s="126"/>
      <c r="D21" s="188"/>
      <c r="E21" s="189"/>
      <c r="F21" s="189"/>
      <c r="G21" s="189"/>
      <c r="H21" s="197"/>
      <c r="I21" s="198"/>
      <c r="J21" s="206"/>
      <c r="K21" s="190"/>
      <c r="L21" s="148"/>
      <c r="M21" s="44"/>
    </row>
    <row r="22" spans="1:13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3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</row>
    <row r="24" spans="1:13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5">
      <c r="A27" s="43"/>
      <c r="B27" s="43"/>
      <c r="C27" s="126"/>
      <c r="D27" s="188"/>
      <c r="E27" s="189"/>
      <c r="F27" s="189"/>
      <c r="G27" s="189"/>
      <c r="H27" s="197"/>
      <c r="I27" s="198"/>
      <c r="J27" s="206"/>
      <c r="K27" s="190"/>
      <c r="L27" s="148"/>
      <c r="M27" s="44"/>
    </row>
    <row r="28" spans="1:13" ht="15" customHeight="1" x14ac:dyDescent="0.25">
      <c r="A28" s="43"/>
      <c r="B28" s="43"/>
      <c r="C28" s="126"/>
      <c r="D28" s="188"/>
      <c r="E28" s="189"/>
      <c r="F28" s="189"/>
      <c r="G28" s="189"/>
      <c r="H28" s="197"/>
      <c r="I28" s="198"/>
      <c r="J28" s="206"/>
      <c r="K28" s="190"/>
      <c r="L28" s="148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</sheetData>
  <conditionalFormatting sqref="N2:N1048576">
    <cfRule type="cellIs" dxfId="384" priority="9" operator="lessThan">
      <formula>-0.2</formula>
    </cfRule>
    <cfRule type="cellIs" dxfId="383" priority="10" operator="greaterThan">
      <formula>0.2</formula>
    </cfRule>
  </conditionalFormatting>
  <conditionalFormatting sqref="J29:K1048576">
    <cfRule type="cellIs" dxfId="382" priority="5" operator="lessThan">
      <formula>-0.2</formula>
    </cfRule>
    <cfRule type="cellIs" dxfId="381" priority="6" operator="greaterThan">
      <formula>0.2</formula>
    </cfRule>
  </conditionalFormatting>
  <conditionalFormatting sqref="J2:J18">
    <cfRule type="cellIs" dxfId="380" priority="3" operator="lessThan">
      <formula>-0.2</formula>
    </cfRule>
    <cfRule type="cellIs" dxfId="37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H17" sqref="H17"/>
    </sheetView>
  </sheetViews>
  <sheetFormatPr defaultColWidth="9.140625" defaultRowHeight="15" customHeight="1" x14ac:dyDescent="0.2"/>
  <cols>
    <col min="1" max="2" width="9.140625" style="25"/>
    <col min="3" max="3" width="11.5703125" style="25" customWidth="1"/>
    <col min="4" max="4" width="10" style="37" bestFit="1" customWidth="1"/>
    <col min="5" max="5" width="10" style="32" bestFit="1" customWidth="1"/>
    <col min="6" max="6" width="19.28515625" style="25" bestFit="1" customWidth="1"/>
    <col min="7" max="7" width="16" style="25" bestFit="1" customWidth="1"/>
    <col min="8" max="8" width="11.28515625" style="27" customWidth="1"/>
    <col min="9" max="9" width="8.85546875" style="48" bestFit="1" customWidth="1"/>
    <col min="10" max="11" width="8.42578125" style="26" customWidth="1"/>
    <col min="12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SQRT(AVERAGE(c_13[x2]))/AVERAGE(c_13[count])</f>
        <v>0.27316678442506892</v>
      </c>
      <c r="O1" s="69">
        <f>LINEST(c_13[flow],c_13[count],FALSE)</f>
        <v>1.2376884257070333</v>
      </c>
      <c r="P1" s="69">
        <f>RSQ(c_13[flow],c_13[count])</f>
        <v>0.99999999999999978</v>
      </c>
      <c r="Q1" s="19">
        <f>IFERROR(AVERAGEIF(c_13[gap],"&gt;=0",c_13[gap]),0)</f>
        <v>0.17788374296599863</v>
      </c>
      <c r="R1" s="20">
        <f>IFERROR(AVERAGEIF(c_13[gap],"&lt;0",c_13[gap]),0)</f>
        <v>0</v>
      </c>
      <c r="S1" s="13">
        <f>AVERAGE(c_13[gap])</f>
        <v>0.17788374296599863</v>
      </c>
      <c r="T1" s="18">
        <f>COUNTIFS(c_13[gap],"&lt;10%",c_13[gap],"&gt;=-10%")/COUNTA(c_13[gap])</f>
        <v>0.5</v>
      </c>
      <c r="U1" s="18">
        <f>COUNTIFS(c_13[gap],"&lt;20%",c_13[gap],"&gt;=-20%")/COUNTA(c_13[gap])</f>
        <v>0.5</v>
      </c>
      <c r="V1" s="18">
        <f>COUNTIFS(c_13[gap],"&lt;30%",c_13[gap],"&gt;=-30%")/COUNTA(c_13[gap])</f>
        <v>0.5</v>
      </c>
      <c r="W1" s="19">
        <f>COUNTIF(c_13[gap],"&gt;=0")/COUNTA(c_13[gap])</f>
        <v>1</v>
      </c>
      <c r="X1" s="21">
        <f>COUNTIF(c_13[gap],"&lt;0")/COUNTA(c_13[gap])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AvgGap(+)=18%</v>
      </c>
      <c r="AB1" s="25" t="str">
        <f>"AvgGap(-)="&amp;TEXT(R1,"0%")</f>
        <v>AvgGap(-)=0%</v>
      </c>
      <c r="AC1" s="25" t="str">
        <f>"AvgGap(±)="&amp;TEXT(S1,"0%")</f>
        <v>AvgGap(±)=18%</v>
      </c>
      <c r="AD1" s="25" t="str">
        <f>"GapIn(±10%)="&amp;TEXT(T1,"0%")</f>
        <v>GapIn(±10%)=50%</v>
      </c>
      <c r="AE1" s="25" t="str">
        <f>"GapIn(±20%)="&amp;TEXT(U1,"0%")</f>
        <v>GapIn(±20%)=50%</v>
      </c>
      <c r="AF1" s="25" t="str">
        <f>"GapIn(±30%)="&amp;TEXT(V1,"0%")</f>
        <v>GapIn(±30%)=50%</v>
      </c>
      <c r="AG1" s="25" t="str">
        <f>"Linear Slope="&amp;TEXT(O1,"#.###")</f>
        <v>Linear Slope=1.238</v>
      </c>
      <c r="AH1" s="25" t="str">
        <f>"RMSE="&amp;TEXT(N1,"0%")</f>
        <v>RMSE=27%</v>
      </c>
      <c r="AI1" s="25" t="str">
        <f>CONCATENATE(Y1," ",Z1," ",AA1,"  ",AB1,"  ",AC1,"  ",AD1," ",AE1,"  ",AF1,"  ",AG1," ",AH1)</f>
        <v>%Link(+)=100% %Link(-)=0% AvgGap(+)=18%  AvgGap(-)=0%  AvgGap(±)=18%  GapIn(±10%)=50% GapIn(±20%)=50%  GapIn(±30%)=50%  Linear Slope=1.238 RMSE=27%</v>
      </c>
    </row>
    <row r="2" spans="1:35" ht="15" customHeight="1" x14ac:dyDescent="0.25">
      <c r="A2" s="43">
        <f>'[2]SR-67 SB'!C2</f>
        <v>13</v>
      </c>
      <c r="B2" s="43" t="str">
        <f>'[2]SR-67 SB'!H2</f>
        <v>SR-67 SB</v>
      </c>
      <c r="C2" s="126">
        <f>'[2]SR-67 SB'!E2</f>
        <v>9033</v>
      </c>
      <c r="D2" s="188">
        <f>'[2]SR-67 SB'!I2</f>
        <v>9</v>
      </c>
      <c r="E2" s="189">
        <f>'[2]SR-67 SB'!J2</f>
        <v>0</v>
      </c>
      <c r="F2" s="189" t="str">
        <f>'[2]SR-67 SB'!K2</f>
        <v>WOODSIDE(N)</v>
      </c>
      <c r="G2" s="189" t="str">
        <f>'[2]SR-67 SB'!L2</f>
        <v>SR-52 WB</v>
      </c>
      <c r="H2" s="197">
        <f>'[2]SR-67 SB'!O2</f>
        <v>8372</v>
      </c>
      <c r="I2" s="198">
        <f>VLOOKUP(c_13[[#This Row],[hwycov_id]],readme!D:G,4,FALSE)</f>
        <v>8746.6435550000006</v>
      </c>
      <c r="J2" s="206">
        <f t="shared" ref="J2" si="0">I2/H2-1</f>
        <v>4.4749588509316762E-2</v>
      </c>
      <c r="K2" s="190" t="str">
        <f>'[2]SR-67 SB'!P2</f>
        <v>Caltran</v>
      </c>
      <c r="L2" s="148">
        <f t="shared" ref="L2" si="1">POWER((I2-H2),2)</f>
        <v>140357.79330303846</v>
      </c>
      <c r="M2" s="44"/>
    </row>
    <row r="3" spans="1:35" ht="15" customHeight="1" x14ac:dyDescent="0.25">
      <c r="A3" s="43">
        <f>'[2]SR-67 SB'!C3</f>
        <v>13</v>
      </c>
      <c r="B3" s="43" t="str">
        <f>'[2]SR-67 SB'!H3</f>
        <v>SR-67 SB</v>
      </c>
      <c r="C3" s="126">
        <f>'[2]SR-67 SB'!E3</f>
        <v>13035</v>
      </c>
      <c r="D3" s="188">
        <f>'[2]SR-67 SB'!I3</f>
        <v>12</v>
      </c>
      <c r="E3" s="189">
        <f>'[2]SR-67 SB'!J3</f>
        <v>0</v>
      </c>
      <c r="F3" s="189" t="str">
        <f>'[2]SR-67 SB'!K3</f>
        <v>SR-52 EB</v>
      </c>
      <c r="G3" s="189" t="str">
        <f>'[2]SR-67 SB'!L3</f>
        <v>BRADLEY</v>
      </c>
      <c r="H3" s="197">
        <f>'[2]SR-67 SB'!O3</f>
        <v>13580</v>
      </c>
      <c r="I3" s="198">
        <f>VLOOKUP(c_13[[#This Row],[hwycov_id]],readme!D:G,4,FALSE)</f>
        <v>17803.623047000001</v>
      </c>
      <c r="J3" s="206">
        <f t="shared" ref="J3" si="2">I3/H3-1</f>
        <v>0.31101789742268049</v>
      </c>
      <c r="K3" s="190" t="str">
        <f>'[2]SR-67 SB'!P3</f>
        <v>Caltran</v>
      </c>
      <c r="L3" s="148">
        <f t="shared" ref="L3" si="3">POWER((I3-H3),2)</f>
        <v>17838991.643149573</v>
      </c>
      <c r="M3" s="44"/>
    </row>
    <row r="4" spans="1:35" ht="15" customHeight="1" x14ac:dyDescent="0.2">
      <c r="C4" s="123"/>
      <c r="E4" s="124"/>
      <c r="F4" s="123"/>
      <c r="G4" s="123"/>
      <c r="H4" s="125"/>
      <c r="I4" s="121"/>
      <c r="K4" s="27"/>
      <c r="L4" s="44"/>
      <c r="M4" s="44"/>
    </row>
    <row r="5" spans="1:35" ht="15" customHeight="1" x14ac:dyDescent="0.2">
      <c r="C5" s="123"/>
      <c r="E5" s="124"/>
      <c r="F5" s="123"/>
      <c r="G5" s="123"/>
      <c r="H5" s="125"/>
      <c r="I5" s="121"/>
      <c r="K5" s="27"/>
      <c r="L5" s="44"/>
      <c r="M5" s="44"/>
    </row>
    <row r="6" spans="1:35" ht="15" customHeight="1" x14ac:dyDescent="0.2">
      <c r="L6" s="44"/>
      <c r="M6" s="44"/>
    </row>
    <row r="7" spans="1:35" ht="15" customHeight="1" x14ac:dyDescent="0.2">
      <c r="L7" s="44"/>
      <c r="M7" s="44"/>
    </row>
    <row r="8" spans="1:35" ht="15" customHeight="1" x14ac:dyDescent="0.2"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</sheetData>
  <conditionalFormatting sqref="N2 J4:K9 J2:J3">
    <cfRule type="cellIs" dxfId="365" priority="9" operator="lessThan">
      <formula>-0.2</formula>
    </cfRule>
    <cfRule type="cellIs" dxfId="364" priority="10" operator="greaterThan">
      <formula>0.2</formula>
    </cfRule>
  </conditionalFormatting>
  <conditionalFormatting sqref="J16:K1048576">
    <cfRule type="cellIs" dxfId="363" priority="5" operator="lessThan">
      <formula>-0.2</formula>
    </cfRule>
    <cfRule type="cellIs" dxfId="362" priority="6" operator="greaterThan">
      <formula>0.2</formula>
    </cfRule>
  </conditionalFormatting>
  <conditionalFormatting sqref="J11:K15">
    <cfRule type="cellIs" dxfId="361" priority="3" operator="lessThan">
      <formula>-0.2</formula>
    </cfRule>
    <cfRule type="cellIs" dxfId="360" priority="4" operator="greaterThan">
      <formula>0.2</formula>
    </cfRule>
  </conditionalFormatting>
  <conditionalFormatting sqref="N1">
    <cfRule type="cellIs" dxfId="359" priority="1" operator="lessThan">
      <formula>-0.2</formula>
    </cfRule>
    <cfRule type="cellIs" dxfId="35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11" sqref="I11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1.28515625" style="25" bestFit="1" customWidth="1"/>
    <col min="7" max="7" width="11.425781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9.85546875" style="26" bestFit="1" customWidth="1"/>
    <col min="12" max="12" width="7.71093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SQRT(AVERAGE(c_14[x2]))/AVERAGE(c_14[count])</f>
        <v>6.3947254513737492E-2</v>
      </c>
      <c r="O1" s="69">
        <f>LINEST(c_14[flow],c_14[count],FALSE)</f>
        <v>0.93605274548626283</v>
      </c>
      <c r="P1" s="69" t="e">
        <f>RSQ(c_14[flow],c_14[count])</f>
        <v>#DIV/0!</v>
      </c>
      <c r="Q1" s="19">
        <f>IFERROR(AVERAGEIF(c_14[gap],"&gt;=0",c_14[gap]),0)</f>
        <v>0</v>
      </c>
      <c r="R1" s="20">
        <f>IFERROR(AVERAGEIF(c_14[gap],"&lt;0",c_14[gap]),0)</f>
        <v>-6.3947254513737506E-2</v>
      </c>
      <c r="S1" s="13">
        <f>AVERAGE(c_14[gap])</f>
        <v>-6.3947254513737506E-2</v>
      </c>
      <c r="T1" s="18">
        <f>COUNTIFS(c_14[gap],"&lt;10%",c_14[gap],"&gt;=-10%")/COUNTA(c_14[gap])</f>
        <v>1</v>
      </c>
      <c r="U1" s="18">
        <f>COUNTIFS(c_14[gap],"&lt;20%",c_14[gap],"&gt;=-20%")/COUNTA(c_14[gap])</f>
        <v>1</v>
      </c>
      <c r="V1" s="18">
        <f>COUNTIFS(c_14[gap],"&lt;30%",c_14[gap],"&gt;=-30%")/COUNTA(c_14[gap])</f>
        <v>1</v>
      </c>
      <c r="W1" s="19">
        <f>COUNTIF(c_14[gap],"&gt;=0")/COUNTA(c_14[gap])</f>
        <v>0</v>
      </c>
      <c r="X1" s="21">
        <f>COUNTIF(c_14[gap],"&lt;0")/COUNTA(c_14[gap])</f>
        <v>1</v>
      </c>
      <c r="Y1" s="39" t="str">
        <f>"%Link(+)="&amp;TEXT(W1,"0%")</f>
        <v>%Link(+)=0%</v>
      </c>
      <c r="Z1" s="39" t="str">
        <f>"%Link(-)="&amp;TEXT(X1,"0%")</f>
        <v>%Link(-)=100%</v>
      </c>
      <c r="AA1" s="36" t="str">
        <f>"AvgGap(+)="&amp;TEXT(Q1,"0%")</f>
        <v>AvgGap(+)=0%</v>
      </c>
      <c r="AB1" s="25" t="str">
        <f>"AvgGap(-)="&amp;TEXT(R1,"0%")</f>
        <v>AvgGap(-)=-6%</v>
      </c>
      <c r="AC1" s="25" t="str">
        <f>"AvgGap(±)="&amp;TEXT(S1,"0%")</f>
        <v>AvgGap(±)=-6%</v>
      </c>
      <c r="AD1" s="25" t="str">
        <f>"GapIn(±10%)="&amp;TEXT(T1,"0%")</f>
        <v>GapIn(±10%)=100%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Slope=.936</v>
      </c>
      <c r="AH1" s="25" t="str">
        <f>"RMSE="&amp;TEXT(N1,"0%")</f>
        <v>RMSE=6%</v>
      </c>
      <c r="AI1" s="25" t="str">
        <f>CONCATENATE(Y1," ",Z1," ",AA1,"  ",AB1,"  ",AC1,"  ",AD1," ",AE1,"  ",AF1,"  ",AG1," ",AH1)</f>
        <v>%Link(+)=0% %Link(-)=100% AvgGap(+)=0%  AvgGap(-)=-6%  AvgGap(±)=-6%  GapIn(±10%)=100% GapIn(±20%)=100%  GapIn(±30%)=100%  Linear Slope=.936 RMSE=6%</v>
      </c>
    </row>
    <row r="2" spans="1:35" ht="15" customHeight="1" x14ac:dyDescent="0.25">
      <c r="A2" s="43">
        <f>'[2]SR-75 SB'!C2</f>
        <v>14</v>
      </c>
      <c r="B2" s="43" t="str">
        <f>'[2]SR-75 SB'!H2</f>
        <v>SR-75 SB</v>
      </c>
      <c r="C2" s="126">
        <f>'[2]SR-75 SB'!E2</f>
        <v>7724</v>
      </c>
      <c r="D2" s="188">
        <f>'[2]SR-75 SB'!I2</f>
        <v>6</v>
      </c>
      <c r="E2" s="189">
        <f>'[2]SR-75 SB'!J2</f>
        <v>0</v>
      </c>
      <c r="F2" s="189" t="str">
        <f>'[2]SR-75 SB'!K2</f>
        <v>I-5 SB</v>
      </c>
      <c r="G2" s="189" t="str">
        <f>'[2]SR-75 SB'!L2</f>
        <v>GLORIETTA</v>
      </c>
      <c r="H2" s="197">
        <f>'[2]SR-75 SB'!O2</f>
        <v>11465</v>
      </c>
      <c r="I2" s="198">
        <f>VLOOKUP(c_14[[#This Row],[hwycov_id]],readme!D:G,4,FALSE)</f>
        <v>10731.844727</v>
      </c>
      <c r="J2" s="206">
        <f>I2/H2-1</f>
        <v>-6.3947254513737506E-2</v>
      </c>
      <c r="K2" s="190" t="str">
        <f>'[2]SR-75 SB'!P2</f>
        <v>Caltran</v>
      </c>
      <c r="L2" s="148">
        <f>POWER((I2-H2),2)</f>
        <v>537516.65432770504</v>
      </c>
      <c r="M2" s="44"/>
    </row>
    <row r="3" spans="1:35" ht="15" customHeight="1" x14ac:dyDescent="0.25">
      <c r="A3" s="43"/>
      <c r="B3" s="43"/>
      <c r="C3" s="263"/>
      <c r="D3" s="256"/>
      <c r="E3" s="257"/>
      <c r="F3" s="257"/>
      <c r="G3" s="257"/>
      <c r="H3" s="3"/>
      <c r="I3" s="255"/>
      <c r="J3" s="206"/>
      <c r="K3" s="190"/>
      <c r="L3" s="148"/>
      <c r="M3" s="44"/>
    </row>
    <row r="4" spans="1:35" ht="15" customHeight="1" x14ac:dyDescent="0.2">
      <c r="C4" s="29"/>
      <c r="E4" s="33"/>
      <c r="F4" s="29"/>
      <c r="G4" s="29"/>
      <c r="H4" s="31"/>
      <c r="I4" s="52"/>
      <c r="L4" s="44"/>
      <c r="M4" s="44"/>
    </row>
    <row r="5" spans="1:35" ht="15" customHeight="1" x14ac:dyDescent="0.2">
      <c r="C5" s="29"/>
      <c r="E5" s="33"/>
      <c r="F5" s="29"/>
      <c r="G5" s="29"/>
      <c r="H5" s="31"/>
      <c r="I5" s="52"/>
      <c r="L5" s="44"/>
      <c r="M5" s="44"/>
    </row>
    <row r="6" spans="1:35" ht="15" customHeight="1" x14ac:dyDescent="0.2">
      <c r="L6" s="44"/>
      <c r="M6" s="44"/>
    </row>
    <row r="7" spans="1:35" ht="15" customHeight="1" x14ac:dyDescent="0.2">
      <c r="L7" s="44"/>
      <c r="M7" s="44"/>
    </row>
    <row r="8" spans="1:35" ht="15" customHeight="1" x14ac:dyDescent="0.2">
      <c r="D8" s="27"/>
      <c r="L8" s="44"/>
      <c r="M8" s="44"/>
    </row>
    <row r="9" spans="1:35" ht="15" customHeight="1" x14ac:dyDescent="0.2">
      <c r="D9" s="27"/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5">
    <cfRule type="cellIs" dxfId="344" priority="9" operator="lessThan">
      <formula>-0.2</formula>
    </cfRule>
    <cfRule type="cellIs" dxfId="343" priority="10" operator="greaterThan">
      <formula>0.2</formula>
    </cfRule>
  </conditionalFormatting>
  <conditionalFormatting sqref="J19:K1048576">
    <cfRule type="cellIs" dxfId="342" priority="5" operator="lessThan">
      <formula>-0.2</formula>
    </cfRule>
    <cfRule type="cellIs" dxfId="341" priority="6" operator="greaterThan">
      <formula>0.2</formula>
    </cfRule>
  </conditionalFormatting>
  <conditionalFormatting sqref="J3:K12 J14:K18 J2">
    <cfRule type="cellIs" dxfId="340" priority="3" operator="lessThan">
      <formula>-0.2</formula>
    </cfRule>
    <cfRule type="cellIs" dxfId="33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K30" sqref="K30"/>
    </sheetView>
  </sheetViews>
  <sheetFormatPr defaultColWidth="9.140625" defaultRowHeight="15" customHeight="1" x14ac:dyDescent="0.2"/>
  <cols>
    <col min="1" max="1" width="10.85546875" style="25" bestFit="1" customWidth="1"/>
    <col min="2" max="2" width="12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20.28515625" style="25" bestFit="1" customWidth="1"/>
    <col min="7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0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SQRT(AVERAGE(c_30[x2]))/AVERAGE(c_30[count])</f>
        <v>0.19948212888757189</v>
      </c>
      <c r="O1" s="61">
        <f>LINEST(c_30[flow],c_30[count],FALSE)</f>
        <v>0.85005526310487567</v>
      </c>
      <c r="P1" s="50">
        <f>RSQ(c_30[flow],c_30[count])</f>
        <v>0.7355154566620361</v>
      </c>
      <c r="Q1" s="62">
        <f>IFERROR(AVERAGEIF(c_30[gap],"&gt;=0",c_30[gap]),0)</f>
        <v>4.7457300983986039E-2</v>
      </c>
      <c r="R1" s="63">
        <f>IFERROR(AVERAGEIF(c_30[gap],"&lt;0",c_30[gap]),0)</f>
        <v>-0.17908640197318521</v>
      </c>
      <c r="S1" s="64">
        <f>AVERAGE(c_30[gap])</f>
        <v>-0.15076843910353879</v>
      </c>
      <c r="T1" s="65">
        <f>COUNTIFS(c_30[gap],"&lt;10%",c_30[gap],"&gt;=-10%")/COUNTA(c_30[gap])</f>
        <v>0.25</v>
      </c>
      <c r="U1" s="65">
        <f>COUNTIFS(c_30[gap],"&lt;20%",c_30[gap],"&gt;=-20%")/COUNTA(c_30[gap])</f>
        <v>0.5</v>
      </c>
      <c r="V1" s="65">
        <f>COUNTIFS(c_30[gap],"&lt;30%",c_30[gap],"&gt;=-30%")/COUNTA(c_30[gap])</f>
        <v>0.875</v>
      </c>
      <c r="W1" s="62">
        <f>COUNTIF(c_30[gap],"&gt;=0")/COUNTA(c_30[gap])</f>
        <v>0.125</v>
      </c>
      <c r="X1" s="66">
        <f>COUNTIF(c_30[gap],"&lt;0")/COUNTA(c_30[gap])</f>
        <v>0.875</v>
      </c>
      <c r="Y1" s="49" t="str">
        <f>"%Link(+)="&amp;TEXT(W1,"0%")</f>
        <v>%Link(+)=13%</v>
      </c>
      <c r="Z1" s="49" t="str">
        <f>"%Link(-)="&amp;TEXT(X1,"0%")</f>
        <v>%Link(-)=88%</v>
      </c>
      <c r="AA1" s="36" t="str">
        <f>"AvgGap(+)="&amp;TEXT(Q1,"0%")</f>
        <v>AvgGap(+)=5%</v>
      </c>
      <c r="AB1" s="25" t="str">
        <f>"AvgGap(-)="&amp;TEXT(R1,"0%")</f>
        <v>AvgGap(-)=-18%</v>
      </c>
      <c r="AC1" s="25" t="str">
        <f>"AvgGap(±)="&amp;TEXT(S1,"0%")</f>
        <v>AvgGap(±)=-15%</v>
      </c>
      <c r="AD1" s="25" t="str">
        <f>"GapIn(±10%)="&amp;TEXT(T1,"0%")</f>
        <v>GapIn(±10%)=25%</v>
      </c>
      <c r="AE1" s="25" t="str">
        <f>"GapIn(±20%)="&amp;TEXT(U1,"0%")</f>
        <v>GapIn(±20%)=50%</v>
      </c>
      <c r="AF1" s="25" t="str">
        <f>"GapIn(±30%)="&amp;TEXT(V1,"0%")</f>
        <v>GapIn(±30%)=88%</v>
      </c>
      <c r="AG1" s="25" t="str">
        <f>"Linear Slope="&amp;TEXT(O1,"#.###")</f>
        <v>Linear Slope=.85</v>
      </c>
      <c r="AH1" s="25" t="str">
        <f>"RMSE="&amp;TEXT(N1,"0%")</f>
        <v>RMSE=20%</v>
      </c>
      <c r="AI1" s="25" t="str">
        <f>CONCATENATE(Y1," ",Z1," ",AA1,"  ",AB1,"  ",AC1,"  ",AD1," ",AE1,"  ",AF1,"  ",AG1," ",AH1)</f>
        <v>%Link(+)=13% %Link(-)=88% AvgGap(+)=5%  AvgGap(-)=-18%  AvgGap(±)=-15%  GapIn(±10%)=25% GapIn(±20%)=50%  GapIn(±30%)=88%  Linear Slope=.85 RMSE=20%</v>
      </c>
    </row>
    <row r="2" spans="1:35" ht="15" customHeight="1" x14ac:dyDescent="0.25">
      <c r="A2" s="43">
        <f>'[2]I-15 HOV SB'!C2</f>
        <v>30</v>
      </c>
      <c r="B2" s="43" t="str">
        <f>'[2]I-15 HOV SB'!H2</f>
        <v>I-15 HOV SB</v>
      </c>
      <c r="C2" s="126">
        <f>'[2]I-15 HOV SB'!E2</f>
        <v>25749</v>
      </c>
      <c r="D2" s="188">
        <f>'[2]I-15 HOV SB'!I2</f>
        <v>3</v>
      </c>
      <c r="E2" s="189">
        <f>'[2]I-15 HOV NB'!J2</f>
        <v>0</v>
      </c>
      <c r="F2" s="189" t="str">
        <f>'[2]I-15 HOV SB'!K2</f>
        <v>SR-78</v>
      </c>
      <c r="G2" s="189" t="str">
        <f>'[2]I-15 HOV SB'!L2</f>
        <v>VALLEY</v>
      </c>
      <c r="H2" s="197">
        <f>'[2]I-15 HOV SB'!O2</f>
        <v>2864</v>
      </c>
      <c r="I2" s="198">
        <f>VLOOKUP(c_30[[#This Row],[hwycov_id]],readme!D:G,4,FALSE)</f>
        <v>2576.515625</v>
      </c>
      <c r="J2" s="206">
        <f>I2/H2-1</f>
        <v>-0.10037862255586594</v>
      </c>
      <c r="K2" s="190" t="str">
        <f>'[2]I-15 HOV SB'!P2</f>
        <v>PeMS2016</v>
      </c>
      <c r="L2" s="148">
        <f t="shared" ref="L2" si="0">POWER((I2-H2),2)</f>
        <v>82647.265869140625</v>
      </c>
      <c r="M2" s="44"/>
    </row>
    <row r="3" spans="1:35" ht="15" customHeight="1" x14ac:dyDescent="0.25">
      <c r="A3" s="43">
        <f>'[2]I-15 HOV SB'!C3</f>
        <v>30</v>
      </c>
      <c r="B3" s="43" t="str">
        <f>'[2]I-15 HOV SB'!H3</f>
        <v>I-15 HOV SB</v>
      </c>
      <c r="C3" s="126">
        <f>'[2]I-15 HOV SB'!E3</f>
        <v>29442</v>
      </c>
      <c r="D3" s="188">
        <f>'[2]I-15 HOV SB'!I3</f>
        <v>4</v>
      </c>
      <c r="E3" s="189">
        <f>'[2]I-15 HOV NB'!J3</f>
        <v>1</v>
      </c>
      <c r="F3" s="189" t="str">
        <f>'[2]I-15 HOV SB'!K3</f>
        <v>CITRACADO</v>
      </c>
      <c r="G3" s="189" t="str">
        <f>'[2]I-15 HOV SB'!L3</f>
        <v>CITRACADO</v>
      </c>
      <c r="H3" s="197">
        <f>'[2]I-15 HOV SB'!O3</f>
        <v>3405</v>
      </c>
      <c r="I3" s="198">
        <f>VLOOKUP(c_30[[#This Row],[hwycov_id]],readme!D:G,4,FALSE)</f>
        <v>2672.876221</v>
      </c>
      <c r="J3" s="206">
        <f t="shared" ref="J3:J9" si="1">I3/H3-1</f>
        <v>-0.21501432569750367</v>
      </c>
      <c r="K3" s="190" t="str">
        <f>'[2]I-15 HOV SB'!P3</f>
        <v>PeMS2016</v>
      </c>
      <c r="L3" s="148">
        <f t="shared" ref="L3:L9" si="2">POWER((I3-H3),2)</f>
        <v>536005.22777724091</v>
      </c>
      <c r="M3" s="44"/>
    </row>
    <row r="4" spans="1:35" ht="15" customHeight="1" x14ac:dyDescent="0.25">
      <c r="A4" s="43">
        <f>'[2]I-15 HOV SB'!C4</f>
        <v>30</v>
      </c>
      <c r="B4" s="43" t="str">
        <f>'[2]I-15 HOV SB'!H4</f>
        <v>I-15 HOV SB</v>
      </c>
      <c r="C4" s="126">
        <f>'[2]I-15 HOV SB'!E4</f>
        <v>513</v>
      </c>
      <c r="D4" s="188">
        <f>'[2]I-15 HOV SB'!I4</f>
        <v>5</v>
      </c>
      <c r="E4" s="189">
        <f>'[2]I-15 HOV NB'!J4</f>
        <v>1</v>
      </c>
      <c r="F4" s="189" t="str">
        <f>'[2]I-15 HOV SB'!K4</f>
        <v>VIA RANCHO</v>
      </c>
      <c r="G4" s="189" t="str">
        <f>'[2]I-15 HOV SB'!L4</f>
        <v>VIA RANCHO</v>
      </c>
      <c r="H4" s="197">
        <f>'[2]I-15 HOV SB'!O4</f>
        <v>2933</v>
      </c>
      <c r="I4" s="198">
        <f>VLOOKUP(c_30[[#This Row],[hwycov_id]],readme!D:G,4,FALSE)</f>
        <v>2260.2270509999998</v>
      </c>
      <c r="J4" s="206">
        <f t="shared" si="1"/>
        <v>-0.22938048039549952</v>
      </c>
      <c r="K4" s="190" t="str">
        <f>'[2]I-15 HOV SB'!P4</f>
        <v>PeMS2016</v>
      </c>
      <c r="L4" s="148">
        <f t="shared" si="2"/>
        <v>452623.44090615679</v>
      </c>
      <c r="M4" s="44"/>
    </row>
    <row r="5" spans="1:35" ht="15" customHeight="1" x14ac:dyDescent="0.25">
      <c r="A5" s="43">
        <f>'[2]I-15 HOV SB'!C5</f>
        <v>30</v>
      </c>
      <c r="B5" s="43" t="str">
        <f>'[2]I-15 HOV SB'!H5</f>
        <v>I-15 HOV SB</v>
      </c>
      <c r="C5" s="126">
        <f>'[2]I-15 HOV SB'!E5</f>
        <v>23128</v>
      </c>
      <c r="D5" s="188">
        <f>'[2]I-15 HOV SB'!I5</f>
        <v>6</v>
      </c>
      <c r="E5" s="189">
        <f>'[2]I-15 HOV NB'!J5</f>
        <v>1</v>
      </c>
      <c r="F5" s="189" t="str">
        <f>'[2]I-15 HOV SB'!K5</f>
        <v>VIA RANCHO</v>
      </c>
      <c r="G5" s="189" t="str">
        <f>'[2]I-15 HOV SB'!L5</f>
        <v>VIA RANCHO</v>
      </c>
      <c r="H5" s="197">
        <f>'[2]I-15 HOV SB'!O5</f>
        <v>4115</v>
      </c>
      <c r="I5" s="198">
        <f>VLOOKUP(c_30[[#This Row],[hwycov_id]],readme!D:G,4,FALSE)</f>
        <v>3654.3554690000001</v>
      </c>
      <c r="J5" s="206">
        <f t="shared" si="1"/>
        <v>-0.11194277788578366</v>
      </c>
      <c r="K5" s="190" t="str">
        <f>'[2]I-15 HOV SB'!P5</f>
        <v>PeMS2016</v>
      </c>
      <c r="L5" s="148">
        <f t="shared" si="2"/>
        <v>212193.3839402099</v>
      </c>
      <c r="M5" s="44"/>
    </row>
    <row r="6" spans="1:35" ht="15" customHeight="1" x14ac:dyDescent="0.25">
      <c r="A6" s="43">
        <f>'[2]I-15 HOV SB'!C6</f>
        <v>30</v>
      </c>
      <c r="B6" s="43" t="str">
        <f>'[2]I-15 HOV SB'!H6</f>
        <v>I-15 HOV SB</v>
      </c>
      <c r="C6" s="126">
        <f>'[2]I-15 HOV SB'!E6</f>
        <v>31204</v>
      </c>
      <c r="D6" s="188">
        <f>'[2]I-15 HOV SB'!I6</f>
        <v>9</v>
      </c>
      <c r="E6" s="189">
        <f>'[2]I-15 HOV NB'!J6</f>
        <v>1</v>
      </c>
      <c r="F6" s="189" t="str">
        <f>'[2]I-15 HOV SB'!K6</f>
        <v>RANCHO BERNARDO</v>
      </c>
      <c r="G6" s="189" t="str">
        <f>'[2]I-15 HOV SB'!L6</f>
        <v>CAM DEL NORTE</v>
      </c>
      <c r="H6" s="197">
        <f>'[2]I-15 HOV SB'!O6</f>
        <v>5672</v>
      </c>
      <c r="I6" s="198">
        <f>VLOOKUP(c_30[[#This Row],[hwycov_id]],readme!D:G,4,FALSE)</f>
        <v>3941.8483890000002</v>
      </c>
      <c r="J6" s="206">
        <f t="shared" si="1"/>
        <v>-0.30503378191114239</v>
      </c>
      <c r="K6" s="190" t="str">
        <f>'[2]I-15 HOV SB'!P6</f>
        <v>PeMS2016</v>
      </c>
      <c r="L6" s="148">
        <f t="shared" si="2"/>
        <v>2993424.5970458947</v>
      </c>
      <c r="M6" s="44"/>
    </row>
    <row r="7" spans="1:35" ht="15" customHeight="1" x14ac:dyDescent="0.25">
      <c r="A7" s="43">
        <f>'[2]I-15 HOV SB'!C7</f>
        <v>30</v>
      </c>
      <c r="B7" s="43" t="str">
        <f>'[2]I-15 HOV SB'!H7</f>
        <v>I-15 HOV SB</v>
      </c>
      <c r="C7" s="126">
        <f>'[2]I-15 HOV SB'!E7</f>
        <v>525</v>
      </c>
      <c r="D7" s="188">
        <f>'[2]I-15 HOV SB'!I7</f>
        <v>14</v>
      </c>
      <c r="E7" s="189">
        <f>'[2]I-15 HOV NB'!J7</f>
        <v>2</v>
      </c>
      <c r="F7" s="189" t="str">
        <f>'[2]I-15 HOV SB'!K7</f>
        <v>I-15 SB</v>
      </c>
      <c r="G7" s="189" t="str">
        <f>'[2]I-15 HOV SB'!L7</f>
        <v>RANCHO PENASQUITOS</v>
      </c>
      <c r="H7" s="197">
        <f>'[2]I-15 HOV SB'!O7</f>
        <v>5214</v>
      </c>
      <c r="I7" s="198">
        <f>VLOOKUP(c_30[[#This Row],[hwycov_id]],readme!D:G,4,FALSE)</f>
        <v>4912.2539059999999</v>
      </c>
      <c r="J7" s="206">
        <f t="shared" si="1"/>
        <v>-5.7872285001917878E-2</v>
      </c>
      <c r="K7" s="190" t="str">
        <f>'[2]I-15 HOV SB'!P7</f>
        <v>PeMS2016</v>
      </c>
      <c r="L7" s="148">
        <f t="shared" si="2"/>
        <v>91050.705244256882</v>
      </c>
      <c r="M7" s="44"/>
    </row>
    <row r="8" spans="1:35" ht="15" customHeight="1" x14ac:dyDescent="0.25">
      <c r="A8" s="43">
        <f>'[2]I-15 HOV SB'!C8</f>
        <v>30</v>
      </c>
      <c r="B8" s="43" t="str">
        <f>'[2]I-15 HOV SB'!H8</f>
        <v>I-15 HOV SB</v>
      </c>
      <c r="C8" s="126">
        <f>'[2]I-15 HOV SB'!E8</f>
        <v>553</v>
      </c>
      <c r="D8" s="188">
        <f>'[2]I-15 HOV SB'!I8</f>
        <v>15</v>
      </c>
      <c r="E8" s="189">
        <f>'[2]I-15 HOV NB'!J8</f>
        <v>0</v>
      </c>
      <c r="F8" s="189" t="str">
        <f>'[2]I-15 HOV SB'!K8</f>
        <v>I-15 SB</v>
      </c>
      <c r="G8" s="189" t="str">
        <f>'[2]I-15 HOV SB'!L8</f>
        <v>RANCHO PENASQUITOS</v>
      </c>
      <c r="H8" s="197">
        <f>'[2]I-15 HOV SB'!O8</f>
        <v>5376</v>
      </c>
      <c r="I8" s="198">
        <f>VLOOKUP(c_30[[#This Row],[hwycov_id]],readme!D:G,4,FALSE)</f>
        <v>4118.1098629999997</v>
      </c>
      <c r="J8" s="206">
        <f t="shared" si="1"/>
        <v>-0.23398254036458344</v>
      </c>
      <c r="K8" s="190" t="str">
        <f>'[2]I-15 HOV SB'!P8</f>
        <v>PeMS2016</v>
      </c>
      <c r="L8" s="148">
        <f t="shared" si="2"/>
        <v>1582287.5967618795</v>
      </c>
      <c r="M8" s="44"/>
    </row>
    <row r="9" spans="1:35" ht="15" customHeight="1" x14ac:dyDescent="0.25">
      <c r="A9" s="43">
        <f>'[2]I-15 HOV SB'!C9</f>
        <v>30</v>
      </c>
      <c r="B9" s="43" t="str">
        <f>'[2]I-15 HOV SB'!H9</f>
        <v>I-15 HOV SB</v>
      </c>
      <c r="C9" s="126">
        <f>'[2]I-15 HOV SB'!E9</f>
        <v>23142</v>
      </c>
      <c r="D9" s="188">
        <f>'[2]I-15 HOV SB'!I9</f>
        <v>18</v>
      </c>
      <c r="E9" s="189">
        <f>'[2]I-15 HOV NB'!J9</f>
        <v>0</v>
      </c>
      <c r="F9" s="189" t="str">
        <f>'[2]I-15 HOV SB'!K9</f>
        <v>MIRA MESA</v>
      </c>
      <c r="G9" s="189" t="str">
        <f>'[2]I-15 HOV SB'!L9</f>
        <v>POMERADO</v>
      </c>
      <c r="H9" s="197">
        <f>'[2]I-15 HOV SB'!O9</f>
        <v>5183</v>
      </c>
      <c r="I9" s="198">
        <f>VLOOKUP(c_30[[#This Row],[hwycov_id]],readme!D:G,4,FALSE)</f>
        <v>5428.9711909999996</v>
      </c>
      <c r="J9" s="206">
        <f t="shared" si="1"/>
        <v>4.7457300983986039E-2</v>
      </c>
      <c r="K9" s="190" t="str">
        <f>'[2]I-15 HOV SB'!P9</f>
        <v>PeMS2016</v>
      </c>
      <c r="L9" s="148">
        <f t="shared" si="2"/>
        <v>60501.826801958305</v>
      </c>
      <c r="M9" s="44"/>
    </row>
    <row r="10" spans="1:35" ht="15" customHeight="1" x14ac:dyDescent="0.25">
      <c r="A10" s="43"/>
      <c r="B10" s="43"/>
      <c r="C10" s="126"/>
      <c r="D10" s="188"/>
      <c r="E10" s="189"/>
      <c r="F10" s="189"/>
      <c r="G10" s="189"/>
      <c r="H10" s="197"/>
      <c r="I10" s="198"/>
      <c r="J10" s="206"/>
      <c r="K10" s="190"/>
      <c r="L10" s="148"/>
      <c r="M10" s="44"/>
    </row>
    <row r="11" spans="1:35" ht="15" customHeight="1" x14ac:dyDescent="0.25">
      <c r="A11" s="43"/>
      <c r="B11" s="43"/>
      <c r="C11" s="126"/>
      <c r="D11" s="188"/>
      <c r="E11" s="189"/>
      <c r="F11" s="189"/>
      <c r="G11" s="189"/>
      <c r="H11" s="197"/>
      <c r="I11" s="198"/>
      <c r="J11" s="206"/>
      <c r="K11" s="190"/>
      <c r="L11" s="148"/>
      <c r="M11" s="44"/>
    </row>
    <row r="12" spans="1:35" ht="15" customHeight="1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206"/>
      <c r="K12" s="190"/>
      <c r="L12" s="148"/>
      <c r="M12" s="44"/>
    </row>
    <row r="13" spans="1:35" ht="15" customHeight="1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206"/>
      <c r="K13" s="190"/>
      <c r="L13" s="148"/>
      <c r="M13" s="44"/>
    </row>
    <row r="14" spans="1:35" ht="15" customHeight="1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206"/>
      <c r="K14" s="190"/>
      <c r="L14" s="148"/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325" priority="9" operator="lessThan">
      <formula>-0.2</formula>
    </cfRule>
    <cfRule type="cellIs" dxfId="324" priority="10" operator="greaterThan">
      <formula>0.2</formula>
    </cfRule>
  </conditionalFormatting>
  <conditionalFormatting sqref="J20:K1048576">
    <cfRule type="cellIs" dxfId="323" priority="7" operator="lessThan">
      <formula>-0.2</formula>
    </cfRule>
    <cfRule type="cellIs" dxfId="322" priority="8" operator="greaterThan">
      <formula>0.2</formula>
    </cfRule>
  </conditionalFormatting>
  <conditionalFormatting sqref="J2:J9">
    <cfRule type="cellIs" dxfId="321" priority="1" operator="lessThan">
      <formula>-0.2</formula>
    </cfRule>
    <cfRule type="cellIs" dxfId="3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J24" sqref="J24"/>
    </sheetView>
  </sheetViews>
  <sheetFormatPr defaultColWidth="9.140625" defaultRowHeight="15" customHeight="1" x14ac:dyDescent="0.2"/>
  <cols>
    <col min="1" max="1" width="10.85546875" style="25" bestFit="1" customWidth="1"/>
    <col min="2" max="2" width="11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7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SQRT(AVERAGE(c_32[x2]))/AVERAGE(c_32[count])</f>
        <v>0.21309518194462135</v>
      </c>
      <c r="O1" s="61">
        <f>LINEST(c_32[flow],c_32[count],FALSE)</f>
        <v>1.195240096734872</v>
      </c>
      <c r="P1" s="50" t="e">
        <f>RSQ(c_32[flow],c_32[count])</f>
        <v>#DIV/0!</v>
      </c>
      <c r="Q1" s="62">
        <f>IFERROR(AVERAGEIF(c_32[gap],"&gt;=0",c_32[gap]),0)</f>
        <v>0.20694307887170321</v>
      </c>
      <c r="R1" s="63">
        <f>IFERROR(AVERAGEIF(c_32[gap],"&lt;0",c_32[gap]),0)</f>
        <v>0</v>
      </c>
      <c r="S1" s="64">
        <f>AVERAGE(c_32[gap])</f>
        <v>0.20694307887170321</v>
      </c>
      <c r="T1" s="65">
        <f>COUNTIFS(c_32[gap],"&lt;10%",c_32[gap],"&gt;=-10%")/COUNTA(c_32[gap])</f>
        <v>0.25</v>
      </c>
      <c r="U1" s="65">
        <f>COUNTIFS(c_32[gap],"&lt;20%",c_32[gap],"&gt;=-20%")/COUNTA(c_32[gap])</f>
        <v>0.5</v>
      </c>
      <c r="V1" s="65">
        <f>COUNTIFS(c_32[gap],"&lt;30%",c_32[gap],"&gt;=-30%")/COUNTA(c_32[gap])</f>
        <v>0.75</v>
      </c>
      <c r="W1" s="62">
        <f>COUNTIF(c_32[gap],"&gt;=0")/COUNTA(c_32[gap])</f>
        <v>1</v>
      </c>
      <c r="X1" s="66">
        <f>COUNTIF(c_32[gap],"&lt;0")/COUNTA(c_32[gap])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36" t="str">
        <f>"AvgGap(+)="&amp;TEXT(Q1,"0%")</f>
        <v>AvgGap(+)=21%</v>
      </c>
      <c r="AB1" s="25" t="str">
        <f>"AvgGap(-)="&amp;TEXT(R1,"0%")</f>
        <v>AvgGap(-)=0%</v>
      </c>
      <c r="AC1" s="25" t="str">
        <f>"AvgGap(±)="&amp;TEXT(S1,"0%")</f>
        <v>AvgGap(±)=21%</v>
      </c>
      <c r="AD1" s="25" t="str">
        <f>"GapIn(±10%)="&amp;TEXT(T1,"0%")</f>
        <v>GapIn(±10%)=25%</v>
      </c>
      <c r="AE1" s="25" t="str">
        <f>"GapIn(±20%)="&amp;TEXT(U1,"0%")</f>
        <v>GapIn(±20%)=50%</v>
      </c>
      <c r="AF1" s="25" t="str">
        <f>"GapIn(±30%)="&amp;TEXT(V1,"0%")</f>
        <v>GapIn(±30%)=75%</v>
      </c>
      <c r="AG1" s="25" t="str">
        <f>"Linear Slope="&amp;TEXT(O1,"#.###")</f>
        <v>Linear Slope=1.195</v>
      </c>
      <c r="AH1" s="25" t="str">
        <f>"RMSE="&amp;TEXT(N1,"0%")</f>
        <v>RMSE=21%</v>
      </c>
      <c r="AI1" s="25" t="str">
        <f>CONCATENATE(Y1," ",Z1," ",AA1,"  ",AB1,"  ",AC1,"  ",AD1," ",AE1,"  ",AF1,"  ",AG1," ",AH1)</f>
        <v>%Link(+)=100% %Link(-)=0% AvgGap(+)=21%  AvgGap(-)=0%  AvgGap(±)=21%  GapIn(±10%)=25% GapIn(±20%)=50%  GapIn(±30%)=75%  Linear Slope=1.195 RMSE=21%</v>
      </c>
    </row>
    <row r="2" spans="1:35" ht="15" customHeight="1" x14ac:dyDescent="0.25">
      <c r="A2" s="43">
        <f>'[2]I-5 HOV SB'!C2</f>
        <v>32</v>
      </c>
      <c r="B2" s="43" t="str">
        <f>'[2]I-5 HOV SB'!H2</f>
        <v>I-5 HOV SB</v>
      </c>
      <c r="C2" s="126">
        <f>'[2]I-5 HOV SB'!E2</f>
        <v>29587</v>
      </c>
      <c r="D2" s="188">
        <f>'[2]I-5 HOV SB'!I2</f>
        <v>21</v>
      </c>
      <c r="E2" s="189">
        <f>'[2]I-5 HOV NB'!J2</f>
        <v>1</v>
      </c>
      <c r="F2" s="189" t="str">
        <f>'[2]I-5 HOV SB'!K2</f>
        <v>LOMAS SANTA FE</v>
      </c>
      <c r="G2" s="189" t="str">
        <f>'[2]I-5 HOV SB'!L2</f>
        <v>LOMAS SANTA FE</v>
      </c>
      <c r="H2" s="197">
        <f>'[2]I-5 HOV SB'!O2</f>
        <v>2055</v>
      </c>
      <c r="I2" s="198">
        <f>VLOOKUP(c_32[[#This Row],[hwycov_id]],readme!D:G,4,FALSE)</f>
        <v>2686.0783689999998</v>
      </c>
      <c r="J2" s="206">
        <f>I2/H2-1</f>
        <v>0.30709409683698285</v>
      </c>
      <c r="K2" s="190" t="str">
        <f>'[2]I-5 HOV SB'!P2</f>
        <v>PeMS2016</v>
      </c>
      <c r="L2" s="148">
        <f t="shared" ref="L2" si="0">POWER((I2-H2),2)</f>
        <v>398259.90781969996</v>
      </c>
      <c r="M2" s="44"/>
    </row>
    <row r="3" spans="1:35" ht="15" customHeight="1" x14ac:dyDescent="0.25">
      <c r="A3" s="43">
        <f>'[2]I-5 HOV SB'!C3</f>
        <v>32</v>
      </c>
      <c r="B3" s="43" t="str">
        <f>'[2]I-5 HOV SB'!H3</f>
        <v>I-5 HOV SB</v>
      </c>
      <c r="C3" s="126">
        <f>'[2]I-5 HOV SB'!E3</f>
        <v>29575</v>
      </c>
      <c r="D3" s="188">
        <f>'[2]I-5 HOV SB'!I3</f>
        <v>22</v>
      </c>
      <c r="E3" s="189">
        <f>'[2]I-5 HOV NB'!J3</f>
        <v>0</v>
      </c>
      <c r="F3" s="189" t="str">
        <f>'[2]I-5 HOV SB'!K3</f>
        <v>VIA DE LA VALLE</v>
      </c>
      <c r="G3" s="189" t="str">
        <f>'[2]I-5 HOV SB'!L3</f>
        <v>VIA DE LA VALLE</v>
      </c>
      <c r="H3" s="197">
        <f>'[2]I-5 HOV SB'!O3</f>
        <v>2260</v>
      </c>
      <c r="I3" s="198">
        <f>VLOOKUP(c_32[[#This Row],[hwycov_id]],readme!D:G,4,FALSE)</f>
        <v>2686.0783689999998</v>
      </c>
      <c r="J3" s="206">
        <f t="shared" ref="J3:J5" si="1">I3/H3-1</f>
        <v>0.18853025176991145</v>
      </c>
      <c r="K3" s="190" t="str">
        <f>'[2]I-5 HOV SB'!P3</f>
        <v>PeMS2016</v>
      </c>
      <c r="L3" s="148">
        <f t="shared" ref="L3:L5" si="2">POWER((I3-H3),2)</f>
        <v>181542.77652970003</v>
      </c>
      <c r="M3" s="44"/>
    </row>
    <row r="4" spans="1:35" ht="15" customHeight="1" x14ac:dyDescent="0.25">
      <c r="A4" s="43">
        <f>'[2]I-5 HOV SB'!C4</f>
        <v>32</v>
      </c>
      <c r="B4" s="43" t="str">
        <f>'[2]I-5 HOV SB'!H4</f>
        <v>I-5 HOV SB</v>
      </c>
      <c r="C4" s="126">
        <f>'[2]I-5 HOV SB'!E4</f>
        <v>29577</v>
      </c>
      <c r="D4" s="188">
        <f>'[2]I-5 HOV SB'!I4</f>
        <v>23</v>
      </c>
      <c r="E4" s="189">
        <f>'[2]I-5 HOV NB'!J4</f>
        <v>0</v>
      </c>
      <c r="F4" s="189" t="str">
        <f>'[2]I-5 HOV SB'!K4</f>
        <v>VIA DE LA VALLE</v>
      </c>
      <c r="G4" s="189" t="str">
        <f>'[2]I-5 HOV SB'!L4</f>
        <v>VIA DE LA VALLE</v>
      </c>
      <c r="H4" s="197">
        <f>'[2]I-5 HOV SB'!O4</f>
        <v>2152</v>
      </c>
      <c r="I4" s="198">
        <f>VLOOKUP(c_32[[#This Row],[hwycov_id]],readme!D:G,4,FALSE)</f>
        <v>2686.0783689999998</v>
      </c>
      <c r="J4" s="206">
        <f t="shared" si="1"/>
        <v>0.24817768076208169</v>
      </c>
      <c r="K4" s="190" t="str">
        <f>'[2]I-5 HOV SB'!P4</f>
        <v>PeMS2016</v>
      </c>
      <c r="L4" s="148">
        <f t="shared" si="2"/>
        <v>285239.7042337</v>
      </c>
      <c r="M4" s="44"/>
    </row>
    <row r="5" spans="1:35" ht="15" customHeight="1" x14ac:dyDescent="0.25">
      <c r="A5" s="43">
        <f>'[2]I-5 HOV SB'!C5</f>
        <v>32</v>
      </c>
      <c r="B5" s="43" t="str">
        <f>'[2]I-5 HOV SB'!H5</f>
        <v>I-5 HOV SB</v>
      </c>
      <c r="C5" s="126">
        <f>'[2]I-5 HOV SB'!E5</f>
        <v>29573</v>
      </c>
      <c r="D5" s="188">
        <f>'[2]I-5 HOV SB'!I5</f>
        <v>24</v>
      </c>
      <c r="E5" s="189">
        <f>'[2]I-5 HOV NB'!J5</f>
        <v>1</v>
      </c>
      <c r="F5" s="189" t="str">
        <f>'[2]I-5 HOV SB'!K5</f>
        <v>CARMEL VALLEY</v>
      </c>
      <c r="G5" s="189" t="str">
        <f>'[2]I-5 HOV SB'!L5</f>
        <v>CARMEL VALLEY</v>
      </c>
      <c r="H5" s="197">
        <f>'[2]I-5 HOV SB'!O5</f>
        <v>2478</v>
      </c>
      <c r="I5" s="198">
        <f>VLOOKUP(c_32[[#This Row],[hwycov_id]],readme!D:G,4,FALSE)</f>
        <v>2686.0783689999998</v>
      </c>
      <c r="J5" s="206">
        <f t="shared" si="1"/>
        <v>8.3970286117836856E-2</v>
      </c>
      <c r="K5" s="190" t="str">
        <f>'[2]I-5 HOV SB'!P5</f>
        <v>PeMS2016</v>
      </c>
      <c r="L5" s="148">
        <f t="shared" si="2"/>
        <v>43296.607645700096</v>
      </c>
      <c r="M5" s="44"/>
    </row>
    <row r="6" spans="1:35" ht="15" customHeight="1" x14ac:dyDescent="0.25">
      <c r="A6" s="67"/>
      <c r="B6" s="43"/>
      <c r="C6" s="264"/>
      <c r="D6" s="256"/>
      <c r="E6" s="265"/>
      <c r="F6" s="265"/>
      <c r="G6" s="265"/>
      <c r="H6" s="231"/>
      <c r="I6" s="121"/>
      <c r="K6" s="190"/>
      <c r="L6" s="44"/>
      <c r="M6" s="44"/>
    </row>
    <row r="7" spans="1:35" ht="15" customHeight="1" x14ac:dyDescent="0.25">
      <c r="A7" s="67"/>
      <c r="B7" s="43"/>
      <c r="C7" s="264"/>
      <c r="D7" s="256"/>
      <c r="E7" s="265"/>
      <c r="F7" s="265"/>
      <c r="G7" s="265"/>
      <c r="H7" s="231"/>
      <c r="I7" s="121"/>
      <c r="K7" s="190"/>
      <c r="L7" s="44"/>
      <c r="M7" s="44"/>
    </row>
    <row r="8" spans="1:35" ht="15" customHeight="1" x14ac:dyDescent="0.2"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307" priority="12" operator="lessThan">
      <formula>-0.3</formula>
    </cfRule>
    <cfRule type="cellIs" dxfId="306" priority="13" operator="greaterThan">
      <formula>0.3</formula>
    </cfRule>
  </conditionalFormatting>
  <conditionalFormatting sqref="J19:K1048576">
    <cfRule type="cellIs" dxfId="305" priority="9" operator="lessThan">
      <formula>-0.2</formula>
    </cfRule>
    <cfRule type="cellIs" dxfId="304" priority="10" operator="greaterThan">
      <formula>0.2</formula>
    </cfRule>
  </conditionalFormatting>
  <conditionalFormatting sqref="J6:K12 J14:K18">
    <cfRule type="cellIs" dxfId="303" priority="7" operator="lessThan">
      <formula>-0.2</formula>
    </cfRule>
    <cfRule type="cellIs" dxfId="302" priority="8" operator="greaterThan">
      <formula>0.2</formula>
    </cfRule>
  </conditionalFormatting>
  <conditionalFormatting sqref="J2:J5">
    <cfRule type="cellIs" dxfId="301" priority="1" operator="lessThan">
      <formula>-0.2</formula>
    </cfRule>
    <cfRule type="cellIs" dxfId="30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F41" sqref="F41"/>
    </sheetView>
  </sheetViews>
  <sheetFormatPr defaultColWidth="9.140625" defaultRowHeight="15" customHeight="1" x14ac:dyDescent="0.2"/>
  <cols>
    <col min="1" max="1" width="10.85546875" style="25" bestFit="1" customWidth="1"/>
    <col min="2" max="2" width="13.425781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28515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SQRT(AVERAGE(c_3239[x2]))/AVERAGE(c_3239[count])</f>
        <v>0.24731445313601119</v>
      </c>
      <c r="O1" s="61">
        <f>LINEST(c_3239[flow],c_3239[count],FALSE)</f>
        <v>0.75268554686398881</v>
      </c>
      <c r="P1" s="50" t="e">
        <f>RSQ(c_3239[flow],c_3239[count])</f>
        <v>#DIV/0!</v>
      </c>
      <c r="Q1" s="62">
        <f>IFERROR(AVERAGEIF(c_3239[gap],"&gt;=0",c_3239[gap]),0)</f>
        <v>0</v>
      </c>
      <c r="R1" s="63">
        <f>IFERROR(AVERAGEIF(c_3239[gap],"&lt;0",c_3239[gap]),0)</f>
        <v>-0.24731445313601119</v>
      </c>
      <c r="S1" s="64">
        <f>AVERAGE(c_3239[gap])</f>
        <v>-0.24731445313601119</v>
      </c>
      <c r="T1" s="65">
        <f>COUNTIFS(c_3239[gap],"&lt;10%",c_3239[gap],"&gt;=-10%")/COUNTA(c_3239[gap])</f>
        <v>0</v>
      </c>
      <c r="U1" s="65">
        <f>COUNTIFS(c_3239[gap],"&lt;20%",c_3239[gap],"&gt;=-20%")/COUNTA(c_3239[gap])</f>
        <v>0</v>
      </c>
      <c r="V1" s="65">
        <f>COUNTIFS(c_3239[gap],"&lt;30%",c_3239[gap],"&gt;=-30%")/COUNTA(c_3239[gap])</f>
        <v>1</v>
      </c>
      <c r="W1" s="62">
        <f>COUNTIF(c_3239[gap],"&gt;=0")/COUNTA(c_3239[gap])</f>
        <v>0</v>
      </c>
      <c r="X1" s="66">
        <f>COUNTIF(c_3239[gap],"&lt;0")/COUNTA(c_3239[gap])</f>
        <v>1</v>
      </c>
      <c r="Y1" s="49" t="str">
        <f>"%Link(+)="&amp;TEXT(W1,"0%")</f>
        <v>%Link(+)=0%</v>
      </c>
      <c r="Z1" s="49" t="str">
        <f>"%Link(-)="&amp;TEXT(X1,"0%")</f>
        <v>%Link(-)=100%</v>
      </c>
      <c r="AA1" s="36" t="str">
        <f>"AvgGap(+)="&amp;TEXT(Q1,"0%")</f>
        <v>AvgGap(+)=0%</v>
      </c>
      <c r="AB1" s="25" t="str">
        <f>"AvgGap(-)="&amp;TEXT(R1,"0%")</f>
        <v>AvgGap(-)=-25%</v>
      </c>
      <c r="AC1" s="25" t="str">
        <f>"AvgGap(±)="&amp;TEXT(S1,"0%")</f>
        <v>AvgGap(±)=-25%</v>
      </c>
      <c r="AD1" s="25" t="str">
        <f>"GapIn(±10%)="&amp;TEXT(T1,"0%")</f>
        <v>GapIn(±10%)=0%</v>
      </c>
      <c r="AE1" s="25" t="str">
        <f>"GapIn(±20%)="&amp;TEXT(U1,"0%")</f>
        <v>GapIn(±20%)=0%</v>
      </c>
      <c r="AF1" s="25" t="str">
        <f>"GapIn(±30%)="&amp;TEXT(V1,"0%")</f>
        <v>GapIn(±30%)=100%</v>
      </c>
      <c r="AG1" s="25" t="str">
        <f>"Linear Slope="&amp;TEXT(O1,"#.###")</f>
        <v>Linear Slope=.753</v>
      </c>
      <c r="AH1" s="25" t="str">
        <f>"RMSE="&amp;TEXT(N1,"0%")</f>
        <v>RMSE=25%</v>
      </c>
      <c r="AI1" s="25" t="str">
        <f>CONCATENATE(Y1," ",Z1," ",AA1,"  ",AB1,"  ",AC1,"  ",AD1," ",AE1,"  ",AF1,"  ",AG1," ",AH1)</f>
        <v>%Link(+)=0% %Link(-)=100% AvgGap(+)=0%  AvgGap(-)=-25%  AvgGap(±)=-25%  GapIn(±10%)=0% GapIn(±20%)=0%  GapIn(±30%)=100%  Linear Slope=.753 RMSE=25%</v>
      </c>
    </row>
    <row r="2" spans="1:35" ht="15" customHeight="1" x14ac:dyDescent="0.25">
      <c r="A2" s="43">
        <f>'[2]I-805 HOV SB'!C2</f>
        <v>35</v>
      </c>
      <c r="B2" s="43" t="str">
        <f>'[2]I-805 HOV SB'!H2</f>
        <v>I-805 HOV SB</v>
      </c>
      <c r="C2" s="126">
        <f>'[2]I-805 HOV SB'!E2</f>
        <v>29548</v>
      </c>
      <c r="D2" s="188">
        <f>'[2]I-805 HOV SB'!I2</f>
        <v>5</v>
      </c>
      <c r="E2" s="189">
        <f>'[2]I-805 HOV NB'!J2</f>
        <v>1</v>
      </c>
      <c r="F2" s="189" t="str">
        <f>'[2]I-805 HOV SB'!K2</f>
        <v>ramp I-805 HOV SB</v>
      </c>
      <c r="G2" s="189" t="str">
        <f>'[2]I-805 HOV SB'!L2</f>
        <v>ramp I-805 HOV SB</v>
      </c>
      <c r="H2" s="197">
        <f>'[2]I-805 HOV SB'!O2</f>
        <v>2838</v>
      </c>
      <c r="I2" s="198">
        <f>VLOOKUP(c_3239[[#This Row],[hwycov_id]],readme!D:G,4,FALSE)</f>
        <v>2136.1215820000002</v>
      </c>
      <c r="J2" s="206">
        <f>I2/H2-1</f>
        <v>-0.24731445313601119</v>
      </c>
      <c r="K2" s="190" t="str">
        <f>'[2]I-805 HOV SB'!P2</f>
        <v>PeMS2016</v>
      </c>
      <c r="L2" s="148">
        <f t="shared" ref="L2" si="0">POWER((I2-H2),2)</f>
        <v>492633.31365418242</v>
      </c>
      <c r="M2" s="44"/>
    </row>
    <row r="3" spans="1:35" ht="15" customHeight="1" x14ac:dyDescent="0.25">
      <c r="A3" s="67"/>
      <c r="B3" s="43"/>
      <c r="C3" s="264"/>
      <c r="D3" s="256"/>
      <c r="E3" s="265"/>
      <c r="F3" s="265"/>
      <c r="G3" s="265"/>
      <c r="H3" s="231"/>
      <c r="I3" s="52"/>
      <c r="K3" s="190"/>
      <c r="L3" s="44"/>
      <c r="M3" s="44"/>
    </row>
    <row r="4" spans="1:35" ht="15" customHeight="1" x14ac:dyDescent="0.25">
      <c r="A4" s="67"/>
      <c r="B4" s="43"/>
      <c r="C4" s="264"/>
      <c r="D4" s="256"/>
      <c r="E4" s="265"/>
      <c r="F4" s="265"/>
      <c r="G4" s="265"/>
      <c r="H4" s="231"/>
      <c r="I4" s="52"/>
      <c r="K4" s="190"/>
      <c r="L4" s="44"/>
      <c r="M4" s="44"/>
    </row>
    <row r="5" spans="1:35" ht="15" customHeight="1" x14ac:dyDescent="0.25">
      <c r="A5" s="67"/>
      <c r="B5" s="43"/>
      <c r="C5" s="264"/>
      <c r="D5" s="256"/>
      <c r="E5" s="265"/>
      <c r="F5" s="265"/>
      <c r="G5" s="265"/>
      <c r="H5" s="231"/>
      <c r="I5" s="52"/>
      <c r="K5" s="190"/>
      <c r="L5" s="44"/>
      <c r="M5" s="44"/>
    </row>
    <row r="6" spans="1:35" ht="15" customHeight="1" x14ac:dyDescent="0.25">
      <c r="A6" s="67"/>
      <c r="B6" s="43"/>
      <c r="C6" s="264"/>
      <c r="D6" s="256"/>
      <c r="E6" s="265"/>
      <c r="F6" s="265"/>
      <c r="G6" s="265"/>
      <c r="H6" s="231"/>
      <c r="I6" s="121"/>
      <c r="K6" s="190"/>
      <c r="L6" s="44"/>
      <c r="M6" s="44"/>
    </row>
    <row r="7" spans="1:35" ht="15" customHeight="1" x14ac:dyDescent="0.25">
      <c r="A7" s="67"/>
      <c r="B7" s="43"/>
      <c r="C7" s="264"/>
      <c r="D7" s="256"/>
      <c r="E7" s="265"/>
      <c r="F7" s="265"/>
      <c r="G7" s="265"/>
      <c r="H7" s="231"/>
      <c r="I7" s="121"/>
      <c r="K7" s="190"/>
      <c r="L7" s="44"/>
      <c r="M7" s="44"/>
    </row>
    <row r="8" spans="1:35" ht="15" customHeight="1" x14ac:dyDescent="0.25">
      <c r="A8" s="67"/>
      <c r="B8" s="43"/>
      <c r="C8" s="264"/>
      <c r="D8" s="256"/>
      <c r="E8" s="265"/>
      <c r="F8" s="265"/>
      <c r="G8" s="265"/>
      <c r="H8" s="231"/>
      <c r="I8" s="121"/>
      <c r="K8" s="190"/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287" priority="7" operator="lessThan">
      <formula>-0.3</formula>
    </cfRule>
    <cfRule type="cellIs" dxfId="286" priority="8" operator="greaterThan">
      <formula>0.3</formula>
    </cfRule>
  </conditionalFormatting>
  <conditionalFormatting sqref="J19:K1048576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J6:K12 J14:K18">
    <cfRule type="cellIs" dxfId="283" priority="3" operator="lessThan">
      <formula>-0.2</formula>
    </cfRule>
    <cfRule type="cellIs" dxfId="282" priority="4" operator="greaterThan">
      <formula>0.2</formula>
    </cfRule>
  </conditionalFormatting>
  <conditionalFormatting sqref="J2">
    <cfRule type="cellIs" dxfId="281" priority="1" operator="lessThan">
      <formula>-0.2</formula>
    </cfRule>
    <cfRule type="cellIs" dxfId="28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1:AI120"/>
  <sheetViews>
    <sheetView showGridLines="0" zoomScale="80" zoomScaleNormal="80" workbookViewId="0">
      <pane ySplit="1" topLeftCell="A2" activePane="bottomLeft" state="frozen"/>
      <selection activeCell="H23" sqref="H23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1.285156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SQRT(AVERAGE(c_15[x2]))/AVERAGE(c_15[count])</f>
        <v>0.13014834790995056</v>
      </c>
      <c r="O1" s="69">
        <f>LINEST(c_15[flow],c_15[count],FALSE)</f>
        <v>0.94399894041670596</v>
      </c>
      <c r="P1" s="69">
        <f>RSQ(c_15[flow],c_15[count])</f>
        <v>0.93928682468436975</v>
      </c>
      <c r="Q1" s="19">
        <f>IFERROR(AVERAGEIF(c_15[gap],"&gt;=0",c_15[gap]),0)</f>
        <v>9.8852752779413633E-2</v>
      </c>
      <c r="R1" s="20">
        <f>IFERROR(AVERAGEIF(c_15[gap],"&lt;0",c_15[gap]),0)</f>
        <v>-0.13569744222987384</v>
      </c>
      <c r="S1" s="13">
        <f>AVERAGE(c_15[gap])</f>
        <v>-0.10350427820899125</v>
      </c>
      <c r="T1" s="18">
        <f>COUNTIFS(c_15[gap],"&lt;10%",c_15[gap],"&gt;=-10%")/COUNTA(c_15[gap])</f>
        <v>0.43137254901960786</v>
      </c>
      <c r="U1" s="18">
        <f>COUNTIFS(c_15[gap],"&lt;20%",c_15[gap],"&gt;=-20%")/COUNTA(c_15[gap])</f>
        <v>0.80392156862745101</v>
      </c>
      <c r="V1" s="18">
        <f>COUNTIFS(c_15[gap],"&lt;30%",c_15[gap],"&gt;=-30%")/COUNTA(c_15[gap])</f>
        <v>0.92156862745098034</v>
      </c>
      <c r="W1" s="19">
        <f>COUNTIF(c_15[gap],"&gt;=0")/COUNTA(c_15[gap])</f>
        <v>0.13725490196078433</v>
      </c>
      <c r="X1" s="21">
        <f>COUNTIF(c_15[gap],"&lt;0")/COUNTA(c_15[gap])</f>
        <v>0.86274509803921573</v>
      </c>
      <c r="Y1" s="39" t="str">
        <f>"%Link(+)="&amp;TEXT(W1,"0%")</f>
        <v>%Link(+)=14%</v>
      </c>
      <c r="Z1" s="39" t="str">
        <f>"%Link(-)="&amp;TEXT(X1,"0%")</f>
        <v>%Link(-)=86%</v>
      </c>
      <c r="AA1" s="36" t="str">
        <f>"AvgGap(+)="&amp;TEXT(Q1,"0%")</f>
        <v>AvgGap(+)=10%</v>
      </c>
      <c r="AB1" s="25" t="str">
        <f>"AvgGap(-)="&amp;TEXT(R1,"0%")</f>
        <v>AvgGap(-)=-14%</v>
      </c>
      <c r="AC1" s="25" t="str">
        <f>"AvgGap(±)="&amp;TEXT(S1,"0%")</f>
        <v>AvgGap(±)=-10%</v>
      </c>
      <c r="AD1" s="25" t="str">
        <f>"GapIn(±10%)="&amp;TEXT(T1,"0%")</f>
        <v>GapIn(±10%)=43%</v>
      </c>
      <c r="AE1" s="25" t="str">
        <f>"GapIn(±20%)="&amp;TEXT(U1,"0%")</f>
        <v>GapIn(±20%)=80%</v>
      </c>
      <c r="AF1" s="25" t="str">
        <f>"GapIn(±30%)="&amp;TEXT(V1,"0%")</f>
        <v>GapIn(±30%)=92%</v>
      </c>
      <c r="AG1" s="25" t="str">
        <f>"Linear Slope="&amp;TEXT(O1,"#.###")</f>
        <v>Linear Slope=.944</v>
      </c>
      <c r="AH1" s="25" t="str">
        <f>"RMSE="&amp;TEXT(N1,"0%")</f>
        <v>RMSE=13%</v>
      </c>
      <c r="AI1" s="25" t="str">
        <f>CONCATENATE(Y1," ",Z1," ",AA1,"  ",AB1,"  ",AC1,"  ",AD1," ",AE1,"  ",AF1,"  ",AG1," ",AH1)</f>
        <v>%Link(+)=14% %Link(-)=86% AvgGap(+)=10%  AvgGap(-)=-14%  AvgGap(±)=-10%  GapIn(±10%)=43% GapIn(±20%)=80%  GapIn(±30%)=92%  Linear Slope=.944 RMSE=13%</v>
      </c>
    </row>
    <row r="2" spans="1:35" ht="15" customHeight="1" x14ac:dyDescent="0.25">
      <c r="A2" s="43">
        <f>'[2]I-8 WB'!C2</f>
        <v>15</v>
      </c>
      <c r="B2" s="43" t="str">
        <f>'[2]I-8 WB'!H2</f>
        <v>I-8 WB</v>
      </c>
      <c r="C2" s="126">
        <f>'[2]I-8 WB'!E2</f>
        <v>27540</v>
      </c>
      <c r="D2" s="188">
        <f>'[2]I-8 WB'!I2</f>
        <v>5</v>
      </c>
      <c r="E2" s="189">
        <f>'[2]I-8 WB'!J2</f>
        <v>7</v>
      </c>
      <c r="F2" s="189" t="str">
        <f>'[2]I-8 WB'!K2</f>
        <v>CORRIZO GORGE</v>
      </c>
      <c r="G2" s="189" t="str">
        <f>'[2]I-8 WB'!L2</f>
        <v>SR-94</v>
      </c>
      <c r="H2" s="197">
        <f>'[2]I-8 WB'!O2</f>
        <v>1614</v>
      </c>
      <c r="I2" s="198">
        <f>VLOOKUP(c_15[[#This Row],[hwycov_id]],readme!D:G,4,FALSE)</f>
        <v>634.33215299999995</v>
      </c>
      <c r="J2" s="206">
        <f>I2/H2-1</f>
        <v>-0.60698131784386622</v>
      </c>
      <c r="K2" s="190" t="str">
        <f>'[2]I-8 WB'!P2</f>
        <v>Caltran</v>
      </c>
      <c r="L2" s="148">
        <f t="shared" ref="L2" si="0">POWER((I2-H2),2)</f>
        <v>959749.09044561547</v>
      </c>
      <c r="M2" s="44"/>
    </row>
    <row r="3" spans="1:35" ht="15" customHeight="1" x14ac:dyDescent="0.25">
      <c r="A3" s="43">
        <f>'[2]I-8 WB'!C3</f>
        <v>15</v>
      </c>
      <c r="B3" s="43" t="str">
        <f>'[2]I-8 WB'!H3</f>
        <v>I-8 WB</v>
      </c>
      <c r="C3" s="126">
        <f>'[2]I-8 WB'!E3</f>
        <v>28270</v>
      </c>
      <c r="D3" s="188">
        <f>'[2]I-8 WB'!I3</f>
        <v>11</v>
      </c>
      <c r="E3" s="189">
        <f>'[2]I-8 WB'!J3</f>
        <v>2</v>
      </c>
      <c r="F3" s="189" t="str">
        <f>'[2]I-8 WB'!K3</f>
        <v>CAMERON TRUCK</v>
      </c>
      <c r="G3" s="189" t="str">
        <f>'[2]I-8 WB'!L3</f>
        <v>BUCKMAN SPRINGS</v>
      </c>
      <c r="H3" s="197">
        <f>'[2]I-8 WB'!O3</f>
        <v>1811</v>
      </c>
      <c r="I3" s="198">
        <f>VLOOKUP(c_15[[#This Row],[hwycov_id]],readme!D:G,4,FALSE)</f>
        <v>847.37536599999999</v>
      </c>
      <c r="J3" s="206">
        <f t="shared" ref="J3:J52" si="1">I3/H3-1</f>
        <v>-0.53209532523467695</v>
      </c>
      <c r="K3" s="190" t="str">
        <f>'[2]I-8 WB'!P3</f>
        <v>Caltran</v>
      </c>
      <c r="L3" s="148">
        <f t="shared" ref="L3:L52" si="2">POWER((I3-H3),2)</f>
        <v>928572.43525163399</v>
      </c>
      <c r="M3" s="44"/>
    </row>
    <row r="4" spans="1:35" ht="15" customHeight="1" x14ac:dyDescent="0.25">
      <c r="A4" s="43">
        <f>'[2]I-8 WB'!C4</f>
        <v>15</v>
      </c>
      <c r="B4" s="43" t="str">
        <f>'[2]I-8 WB'!H4</f>
        <v>I-8 WB</v>
      </c>
      <c r="C4" s="126">
        <f>'[2]I-8 WB'!E4</f>
        <v>28254</v>
      </c>
      <c r="D4" s="188">
        <f>'[2]I-8 WB'!I4</f>
        <v>17</v>
      </c>
      <c r="E4" s="189">
        <f>'[2]I-8 WB'!J4</f>
        <v>5</v>
      </c>
      <c r="F4" s="189" t="str">
        <f>'[2]I-8 WB'!K4</f>
        <v>PINE VALLEY</v>
      </c>
      <c r="G4" s="189" t="str">
        <f>'[2]I-8 WB'!L4</f>
        <v>JAPATUL VALLEY</v>
      </c>
      <c r="H4" s="197">
        <f>'[2]I-8 WB'!O4</f>
        <v>2191</v>
      </c>
      <c r="I4" s="198">
        <f>VLOOKUP(c_15[[#This Row],[hwycov_id]],readme!D:G,4,FALSE)</f>
        <v>1243.587524</v>
      </c>
      <c r="J4" s="206">
        <f t="shared" si="1"/>
        <v>-0.43241098858968507</v>
      </c>
      <c r="K4" s="190" t="str">
        <f>'[2]I-8 WB'!P4</f>
        <v>Caltran</v>
      </c>
      <c r="L4" s="148">
        <f t="shared" si="2"/>
        <v>897590.39968045056</v>
      </c>
      <c r="M4" s="44"/>
    </row>
    <row r="5" spans="1:35" ht="15" customHeight="1" x14ac:dyDescent="0.25">
      <c r="A5" s="43">
        <f>'[2]I-8 WB'!C5</f>
        <v>15</v>
      </c>
      <c r="B5" s="43" t="str">
        <f>'[2]I-8 WB'!H5</f>
        <v>I-8 WB</v>
      </c>
      <c r="C5" s="126">
        <f>'[2]I-8 WB'!E5</f>
        <v>28215</v>
      </c>
      <c r="D5" s="188">
        <f>'[2]I-8 WB'!I5</f>
        <v>27</v>
      </c>
      <c r="E5" s="189">
        <f>'[2]I-8 WB'!J5</f>
        <v>3</v>
      </c>
      <c r="F5" s="189" t="str">
        <f>'[2]I-8 WB'!K5</f>
        <v>DUNBAR</v>
      </c>
      <c r="G5" s="189" t="str">
        <f>'[2]I-8 WB'!L5</f>
        <v>LAKE JENNINGS PARK</v>
      </c>
      <c r="H5" s="197">
        <f>'[2]I-8 WB'!O5</f>
        <v>5692</v>
      </c>
      <c r="I5" s="198">
        <f>VLOOKUP(c_15[[#This Row],[hwycov_id]],readme!D:G,4,FALSE)</f>
        <v>4961.3872069999998</v>
      </c>
      <c r="J5" s="206">
        <f t="shared" si="1"/>
        <v>-0.1283578343288827</v>
      </c>
      <c r="K5" s="190" t="str">
        <f>'[2]I-8 WB'!P5</f>
        <v>Caltran</v>
      </c>
      <c r="L5" s="148">
        <f t="shared" si="2"/>
        <v>533795.05329526123</v>
      </c>
      <c r="M5" s="44"/>
    </row>
    <row r="6" spans="1:35" ht="15" customHeight="1" x14ac:dyDescent="0.25">
      <c r="A6" s="43">
        <f>'[2]I-8 WB'!C6</f>
        <v>15</v>
      </c>
      <c r="B6" s="43" t="str">
        <f>'[2]I-8 WB'!H6</f>
        <v>I-8 WB</v>
      </c>
      <c r="C6" s="126">
        <f>'[2]I-8 WB'!E6</f>
        <v>28211</v>
      </c>
      <c r="D6" s="188">
        <f>'[2]I-8 WB'!I6</f>
        <v>28</v>
      </c>
      <c r="E6" s="189">
        <f>'[2]I-8 WB'!J6</f>
        <v>0</v>
      </c>
      <c r="F6" s="189" t="str">
        <f>'[2]I-8 WB'!K6</f>
        <v>LAKE JENNINGS PARK</v>
      </c>
      <c r="G6" s="189" t="str">
        <f>'[2]I-8 WB'!L6</f>
        <v>LAKE JENNINGS PARK</v>
      </c>
      <c r="H6" s="197">
        <f>'[2]I-8 WB'!O6</f>
        <v>4867</v>
      </c>
      <c r="I6" s="198">
        <f>VLOOKUP(c_15[[#This Row],[hwycov_id]],readme!D:G,4,FALSE)</f>
        <v>3941.7145999999998</v>
      </c>
      <c r="J6" s="206">
        <f t="shared" si="1"/>
        <v>-0.19011411547154311</v>
      </c>
      <c r="K6" s="190" t="str">
        <f>'[2]I-8 WB'!P6</f>
        <v>PeMS2016</v>
      </c>
      <c r="L6" s="148">
        <f t="shared" si="2"/>
        <v>856153.07145316037</v>
      </c>
      <c r="M6" s="44"/>
    </row>
    <row r="7" spans="1:35" ht="15" customHeight="1" x14ac:dyDescent="0.25">
      <c r="A7" s="43">
        <f>'[2]I-8 WB'!C7</f>
        <v>15</v>
      </c>
      <c r="B7" s="43" t="str">
        <f>'[2]I-8 WB'!H7</f>
        <v>I-8 WB</v>
      </c>
      <c r="C7" s="126">
        <f>'[2]I-8 WB'!E7</f>
        <v>28206</v>
      </c>
      <c r="D7" s="188">
        <f>'[2]I-8 WB'!I7</f>
        <v>30</v>
      </c>
      <c r="E7" s="189">
        <f>'[2]I-8 WB'!J7</f>
        <v>1</v>
      </c>
      <c r="F7" s="189" t="str">
        <f>'[2]I-8 WB'!K7</f>
        <v>LAKE JENNINGS PARK</v>
      </c>
      <c r="G7" s="189" t="str">
        <f>'[2]I-8 WB'!L7</f>
        <v>CAM CANADA</v>
      </c>
      <c r="H7" s="197">
        <f>'[2]I-8 WB'!O7</f>
        <v>7200</v>
      </c>
      <c r="I7" s="198">
        <f>VLOOKUP(c_15[[#This Row],[hwycov_id]],readme!D:G,4,FALSE)</f>
        <v>5587.0834960000002</v>
      </c>
      <c r="J7" s="206">
        <f t="shared" si="1"/>
        <v>-0.2240161811111111</v>
      </c>
      <c r="K7" s="190" t="str">
        <f>'[2]I-8 WB'!P7</f>
        <v>PeMS2016</v>
      </c>
      <c r="L7" s="148">
        <f t="shared" si="2"/>
        <v>2601499.6488755816</v>
      </c>
      <c r="M7" s="44"/>
    </row>
    <row r="8" spans="1:35" ht="15" customHeight="1" x14ac:dyDescent="0.25">
      <c r="A8" s="43">
        <f>'[2]I-8 WB'!C8</f>
        <v>15</v>
      </c>
      <c r="B8" s="43" t="str">
        <f>'[2]I-8 WB'!H8</f>
        <v>I-8 WB</v>
      </c>
      <c r="C8" s="126">
        <f>'[2]I-8 WB'!E8</f>
        <v>28638</v>
      </c>
      <c r="D8" s="188">
        <f>'[2]I-8 WB'!I8</f>
        <v>31</v>
      </c>
      <c r="E8" s="189">
        <f>'[2]I-8 WB'!J8</f>
        <v>0</v>
      </c>
      <c r="F8" s="189" t="str">
        <f>'[2]I-8 WB'!K8</f>
        <v>CAM CANADA</v>
      </c>
      <c r="G8" s="189" t="str">
        <f>'[2]I-8 WB'!L8</f>
        <v>CAM CANADA</v>
      </c>
      <c r="H8" s="197">
        <f>'[2]I-8 WB'!O8</f>
        <v>6569</v>
      </c>
      <c r="I8" s="198">
        <f>VLOOKUP(c_15[[#This Row],[hwycov_id]],readme!D:G,4,FALSE)</f>
        <v>5456.6054690000001</v>
      </c>
      <c r="J8" s="206">
        <f t="shared" si="1"/>
        <v>-0.16934001080834216</v>
      </c>
      <c r="K8" s="190" t="str">
        <f>'[2]I-8 WB'!P8</f>
        <v>PeMS2016</v>
      </c>
      <c r="L8" s="148">
        <f t="shared" si="2"/>
        <v>1237421.5925987097</v>
      </c>
      <c r="M8" s="44"/>
    </row>
    <row r="9" spans="1:35" ht="15" customHeight="1" x14ac:dyDescent="0.25">
      <c r="A9" s="43">
        <f>'[2]I-8 WB'!C9</f>
        <v>15</v>
      </c>
      <c r="B9" s="43" t="str">
        <f>'[2]I-8 WB'!H9</f>
        <v>I-8 WB</v>
      </c>
      <c r="C9" s="126">
        <f>'[2]I-8 WB'!E9</f>
        <v>28637</v>
      </c>
      <c r="D9" s="188">
        <f>'[2]I-8 WB'!I9</f>
        <v>32</v>
      </c>
      <c r="E9" s="189">
        <f>'[2]I-8 WB'!J9</f>
        <v>0</v>
      </c>
      <c r="F9" s="189" t="str">
        <f>'[2]I-8 WB'!K9</f>
        <v>CAM CANADA</v>
      </c>
      <c r="G9" s="189" t="str">
        <f>'[2]I-8 WB'!L9</f>
        <v>GREENFIELD</v>
      </c>
      <c r="H9" s="197">
        <f>'[2]I-8 WB'!O9</f>
        <v>8766</v>
      </c>
      <c r="I9" s="198">
        <f>VLOOKUP(c_15[[#This Row],[hwycov_id]],readme!D:G,4,FALSE)</f>
        <v>6945.7744140000004</v>
      </c>
      <c r="J9" s="206">
        <f t="shared" si="1"/>
        <v>-0.20764608555783703</v>
      </c>
      <c r="K9" s="190" t="str">
        <f>'[2]I-8 WB'!P9</f>
        <v>PeMS2016</v>
      </c>
      <c r="L9" s="148">
        <f t="shared" si="2"/>
        <v>3313221.183929042</v>
      </c>
      <c r="M9" s="44"/>
    </row>
    <row r="10" spans="1:35" ht="15" customHeight="1" x14ac:dyDescent="0.25">
      <c r="A10" s="43">
        <f>'[2]I-8 WB'!C10</f>
        <v>15</v>
      </c>
      <c r="B10" s="43" t="str">
        <f>'[2]I-8 WB'!H10</f>
        <v>I-8 WB</v>
      </c>
      <c r="C10" s="126">
        <f>'[2]I-8 WB'!E10</f>
        <v>28200</v>
      </c>
      <c r="D10" s="188">
        <f>'[2]I-8 WB'!I10</f>
        <v>34</v>
      </c>
      <c r="E10" s="189">
        <f>'[2]I-8 WB'!J10</f>
        <v>0</v>
      </c>
      <c r="F10" s="189" t="str">
        <f>'[2]I-8 WB'!K10</f>
        <v>GREENFIELD</v>
      </c>
      <c r="G10" s="189" t="str">
        <f>'[2]I-8 WB'!L10</f>
        <v>GREENFIELD</v>
      </c>
      <c r="H10" s="197">
        <f>'[2]I-8 WB'!O10</f>
        <v>7575</v>
      </c>
      <c r="I10" s="198">
        <f>VLOOKUP(c_15[[#This Row],[hwycov_id]],readme!D:G,4,FALSE)</f>
        <v>6631.8139650000003</v>
      </c>
      <c r="J10" s="206">
        <f t="shared" si="1"/>
        <v>-0.12451300792079201</v>
      </c>
      <c r="K10" s="190" t="str">
        <f>'[2]I-8 WB'!P10</f>
        <v>PeMS2016</v>
      </c>
      <c r="L10" s="148">
        <f t="shared" si="2"/>
        <v>889599.89661902073</v>
      </c>
      <c r="M10" s="44"/>
    </row>
    <row r="11" spans="1:35" ht="15" customHeight="1" x14ac:dyDescent="0.25">
      <c r="A11" s="43">
        <f>'[2]I-8 WB'!C11</f>
        <v>15</v>
      </c>
      <c r="B11" s="43" t="str">
        <f>'[2]I-8 WB'!H11</f>
        <v>I-8 WB</v>
      </c>
      <c r="C11" s="126">
        <f>'[2]I-8 WB'!E11</f>
        <v>28197</v>
      </c>
      <c r="D11" s="188">
        <f>'[2]I-8 WB'!I11</f>
        <v>35</v>
      </c>
      <c r="E11" s="189">
        <f>'[2]I-8 WB'!J11</f>
        <v>0</v>
      </c>
      <c r="F11" s="189" t="str">
        <f>'[2]I-8 WB'!K11</f>
        <v>GREENFIELD</v>
      </c>
      <c r="G11" s="189" t="str">
        <f>'[2]I-8 WB'!L11</f>
        <v>SR  54</v>
      </c>
      <c r="H11" s="197">
        <f>'[2]I-8 WB'!O11</f>
        <v>9769</v>
      </c>
      <c r="I11" s="198">
        <f>VLOOKUP(c_15[[#This Row],[hwycov_id]],readme!D:G,4,FALSE)</f>
        <v>8561.9775389999995</v>
      </c>
      <c r="J11" s="206">
        <f t="shared" si="1"/>
        <v>-0.12355639891493508</v>
      </c>
      <c r="K11" s="190" t="str">
        <f>'[2]I-8 WB'!P11</f>
        <v>PeMS2016</v>
      </c>
      <c r="L11" s="148">
        <f t="shared" si="2"/>
        <v>1456903.2213584976</v>
      </c>
      <c r="M11" s="44"/>
    </row>
    <row r="12" spans="1:35" ht="15" customHeight="1" x14ac:dyDescent="0.25">
      <c r="A12" s="43">
        <f>'[2]I-8 WB'!C12</f>
        <v>15</v>
      </c>
      <c r="B12" s="43" t="str">
        <f>'[2]I-8 WB'!H12</f>
        <v>I-8 WB</v>
      </c>
      <c r="C12" s="126">
        <f>'[2]I-8 WB'!E12</f>
        <v>28195</v>
      </c>
      <c r="D12" s="188">
        <f>'[2]I-8 WB'!I12</f>
        <v>36</v>
      </c>
      <c r="E12" s="189">
        <f>'[2]I-8 WB'!J12</f>
        <v>0</v>
      </c>
      <c r="F12" s="189" t="str">
        <f>'[2]I-8 WB'!K12</f>
        <v>SR  54</v>
      </c>
      <c r="G12" s="189" t="str">
        <f>'[2]I-8 WB'!L12</f>
        <v>MAIN</v>
      </c>
      <c r="H12" s="197">
        <f>'[2]I-8 WB'!O12</f>
        <v>9769</v>
      </c>
      <c r="I12" s="198">
        <f>VLOOKUP(c_15[[#This Row],[hwycov_id]],readme!D:G,4,FALSE)</f>
        <v>8561.9775389999995</v>
      </c>
      <c r="J12" s="206">
        <f t="shared" si="1"/>
        <v>-0.12355639891493508</v>
      </c>
      <c r="K12" s="190" t="str">
        <f>'[2]I-8 WB'!P12</f>
        <v>PeMS2016</v>
      </c>
      <c r="L12" s="148">
        <f t="shared" si="2"/>
        <v>1456903.2213584976</v>
      </c>
      <c r="M12" s="44"/>
    </row>
    <row r="13" spans="1:35" ht="15" customHeight="1" x14ac:dyDescent="0.25">
      <c r="A13" s="43">
        <f>'[2]I-8 WB'!C13</f>
        <v>15</v>
      </c>
      <c r="B13" s="43" t="str">
        <f>'[2]I-8 WB'!H13</f>
        <v>I-8 WB</v>
      </c>
      <c r="C13" s="126">
        <f>'[2]I-8 WB'!E13</f>
        <v>28634</v>
      </c>
      <c r="D13" s="188">
        <f>'[2]I-8 WB'!I13</f>
        <v>37</v>
      </c>
      <c r="E13" s="189">
        <f>'[2]I-8 WB'!J13</f>
        <v>0</v>
      </c>
      <c r="F13" s="189" t="str">
        <f>'[2]I-8 WB'!K13</f>
        <v>MAIN</v>
      </c>
      <c r="G13" s="189" t="str">
        <f>'[2]I-8 WB'!L13</f>
        <v>SR  54</v>
      </c>
      <c r="H13" s="197">
        <f>'[2]I-8 WB'!O13</f>
        <v>8745</v>
      </c>
      <c r="I13" s="198">
        <f>VLOOKUP(c_15[[#This Row],[hwycov_id]],readme!D:G,4,FALSE)</f>
        <v>7643.7426759999998</v>
      </c>
      <c r="J13" s="206">
        <f t="shared" si="1"/>
        <v>-0.1259299398513436</v>
      </c>
      <c r="K13" s="190" t="str">
        <f>'[2]I-8 WB'!P13</f>
        <v>PeMS2016</v>
      </c>
      <c r="L13" s="148">
        <f t="shared" si="2"/>
        <v>1212767.6936636413</v>
      </c>
      <c r="M13" s="44"/>
    </row>
    <row r="14" spans="1:35" ht="15" customHeight="1" x14ac:dyDescent="0.25">
      <c r="A14" s="43">
        <f>'[2]I-8 WB'!C14</f>
        <v>15</v>
      </c>
      <c r="B14" s="43" t="str">
        <f>'[2]I-8 WB'!H14</f>
        <v>I-8 WB</v>
      </c>
      <c r="C14" s="126">
        <f>'[2]I-8 WB'!E14</f>
        <v>28379</v>
      </c>
      <c r="D14" s="188">
        <f>'[2]I-8 WB'!I14</f>
        <v>38</v>
      </c>
      <c r="E14" s="189">
        <f>'[2]I-8 WB'!J14</f>
        <v>0</v>
      </c>
      <c r="F14" s="189" t="str">
        <f>'[2]I-8 WB'!K14</f>
        <v>MAIN</v>
      </c>
      <c r="G14" s="189" t="str">
        <f>'[2]I-8 WB'!L14</f>
        <v>SR  54</v>
      </c>
      <c r="H14" s="197">
        <f>'[2]I-8 WB'!O14</f>
        <v>8745</v>
      </c>
      <c r="I14" s="198">
        <f>VLOOKUP(c_15[[#This Row],[hwycov_id]],readme!D:G,4,FALSE)</f>
        <v>7643.7426759999998</v>
      </c>
      <c r="J14" s="206">
        <f t="shared" si="1"/>
        <v>-0.1259299398513436</v>
      </c>
      <c r="K14" s="190" t="str">
        <f>'[2]I-8 WB'!P14</f>
        <v>PeMS2016</v>
      </c>
      <c r="L14" s="148">
        <f t="shared" si="2"/>
        <v>1212767.6936636413</v>
      </c>
      <c r="M14" s="44"/>
    </row>
    <row r="15" spans="1:35" ht="15" customHeight="1" x14ac:dyDescent="0.25">
      <c r="A15" s="43">
        <f>'[2]I-8 WB'!C15</f>
        <v>15</v>
      </c>
      <c r="B15" s="43" t="str">
        <f>'[2]I-8 WB'!H15</f>
        <v>I-8 WB</v>
      </c>
      <c r="C15" s="126">
        <f>'[2]I-8 WB'!E15</f>
        <v>28193</v>
      </c>
      <c r="D15" s="188">
        <f>'[2]I-8 WB'!I15</f>
        <v>39</v>
      </c>
      <c r="E15" s="189">
        <f>'[2]I-8 WB'!J15</f>
        <v>0</v>
      </c>
      <c r="F15" s="189" t="str">
        <f>'[2]I-8 WB'!K15</f>
        <v>02ND</v>
      </c>
      <c r="G15" s="189" t="str">
        <f>'[2]I-8 WB'!L15</f>
        <v>02ND</v>
      </c>
      <c r="H15" s="197">
        <f>'[2]I-8 WB'!O15</f>
        <v>8290</v>
      </c>
      <c r="I15" s="198">
        <f>VLOOKUP(c_15[[#This Row],[hwycov_id]],readme!D:G,4,FALSE)</f>
        <v>7187.8037109999996</v>
      </c>
      <c r="J15" s="206">
        <f t="shared" si="1"/>
        <v>-0.13295492026538003</v>
      </c>
      <c r="K15" s="190" t="str">
        <f>'[2]I-8 WB'!P15</f>
        <v>PeMS2016</v>
      </c>
      <c r="L15" s="148">
        <f t="shared" si="2"/>
        <v>1214836.6594853725</v>
      </c>
      <c r="M15" s="44"/>
    </row>
    <row r="16" spans="1:35" ht="15" customHeight="1" x14ac:dyDescent="0.25">
      <c r="A16" s="43">
        <f>'[2]I-8 WB'!C16</f>
        <v>15</v>
      </c>
      <c r="B16" s="43" t="str">
        <f>'[2]I-8 WB'!H16</f>
        <v>I-8 WB</v>
      </c>
      <c r="C16" s="126">
        <f>'[2]I-8 WB'!E16</f>
        <v>28188</v>
      </c>
      <c r="D16" s="188">
        <f>'[2]I-8 WB'!I16</f>
        <v>40</v>
      </c>
      <c r="E16" s="189">
        <f>'[2]I-8 WB'!J16</f>
        <v>0</v>
      </c>
      <c r="F16" s="189" t="str">
        <f>'[2]I-8 WB'!K16</f>
        <v>02ND</v>
      </c>
      <c r="G16" s="189" t="str">
        <f>'[2]I-8 WB'!L16</f>
        <v>MOLLISON</v>
      </c>
      <c r="H16" s="197">
        <f>'[2]I-8 WB'!O16</f>
        <v>12716</v>
      </c>
      <c r="I16" s="198">
        <f>VLOOKUP(c_15[[#This Row],[hwycov_id]],readme!D:G,4,FALSE)</f>
        <v>10108.418944999999</v>
      </c>
      <c r="J16" s="206">
        <f t="shared" si="1"/>
        <v>-0.2050629958320227</v>
      </c>
      <c r="K16" s="190" t="str">
        <f>'[2]I-8 WB'!P16</f>
        <v>PeMS2016</v>
      </c>
      <c r="L16" s="148">
        <f t="shared" si="2"/>
        <v>6799478.9583949158</v>
      </c>
      <c r="M16" s="44"/>
    </row>
    <row r="17" spans="1:13" ht="15" customHeight="1" x14ac:dyDescent="0.25">
      <c r="A17" s="43">
        <f>'[2]I-8 WB'!C17</f>
        <v>15</v>
      </c>
      <c r="B17" s="43" t="str">
        <f>'[2]I-8 WB'!H17</f>
        <v>I-8 WB</v>
      </c>
      <c r="C17" s="126">
        <f>'[2]I-8 WB'!E17</f>
        <v>28182</v>
      </c>
      <c r="D17" s="188">
        <f>'[2]I-8 WB'!I17</f>
        <v>41</v>
      </c>
      <c r="E17" s="189">
        <f>'[2]I-8 WB'!J17</f>
        <v>0</v>
      </c>
      <c r="F17" s="189" t="str">
        <f>'[2]I-8 WB'!K17</f>
        <v>MOLLISON</v>
      </c>
      <c r="G17" s="189" t="str">
        <f>'[2]I-8 WB'!L17</f>
        <v>MOLLISON</v>
      </c>
      <c r="H17" s="197">
        <f>'[2]I-8 WB'!O17</f>
        <v>12056</v>
      </c>
      <c r="I17" s="198">
        <f>VLOOKUP(c_15[[#This Row],[hwycov_id]],readme!D:G,4,FALSE)</f>
        <v>9588.1044920000004</v>
      </c>
      <c r="J17" s="206">
        <f t="shared" si="1"/>
        <v>-0.20470267982747181</v>
      </c>
      <c r="K17" s="190" t="str">
        <f>'[2]I-8 WB'!P17</f>
        <v>PeMS2016</v>
      </c>
      <c r="L17" s="148">
        <f t="shared" si="2"/>
        <v>6090508.2384065762</v>
      </c>
      <c r="M17" s="44"/>
    </row>
    <row r="18" spans="1:13" ht="15" customHeight="1" x14ac:dyDescent="0.25">
      <c r="A18" s="43">
        <f>'[2]I-8 WB'!C18</f>
        <v>15</v>
      </c>
      <c r="B18" s="43" t="str">
        <f>'[2]I-8 WB'!H18</f>
        <v>I-8 WB</v>
      </c>
      <c r="C18" s="126">
        <f>'[2]I-8 WB'!E18</f>
        <v>28178</v>
      </c>
      <c r="D18" s="188">
        <f>'[2]I-8 WB'!I18</f>
        <v>42</v>
      </c>
      <c r="E18" s="189">
        <f>'[2]I-8 WB'!J18</f>
        <v>0</v>
      </c>
      <c r="F18" s="189" t="str">
        <f>'[2]I-8 WB'!K18</f>
        <v>MOLLISON</v>
      </c>
      <c r="G18" s="189" t="str">
        <f>'[2]I-8 WB'!L18</f>
        <v>SR-67 NB</v>
      </c>
      <c r="H18" s="197">
        <f>'[2]I-8 WB'!O18</f>
        <v>9963</v>
      </c>
      <c r="I18" s="198">
        <f>VLOOKUP(c_15[[#This Row],[hwycov_id]],readme!D:G,4,FALSE)</f>
        <v>11731.357421999999</v>
      </c>
      <c r="J18" s="206">
        <f t="shared" si="1"/>
        <v>0.17749246431797649</v>
      </c>
      <c r="K18" s="190" t="str">
        <f>'[2]I-8 WB'!P18</f>
        <v>PeMS2016</v>
      </c>
      <c r="L18" s="148">
        <f t="shared" si="2"/>
        <v>3127087.971942483</v>
      </c>
      <c r="M18" s="44"/>
    </row>
    <row r="19" spans="1:13" ht="15" customHeight="1" x14ac:dyDescent="0.25">
      <c r="A19" s="43">
        <f>'[2]I-8 WB'!C19</f>
        <v>15</v>
      </c>
      <c r="B19" s="43" t="str">
        <f>'[2]I-8 WB'!H19</f>
        <v>I-8 WB</v>
      </c>
      <c r="C19" s="126">
        <f>'[2]I-8 WB'!E19</f>
        <v>20727</v>
      </c>
      <c r="D19" s="188">
        <f>'[2]I-8 WB'!I19</f>
        <v>43</v>
      </c>
      <c r="E19" s="189">
        <f>'[2]I-8 WB'!J19</f>
        <v>0</v>
      </c>
      <c r="F19" s="189" t="str">
        <f>'[2]I-8 WB'!K19</f>
        <v>SR-67 NB</v>
      </c>
      <c r="G19" s="189" t="str">
        <f>'[2]I-8 WB'!L19</f>
        <v>SR-67 SB</v>
      </c>
      <c r="H19" s="197">
        <f>'[2]I-8 WB'!O19</f>
        <v>10019</v>
      </c>
      <c r="I19" s="198">
        <f>VLOOKUP(c_15[[#This Row],[hwycov_id]],readme!D:G,4,FALSE)</f>
        <v>8359.4755860000005</v>
      </c>
      <c r="J19" s="206">
        <f t="shared" si="1"/>
        <v>-0.16563772971354418</v>
      </c>
      <c r="K19" s="190" t="str">
        <f>'[2]I-8 WB'!P19</f>
        <v>PeMS2016</v>
      </c>
      <c r="L19" s="148">
        <f t="shared" si="2"/>
        <v>2754021.2806620416</v>
      </c>
      <c r="M19" s="44"/>
    </row>
    <row r="20" spans="1:13" ht="15" customHeight="1" x14ac:dyDescent="0.25">
      <c r="A20" s="43">
        <f>'[2]I-8 WB'!C20</f>
        <v>15</v>
      </c>
      <c r="B20" s="43" t="str">
        <f>'[2]I-8 WB'!H20</f>
        <v>I-8 WB</v>
      </c>
      <c r="C20" s="126">
        <f>'[2]I-8 WB'!E20</f>
        <v>20730</v>
      </c>
      <c r="D20" s="188">
        <f>'[2]I-8 WB'!I20</f>
        <v>44</v>
      </c>
      <c r="E20" s="189">
        <f>'[2]I-8 WB'!J20</f>
        <v>0</v>
      </c>
      <c r="F20" s="189" t="str">
        <f>'[2]I-8 WB'!K20</f>
        <v>SR-67 SB</v>
      </c>
      <c r="G20" s="189" t="str">
        <f>'[2]I-8 WB'!L20</f>
        <v>JOHNSON</v>
      </c>
      <c r="H20" s="197">
        <f>'[2]I-8 WB'!O20</f>
        <v>18455</v>
      </c>
      <c r="I20" s="198">
        <f>VLOOKUP(c_15[[#This Row],[hwycov_id]],readme!D:G,4,FALSE)</f>
        <v>17801.740234000001</v>
      </c>
      <c r="J20" s="206">
        <f t="shared" si="1"/>
        <v>-3.5397440585207218E-2</v>
      </c>
      <c r="K20" s="190" t="str">
        <f>'[2]I-8 WB'!P20</f>
        <v>PeMS2016</v>
      </c>
      <c r="L20" s="148">
        <f t="shared" si="2"/>
        <v>426748.32187437371</v>
      </c>
      <c r="M20" s="44"/>
    </row>
    <row r="21" spans="1:13" ht="15" customHeight="1" x14ac:dyDescent="0.25">
      <c r="A21" s="43">
        <f>'[2]I-8 WB'!C21</f>
        <v>15</v>
      </c>
      <c r="B21" s="43" t="str">
        <f>'[2]I-8 WB'!H21</f>
        <v>I-8 WB</v>
      </c>
      <c r="C21" s="126">
        <f>'[2]I-8 WB'!E21</f>
        <v>11056</v>
      </c>
      <c r="D21" s="188">
        <f>'[2]I-8 WB'!I21</f>
        <v>46</v>
      </c>
      <c r="E21" s="189">
        <f>'[2]I-8 WB'!J21</f>
        <v>0</v>
      </c>
      <c r="F21" s="189" t="str">
        <f>'[2]I-8 WB'!K21</f>
        <v>MAIN</v>
      </c>
      <c r="G21" s="189" t="str">
        <f>'[2]I-8 WB'!L21</f>
        <v>MAIN</v>
      </c>
      <c r="H21" s="197">
        <f>'[2]I-8 WB'!O21</f>
        <v>19260</v>
      </c>
      <c r="I21" s="198">
        <f>VLOOKUP(c_15[[#This Row],[hwycov_id]],readme!D:G,4,FALSE)</f>
        <v>19057.802734000001</v>
      </c>
      <c r="J21" s="206">
        <f t="shared" si="1"/>
        <v>-1.0498300415368589E-2</v>
      </c>
      <c r="K21" s="190" t="str">
        <f>'[2]I-8 WB'!P21</f>
        <v>PeMS2016</v>
      </c>
      <c r="L21" s="148">
        <f t="shared" si="2"/>
        <v>40883.73437787444</v>
      </c>
      <c r="M21" s="44"/>
    </row>
    <row r="22" spans="1:13" ht="15" customHeight="1" x14ac:dyDescent="0.25">
      <c r="A22" s="43">
        <f>'[2]I-8 WB'!C22</f>
        <v>15</v>
      </c>
      <c r="B22" s="43" t="str">
        <f>'[2]I-8 WB'!H22</f>
        <v>I-8 WB</v>
      </c>
      <c r="C22" s="126">
        <f>'[2]I-8 WB'!E22</f>
        <v>11263</v>
      </c>
      <c r="D22" s="188">
        <f>'[2]I-8 WB'!I22</f>
        <v>47</v>
      </c>
      <c r="E22" s="189">
        <f>'[2]I-8 WB'!J22</f>
        <v>1</v>
      </c>
      <c r="F22" s="189" t="str">
        <f>'[2]I-8 WB'!K22</f>
        <v>MAIN</v>
      </c>
      <c r="G22" s="189" t="str">
        <f>'[2]I-8 WB'!L22</f>
        <v>EL CAJON</v>
      </c>
      <c r="H22" s="197">
        <f>'[2]I-8 WB'!O22</f>
        <v>21553</v>
      </c>
      <c r="I22" s="198">
        <f>VLOOKUP(c_15[[#This Row],[hwycov_id]],readme!D:G,4,FALSE)</f>
        <v>21119.693359000001</v>
      </c>
      <c r="J22" s="206">
        <f t="shared" si="1"/>
        <v>-2.0104237971512062E-2</v>
      </c>
      <c r="K22" s="190" t="str">
        <f>'[2]I-8 WB'!P22</f>
        <v>PeMS2016</v>
      </c>
      <c r="L22" s="148">
        <f t="shared" si="2"/>
        <v>187754.64513470221</v>
      </c>
      <c r="M22" s="44"/>
    </row>
    <row r="23" spans="1:13" ht="15" customHeight="1" x14ac:dyDescent="0.25">
      <c r="A23" s="43">
        <f>'[2]I-8 WB'!C23</f>
        <v>15</v>
      </c>
      <c r="B23" s="43" t="str">
        <f>'[2]I-8 WB'!H23</f>
        <v>I-8 WB</v>
      </c>
      <c r="C23" s="126">
        <f>'[2]I-8 WB'!E23</f>
        <v>11266</v>
      </c>
      <c r="D23" s="188">
        <f>'[2]I-8 WB'!I23</f>
        <v>48</v>
      </c>
      <c r="E23" s="189">
        <f>'[2]I-8 WB'!J23</f>
        <v>0</v>
      </c>
      <c r="F23" s="189" t="str">
        <f>'[2]I-8 WB'!K23</f>
        <v>EL CAJON</v>
      </c>
      <c r="G23" s="189" t="str">
        <f>'[2]I-8 WB'!L23</f>
        <v>MURRAY</v>
      </c>
      <c r="H23" s="197">
        <f>'[2]I-8 WB'!O23</f>
        <v>27071</v>
      </c>
      <c r="I23" s="198">
        <f>VLOOKUP(c_15[[#This Row],[hwycov_id]],readme!D:G,4,FALSE)</f>
        <v>24171.101562</v>
      </c>
      <c r="J23" s="206">
        <f t="shared" si="1"/>
        <v>-0.10712195478556386</v>
      </c>
      <c r="K23" s="190" t="str">
        <f>'[2]I-8 WB'!P23</f>
        <v>PeMS2016</v>
      </c>
      <c r="L23" s="148">
        <f t="shared" si="2"/>
        <v>8409410.9507148415</v>
      </c>
      <c r="M23" s="44"/>
    </row>
    <row r="24" spans="1:13" ht="15" customHeight="1" x14ac:dyDescent="0.25">
      <c r="A24" s="43">
        <f>'[2]I-8 WB'!C24</f>
        <v>15</v>
      </c>
      <c r="B24" s="43" t="str">
        <f>'[2]I-8 WB'!H24</f>
        <v>I-8 WB</v>
      </c>
      <c r="C24" s="126">
        <f>'[2]I-8 WB'!E24</f>
        <v>11290</v>
      </c>
      <c r="D24" s="188">
        <f>'[2]I-8 WB'!I24</f>
        <v>50</v>
      </c>
      <c r="E24" s="189">
        <f>'[2]I-8 WB'!J24</f>
        <v>0</v>
      </c>
      <c r="F24" s="189" t="str">
        <f>'[2]I-8 WB'!K24</f>
        <v>SR-125 SB</v>
      </c>
      <c r="G24" s="189" t="str">
        <f>'[2]I-8 WB'!L24</f>
        <v>LA MESA</v>
      </c>
      <c r="H24" s="197">
        <f>'[2]I-8 WB'!O24</f>
        <v>11961</v>
      </c>
      <c r="I24" s="198">
        <f>VLOOKUP(c_15[[#This Row],[hwycov_id]],readme!D:G,4,FALSE)</f>
        <v>11659.515625</v>
      </c>
      <c r="J24" s="206">
        <f t="shared" si="1"/>
        <v>-2.5205616169216571E-2</v>
      </c>
      <c r="K24" s="190" t="str">
        <f>'[2]I-8 WB'!P24</f>
        <v>PeMS2016</v>
      </c>
      <c r="L24" s="148">
        <f t="shared" si="2"/>
        <v>90892.828369140625</v>
      </c>
      <c r="M24" s="44"/>
    </row>
    <row r="25" spans="1:13" ht="15" customHeight="1" x14ac:dyDescent="0.25">
      <c r="A25" s="43">
        <f>'[2]I-8 WB'!C25</f>
        <v>15</v>
      </c>
      <c r="B25" s="43" t="str">
        <f>'[2]I-8 WB'!H25</f>
        <v>I-8 WB</v>
      </c>
      <c r="C25" s="126">
        <f>'[2]I-8 WB'!E25</f>
        <v>28396</v>
      </c>
      <c r="D25" s="188">
        <f>'[2]I-8 WB'!I25</f>
        <v>51</v>
      </c>
      <c r="E25" s="189">
        <f>'[2]I-8 WB'!J25</f>
        <v>0</v>
      </c>
      <c r="F25" s="189" t="str">
        <f>'[2]I-8 WB'!K25</f>
        <v>LA MESA</v>
      </c>
      <c r="G25" s="189" t="str">
        <f>'[2]I-8 WB'!L25</f>
        <v>SR-125 NB</v>
      </c>
      <c r="H25" s="197">
        <f>'[2]I-8 WB'!O25</f>
        <v>11849</v>
      </c>
      <c r="I25" s="198">
        <f>VLOOKUP(c_15[[#This Row],[hwycov_id]],readme!D:G,4,FALSE)</f>
        <v>10692.170898</v>
      </c>
      <c r="J25" s="206">
        <f t="shared" si="1"/>
        <v>-9.7630947928095124E-2</v>
      </c>
      <c r="K25" s="190" t="str">
        <f>'[2]I-8 WB'!P25</f>
        <v>PeMS2016</v>
      </c>
      <c r="L25" s="148">
        <f t="shared" si="2"/>
        <v>1338253.5712341256</v>
      </c>
      <c r="M25" s="44"/>
    </row>
    <row r="26" spans="1:13" ht="15" customHeight="1" x14ac:dyDescent="0.25">
      <c r="A26" s="43">
        <f>'[2]I-8 WB'!C26</f>
        <v>15</v>
      </c>
      <c r="B26" s="43" t="str">
        <f>'[2]I-8 WB'!H26</f>
        <v>I-8 WB</v>
      </c>
      <c r="C26" s="126">
        <f>'[2]I-8 WB'!E26</f>
        <v>28397</v>
      </c>
      <c r="D26" s="188">
        <f>'[2]I-8 WB'!I26</f>
        <v>54</v>
      </c>
      <c r="E26" s="189">
        <f>'[2]I-8 WB'!J26</f>
        <v>0</v>
      </c>
      <c r="F26" s="189" t="str">
        <f>'[2]I-8 WB'!K26</f>
        <v>JACKSON</v>
      </c>
      <c r="G26" s="189" t="str">
        <f>'[2]I-8 WB'!L26</f>
        <v>JACKSON</v>
      </c>
      <c r="H26" s="197">
        <f>'[2]I-8 WB'!O26</f>
        <v>19074</v>
      </c>
      <c r="I26" s="198">
        <f>VLOOKUP(c_15[[#This Row],[hwycov_id]],readme!D:G,4,FALSE)</f>
        <v>16358.929688</v>
      </c>
      <c r="J26" s="206">
        <f t="shared" si="1"/>
        <v>-0.14234404487784413</v>
      </c>
      <c r="K26" s="190" t="str">
        <f>'[2]I-8 WB'!P26</f>
        <v>PeMS2016</v>
      </c>
      <c r="L26" s="148">
        <f t="shared" si="2"/>
        <v>7371606.799103776</v>
      </c>
      <c r="M26" s="44"/>
    </row>
    <row r="27" spans="1:13" ht="15" customHeight="1" x14ac:dyDescent="0.25">
      <c r="A27" s="43">
        <f>'[2]I-8 WB'!C27</f>
        <v>15</v>
      </c>
      <c r="B27" s="43" t="str">
        <f>'[2]I-8 WB'!H27</f>
        <v>I-8 WB</v>
      </c>
      <c r="C27" s="126">
        <f>'[2]I-8 WB'!E27</f>
        <v>28144</v>
      </c>
      <c r="D27" s="188">
        <f>'[2]I-8 WB'!I27</f>
        <v>55</v>
      </c>
      <c r="E27" s="189">
        <f>'[2]I-8 WB'!J27</f>
        <v>0</v>
      </c>
      <c r="F27" s="189" t="str">
        <f>'[2]I-8 WB'!K27</f>
        <v>JACKSON</v>
      </c>
      <c r="G27" s="189" t="str">
        <f>'[2]I-8 WB'!L27</f>
        <v>EL CAJON</v>
      </c>
      <c r="H27" s="197">
        <f>'[2]I-8 WB'!O27</f>
        <v>20572</v>
      </c>
      <c r="I27" s="198">
        <f>VLOOKUP(c_15[[#This Row],[hwycov_id]],readme!D:G,4,FALSE)</f>
        <v>17376.572265999999</v>
      </c>
      <c r="J27" s="206">
        <f t="shared" si="1"/>
        <v>-0.15532897793116862</v>
      </c>
      <c r="K27" s="190" t="str">
        <f>'[2]I-8 WB'!P27</f>
        <v>Caltran</v>
      </c>
      <c r="L27" s="148">
        <f t="shared" si="2"/>
        <v>10210758.403216381</v>
      </c>
      <c r="M27" s="44"/>
    </row>
    <row r="28" spans="1:13" ht="15" customHeight="1" x14ac:dyDescent="0.25">
      <c r="A28" s="43">
        <f>'[2]I-8 WB'!C28</f>
        <v>15</v>
      </c>
      <c r="B28" s="43" t="str">
        <f>'[2]I-8 WB'!H28</f>
        <v>I-8 WB</v>
      </c>
      <c r="C28" s="126">
        <f>'[2]I-8 WB'!E28</f>
        <v>20731</v>
      </c>
      <c r="D28" s="188">
        <f>'[2]I-8 WB'!I28</f>
        <v>56</v>
      </c>
      <c r="E28" s="189">
        <f>'[2]I-8 WB'!J28</f>
        <v>0</v>
      </c>
      <c r="F28" s="189" t="str">
        <f>'[2]I-8 WB'!K28</f>
        <v>EL CAJON</v>
      </c>
      <c r="G28" s="189" t="str">
        <f>'[2]I-8 WB'!L28</f>
        <v>SPRING</v>
      </c>
      <c r="H28" s="197">
        <f>'[2]I-8 WB'!O28</f>
        <v>16431</v>
      </c>
      <c r="I28" s="198">
        <f>VLOOKUP(c_15[[#This Row],[hwycov_id]],readme!D:G,4,FALSE)</f>
        <v>14669.231444999999</v>
      </c>
      <c r="J28" s="206">
        <f t="shared" si="1"/>
        <v>-0.10722223571298162</v>
      </c>
      <c r="K28" s="190" t="str">
        <f>'[2]I-8 WB'!P28</f>
        <v>PeMS2016</v>
      </c>
      <c r="L28" s="148">
        <f t="shared" si="2"/>
        <v>3103828.44138679</v>
      </c>
      <c r="M28" s="44"/>
    </row>
    <row r="29" spans="1:13" ht="15" customHeight="1" x14ac:dyDescent="0.25">
      <c r="A29" s="43">
        <f>'[2]I-8 WB'!C29</f>
        <v>15</v>
      </c>
      <c r="B29" s="43" t="str">
        <f>'[2]I-8 WB'!H29</f>
        <v>I-8 WB</v>
      </c>
      <c r="C29" s="126">
        <f>'[2]I-8 WB'!E29</f>
        <v>28124</v>
      </c>
      <c r="D29" s="188">
        <f>'[2]I-8 WB'!I29</f>
        <v>58</v>
      </c>
      <c r="E29" s="189">
        <f>'[2]I-8 WB'!J29</f>
        <v>0</v>
      </c>
      <c r="F29" s="189" t="str">
        <f>'[2]I-8 WB'!K29</f>
        <v>FLETCHER</v>
      </c>
      <c r="G29" s="189" t="str">
        <f>'[2]I-8 WB'!L29</f>
        <v>FLETCHER</v>
      </c>
      <c r="H29" s="197">
        <f>'[2]I-8 WB'!O29</f>
        <v>16883</v>
      </c>
      <c r="I29" s="198">
        <f>VLOOKUP(c_15[[#This Row],[hwycov_id]],readme!D:G,4,FALSE)</f>
        <v>16713.119140999999</v>
      </c>
      <c r="J29" s="206">
        <f t="shared" si="1"/>
        <v>-1.0062243617840472E-2</v>
      </c>
      <c r="K29" s="190" t="str">
        <f>'[2]I-8 WB'!P29</f>
        <v>PeMS2016</v>
      </c>
      <c r="L29" s="148">
        <f t="shared" si="2"/>
        <v>28859.506254578147</v>
      </c>
      <c r="M29" s="44"/>
    </row>
    <row r="30" spans="1:13" ht="15" customHeight="1" x14ac:dyDescent="0.25">
      <c r="A30" s="43">
        <f>'[2]I-8 WB'!C30</f>
        <v>15</v>
      </c>
      <c r="B30" s="43" t="str">
        <f>'[2]I-8 WB'!H30</f>
        <v>I-8 WB</v>
      </c>
      <c r="C30" s="126">
        <f>'[2]I-8 WB'!E30</f>
        <v>28120</v>
      </c>
      <c r="D30" s="188">
        <f>'[2]I-8 WB'!I30</f>
        <v>59</v>
      </c>
      <c r="E30" s="189">
        <f>'[2]I-8 WB'!J30</f>
        <v>0</v>
      </c>
      <c r="F30" s="189" t="str">
        <f>'[2]I-8 WB'!K30</f>
        <v>FLETCHER</v>
      </c>
      <c r="G30" s="189" t="str">
        <f>'[2]I-8 WB'!L30</f>
        <v>LAKE MURRAY</v>
      </c>
      <c r="H30" s="197">
        <f>'[2]I-8 WB'!O30</f>
        <v>19080</v>
      </c>
      <c r="I30" s="198">
        <f>VLOOKUP(c_15[[#This Row],[hwycov_id]],readme!D:G,4,FALSE)</f>
        <v>18654.271484000001</v>
      </c>
      <c r="J30" s="206">
        <f t="shared" si="1"/>
        <v>-2.2312815303983213E-2</v>
      </c>
      <c r="K30" s="190" t="str">
        <f>'[2]I-8 WB'!P30</f>
        <v>PeMS2016</v>
      </c>
      <c r="L30" s="148">
        <f t="shared" si="2"/>
        <v>181244.76933556158</v>
      </c>
      <c r="M30" s="44"/>
    </row>
    <row r="31" spans="1:13" ht="15" customHeight="1" x14ac:dyDescent="0.25">
      <c r="A31" s="43">
        <f>'[2]I-8 WB'!C31</f>
        <v>15</v>
      </c>
      <c r="B31" s="43" t="str">
        <f>'[2]I-8 WB'!H31</f>
        <v>I-8 WB</v>
      </c>
      <c r="C31" s="126">
        <f>'[2]I-8 WB'!E31</f>
        <v>28118</v>
      </c>
      <c r="D31" s="188">
        <f>'[2]I-8 WB'!I31</f>
        <v>60</v>
      </c>
      <c r="E31" s="189">
        <f>'[2]I-8 WB'!J31</f>
        <v>0</v>
      </c>
      <c r="F31" s="189" t="str">
        <f>'[2]I-8 WB'!K31</f>
        <v>LAKE MURRAY</v>
      </c>
      <c r="G31" s="189" t="str">
        <f>'[2]I-8 WB'!L31</f>
        <v>LAKE MURRAY</v>
      </c>
      <c r="H31" s="197">
        <f>'[2]I-8 WB'!O31</f>
        <v>17488</v>
      </c>
      <c r="I31" s="198">
        <f>VLOOKUP(c_15[[#This Row],[hwycov_id]],readme!D:G,4,FALSE)</f>
        <v>17249.841797000001</v>
      </c>
      <c r="J31" s="206">
        <f t="shared" si="1"/>
        <v>-1.3618378488106098E-2</v>
      </c>
      <c r="K31" s="190" t="str">
        <f>'[2]I-8 WB'!P31</f>
        <v>PeMS2016</v>
      </c>
      <c r="L31" s="148">
        <f t="shared" si="2"/>
        <v>56719.329656188755</v>
      </c>
      <c r="M31" s="44"/>
    </row>
    <row r="32" spans="1:13" ht="15" customHeight="1" x14ac:dyDescent="0.25">
      <c r="A32" s="43">
        <f>'[2]I-8 WB'!C32</f>
        <v>15</v>
      </c>
      <c r="B32" s="43" t="str">
        <f>'[2]I-8 WB'!H32</f>
        <v>I-8 WB</v>
      </c>
      <c r="C32" s="126">
        <f>'[2]I-8 WB'!E32</f>
        <v>15458</v>
      </c>
      <c r="D32" s="188">
        <f>'[2]I-8 WB'!I32</f>
        <v>62</v>
      </c>
      <c r="E32" s="189">
        <f>'[2]I-8 WB'!J32</f>
        <v>0</v>
      </c>
      <c r="F32" s="189" t="str">
        <f>'[2]I-8 WB'!K32</f>
        <v>LAKE MURRAY</v>
      </c>
      <c r="G32" s="189" t="str">
        <f>'[2]I-8 WB'!L32</f>
        <v>COLLEGE</v>
      </c>
      <c r="H32" s="197">
        <f>'[2]I-8 WB'!O32</f>
        <v>18996</v>
      </c>
      <c r="I32" s="198">
        <f>VLOOKUP(c_15[[#This Row],[hwycov_id]],readme!D:G,4,FALSE)</f>
        <v>21832.712890999999</v>
      </c>
      <c r="J32" s="206">
        <f t="shared" si="1"/>
        <v>0.149332116814066</v>
      </c>
      <c r="K32" s="190" t="str">
        <f>'[2]I-8 WB'!P32</f>
        <v>Caltran</v>
      </c>
      <c r="L32" s="148">
        <f t="shared" si="2"/>
        <v>8046940.0259655733</v>
      </c>
      <c r="M32" s="44"/>
    </row>
    <row r="33" spans="1:16" ht="15" customHeight="1" x14ac:dyDescent="0.25">
      <c r="A33" s="43">
        <f>'[2]I-8 WB'!C33</f>
        <v>15</v>
      </c>
      <c r="B33" s="43" t="str">
        <f>'[2]I-8 WB'!H33</f>
        <v>I-8 WB</v>
      </c>
      <c r="C33" s="126">
        <f>'[2]I-8 WB'!E33</f>
        <v>15456</v>
      </c>
      <c r="D33" s="188">
        <f>'[2]I-8 WB'!I33</f>
        <v>63</v>
      </c>
      <c r="E33" s="189">
        <f>'[2]I-8 WB'!J33</f>
        <v>0</v>
      </c>
      <c r="F33" s="189" t="str">
        <f>'[2]I-8 WB'!K33</f>
        <v>COLLEGE</v>
      </c>
      <c r="G33" s="189" t="str">
        <f>'[2]I-8 WB'!L33</f>
        <v>COLLEGE</v>
      </c>
      <c r="H33" s="197">
        <f>'[2]I-8 WB'!O33</f>
        <v>18472</v>
      </c>
      <c r="I33" s="198">
        <f>VLOOKUP(c_15[[#This Row],[hwycov_id]],readme!D:G,4,FALSE)</f>
        <v>19621.810547000001</v>
      </c>
      <c r="J33" s="206">
        <f t="shared" si="1"/>
        <v>6.2246131821134698E-2</v>
      </c>
      <c r="K33" s="190" t="str">
        <f>'[2]I-8 WB'!P33</f>
        <v>PeMS2016</v>
      </c>
      <c r="L33" s="148">
        <f t="shared" si="2"/>
        <v>1322064.2939924414</v>
      </c>
      <c r="M33" s="44"/>
    </row>
    <row r="34" spans="1:16" ht="15" customHeight="1" x14ac:dyDescent="0.25">
      <c r="A34" s="43">
        <f>'[2]I-8 WB'!C34</f>
        <v>15</v>
      </c>
      <c r="B34" s="43" t="str">
        <f>'[2]I-8 WB'!H34</f>
        <v>I-8 WB</v>
      </c>
      <c r="C34" s="126">
        <f>'[2]I-8 WB'!E34</f>
        <v>15442</v>
      </c>
      <c r="D34" s="188">
        <f>'[2]I-8 WB'!I34</f>
        <v>64</v>
      </c>
      <c r="E34" s="189">
        <f>'[2]I-8 WB'!J34</f>
        <v>0</v>
      </c>
      <c r="F34" s="189" t="str">
        <f>'[2]I-8 WB'!K34</f>
        <v>COLLEGE</v>
      </c>
      <c r="G34" s="189" t="str">
        <f>'[2]I-8 WB'!L34</f>
        <v>WARING</v>
      </c>
      <c r="H34" s="197">
        <f>'[2]I-8 WB'!O34</f>
        <v>22776</v>
      </c>
      <c r="I34" s="198">
        <f>VLOOKUP(c_15[[#This Row],[hwycov_id]],readme!D:G,4,FALSE)</f>
        <v>23376.226562</v>
      </c>
      <c r="J34" s="206">
        <f t="shared" si="1"/>
        <v>2.6353466894977196E-2</v>
      </c>
      <c r="K34" s="190" t="str">
        <f>'[2]I-8 WB'!P34</f>
        <v>Caltran</v>
      </c>
      <c r="L34" s="148">
        <f t="shared" si="2"/>
        <v>360271.92573033966</v>
      </c>
      <c r="M34" s="44"/>
    </row>
    <row r="35" spans="1:16" ht="15" customHeight="1" x14ac:dyDescent="0.25">
      <c r="A35" s="43">
        <f>'[2]I-8 WB'!C35</f>
        <v>15</v>
      </c>
      <c r="B35" s="43" t="str">
        <f>'[2]I-8 WB'!H35</f>
        <v>I-8 WB</v>
      </c>
      <c r="C35" s="126">
        <f>'[2]I-8 WB'!E35</f>
        <v>15439</v>
      </c>
      <c r="D35" s="188">
        <f>'[2]I-8 WB'!I35</f>
        <v>65</v>
      </c>
      <c r="E35" s="189">
        <f>'[2]I-8 WB'!J35</f>
        <v>0</v>
      </c>
      <c r="F35" s="189" t="str">
        <f>'[2]I-8 WB'!K35</f>
        <v>WARING</v>
      </c>
      <c r="G35" s="189" t="str">
        <f>'[2]I-8 WB'!L35</f>
        <v>WARING</v>
      </c>
      <c r="H35" s="197">
        <f>'[2]I-8 WB'!O35</f>
        <v>22466</v>
      </c>
      <c r="I35" s="198">
        <f>VLOOKUP(c_15[[#This Row],[hwycov_id]],readme!D:G,4,FALSE)</f>
        <v>22167.529297000001</v>
      </c>
      <c r="J35" s="206">
        <f t="shared" si="1"/>
        <v>-1.3285440354313116E-2</v>
      </c>
      <c r="K35" s="190" t="str">
        <f>'[2]I-8 WB'!P35</f>
        <v>PeMS2016</v>
      </c>
      <c r="L35" s="148">
        <f t="shared" si="2"/>
        <v>89084.760549313636</v>
      </c>
      <c r="M35" s="44"/>
    </row>
    <row r="36" spans="1:16" ht="15" customHeight="1" x14ac:dyDescent="0.25">
      <c r="A36" s="43">
        <f>'[2]I-8 WB'!C36</f>
        <v>15</v>
      </c>
      <c r="B36" s="43" t="str">
        <f>'[2]I-8 WB'!H36</f>
        <v>I-8 WB</v>
      </c>
      <c r="C36" s="126">
        <f>'[2]I-8 WB'!E36</f>
        <v>15430</v>
      </c>
      <c r="D36" s="188">
        <f>'[2]I-8 WB'!I36</f>
        <v>66</v>
      </c>
      <c r="E36" s="189">
        <f>'[2]I-8 WB'!J36</f>
        <v>0</v>
      </c>
      <c r="F36" s="189" t="str">
        <f>'[2]I-8 WB'!K36</f>
        <v>WARING</v>
      </c>
      <c r="G36" s="189" t="str">
        <f>'[2]I-8 WB'!L36</f>
        <v>FAIRMOUNT</v>
      </c>
      <c r="H36" s="197">
        <f>'[2]I-8 WB'!O36</f>
        <v>24478</v>
      </c>
      <c r="I36" s="198">
        <f>VLOOKUP(c_15[[#This Row],[hwycov_id]],readme!D:G,4,FALSE)</f>
        <v>24292.134765999999</v>
      </c>
      <c r="J36" s="206">
        <f t="shared" si="1"/>
        <v>-7.5931544243811322E-3</v>
      </c>
      <c r="K36" s="190" t="str">
        <f>'[2]I-8 WB'!P36</f>
        <v>PeMS2016</v>
      </c>
      <c r="L36" s="148">
        <f t="shared" si="2"/>
        <v>34545.88520987505</v>
      </c>
      <c r="M36" s="44"/>
    </row>
    <row r="37" spans="1:16" ht="15" customHeight="1" x14ac:dyDescent="0.25">
      <c r="A37" s="43">
        <f>'[2]I-8 WB'!C37</f>
        <v>15</v>
      </c>
      <c r="B37" s="43" t="str">
        <f>'[2]I-8 WB'!H37</f>
        <v>I-8 WB</v>
      </c>
      <c r="C37" s="126">
        <f>'[2]I-8 WB'!E37</f>
        <v>15425</v>
      </c>
      <c r="D37" s="188">
        <f>'[2]I-8 WB'!I37</f>
        <v>67</v>
      </c>
      <c r="E37" s="189">
        <f>'[2]I-8 WB'!J37</f>
        <v>0</v>
      </c>
      <c r="F37" s="189" t="str">
        <f>'[2]I-8 WB'!K37</f>
        <v>FAIRMOUNT</v>
      </c>
      <c r="G37" s="189" t="str">
        <f>'[2]I-8 WB'!L37</f>
        <v>I-15 NB</v>
      </c>
      <c r="H37" s="197">
        <f>'[2]I-8 WB'!O37</f>
        <v>22829</v>
      </c>
      <c r="I37" s="198">
        <f>VLOOKUP(c_15[[#This Row],[hwycov_id]],readme!D:G,4,FALSE)</f>
        <v>22000.673827999999</v>
      </c>
      <c r="J37" s="206">
        <f t="shared" si="1"/>
        <v>-3.6283944631827936E-2</v>
      </c>
      <c r="K37" s="190" t="str">
        <f>'[2]I-8 WB'!P37</f>
        <v>PeMS2016</v>
      </c>
      <c r="L37" s="148">
        <f t="shared" si="2"/>
        <v>686124.24722017511</v>
      </c>
      <c r="M37" s="44"/>
    </row>
    <row r="38" spans="1:16" ht="15" customHeight="1" x14ac:dyDescent="0.25">
      <c r="A38" s="43">
        <f>'[2]I-8 WB'!C38</f>
        <v>15</v>
      </c>
      <c r="B38" s="43" t="str">
        <f>'[2]I-8 WB'!H38</f>
        <v>I-8 WB</v>
      </c>
      <c r="C38" s="126">
        <f>'[2]I-8 WB'!E38</f>
        <v>16533</v>
      </c>
      <c r="D38" s="188">
        <f>'[2]I-8 WB'!I38</f>
        <v>69</v>
      </c>
      <c r="E38" s="189">
        <f>'[2]I-8 WB'!J38</f>
        <v>0</v>
      </c>
      <c r="F38" s="189" t="str">
        <f>'[2]I-8 WB'!K38</f>
        <v>I-15 NB</v>
      </c>
      <c r="G38" s="189" t="str">
        <f>'[2]I-8 WB'!L38</f>
        <v>I-15 NB</v>
      </c>
      <c r="H38" s="197">
        <f>'[2]I-8 WB'!O38</f>
        <v>15169</v>
      </c>
      <c r="I38" s="198">
        <f>VLOOKUP(c_15[[#This Row],[hwycov_id]],readme!D:G,4,FALSE)</f>
        <v>14407.948242</v>
      </c>
      <c r="J38" s="206">
        <f t="shared" si="1"/>
        <v>-5.0171518096117085E-2</v>
      </c>
      <c r="K38" s="190" t="str">
        <f>'[2]I-8 WB'!P38</f>
        <v>PeMS2016</v>
      </c>
      <c r="L38" s="148">
        <f t="shared" si="2"/>
        <v>579199.77835488995</v>
      </c>
      <c r="M38" s="44"/>
    </row>
    <row r="39" spans="1:16" ht="15" customHeight="1" x14ac:dyDescent="0.25">
      <c r="A39" s="43">
        <f>'[2]I-8 WB'!C39</f>
        <v>15</v>
      </c>
      <c r="B39" s="43" t="str">
        <f>'[2]I-8 WB'!H39</f>
        <v>I-8 WB</v>
      </c>
      <c r="C39" s="126">
        <f>'[2]I-8 WB'!E39</f>
        <v>10998</v>
      </c>
      <c r="D39" s="188">
        <f>'[2]I-8 WB'!I39</f>
        <v>70</v>
      </c>
      <c r="E39" s="189">
        <f>'[2]I-8 WB'!J39</f>
        <v>0</v>
      </c>
      <c r="F39" s="189" t="str">
        <f>'[2]I-8 WB'!K39</f>
        <v>I-15 NB</v>
      </c>
      <c r="G39" s="189" t="str">
        <f>'[2]I-8 WB'!L39</f>
        <v>I-805 NB</v>
      </c>
      <c r="H39" s="197">
        <f>'[2]I-8 WB'!O39</f>
        <v>21986</v>
      </c>
      <c r="I39" s="198">
        <f>VLOOKUP(c_15[[#This Row],[hwycov_id]],readme!D:G,4,FALSE)</f>
        <v>27040.994140999999</v>
      </c>
      <c r="J39" s="206">
        <f t="shared" si="1"/>
        <v>0.22991877290093687</v>
      </c>
      <c r="K39" s="190" t="str">
        <f>'[2]I-8 WB'!P39</f>
        <v>PeMS2016</v>
      </c>
      <c r="L39" s="148">
        <f t="shared" si="2"/>
        <v>25552965.765544321</v>
      </c>
      <c r="M39" s="44"/>
    </row>
    <row r="40" spans="1:16" ht="15" customHeight="1" x14ac:dyDescent="0.25">
      <c r="A40" s="43">
        <f>'[2]I-8 WB'!C40</f>
        <v>15</v>
      </c>
      <c r="B40" s="43" t="str">
        <f>'[2]I-8 WB'!H40</f>
        <v>I-8 WB</v>
      </c>
      <c r="C40" s="126">
        <f>'[2]I-8 WB'!E40</f>
        <v>10994</v>
      </c>
      <c r="D40" s="188">
        <f>'[2]I-8 WB'!I40</f>
        <v>71</v>
      </c>
      <c r="E40" s="189">
        <f>'[2]I-8 WB'!J40</f>
        <v>0</v>
      </c>
      <c r="F40" s="189" t="str">
        <f>'[2]I-8 WB'!K40</f>
        <v>I-805 NB</v>
      </c>
      <c r="G40" s="189" t="str">
        <f>'[2]I-8 WB'!L40</f>
        <v>TEXAS</v>
      </c>
      <c r="H40" s="197">
        <f>'[2]I-8 WB'!O40</f>
        <v>17634</v>
      </c>
      <c r="I40" s="198">
        <f>VLOOKUP(c_15[[#This Row],[hwycov_id]],readme!D:G,4,FALSE)</f>
        <v>15905.451171999999</v>
      </c>
      <c r="J40" s="206">
        <f t="shared" si="1"/>
        <v>-9.8023637745264902E-2</v>
      </c>
      <c r="K40" s="190" t="str">
        <f>'[2]I-8 WB'!P40</f>
        <v>PeMS2016</v>
      </c>
      <c r="L40" s="148">
        <f t="shared" si="2"/>
        <v>2987881.0507801767</v>
      </c>
      <c r="M40" s="44"/>
    </row>
    <row r="41" spans="1:16" ht="15" customHeight="1" x14ac:dyDescent="0.25">
      <c r="A41" s="43">
        <f>'[2]I-8 WB'!C41</f>
        <v>15</v>
      </c>
      <c r="B41" s="43" t="str">
        <f>'[2]I-8 WB'!H41</f>
        <v>I-8 WB</v>
      </c>
      <c r="C41" s="126">
        <f>'[2]I-8 WB'!E41</f>
        <v>10991</v>
      </c>
      <c r="D41" s="188">
        <f>'[2]I-8 WB'!I41</f>
        <v>73</v>
      </c>
      <c r="E41" s="189">
        <f>'[2]I-8 WB'!J41</f>
        <v>0</v>
      </c>
      <c r="F41" s="189" t="str">
        <f>'[2]I-8 WB'!K41</f>
        <v>TEXAS</v>
      </c>
      <c r="G41" s="189" t="str">
        <f>'[2]I-8 WB'!L41</f>
        <v>I-805 NB</v>
      </c>
      <c r="H41" s="197">
        <f>'[2]I-8 WB'!O41</f>
        <v>15627</v>
      </c>
      <c r="I41" s="198">
        <f>VLOOKUP(c_15[[#This Row],[hwycov_id]],readme!D:G,4,FALSE)</f>
        <v>13016.474609000001</v>
      </c>
      <c r="J41" s="206">
        <f t="shared" si="1"/>
        <v>-0.16705224233698079</v>
      </c>
      <c r="K41" s="190" t="str">
        <f>'[2]I-8 WB'!P41</f>
        <v>PeMS2016</v>
      </c>
      <c r="L41" s="148">
        <f t="shared" si="2"/>
        <v>6814842.8170556985</v>
      </c>
      <c r="M41" s="44"/>
    </row>
    <row r="42" spans="1:16" ht="15" customHeight="1" x14ac:dyDescent="0.25">
      <c r="A42" s="43">
        <f>'[2]I-8 WB'!C42</f>
        <v>15</v>
      </c>
      <c r="B42" s="43" t="str">
        <f>'[2]I-8 WB'!H42</f>
        <v>I-8 WB</v>
      </c>
      <c r="C42" s="126">
        <f>'[2]I-8 WB'!E42</f>
        <v>16085</v>
      </c>
      <c r="D42" s="188">
        <f>'[2]I-8 WB'!I42</f>
        <v>75</v>
      </c>
      <c r="E42" s="189">
        <f>'[2]I-8 WB'!J42</f>
        <v>0</v>
      </c>
      <c r="F42" s="189" t="str">
        <f>'[2]I-8 WB'!K42</f>
        <v>TEXAS</v>
      </c>
      <c r="G42" s="189" t="str">
        <f>'[2]I-8 WB'!L42</f>
        <v>MISSION CENTER</v>
      </c>
      <c r="H42" s="197">
        <f>'[2]I-8 WB'!O42</f>
        <v>25919</v>
      </c>
      <c r="I42" s="198">
        <f>VLOOKUP(c_15[[#This Row],[hwycov_id]],readme!D:G,4,FALSE)</f>
        <v>22583.816406000002</v>
      </c>
      <c r="J42" s="206">
        <f t="shared" si="1"/>
        <v>-0.12867717095566955</v>
      </c>
      <c r="K42" s="190" t="str">
        <f>'[2]I-8 WB'!P42</f>
        <v>PeMS2016</v>
      </c>
      <c r="L42" s="148">
        <f t="shared" si="2"/>
        <v>11123449.605686745</v>
      </c>
      <c r="M42" s="44"/>
    </row>
    <row r="43" spans="1:16" ht="15" customHeight="1" x14ac:dyDescent="0.25">
      <c r="A43" s="43">
        <f>'[2]I-8 WB'!C43</f>
        <v>15</v>
      </c>
      <c r="B43" s="43" t="str">
        <f>'[2]I-8 WB'!H43</f>
        <v>I-8 WB</v>
      </c>
      <c r="C43" s="126">
        <f>'[2]I-8 WB'!E43</f>
        <v>10982</v>
      </c>
      <c r="D43" s="188">
        <f>'[2]I-8 WB'!I43</f>
        <v>76</v>
      </c>
      <c r="E43" s="189">
        <f>'[2]I-8 WB'!J43</f>
        <v>0</v>
      </c>
      <c r="F43" s="189" t="str">
        <f>'[2]I-8 WB'!K43</f>
        <v>MISSION CENTER</v>
      </c>
      <c r="G43" s="189" t="str">
        <f>'[2]I-8 WB'!L43</f>
        <v>MISSION CENTER</v>
      </c>
      <c r="H43" s="197">
        <f>'[2]I-8 WB'!O43</f>
        <v>24409</v>
      </c>
      <c r="I43" s="198">
        <f>VLOOKUP(c_15[[#This Row],[hwycov_id]],readme!D:G,4,FALSE)</f>
        <v>19137.306640999999</v>
      </c>
      <c r="J43" s="206">
        <f t="shared" si="1"/>
        <v>-0.21597334421729697</v>
      </c>
      <c r="K43" s="190" t="str">
        <f>'[2]I-8 WB'!P43</f>
        <v>PeMS2016</v>
      </c>
      <c r="L43" s="148">
        <f t="shared" si="2"/>
        <v>27790750.871324711</v>
      </c>
      <c r="M43" s="44"/>
    </row>
    <row r="44" spans="1:16" s="167" customFormat="1" ht="15" hidden="1" customHeight="1" x14ac:dyDescent="0.25">
      <c r="A44" s="43">
        <f>'[2]I-8 WB'!C44</f>
        <v>15</v>
      </c>
      <c r="B44" s="43" t="str">
        <f>'[2]I-8 WB'!H44</f>
        <v>I-8 WB</v>
      </c>
      <c r="C44" s="126">
        <f>'[2]I-8 WB'!E44</f>
        <v>10981</v>
      </c>
      <c r="D44" s="188">
        <f>'[2]I-8 WB'!I44</f>
        <v>77</v>
      </c>
      <c r="E44" s="189">
        <f>'[2]I-8 WB'!J44</f>
        <v>0</v>
      </c>
      <c r="F44" s="189" t="str">
        <f>'[2]I-8 WB'!K44</f>
        <v>MISSION CENTER</v>
      </c>
      <c r="G44" s="189" t="str">
        <f>'[2]I-8 WB'!L44</f>
        <v>SR-163 NB</v>
      </c>
      <c r="H44" s="197">
        <f>'[2]I-8 WB'!O44</f>
        <v>24409</v>
      </c>
      <c r="I44" s="198">
        <f>VLOOKUP(c_15[[#This Row],[hwycov_id]],readme!D:G,4,FALSE)</f>
        <v>22095.4375</v>
      </c>
      <c r="J44" s="206">
        <f t="shared" si="1"/>
        <v>-9.4783174239010171E-2</v>
      </c>
      <c r="K44" s="190" t="str">
        <f>'[2]I-8 WB'!P44</f>
        <v>PeMS2016</v>
      </c>
      <c r="L44" s="148">
        <f t="shared" si="2"/>
        <v>5352571.44140625</v>
      </c>
      <c r="M44" s="173"/>
      <c r="N44" s="172"/>
      <c r="O44" s="174"/>
      <c r="P44" s="174"/>
    </row>
    <row r="45" spans="1:16" ht="15" customHeight="1" x14ac:dyDescent="0.25">
      <c r="A45" s="43">
        <f>'[2]I-8 WB'!C45</f>
        <v>15</v>
      </c>
      <c r="B45" s="43" t="str">
        <f>'[2]I-8 WB'!H45</f>
        <v>I-8 WB</v>
      </c>
      <c r="C45" s="126">
        <f>'[2]I-8 WB'!E45</f>
        <v>10979</v>
      </c>
      <c r="D45" s="188">
        <f>'[2]I-8 WB'!I45</f>
        <v>78</v>
      </c>
      <c r="E45" s="189">
        <f>'[2]I-8 WB'!J45</f>
        <v>0</v>
      </c>
      <c r="F45" s="189" t="str">
        <f>'[2]I-8 WB'!K45</f>
        <v>SR-163 NB</v>
      </c>
      <c r="G45" s="189" t="str">
        <f>'[2]I-8 WB'!L45</f>
        <v>SR-163 SB</v>
      </c>
      <c r="H45" s="197">
        <f>'[2]I-8 WB'!O45</f>
        <v>20299</v>
      </c>
      <c r="I45" s="198">
        <f>VLOOKUP(c_15[[#This Row],[hwycov_id]],readme!D:G,4,FALSE)</f>
        <v>16957.322265999999</v>
      </c>
      <c r="J45" s="206">
        <f t="shared" si="1"/>
        <v>-0.16462277619587173</v>
      </c>
      <c r="K45" s="190" t="str">
        <f>'[2]I-8 WB'!P45</f>
        <v>PeMS2016</v>
      </c>
      <c r="L45" s="148">
        <f t="shared" si="2"/>
        <v>11166810.077911381</v>
      </c>
      <c r="M45" s="44"/>
    </row>
    <row r="46" spans="1:16" ht="15" customHeight="1" x14ac:dyDescent="0.25">
      <c r="A46" s="43">
        <f>'[2]I-8 WB'!C46</f>
        <v>15</v>
      </c>
      <c r="B46" s="43" t="str">
        <f>'[2]I-8 WB'!H46</f>
        <v>I-8 WB</v>
      </c>
      <c r="C46" s="126">
        <f>'[2]I-8 WB'!E46</f>
        <v>29097</v>
      </c>
      <c r="D46" s="188">
        <f>'[2]I-8 WB'!I46</f>
        <v>79</v>
      </c>
      <c r="E46" s="189">
        <f>'[2]I-8 WB'!J46</f>
        <v>0</v>
      </c>
      <c r="F46" s="189" t="str">
        <f>'[2]I-8 WB'!K46</f>
        <v>SR-163 SB</v>
      </c>
      <c r="G46" s="189" t="str">
        <f>'[2]I-8 WB'!L46</f>
        <v>SR-163 SB</v>
      </c>
      <c r="H46" s="197">
        <f>'[2]I-8 WB'!O46</f>
        <v>18221</v>
      </c>
      <c r="I46" s="198">
        <f>VLOOKUP(c_15[[#This Row],[hwycov_id]],readme!D:G,4,FALSE)</f>
        <v>12230.083008</v>
      </c>
      <c r="J46" s="206">
        <f t="shared" si="1"/>
        <v>-0.32879188804127113</v>
      </c>
      <c r="K46" s="190" t="str">
        <f>'[2]I-8 WB'!P46</f>
        <v>PeMS2016</v>
      </c>
      <c r="L46" s="148">
        <f t="shared" si="2"/>
        <v>35891086.405034333</v>
      </c>
      <c r="M46" s="44"/>
    </row>
    <row r="47" spans="1:16" ht="15" customHeight="1" x14ac:dyDescent="0.25">
      <c r="A47" s="43">
        <f>'[2]I-8 WB'!C47</f>
        <v>15</v>
      </c>
      <c r="B47" s="43" t="str">
        <f>'[2]I-8 WB'!H47</f>
        <v>I-8 WB</v>
      </c>
      <c r="C47" s="126">
        <f>'[2]I-8 WB'!E47</f>
        <v>29095</v>
      </c>
      <c r="D47" s="188">
        <f>'[2]I-8 WB'!I47</f>
        <v>81</v>
      </c>
      <c r="E47" s="189">
        <f>'[2]I-8 WB'!J47</f>
        <v>0</v>
      </c>
      <c r="F47" s="189" t="str">
        <f>'[2]I-8 WB'!K47</f>
        <v>SR-163 SB</v>
      </c>
      <c r="G47" s="189">
        <f>'[2]I-8 WB'!L47</f>
        <v>0</v>
      </c>
      <c r="H47" s="197">
        <f>'[2]I-8 WB'!O47</f>
        <v>21943</v>
      </c>
      <c r="I47" s="198">
        <f>VLOOKUP(c_15[[#This Row],[hwycov_id]],readme!D:G,4,FALSE)</f>
        <v>21921.298827999999</v>
      </c>
      <c r="J47" s="206">
        <f t="shared" si="1"/>
        <v>-9.8897926445795648E-4</v>
      </c>
      <c r="K47" s="190" t="str">
        <f>'[2]I-8 WB'!P47</f>
        <v>PeMS2016</v>
      </c>
      <c r="L47" s="148">
        <f t="shared" si="2"/>
        <v>470.9408661736253</v>
      </c>
      <c r="M47" s="44"/>
    </row>
    <row r="48" spans="1:16" ht="15" customHeight="1" x14ac:dyDescent="0.25">
      <c r="A48" s="43">
        <f>'[2]I-8 WB'!C48</f>
        <v>15</v>
      </c>
      <c r="B48" s="43" t="str">
        <f>'[2]I-8 WB'!H48</f>
        <v>I-8 WB</v>
      </c>
      <c r="C48" s="126">
        <f>'[2]I-8 WB'!E48</f>
        <v>29090</v>
      </c>
      <c r="D48" s="188">
        <f>'[2]I-8 WB'!I48</f>
        <v>82</v>
      </c>
      <c r="E48" s="189">
        <f>'[2]I-8 WB'!J48</f>
        <v>0</v>
      </c>
      <c r="F48" s="189" t="str">
        <f>'[2]I-8 WB'!K48</f>
        <v>FASHION VALLEY</v>
      </c>
      <c r="G48" s="189" t="str">
        <f>'[2]I-8 WB'!L48</f>
        <v>HOTEL CIRCLE NORTH</v>
      </c>
      <c r="H48" s="197">
        <f>'[2]I-8 WB'!O48</f>
        <v>22801</v>
      </c>
      <c r="I48" s="198">
        <f>VLOOKUP(c_15[[#This Row],[hwycov_id]],readme!D:G,4,FALSE)</f>
        <v>23623.019531000002</v>
      </c>
      <c r="J48" s="206">
        <f t="shared" si="1"/>
        <v>3.6051906977764281E-2</v>
      </c>
      <c r="K48" s="190" t="str">
        <f>'[2]I-8 WB'!P48</f>
        <v>PeMS2016</v>
      </c>
      <c r="L48" s="148">
        <f t="shared" si="2"/>
        <v>675716.10934546276</v>
      </c>
      <c r="M48" s="44"/>
    </row>
    <row r="49" spans="1:13" ht="15" customHeight="1" x14ac:dyDescent="0.25">
      <c r="A49" s="43">
        <f>'[2]I-8 WB'!C49</f>
        <v>15</v>
      </c>
      <c r="B49" s="43" t="str">
        <f>'[2]I-8 WB'!H49</f>
        <v>I-8 WB</v>
      </c>
      <c r="C49" s="126">
        <f>'[2]I-8 WB'!E49</f>
        <v>29086</v>
      </c>
      <c r="D49" s="188">
        <f>'[2]I-8 WB'!I49</f>
        <v>85</v>
      </c>
      <c r="E49" s="189">
        <f>'[2]I-8 WB'!J49</f>
        <v>0</v>
      </c>
      <c r="F49" s="189" t="str">
        <f>'[2]I-8 WB'!K49</f>
        <v>HOTEL CIRCLE NORTH</v>
      </c>
      <c r="G49" s="189" t="str">
        <f>'[2]I-8 WB'!L49</f>
        <v>HOTEL CIRCLE NORTH</v>
      </c>
      <c r="H49" s="197">
        <f>'[2]I-8 WB'!O49</f>
        <v>22199</v>
      </c>
      <c r="I49" s="198">
        <f>VLOOKUP(c_15[[#This Row],[hwycov_id]],readme!D:G,4,FALSE)</f>
        <v>21304.689452999999</v>
      </c>
      <c r="J49" s="206">
        <f t="shared" si="1"/>
        <v>-4.0286073561872193E-2</v>
      </c>
      <c r="K49" s="190" t="str">
        <f>'[2]I-8 WB'!P49</f>
        <v>PeMS2016</v>
      </c>
      <c r="L49" s="148">
        <f t="shared" si="2"/>
        <v>799791.35447544092</v>
      </c>
      <c r="M49" s="44"/>
    </row>
    <row r="50" spans="1:13" ht="15" customHeight="1" x14ac:dyDescent="0.25">
      <c r="A50" s="43">
        <f>'[2]I-8 WB'!C50</f>
        <v>15</v>
      </c>
      <c r="B50" s="43" t="str">
        <f>'[2]I-8 WB'!H50</f>
        <v>I-8 WB</v>
      </c>
      <c r="C50" s="126">
        <f>'[2]I-8 WB'!E50</f>
        <v>29082</v>
      </c>
      <c r="D50" s="188">
        <f>'[2]I-8 WB'!I50</f>
        <v>86</v>
      </c>
      <c r="E50" s="189">
        <f>'[2]I-8 WB'!J50</f>
        <v>0</v>
      </c>
      <c r="F50" s="189" t="str">
        <f>'[2]I-8 WB'!K50</f>
        <v>TAYLOR</v>
      </c>
      <c r="G50" s="189" t="str">
        <f>'[2]I-8 WB'!L50</f>
        <v>MORENA</v>
      </c>
      <c r="H50" s="197">
        <f>'[2]I-8 WB'!O50</f>
        <v>22199</v>
      </c>
      <c r="I50" s="198">
        <f>VLOOKUP(c_15[[#This Row],[hwycov_id]],readme!D:G,4,FALSE)</f>
        <v>21972.509765999999</v>
      </c>
      <c r="J50" s="206">
        <f t="shared" si="1"/>
        <v>-1.0202722374881734E-2</v>
      </c>
      <c r="K50" s="190" t="str">
        <f>'[2]I-8 WB'!P50</f>
        <v>PeMS2016</v>
      </c>
      <c r="L50" s="148">
        <f t="shared" si="2"/>
        <v>51297.826097375109</v>
      </c>
      <c r="M50" s="44"/>
    </row>
    <row r="51" spans="1:13" ht="15" customHeight="1" x14ac:dyDescent="0.25">
      <c r="A51" s="43">
        <f>'[2]I-8 WB'!C51</f>
        <v>15</v>
      </c>
      <c r="B51" s="43" t="str">
        <f>'[2]I-8 WB'!H51</f>
        <v>I-8 WB</v>
      </c>
      <c r="C51" s="126">
        <f>'[2]I-8 WB'!E51</f>
        <v>27600</v>
      </c>
      <c r="D51" s="188">
        <f>'[2]I-8 WB'!I51</f>
        <v>87</v>
      </c>
      <c r="E51" s="189">
        <f>'[2]I-8 WB'!J51</f>
        <v>0</v>
      </c>
      <c r="F51" s="189" t="str">
        <f>'[2]I-8 WB'!K51</f>
        <v>MORENA</v>
      </c>
      <c r="G51" s="189" t="str">
        <f>'[2]I-8 WB'!L51</f>
        <v>I-5 SB</v>
      </c>
      <c r="H51" s="197">
        <f>'[2]I-8 WB'!O51</f>
        <v>20372</v>
      </c>
      <c r="I51" s="198">
        <f>VLOOKUP(c_15[[#This Row],[hwycov_id]],readme!D:G,4,FALSE)</f>
        <v>20587.421875</v>
      </c>
      <c r="J51" s="206">
        <f t="shared" si="1"/>
        <v>1.0574409729039891E-2</v>
      </c>
      <c r="K51" s="190" t="str">
        <f>'[2]I-8 WB'!P51</f>
        <v>PeMS2016</v>
      </c>
      <c r="L51" s="148">
        <f t="shared" si="2"/>
        <v>46406.584228515625</v>
      </c>
      <c r="M51" s="44"/>
    </row>
    <row r="52" spans="1:13" ht="15" customHeight="1" x14ac:dyDescent="0.25">
      <c r="A52" s="43">
        <f>'[2]I-8 WB'!C52</f>
        <v>15</v>
      </c>
      <c r="B52" s="43" t="str">
        <f>'[2]I-8 WB'!H52</f>
        <v>I-8 WB</v>
      </c>
      <c r="C52" s="126">
        <f>'[2]I-8 WB'!E52</f>
        <v>28085</v>
      </c>
      <c r="D52" s="188">
        <f>'[2]I-8 WB'!I52</f>
        <v>92</v>
      </c>
      <c r="E52" s="189">
        <f>'[2]I-8 WB'!J52</f>
        <v>0</v>
      </c>
      <c r="F52" s="189" t="str">
        <f>'[2]I-8 WB'!K52</f>
        <v>I-5 NB</v>
      </c>
      <c r="G52" s="189" t="str">
        <f>'[2]I-8 WB'!L52</f>
        <v>MIDWAY</v>
      </c>
      <c r="H52" s="197">
        <f>'[2]I-8 WB'!O52</f>
        <v>13497</v>
      </c>
      <c r="I52" s="198">
        <f>VLOOKUP(c_15[[#This Row],[hwycov_id]],readme!D:G,4,FALSE)</f>
        <v>12899.105469</v>
      </c>
      <c r="J52" s="206">
        <f t="shared" si="1"/>
        <v>-4.4298327850633479E-2</v>
      </c>
      <c r="K52" s="190" t="str">
        <f>'[2]I-8 WB'!P52</f>
        <v>PeMS2016</v>
      </c>
      <c r="L52" s="148">
        <f t="shared" si="2"/>
        <v>357477.87019970984</v>
      </c>
      <c r="M52" s="44"/>
    </row>
    <row r="53" spans="1:13" ht="15" customHeight="1" x14ac:dyDescent="0.25">
      <c r="A53" s="43"/>
      <c r="B53" s="43"/>
      <c r="C53" s="126"/>
      <c r="D53" s="188"/>
      <c r="E53" s="189"/>
      <c r="F53" s="189"/>
      <c r="G53" s="189"/>
      <c r="H53" s="197"/>
      <c r="I53" s="198"/>
      <c r="J53" s="206"/>
      <c r="K53" s="190"/>
      <c r="L53" s="148"/>
      <c r="M53" s="44"/>
    </row>
    <row r="54" spans="1:13" ht="15" customHeight="1" x14ac:dyDescent="0.25">
      <c r="A54" s="43"/>
      <c r="B54" s="43"/>
      <c r="C54" s="126"/>
      <c r="D54" s="188"/>
      <c r="E54" s="189"/>
      <c r="F54" s="189"/>
      <c r="G54" s="189"/>
      <c r="H54" s="197"/>
      <c r="I54" s="198"/>
      <c r="J54" s="206"/>
      <c r="K54" s="190"/>
      <c r="L54" s="148"/>
      <c r="M54" s="44"/>
    </row>
    <row r="55" spans="1:13" ht="15" customHeight="1" x14ac:dyDescent="0.25">
      <c r="A55" s="43"/>
      <c r="B55" s="43"/>
      <c r="C55" s="126"/>
      <c r="D55" s="188"/>
      <c r="E55" s="189"/>
      <c r="F55" s="189"/>
      <c r="G55" s="189"/>
      <c r="H55" s="197"/>
      <c r="I55" s="198"/>
      <c r="J55" s="206"/>
      <c r="K55" s="190"/>
      <c r="L55" s="148"/>
      <c r="M55" s="44"/>
    </row>
    <row r="56" spans="1:13" ht="15" customHeight="1" x14ac:dyDescent="0.25">
      <c r="A56" s="43"/>
      <c r="B56" s="43"/>
      <c r="C56" s="126"/>
      <c r="D56" s="188"/>
      <c r="E56" s="189"/>
      <c r="F56" s="189"/>
      <c r="G56" s="189"/>
      <c r="H56" s="197"/>
      <c r="I56" s="198"/>
      <c r="J56" s="206"/>
      <c r="K56" s="190"/>
      <c r="L56" s="148"/>
      <c r="M56" s="44"/>
    </row>
    <row r="57" spans="1:13" ht="15" customHeight="1" x14ac:dyDescent="0.25">
      <c r="A57" s="43"/>
      <c r="B57" s="43"/>
      <c r="C57" s="126"/>
      <c r="D57" s="188"/>
      <c r="E57" s="189"/>
      <c r="F57" s="189"/>
      <c r="G57" s="189"/>
      <c r="H57" s="197"/>
      <c r="I57" s="198"/>
      <c r="J57" s="206"/>
      <c r="K57" s="190"/>
      <c r="L57" s="148"/>
      <c r="M57" s="44"/>
    </row>
    <row r="58" spans="1:13" ht="15" customHeight="1" x14ac:dyDescent="0.25">
      <c r="A58" s="43"/>
      <c r="B58" s="43"/>
      <c r="C58" s="126"/>
      <c r="D58" s="188"/>
      <c r="E58" s="189"/>
      <c r="F58" s="189"/>
      <c r="G58" s="189"/>
      <c r="H58" s="197"/>
      <c r="I58" s="198"/>
      <c r="J58" s="206"/>
      <c r="K58" s="190"/>
      <c r="L58" s="148"/>
      <c r="M58" s="44"/>
    </row>
    <row r="59" spans="1:13" ht="15" customHeight="1" x14ac:dyDescent="0.25">
      <c r="A59" s="43"/>
      <c r="B59" s="43"/>
      <c r="C59" s="126"/>
      <c r="D59" s="188"/>
      <c r="E59" s="189"/>
      <c r="F59" s="189"/>
      <c r="G59" s="189"/>
      <c r="H59" s="197"/>
      <c r="I59" s="198"/>
      <c r="J59" s="206"/>
      <c r="K59" s="190"/>
      <c r="L59" s="148"/>
      <c r="M59" s="44"/>
    </row>
    <row r="60" spans="1:13" ht="15" customHeight="1" x14ac:dyDescent="0.25">
      <c r="A60" s="43"/>
      <c r="B60" s="43"/>
      <c r="C60" s="126"/>
      <c r="D60" s="188"/>
      <c r="E60" s="189"/>
      <c r="F60" s="189"/>
      <c r="G60" s="189"/>
      <c r="H60" s="197"/>
      <c r="I60" s="198"/>
      <c r="J60" s="206"/>
      <c r="K60" s="190"/>
      <c r="L60" s="148"/>
      <c r="M60" s="44"/>
    </row>
    <row r="61" spans="1:13" ht="15" customHeight="1" x14ac:dyDescent="0.25">
      <c r="A61" s="43"/>
      <c r="B61" s="43"/>
      <c r="C61" s="126"/>
      <c r="D61" s="188"/>
      <c r="E61" s="189"/>
      <c r="F61" s="189"/>
      <c r="G61" s="189"/>
      <c r="H61" s="197"/>
      <c r="I61" s="198"/>
      <c r="J61" s="206"/>
      <c r="K61" s="190"/>
      <c r="L61" s="148"/>
      <c r="M61" s="44"/>
    </row>
    <row r="62" spans="1:13" ht="15" customHeight="1" x14ac:dyDescent="0.25">
      <c r="A62" s="43"/>
      <c r="B62" s="43"/>
      <c r="C62" s="126"/>
      <c r="D62" s="188"/>
      <c r="E62" s="189"/>
      <c r="F62" s="189"/>
      <c r="G62" s="189"/>
      <c r="H62" s="197"/>
      <c r="I62" s="198"/>
      <c r="J62" s="206"/>
      <c r="K62" s="190"/>
      <c r="L62" s="148"/>
      <c r="M62" s="44"/>
    </row>
    <row r="63" spans="1:13" ht="15" customHeight="1" x14ac:dyDescent="0.25">
      <c r="A63" s="43"/>
      <c r="B63" s="43"/>
      <c r="C63" s="126"/>
      <c r="D63" s="188"/>
      <c r="E63" s="189"/>
      <c r="F63" s="189"/>
      <c r="G63" s="189"/>
      <c r="H63" s="197"/>
      <c r="I63" s="198"/>
      <c r="J63" s="206"/>
      <c r="K63" s="190"/>
      <c r="L63" s="148"/>
      <c r="M63" s="44"/>
    </row>
    <row r="64" spans="1:13" ht="15" customHeight="1" x14ac:dyDescent="0.25">
      <c r="A64" s="43"/>
      <c r="B64" s="43"/>
      <c r="C64" s="126"/>
      <c r="D64" s="188"/>
      <c r="E64" s="189"/>
      <c r="F64" s="189"/>
      <c r="G64" s="189"/>
      <c r="H64" s="197"/>
      <c r="I64" s="198"/>
      <c r="J64" s="206"/>
      <c r="K64" s="190"/>
      <c r="L64" s="148"/>
      <c r="M64" s="44"/>
    </row>
    <row r="65" spans="1:13" ht="15" customHeight="1" x14ac:dyDescent="0.25">
      <c r="A65" s="43"/>
      <c r="B65" s="43"/>
      <c r="C65" s="126"/>
      <c r="D65" s="188"/>
      <c r="E65" s="189"/>
      <c r="F65" s="189"/>
      <c r="G65" s="189"/>
      <c r="H65" s="197"/>
      <c r="I65" s="198"/>
      <c r="J65" s="206"/>
      <c r="K65" s="190"/>
      <c r="L65" s="148"/>
      <c r="M65" s="44"/>
    </row>
    <row r="66" spans="1:13" ht="15" customHeight="1" x14ac:dyDescent="0.25">
      <c r="A66" s="43"/>
      <c r="B66" s="43"/>
      <c r="C66" s="126"/>
      <c r="D66" s="188"/>
      <c r="E66" s="189"/>
      <c r="F66" s="189"/>
      <c r="G66" s="189"/>
      <c r="H66" s="197"/>
      <c r="I66" s="198"/>
      <c r="J66" s="206"/>
      <c r="K66" s="190"/>
      <c r="L66" s="148"/>
      <c r="M66" s="44"/>
    </row>
    <row r="67" spans="1:13" ht="15" customHeight="1" x14ac:dyDescent="0.25">
      <c r="A67" s="43"/>
      <c r="B67" s="43"/>
      <c r="C67" s="126"/>
      <c r="D67" s="188"/>
      <c r="E67" s="189"/>
      <c r="F67" s="189"/>
      <c r="G67" s="189"/>
      <c r="H67" s="197"/>
      <c r="I67" s="198"/>
      <c r="J67" s="206"/>
      <c r="K67" s="190"/>
      <c r="L67" s="148"/>
      <c r="M67" s="44"/>
    </row>
    <row r="68" spans="1:13" ht="15" customHeight="1" x14ac:dyDescent="0.25">
      <c r="A68" s="43"/>
      <c r="B68" s="43"/>
      <c r="C68" s="126"/>
      <c r="D68" s="188"/>
      <c r="E68" s="189"/>
      <c r="F68" s="189"/>
      <c r="G68" s="189"/>
      <c r="H68" s="197"/>
      <c r="I68" s="198"/>
      <c r="J68" s="206"/>
      <c r="K68" s="190"/>
      <c r="L68" s="148"/>
      <c r="M68" s="44"/>
    </row>
    <row r="69" spans="1:13" ht="15" customHeight="1" x14ac:dyDescent="0.25">
      <c r="A69" s="43"/>
      <c r="B69" s="43"/>
      <c r="C69" s="126"/>
      <c r="D69" s="188"/>
      <c r="E69" s="189"/>
      <c r="F69" s="189"/>
      <c r="G69" s="189"/>
      <c r="H69" s="197"/>
      <c r="I69" s="198"/>
      <c r="J69" s="206"/>
      <c r="K69" s="190"/>
      <c r="L69" s="148"/>
      <c r="M69" s="44"/>
    </row>
    <row r="70" spans="1:13" ht="15" customHeight="1" x14ac:dyDescent="0.25">
      <c r="A70" s="43"/>
      <c r="B70" s="43"/>
      <c r="C70" s="126"/>
      <c r="D70" s="188"/>
      <c r="E70" s="189"/>
      <c r="F70" s="189"/>
      <c r="G70" s="189"/>
      <c r="H70" s="197"/>
      <c r="I70" s="198"/>
      <c r="J70" s="206"/>
      <c r="K70" s="190"/>
      <c r="L70" s="148"/>
      <c r="M70" s="44"/>
    </row>
    <row r="71" spans="1:13" ht="15" customHeight="1" x14ac:dyDescent="0.25">
      <c r="A71" s="43"/>
      <c r="B71" s="43"/>
      <c r="C71" s="126"/>
      <c r="D71" s="188"/>
      <c r="E71" s="189"/>
      <c r="F71" s="189"/>
      <c r="G71" s="189"/>
      <c r="H71" s="197"/>
      <c r="I71" s="198"/>
      <c r="J71" s="206"/>
      <c r="K71" s="190"/>
      <c r="L71" s="148"/>
      <c r="M71" s="44"/>
    </row>
    <row r="72" spans="1:13" ht="15" customHeight="1" x14ac:dyDescent="0.25">
      <c r="A72" s="43"/>
      <c r="B72" s="43"/>
      <c r="C72" s="126"/>
      <c r="D72" s="188"/>
      <c r="E72" s="189"/>
      <c r="F72" s="189"/>
      <c r="G72" s="189"/>
      <c r="H72" s="197"/>
      <c r="I72" s="198"/>
      <c r="J72" s="206"/>
      <c r="K72" s="190"/>
      <c r="L72" s="148"/>
      <c r="M72" s="44"/>
    </row>
    <row r="73" spans="1:13" ht="15" customHeight="1" x14ac:dyDescent="0.25">
      <c r="A73" s="43"/>
      <c r="B73" s="43"/>
      <c r="C73" s="126"/>
      <c r="D73" s="188"/>
      <c r="E73" s="189"/>
      <c r="F73" s="189"/>
      <c r="G73" s="189"/>
      <c r="H73" s="197"/>
      <c r="I73" s="198"/>
      <c r="J73" s="206"/>
      <c r="K73" s="190"/>
      <c r="L73" s="148"/>
      <c r="M73" s="44"/>
    </row>
    <row r="74" spans="1:13" ht="15" customHeight="1" x14ac:dyDescent="0.25">
      <c r="A74" s="43"/>
      <c r="B74" s="43"/>
      <c r="C74" s="126"/>
      <c r="D74" s="188"/>
      <c r="E74" s="189"/>
      <c r="F74" s="189"/>
      <c r="G74" s="189"/>
      <c r="H74" s="197"/>
      <c r="I74" s="198"/>
      <c r="J74" s="206"/>
      <c r="K74" s="190"/>
      <c r="L74" s="148"/>
      <c r="M74" s="44"/>
    </row>
    <row r="75" spans="1:13" ht="15" customHeight="1" x14ac:dyDescent="0.25">
      <c r="A75" s="43"/>
      <c r="B75" s="43"/>
      <c r="C75" s="126"/>
      <c r="D75" s="188"/>
      <c r="E75" s="189"/>
      <c r="F75" s="189"/>
      <c r="G75" s="189"/>
      <c r="H75" s="197"/>
      <c r="I75" s="198"/>
      <c r="J75" s="206"/>
      <c r="K75" s="190"/>
      <c r="L75" s="148"/>
      <c r="M75" s="44"/>
    </row>
    <row r="76" spans="1:13" ht="15" customHeight="1" x14ac:dyDescent="0.25">
      <c r="A76" s="43"/>
      <c r="B76" s="43"/>
      <c r="C76" s="126"/>
      <c r="D76" s="188"/>
      <c r="E76" s="189"/>
      <c r="F76" s="189"/>
      <c r="G76" s="189"/>
      <c r="H76" s="197"/>
      <c r="I76" s="198"/>
      <c r="J76" s="206"/>
      <c r="K76" s="190"/>
      <c r="L76" s="148"/>
      <c r="M76" s="44"/>
    </row>
    <row r="77" spans="1:13" ht="15" customHeight="1" x14ac:dyDescent="0.25">
      <c r="A77" s="43"/>
      <c r="B77" s="43"/>
      <c r="C77" s="126"/>
      <c r="D77" s="188"/>
      <c r="E77" s="189"/>
      <c r="F77" s="189"/>
      <c r="G77" s="189"/>
      <c r="H77" s="197"/>
      <c r="I77" s="198"/>
      <c r="J77" s="206"/>
      <c r="K77" s="190"/>
      <c r="L77" s="148"/>
      <c r="M77" s="44"/>
    </row>
    <row r="78" spans="1:13" ht="15" customHeight="1" x14ac:dyDescent="0.25">
      <c r="A78" s="43"/>
      <c r="B78" s="43"/>
      <c r="C78" s="126"/>
      <c r="D78" s="188"/>
      <c r="E78" s="189"/>
      <c r="F78" s="189"/>
      <c r="G78" s="189"/>
      <c r="H78" s="197"/>
      <c r="I78" s="198"/>
      <c r="J78" s="206"/>
      <c r="K78" s="190"/>
      <c r="L78" s="148"/>
    </row>
    <row r="79" spans="1:13" ht="15" customHeight="1" x14ac:dyDescent="0.25">
      <c r="A79" s="43"/>
      <c r="B79" s="43"/>
      <c r="C79" s="126"/>
      <c r="D79" s="188"/>
      <c r="E79" s="189"/>
      <c r="F79" s="189"/>
      <c r="G79" s="189"/>
      <c r="H79" s="197"/>
      <c r="I79" s="198"/>
      <c r="J79" s="206"/>
      <c r="K79" s="190"/>
      <c r="L79" s="148"/>
    </row>
    <row r="80" spans="1:13" ht="15" customHeight="1" x14ac:dyDescent="0.25">
      <c r="A80" s="43"/>
      <c r="B80" s="43"/>
      <c r="C80" s="126"/>
      <c r="D80" s="188"/>
      <c r="E80" s="189"/>
      <c r="F80" s="189"/>
      <c r="G80" s="189"/>
      <c r="H80" s="197"/>
      <c r="I80" s="198"/>
      <c r="J80" s="206"/>
      <c r="K80" s="190"/>
      <c r="L80" s="148"/>
    </row>
    <row r="81" spans="1:12" ht="15" customHeight="1" x14ac:dyDescent="0.25">
      <c r="A81" s="43"/>
      <c r="B81" s="43"/>
      <c r="C81" s="126"/>
      <c r="D81" s="188"/>
      <c r="E81" s="189"/>
      <c r="F81" s="189"/>
      <c r="G81" s="189"/>
      <c r="H81" s="197"/>
      <c r="I81" s="198"/>
      <c r="J81" s="206"/>
      <c r="K81" s="190"/>
      <c r="L81" s="148"/>
    </row>
    <row r="82" spans="1:12" ht="15" customHeight="1" x14ac:dyDescent="0.25">
      <c r="A82" s="43"/>
      <c r="B82" s="43"/>
      <c r="C82" s="126"/>
      <c r="D82" s="188"/>
      <c r="E82" s="189"/>
      <c r="F82" s="189"/>
      <c r="G82" s="189"/>
      <c r="H82" s="197"/>
      <c r="I82" s="198"/>
      <c r="J82" s="206"/>
      <c r="K82" s="190"/>
      <c r="L82" s="148"/>
    </row>
    <row r="83" spans="1:12" ht="15" customHeight="1" x14ac:dyDescent="0.25">
      <c r="A83" s="43"/>
      <c r="B83" s="43"/>
      <c r="C83" s="126"/>
      <c r="D83" s="188"/>
      <c r="E83" s="189"/>
      <c r="F83" s="189"/>
      <c r="G83" s="189"/>
      <c r="H83" s="197"/>
      <c r="I83" s="198"/>
      <c r="J83" s="206"/>
      <c r="K83" s="190"/>
      <c r="L83" s="148"/>
    </row>
    <row r="84" spans="1:12" ht="15" customHeight="1" x14ac:dyDescent="0.25">
      <c r="A84" s="43"/>
      <c r="B84" s="43"/>
      <c r="C84" s="126"/>
      <c r="D84" s="188"/>
      <c r="E84" s="189"/>
      <c r="F84" s="189"/>
      <c r="G84" s="189"/>
      <c r="H84" s="197"/>
      <c r="I84" s="198"/>
      <c r="J84" s="206"/>
      <c r="K84" s="190"/>
      <c r="L84" s="148"/>
    </row>
    <row r="85" spans="1:12" ht="15" customHeight="1" x14ac:dyDescent="0.25">
      <c r="A85" s="43"/>
      <c r="B85" s="43"/>
      <c r="C85" s="126"/>
      <c r="D85" s="188"/>
      <c r="E85" s="189"/>
      <c r="F85" s="189"/>
      <c r="G85" s="189"/>
      <c r="H85" s="197"/>
      <c r="I85" s="198"/>
      <c r="J85" s="206"/>
      <c r="K85" s="190"/>
      <c r="L85" s="148"/>
    </row>
    <row r="86" spans="1:12" ht="15" customHeight="1" x14ac:dyDescent="0.25">
      <c r="A86" s="43"/>
      <c r="B86" s="43"/>
      <c r="C86" s="126"/>
      <c r="D86" s="188"/>
      <c r="E86" s="189"/>
      <c r="F86" s="189"/>
      <c r="G86" s="189"/>
      <c r="H86" s="197"/>
      <c r="I86" s="198"/>
      <c r="J86" s="206"/>
      <c r="K86" s="190"/>
      <c r="L86" s="148"/>
    </row>
    <row r="87" spans="1:12" ht="15" customHeight="1" x14ac:dyDescent="0.2">
      <c r="A87" s="167"/>
      <c r="B87" s="167"/>
      <c r="C87" s="168"/>
      <c r="D87" s="173"/>
      <c r="E87" s="170"/>
      <c r="F87" s="168"/>
      <c r="G87" s="168"/>
      <c r="H87" s="171"/>
      <c r="I87" s="171"/>
      <c r="J87" s="172"/>
      <c r="K87" s="172"/>
      <c r="L87" s="173"/>
    </row>
    <row r="88" spans="1:12" ht="15" customHeight="1" x14ac:dyDescent="0.2">
      <c r="L88" s="44"/>
    </row>
    <row r="89" spans="1:12" ht="15" customHeight="1" x14ac:dyDescent="0.2">
      <c r="L89" s="44"/>
    </row>
    <row r="90" spans="1:12" ht="15" customHeight="1" x14ac:dyDescent="0.2">
      <c r="L90" s="44"/>
    </row>
    <row r="91" spans="1:12" ht="15" customHeight="1" x14ac:dyDescent="0.2">
      <c r="L91" s="44"/>
    </row>
    <row r="92" spans="1:12" ht="15" customHeight="1" x14ac:dyDescent="0.2">
      <c r="L92" s="44"/>
    </row>
    <row r="93" spans="1:12" ht="15" customHeight="1" x14ac:dyDescent="0.2">
      <c r="L93" s="44"/>
    </row>
    <row r="94" spans="1:12" ht="15" customHeight="1" x14ac:dyDescent="0.2">
      <c r="L94" s="44"/>
    </row>
    <row r="95" spans="1:12" ht="15" customHeight="1" x14ac:dyDescent="0.2">
      <c r="L95" s="44"/>
    </row>
    <row r="96" spans="1:12" ht="15" customHeight="1" x14ac:dyDescent="0.2">
      <c r="L96" s="44"/>
    </row>
    <row r="97" spans="12:12" ht="15" customHeight="1" x14ac:dyDescent="0.2">
      <c r="L97" s="44"/>
    </row>
    <row r="98" spans="12:12" ht="15" customHeight="1" x14ac:dyDescent="0.2">
      <c r="L98" s="44"/>
    </row>
    <row r="99" spans="12:12" ht="15" customHeight="1" x14ac:dyDescent="0.2">
      <c r="L99" s="44"/>
    </row>
    <row r="100" spans="12:12" ht="15" customHeight="1" x14ac:dyDescent="0.2">
      <c r="L100" s="44"/>
    </row>
    <row r="101" spans="12:12" ht="15" customHeight="1" x14ac:dyDescent="0.2">
      <c r="L101" s="44"/>
    </row>
    <row r="102" spans="12:12" ht="15" customHeight="1" x14ac:dyDescent="0.2">
      <c r="L102" s="44"/>
    </row>
    <row r="103" spans="12:12" ht="15" customHeight="1" x14ac:dyDescent="0.2">
      <c r="L103" s="44"/>
    </row>
    <row r="104" spans="12:12" ht="15" customHeight="1" x14ac:dyDescent="0.2">
      <c r="L104" s="44"/>
    </row>
    <row r="105" spans="12:12" ht="15" customHeight="1" x14ac:dyDescent="0.2">
      <c r="L105" s="44"/>
    </row>
    <row r="106" spans="12:12" ht="15" customHeight="1" x14ac:dyDescent="0.2">
      <c r="L106" s="44"/>
    </row>
    <row r="107" spans="12:12" ht="15" customHeight="1" x14ac:dyDescent="0.2">
      <c r="L107" s="44"/>
    </row>
    <row r="108" spans="12:12" ht="15" customHeight="1" x14ac:dyDescent="0.2">
      <c r="L108" s="44"/>
    </row>
    <row r="109" spans="12:12" ht="15" customHeight="1" x14ac:dyDescent="0.2">
      <c r="L109" s="44"/>
    </row>
    <row r="110" spans="12:12" ht="15" customHeight="1" x14ac:dyDescent="0.2">
      <c r="L110" s="44"/>
    </row>
    <row r="111" spans="12:12" ht="15" customHeight="1" x14ac:dyDescent="0.2">
      <c r="L111" s="44"/>
    </row>
    <row r="112" spans="12:12" ht="15" customHeight="1" x14ac:dyDescent="0.2">
      <c r="L112" s="44"/>
    </row>
    <row r="113" spans="12:12" ht="15" customHeight="1" x14ac:dyDescent="0.2">
      <c r="L113" s="44"/>
    </row>
    <row r="114" spans="12:12" ht="15" customHeight="1" x14ac:dyDescent="0.2">
      <c r="L114" s="44"/>
    </row>
    <row r="115" spans="12:12" ht="15" customHeight="1" x14ac:dyDescent="0.2">
      <c r="L115" s="44"/>
    </row>
    <row r="116" spans="12:12" ht="15" customHeight="1" x14ac:dyDescent="0.2">
      <c r="L116" s="44"/>
    </row>
    <row r="117" spans="12:12" ht="15" customHeight="1" x14ac:dyDescent="0.2">
      <c r="L117" s="44"/>
    </row>
    <row r="118" spans="12:12" ht="15" customHeight="1" x14ac:dyDescent="0.2">
      <c r="L118" s="44"/>
    </row>
    <row r="119" spans="12:12" ht="15" customHeight="1" x14ac:dyDescent="0.2">
      <c r="L119" s="44"/>
    </row>
    <row r="120" spans="12:12" ht="15" customHeight="1" x14ac:dyDescent="0.2">
      <c r="L120" s="44"/>
    </row>
  </sheetData>
  <conditionalFormatting sqref="N1:N1048576 J87:K1048576">
    <cfRule type="cellIs" dxfId="267" priority="5" operator="lessThan">
      <formula>-0.2</formula>
    </cfRule>
    <cfRule type="cellIs" dxfId="266" priority="6" operator="greaterThan">
      <formula>0.2</formula>
    </cfRule>
  </conditionalFormatting>
  <conditionalFormatting sqref="J2:J52">
    <cfRule type="cellIs" dxfId="265" priority="1" operator="lessThan">
      <formula>-0.2</formula>
    </cfRule>
    <cfRule type="cellIs" dxfId="26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AI84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SQRT(AVERAGE(c_16[x2]))/AVERAGE(c_16[count])</f>
        <v>0.20649824695655783</v>
      </c>
      <c r="O1" s="69">
        <f>LINEST(c_16[flow],c_16[count],FALSE)</f>
        <v>1.1239741120154223</v>
      </c>
      <c r="P1" s="69">
        <f>RSQ(c_16[flow],c_16[count])</f>
        <v>0.69005646116768982</v>
      </c>
      <c r="Q1" s="19">
        <f>IFERROR(AVERAGEIF(c_16[gap],"&gt;=0",c_16[gap]),0)</f>
        <v>0.21357838860906211</v>
      </c>
      <c r="R1" s="20">
        <f>IFERROR(AVERAGEIF(c_16[gap],"&lt;0",c_16[gap]),0)</f>
        <v>-5.1273988545019585E-2</v>
      </c>
      <c r="S1" s="13">
        <f>AVERAGE(c_16[gap])</f>
        <v>0.12529426289103487</v>
      </c>
      <c r="T1" s="18">
        <f>COUNTIFS(c_16[gap],"&lt;10%",c_16[gap],"&gt;=-10%")/COUNTA(c_16[gap])</f>
        <v>0.51851851851851849</v>
      </c>
      <c r="U1" s="18">
        <f>COUNTIFS(c_16[gap],"&lt;20%",c_16[gap],"&gt;=-20%")/COUNTA(c_16[gap])</f>
        <v>0.66666666666666663</v>
      </c>
      <c r="V1" s="18">
        <f>COUNTIFS(c_16[gap],"&lt;30%",c_16[gap],"&gt;=-30%")/COUNTA(c_16[gap])</f>
        <v>0.88888888888888884</v>
      </c>
      <c r="W1" s="19">
        <f>COUNTIF(c_16[gap],"&gt;=0")/COUNTA(c_16[gap])</f>
        <v>0.66666666666666663</v>
      </c>
      <c r="X1" s="21">
        <f>COUNTIF(c_16[gap],"&lt;0")/COUNTA(c_16[gap])</f>
        <v>0.33333333333333331</v>
      </c>
      <c r="Y1" s="39" t="str">
        <f>"%Link(+)="&amp;TEXT(W1,"0%")</f>
        <v>%Link(+)=67%</v>
      </c>
      <c r="Z1" s="39" t="str">
        <f>"%Link(-)="&amp;TEXT(X1,"0%")</f>
        <v>%Link(-)=33%</v>
      </c>
      <c r="AA1" s="36" t="str">
        <f>"AvgGap(+)="&amp;TEXT(Q1,"0%")</f>
        <v>AvgGap(+)=21%</v>
      </c>
      <c r="AB1" s="25" t="str">
        <f>"AvgGap(-)="&amp;TEXT(R1,"0%")</f>
        <v>AvgGap(-)=-5%</v>
      </c>
      <c r="AC1" s="25" t="str">
        <f>"AvgGap(±)="&amp;TEXT(S1,"0%")</f>
        <v>AvgGap(±)=13%</v>
      </c>
      <c r="AD1" s="25" t="str">
        <f>"GapIn(±10%)="&amp;TEXT(T1,"0%")</f>
        <v>GapIn(±10%)=52%</v>
      </c>
      <c r="AE1" s="25" t="str">
        <f>"GapIn(±20%)="&amp;TEXT(U1,"0%")</f>
        <v>GapIn(±20%)=67%</v>
      </c>
      <c r="AF1" s="25" t="str">
        <f>"GapIn(±30%)="&amp;TEXT(V1,"0%")</f>
        <v>GapIn(±30%)=89%</v>
      </c>
      <c r="AG1" s="25" t="str">
        <f>"Linear Slope="&amp;TEXT(O1,"#.###")</f>
        <v>Linear Slope=1.124</v>
      </c>
      <c r="AH1" s="25" t="str">
        <f>"RMSE="&amp;TEXT(N1,"0%")</f>
        <v>RMSE=21%</v>
      </c>
      <c r="AI1" s="25" t="str">
        <f>CONCATENATE(Y1," ",Z1," ",AA1,"  ",AB1,"  ",AC1,"  ",AD1," ",AE1,"  ",AF1,"  ",AG1," ",AH1)</f>
        <v>%Link(+)=67% %Link(-)=33% AvgGap(+)=21%  AvgGap(-)=-5%  AvgGap(±)=13%  GapIn(±10%)=52% GapIn(±20%)=67%  GapIn(±30%)=89%  Linear Slope=1.124 RMSE=21%</v>
      </c>
    </row>
    <row r="2" spans="1:35" ht="15" customHeight="1" x14ac:dyDescent="0.25">
      <c r="A2" s="43">
        <f>'[2]SR-78 WB'!C2</f>
        <v>16</v>
      </c>
      <c r="B2" s="43" t="str">
        <f>'[2]SR-78 WB'!H2</f>
        <v>SR-78 WB</v>
      </c>
      <c r="C2" s="126">
        <f>'[2]SR-78 WB'!E2</f>
        <v>12823</v>
      </c>
      <c r="D2" s="188">
        <f>'[2]SR-78 WB'!I2</f>
        <v>2</v>
      </c>
      <c r="E2" s="189">
        <f>'[2]SR-78 WB'!J2</f>
        <v>0</v>
      </c>
      <c r="F2" s="189" t="str">
        <f>'[2]SR-78 WB'!K2</f>
        <v>CENTRE CITY</v>
      </c>
      <c r="G2" s="189" t="str">
        <f>'[2]SR-78 WB'!L2</f>
        <v>CENTRE CITY</v>
      </c>
      <c r="H2" s="197">
        <f>'[2]SR-78 WB'!O2</f>
        <v>8363</v>
      </c>
      <c r="I2" s="198">
        <f>VLOOKUP(c_16[[#This Row],[hwycov_id]],readme!D:G,4,FALSE)</f>
        <v>9939.8212889999995</v>
      </c>
      <c r="J2" s="206">
        <f t="shared" ref="J2" si="0">I2/H2-1</f>
        <v>0.18854732619873249</v>
      </c>
      <c r="K2" s="190" t="str">
        <f>'[2]SR-78 WB'!P2</f>
        <v>PeMS2016</v>
      </c>
      <c r="L2" s="148">
        <f t="shared" ref="L2" si="1">POWER((I2-H2),2)</f>
        <v>2486365.37744362</v>
      </c>
      <c r="M2" s="44"/>
    </row>
    <row r="3" spans="1:35" ht="15" customHeight="1" x14ac:dyDescent="0.25">
      <c r="A3" s="43">
        <f>'[2]SR-78 WB'!C3</f>
        <v>16</v>
      </c>
      <c r="B3" s="43" t="str">
        <f>'[2]SR-78 WB'!H3</f>
        <v>SR-78 WB</v>
      </c>
      <c r="C3" s="126">
        <f>'[2]SR-78 WB'!E3</f>
        <v>21942</v>
      </c>
      <c r="D3" s="188">
        <f>'[2]SR-78 WB'!I3</f>
        <v>4</v>
      </c>
      <c r="E3" s="189">
        <f>'[2]SR-78 WB'!J3</f>
        <v>0</v>
      </c>
      <c r="F3" s="189" t="str">
        <f>'[2]SR-78 WB'!K3</f>
        <v>I-15 NB</v>
      </c>
      <c r="G3" s="189" t="str">
        <f>'[2]SR-78 WB'!L3</f>
        <v>I-15 SB</v>
      </c>
      <c r="H3" s="197">
        <f>'[2]SR-78 WB'!O3</f>
        <v>5453</v>
      </c>
      <c r="I3" s="198">
        <f>VLOOKUP(c_16[[#This Row],[hwycov_id]],readme!D:G,4,FALSE)</f>
        <v>8255.8037110000005</v>
      </c>
      <c r="J3" s="206">
        <f t="shared" ref="J3:J28" si="2">I3/H3-1</f>
        <v>0.51399297836053548</v>
      </c>
      <c r="K3" s="190" t="str">
        <f>'[2]SR-78 WB'!P3</f>
        <v>PeMS2016</v>
      </c>
      <c r="L3" s="148">
        <f t="shared" ref="L3:L28" si="3">POWER((I3-H3),2)</f>
        <v>7855708.6423953744</v>
      </c>
      <c r="M3" s="44"/>
    </row>
    <row r="4" spans="1:35" ht="15" customHeight="1" x14ac:dyDescent="0.25">
      <c r="A4" s="43">
        <f>'[2]SR-78 WB'!C4</f>
        <v>16</v>
      </c>
      <c r="B4" s="43" t="str">
        <f>'[2]SR-78 WB'!H4</f>
        <v>SR-78 WB</v>
      </c>
      <c r="C4" s="126">
        <f>'[2]SR-78 WB'!E4</f>
        <v>12837</v>
      </c>
      <c r="D4" s="188">
        <f>'[2]SR-78 WB'!I4</f>
        <v>5</v>
      </c>
      <c r="E4" s="189">
        <f>'[2]SR-78 WB'!J4</f>
        <v>0</v>
      </c>
      <c r="F4" s="189" t="str">
        <f>'[2]SR-78 WB'!K4</f>
        <v>I-15 SB</v>
      </c>
      <c r="G4" s="189" t="str">
        <f>'[2]SR-78 WB'!L4</f>
        <v>NORDAHL</v>
      </c>
      <c r="H4" s="197">
        <f>'[2]SR-78 WB'!O4</f>
        <v>18328</v>
      </c>
      <c r="I4" s="198">
        <f>VLOOKUP(c_16[[#This Row],[hwycov_id]],readme!D:G,4,FALSE)</f>
        <v>22530.097656000002</v>
      </c>
      <c r="J4" s="206">
        <f t="shared" si="2"/>
        <v>0.22927202400698388</v>
      </c>
      <c r="K4" s="190" t="str">
        <f>'[2]SR-78 WB'!P4</f>
        <v>PeMS2016</v>
      </c>
      <c r="L4" s="148">
        <f t="shared" si="3"/>
        <v>17657624.710560709</v>
      </c>
      <c r="M4" s="44"/>
    </row>
    <row r="5" spans="1:35" ht="15" customHeight="1" x14ac:dyDescent="0.25">
      <c r="A5" s="43">
        <f>'[2]SR-78 WB'!C5</f>
        <v>16</v>
      </c>
      <c r="B5" s="43" t="str">
        <f>'[2]SR-78 WB'!H5</f>
        <v>SR-78 WB</v>
      </c>
      <c r="C5" s="126">
        <f>'[2]SR-78 WB'!E5</f>
        <v>8054</v>
      </c>
      <c r="D5" s="188">
        <f>'[2]SR-78 WB'!I5</f>
        <v>6</v>
      </c>
      <c r="E5" s="189">
        <f>'[2]SR-78 WB'!J5</f>
        <v>0</v>
      </c>
      <c r="F5" s="189" t="str">
        <f>'[2]SR-78 WB'!K5</f>
        <v>NORDAHL</v>
      </c>
      <c r="G5" s="189" t="str">
        <f>'[2]SR-78 WB'!L5</f>
        <v>NORDAHL</v>
      </c>
      <c r="H5" s="197">
        <f>'[2]SR-78 WB'!O5</f>
        <v>15330</v>
      </c>
      <c r="I5" s="198">
        <f>VLOOKUP(c_16[[#This Row],[hwycov_id]],readme!D:G,4,FALSE)</f>
        <v>20062.041015999999</v>
      </c>
      <c r="J5" s="206">
        <f t="shared" si="2"/>
        <v>0.30867847462491849</v>
      </c>
      <c r="K5" s="190" t="str">
        <f>'[2]SR-78 WB'!P5</f>
        <v>PeMS2016</v>
      </c>
      <c r="L5" s="148">
        <f t="shared" si="3"/>
        <v>22392212.177106306</v>
      </c>
      <c r="M5" s="44"/>
    </row>
    <row r="6" spans="1:35" ht="15" customHeight="1" x14ac:dyDescent="0.25">
      <c r="A6" s="43">
        <f>'[2]SR-78 WB'!C6</f>
        <v>16</v>
      </c>
      <c r="B6" s="43" t="str">
        <f>'[2]SR-78 WB'!H6</f>
        <v>SR-78 WB</v>
      </c>
      <c r="C6" s="126">
        <f>'[2]SR-78 WB'!E6</f>
        <v>23557</v>
      </c>
      <c r="D6" s="188">
        <f>'[2]SR-78 WB'!I6</f>
        <v>7</v>
      </c>
      <c r="E6" s="189">
        <f>'[2]SR-78 WB'!J6</f>
        <v>0</v>
      </c>
      <c r="F6" s="189" t="str">
        <f>'[2]SR-78 WB'!K6</f>
        <v>NORDAHL</v>
      </c>
      <c r="G6" s="189" t="str">
        <f>'[2]SR-78 WB'!L6</f>
        <v>WOODLAND</v>
      </c>
      <c r="H6" s="197">
        <f>'[2]SR-78 WB'!O6</f>
        <v>14890</v>
      </c>
      <c r="I6" s="198">
        <f>VLOOKUP(c_16[[#This Row],[hwycov_id]],readme!D:G,4,FALSE)</f>
        <v>22982.552734000001</v>
      </c>
      <c r="J6" s="206">
        <f t="shared" si="2"/>
        <v>0.5434891023505708</v>
      </c>
      <c r="K6" s="190" t="str">
        <f>'[2]SR-78 WB'!P6</f>
        <v>PeMS2016</v>
      </c>
      <c r="L6" s="148">
        <f t="shared" si="3"/>
        <v>65489409.75257089</v>
      </c>
      <c r="M6" s="44"/>
    </row>
    <row r="7" spans="1:35" ht="15" customHeight="1" x14ac:dyDescent="0.25">
      <c r="A7" s="43">
        <f>'[2]SR-78 WB'!C7</f>
        <v>16</v>
      </c>
      <c r="B7" s="43" t="str">
        <f>'[2]SR-78 WB'!H7</f>
        <v>SR-78 WB</v>
      </c>
      <c r="C7" s="126">
        <f>'[2]SR-78 WB'!E7</f>
        <v>8056</v>
      </c>
      <c r="D7" s="188">
        <f>'[2]SR-78 WB'!I7</f>
        <v>9</v>
      </c>
      <c r="E7" s="189">
        <f>'[2]SR-78 WB'!J7</f>
        <v>0</v>
      </c>
      <c r="F7" s="189" t="str">
        <f>'[2]SR-78 WB'!K7</f>
        <v>WOODLAND</v>
      </c>
      <c r="G7" s="189" t="str">
        <f>'[2]SR-78 WB'!L7</f>
        <v>WOODLAND</v>
      </c>
      <c r="H7" s="197">
        <f>'[2]SR-78 WB'!O7</f>
        <v>17628</v>
      </c>
      <c r="I7" s="198">
        <f>VLOOKUP(c_16[[#This Row],[hwycov_id]],readme!D:G,4,FALSE)</f>
        <v>21649.298827999999</v>
      </c>
      <c r="J7" s="206">
        <f t="shared" si="2"/>
        <v>0.22811996982073968</v>
      </c>
      <c r="K7" s="190" t="str">
        <f>'[2]SR-78 WB'!P7</f>
        <v>PeMS2016</v>
      </c>
      <c r="L7" s="148">
        <f t="shared" si="3"/>
        <v>16170844.264074165</v>
      </c>
      <c r="M7" s="44"/>
    </row>
    <row r="8" spans="1:35" ht="15" customHeight="1" x14ac:dyDescent="0.25">
      <c r="A8" s="43">
        <f>'[2]SR-78 WB'!C8</f>
        <v>16</v>
      </c>
      <c r="B8" s="43" t="str">
        <f>'[2]SR-78 WB'!H8</f>
        <v>SR-78 WB</v>
      </c>
      <c r="C8" s="126">
        <f>'[2]SR-78 WB'!E8</f>
        <v>30080</v>
      </c>
      <c r="D8" s="188">
        <f>'[2]SR-78 WB'!I8</f>
        <v>12</v>
      </c>
      <c r="E8" s="189">
        <f>'[2]SR-78 WB'!J8</f>
        <v>0</v>
      </c>
      <c r="F8" s="189" t="str">
        <f>'[2]SR-78 WB'!K8</f>
        <v>TWIN OAKS VALLEY</v>
      </c>
      <c r="G8" s="189" t="str">
        <f>'[2]SR-78 WB'!L8</f>
        <v>TWIN OAKS VALLEY</v>
      </c>
      <c r="H8" s="197">
        <f>'[2]SR-78 WB'!O8</f>
        <v>16167</v>
      </c>
      <c r="I8" s="198">
        <f>VLOOKUP(c_16[[#This Row],[hwycov_id]],readme!D:G,4,FALSE)</f>
        <v>20594.105468999998</v>
      </c>
      <c r="J8" s="206">
        <f t="shared" si="2"/>
        <v>0.27383592930042666</v>
      </c>
      <c r="K8" s="190" t="str">
        <f>'[2]SR-78 WB'!P8</f>
        <v>PeMS2016</v>
      </c>
      <c r="L8" s="148">
        <f t="shared" si="3"/>
        <v>19599262.833649695</v>
      </c>
      <c r="M8" s="44"/>
    </row>
    <row r="9" spans="1:35" ht="15" customHeight="1" x14ac:dyDescent="0.25">
      <c r="A9" s="43">
        <f>'[2]SR-78 WB'!C9</f>
        <v>16</v>
      </c>
      <c r="B9" s="43" t="str">
        <f>'[2]SR-78 WB'!H9</f>
        <v>SR-78 WB</v>
      </c>
      <c r="C9" s="126">
        <f>'[2]SR-78 WB'!E9</f>
        <v>474</v>
      </c>
      <c r="D9" s="188">
        <f>'[2]SR-78 WB'!I9</f>
        <v>15</v>
      </c>
      <c r="E9" s="189">
        <f>'[2]SR-78 WB'!J9</f>
        <v>0</v>
      </c>
      <c r="F9" s="189" t="str">
        <f>'[2]SR-78 WB'!K9</f>
        <v>SAN MARCOS</v>
      </c>
      <c r="G9" s="189" t="str">
        <f>'[2]SR-78 WB'!L9</f>
        <v>SAN MARCOS</v>
      </c>
      <c r="H9" s="197">
        <f>'[2]SR-78 WB'!O9</f>
        <v>15802</v>
      </c>
      <c r="I9" s="198">
        <f>VLOOKUP(c_16[[#This Row],[hwycov_id]],readme!D:G,4,FALSE)</f>
        <v>19872.023438</v>
      </c>
      <c r="J9" s="206">
        <f t="shared" si="2"/>
        <v>0.25756381711175802</v>
      </c>
      <c r="K9" s="190" t="str">
        <f>'[2]SR-78 WB'!P9</f>
        <v>PeMS2016</v>
      </c>
      <c r="L9" s="148">
        <f t="shared" si="3"/>
        <v>16565090.785869341</v>
      </c>
      <c r="M9" s="44"/>
    </row>
    <row r="10" spans="1:35" ht="15" customHeight="1" x14ac:dyDescent="0.25">
      <c r="A10" s="43">
        <f>'[2]SR-78 WB'!C10</f>
        <v>16</v>
      </c>
      <c r="B10" s="43" t="str">
        <f>'[2]SR-78 WB'!H10</f>
        <v>SR-78 WB</v>
      </c>
      <c r="C10" s="126">
        <f>'[2]SR-78 WB'!E10</f>
        <v>8057</v>
      </c>
      <c r="D10" s="188">
        <f>'[2]SR-78 WB'!I10</f>
        <v>16</v>
      </c>
      <c r="E10" s="189">
        <f>'[2]SR-78 WB'!J10</f>
        <v>0</v>
      </c>
      <c r="F10" s="189" t="str">
        <f>'[2]SR-78 WB'!K10</f>
        <v>SAN MARCOS</v>
      </c>
      <c r="G10" s="189" t="str">
        <f>'[2]SR-78 WB'!L10</f>
        <v>SAN MARCOS</v>
      </c>
      <c r="H10" s="197">
        <f>'[2]SR-78 WB'!O10</f>
        <v>16187</v>
      </c>
      <c r="I10" s="198">
        <f>VLOOKUP(c_16[[#This Row],[hwycov_id]],readme!D:G,4,FALSE)</f>
        <v>20437.679688</v>
      </c>
      <c r="J10" s="206">
        <f t="shared" si="2"/>
        <v>0.26259836214245991</v>
      </c>
      <c r="K10" s="190" t="str">
        <f>'[2]SR-78 WB'!P10</f>
        <v>PeMS2016</v>
      </c>
      <c r="L10" s="148">
        <f t="shared" si="3"/>
        <v>18068277.809975781</v>
      </c>
      <c r="M10" s="44"/>
    </row>
    <row r="11" spans="1:35" ht="15" customHeight="1" x14ac:dyDescent="0.25">
      <c r="A11" s="43">
        <f>'[2]SR-78 WB'!C11</f>
        <v>16</v>
      </c>
      <c r="B11" s="43" t="str">
        <f>'[2]SR-78 WB'!H11</f>
        <v>SR-78 WB</v>
      </c>
      <c r="C11" s="126">
        <f>'[2]SR-78 WB'!E11</f>
        <v>16430</v>
      </c>
      <c r="D11" s="188">
        <f>'[2]SR-78 WB'!I11</f>
        <v>21</v>
      </c>
      <c r="E11" s="189">
        <f>'[2]SR-78 WB'!J11</f>
        <v>0</v>
      </c>
      <c r="F11" s="189" t="str">
        <f>'[2]SR-78 WB'!K11</f>
        <v>LAS POSAS</v>
      </c>
      <c r="G11" s="189" t="str">
        <f>'[2]SR-78 WB'!L11</f>
        <v>LAS POSAS</v>
      </c>
      <c r="H11" s="197">
        <f>'[2]SR-78 WB'!O11</f>
        <v>13498</v>
      </c>
      <c r="I11" s="198">
        <f>VLOOKUP(c_16[[#This Row],[hwycov_id]],readme!D:G,4,FALSE)</f>
        <v>16431.582031000002</v>
      </c>
      <c r="J11" s="206">
        <f t="shared" si="2"/>
        <v>0.21733457038079718</v>
      </c>
      <c r="K11" s="190" t="str">
        <f>'[2]SR-78 WB'!P11</f>
        <v>PeMS2016</v>
      </c>
      <c r="L11" s="148">
        <f t="shared" si="3"/>
        <v>8605903.5326060951</v>
      </c>
      <c r="M11" s="44"/>
    </row>
    <row r="12" spans="1:35" ht="15" customHeight="1" x14ac:dyDescent="0.25">
      <c r="A12" s="43">
        <f>'[2]SR-78 WB'!C12</f>
        <v>16</v>
      </c>
      <c r="B12" s="43" t="str">
        <f>'[2]SR-78 WB'!H12</f>
        <v>SR-78 WB</v>
      </c>
      <c r="C12" s="126">
        <f>'[2]SR-78 WB'!E12</f>
        <v>16427</v>
      </c>
      <c r="D12" s="188">
        <f>'[2]SR-78 WB'!I12</f>
        <v>22</v>
      </c>
      <c r="E12" s="189">
        <f>'[2]SR-78 WB'!J12</f>
        <v>0</v>
      </c>
      <c r="F12" s="189" t="str">
        <f>'[2]SR-78 WB'!K12</f>
        <v>LAS POSAS</v>
      </c>
      <c r="G12" s="189" t="str">
        <f>'[2]SR-78 WB'!L12</f>
        <v>RANCHO SANTA FE</v>
      </c>
      <c r="H12" s="197">
        <f>'[2]SR-78 WB'!O12</f>
        <v>18053</v>
      </c>
      <c r="I12" s="198">
        <f>VLOOKUP(c_16[[#This Row],[hwycov_id]],readme!D:G,4,FALSE)</f>
        <v>16431.582031000002</v>
      </c>
      <c r="J12" s="206">
        <f t="shared" si="2"/>
        <v>-8.9814322771838428E-2</v>
      </c>
      <c r="K12" s="190" t="str">
        <f>'[2]SR-78 WB'!P12</f>
        <v>Caltran</v>
      </c>
      <c r="L12" s="148">
        <f t="shared" si="3"/>
        <v>2628996.2301960792</v>
      </c>
      <c r="M12" s="44"/>
    </row>
    <row r="13" spans="1:35" ht="15" customHeight="1" x14ac:dyDescent="0.25">
      <c r="A13" s="43">
        <f>'[2]SR-78 WB'!C13</f>
        <v>16</v>
      </c>
      <c r="B13" s="43" t="str">
        <f>'[2]SR-78 WB'!H13</f>
        <v>SR-78 WB</v>
      </c>
      <c r="C13" s="126">
        <f>'[2]SR-78 WB'!E13</f>
        <v>29183</v>
      </c>
      <c r="D13" s="188">
        <f>'[2]SR-78 WB'!I13</f>
        <v>24</v>
      </c>
      <c r="E13" s="189">
        <f>'[2]SR-78 WB'!J13</f>
        <v>0</v>
      </c>
      <c r="F13" s="189" t="str">
        <f>'[2]SR-78 WB'!K13</f>
        <v>RANCHO SANTA FE</v>
      </c>
      <c r="G13" s="189" t="str">
        <f>'[2]SR-78 WB'!L13</f>
        <v>RANCHO SANTA FE</v>
      </c>
      <c r="H13" s="197">
        <f>'[2]SR-78 WB'!O13</f>
        <v>16131</v>
      </c>
      <c r="I13" s="198">
        <f>VLOOKUP(c_16[[#This Row],[hwycov_id]],readme!D:G,4,FALSE)</f>
        <v>18936.142577999999</v>
      </c>
      <c r="J13" s="206">
        <f t="shared" si="2"/>
        <v>0.17389762432583211</v>
      </c>
      <c r="K13" s="190" t="str">
        <f>'[2]SR-78 WB'!P13</f>
        <v>PeMS2016</v>
      </c>
      <c r="L13" s="148">
        <f t="shared" si="3"/>
        <v>7868824.8829084812</v>
      </c>
      <c r="M13" s="44"/>
    </row>
    <row r="14" spans="1:35" ht="15" customHeight="1" x14ac:dyDescent="0.25">
      <c r="A14" s="43">
        <f>'[2]SR-78 WB'!C14</f>
        <v>16</v>
      </c>
      <c r="B14" s="43" t="str">
        <f>'[2]SR-78 WB'!H14</f>
        <v>SR-78 WB</v>
      </c>
      <c r="C14" s="126">
        <f>'[2]SR-78 WB'!E14</f>
        <v>3207</v>
      </c>
      <c r="D14" s="188">
        <f>'[2]SR-78 WB'!I14</f>
        <v>25</v>
      </c>
      <c r="E14" s="189">
        <f>'[2]SR-78 WB'!J14</f>
        <v>0</v>
      </c>
      <c r="F14" s="189" t="str">
        <f>'[2]SR-78 WB'!K14</f>
        <v>RANCHO SANTA FE</v>
      </c>
      <c r="G14" s="189" t="str">
        <f>'[2]SR-78 WB'!L14</f>
        <v>SYCAMORE</v>
      </c>
      <c r="H14" s="197">
        <f>'[2]SR-78 WB'!O14</f>
        <v>17701</v>
      </c>
      <c r="I14" s="198">
        <f>VLOOKUP(c_16[[#This Row],[hwycov_id]],readme!D:G,4,FALSE)</f>
        <v>21085.214843999998</v>
      </c>
      <c r="J14" s="206">
        <f t="shared" si="2"/>
        <v>0.1911877771877295</v>
      </c>
      <c r="K14" s="190" t="str">
        <f>'[2]SR-78 WB'!P14</f>
        <v>Caltran</v>
      </c>
      <c r="L14" s="148">
        <f t="shared" si="3"/>
        <v>11452910.110349933</v>
      </c>
      <c r="M14" s="44"/>
    </row>
    <row r="15" spans="1:35" ht="15" customHeight="1" x14ac:dyDescent="0.25">
      <c r="A15" s="43">
        <f>'[2]SR-78 WB'!C15</f>
        <v>16</v>
      </c>
      <c r="B15" s="43" t="str">
        <f>'[2]SR-78 WB'!H15</f>
        <v>SR-78 WB</v>
      </c>
      <c r="C15" s="126">
        <f>'[2]SR-78 WB'!E15</f>
        <v>8839</v>
      </c>
      <c r="D15" s="188">
        <f>'[2]SR-78 WB'!I15</f>
        <v>29</v>
      </c>
      <c r="E15" s="189">
        <f>'[2]SR-78 WB'!J15</f>
        <v>0</v>
      </c>
      <c r="F15" s="189" t="str">
        <f>'[2]SR-78 WB'!K15</f>
        <v>SYCAMORE</v>
      </c>
      <c r="G15" s="189" t="str">
        <f>'[2]SR-78 WB'!L15</f>
        <v>SYCAMORE</v>
      </c>
      <c r="H15" s="197">
        <f>'[2]SR-78 WB'!O15</f>
        <v>14936</v>
      </c>
      <c r="I15" s="198">
        <f>VLOOKUP(c_16[[#This Row],[hwycov_id]],readme!D:G,4,FALSE)</f>
        <v>17853.105468999998</v>
      </c>
      <c r="J15" s="206">
        <f t="shared" si="2"/>
        <v>0.19530700783342247</v>
      </c>
      <c r="K15" s="190" t="str">
        <f>'[2]SR-78 WB'!P15</f>
        <v>PeMS2016</v>
      </c>
      <c r="L15" s="148">
        <f t="shared" si="3"/>
        <v>8509504.3172696996</v>
      </c>
      <c r="M15" s="44"/>
    </row>
    <row r="16" spans="1:35" ht="15" customHeight="1" x14ac:dyDescent="0.25">
      <c r="A16" s="43">
        <f>'[2]SR-78 WB'!C16</f>
        <v>16</v>
      </c>
      <c r="B16" s="43" t="str">
        <f>'[2]SR-78 WB'!H16</f>
        <v>SR-78 WB</v>
      </c>
      <c r="C16" s="126">
        <f>'[2]SR-78 WB'!E16</f>
        <v>8058</v>
      </c>
      <c r="D16" s="188">
        <f>'[2]SR-78 WB'!I16</f>
        <v>31</v>
      </c>
      <c r="E16" s="189">
        <f>'[2]SR-78 WB'!J16</f>
        <v>0</v>
      </c>
      <c r="F16" s="189" t="str">
        <f>'[2]SR-78 WB'!K16</f>
        <v>MAR VISTA</v>
      </c>
      <c r="G16" s="189" t="str">
        <f>'[2]SR-78 WB'!L16</f>
        <v>MAR VISTA</v>
      </c>
      <c r="H16" s="197">
        <f>'[2]SR-78 WB'!O16</f>
        <v>17762</v>
      </c>
      <c r="I16" s="198">
        <f>VLOOKUP(c_16[[#This Row],[hwycov_id]],readme!D:G,4,FALSE)</f>
        <v>18103.460938</v>
      </c>
      <c r="J16" s="206">
        <f t="shared" si="2"/>
        <v>1.9224239274856503E-2</v>
      </c>
      <c r="K16" s="190" t="str">
        <f>'[2]SR-78 WB'!P16</f>
        <v>PeMS2016</v>
      </c>
      <c r="L16" s="148">
        <f t="shared" si="3"/>
        <v>116595.57217983996</v>
      </c>
      <c r="M16" s="44"/>
    </row>
    <row r="17" spans="1:16" ht="15" customHeight="1" x14ac:dyDescent="0.25">
      <c r="A17" s="43">
        <f>'[2]SR-78 WB'!C17</f>
        <v>16</v>
      </c>
      <c r="B17" s="43" t="str">
        <f>'[2]SR-78 WB'!H17</f>
        <v>SR-78 WB</v>
      </c>
      <c r="C17" s="126">
        <f>'[2]SR-78 WB'!E17</f>
        <v>8059</v>
      </c>
      <c r="D17" s="188">
        <f>'[2]SR-78 WB'!I17</f>
        <v>33</v>
      </c>
      <c r="E17" s="189">
        <f>'[2]SR-78 WB'!J17</f>
        <v>0</v>
      </c>
      <c r="F17" s="189" t="str">
        <f>'[2]SR-78 WB'!K17</f>
        <v>SUNSET</v>
      </c>
      <c r="G17" s="189" t="str">
        <f>'[2]SR-78 WB'!L17</f>
        <v>SUNSET</v>
      </c>
      <c r="H17" s="197">
        <f>'[2]SR-78 WB'!O17</f>
        <v>15856</v>
      </c>
      <c r="I17" s="198">
        <f>VLOOKUP(c_16[[#This Row],[hwycov_id]],readme!D:G,4,FALSE)</f>
        <v>15585.291992</v>
      </c>
      <c r="J17" s="206">
        <f t="shared" si="2"/>
        <v>-1.7072906659939435E-2</v>
      </c>
      <c r="K17" s="190" t="str">
        <f>'[2]SR-78 WB'!P17</f>
        <v>PeMS2016</v>
      </c>
      <c r="L17" s="148">
        <f t="shared" si="3"/>
        <v>73282.825595327857</v>
      </c>
      <c r="M17" s="44"/>
    </row>
    <row r="18" spans="1:16" ht="15" customHeight="1" x14ac:dyDescent="0.25">
      <c r="A18" s="43">
        <f>'[2]SR-78 WB'!C18</f>
        <v>16</v>
      </c>
      <c r="B18" s="43" t="str">
        <f>'[2]SR-78 WB'!H18</f>
        <v>SR-78 WB</v>
      </c>
      <c r="C18" s="126">
        <f>'[2]SR-78 WB'!E18</f>
        <v>8834</v>
      </c>
      <c r="D18" s="188">
        <f>'[2]SR-78 WB'!I18</f>
        <v>35</v>
      </c>
      <c r="E18" s="189">
        <f>'[2]SR-78 WB'!J18</f>
        <v>0</v>
      </c>
      <c r="F18" s="189" t="str">
        <f>'[2]SR-78 WB'!K18</f>
        <v>MELROSE</v>
      </c>
      <c r="G18" s="189" t="str">
        <f>'[2]SR-78 WB'!L18</f>
        <v>MELROSE</v>
      </c>
      <c r="H18" s="197">
        <f>'[2]SR-78 WB'!O18</f>
        <v>12472</v>
      </c>
      <c r="I18" s="198">
        <f>VLOOKUP(c_16[[#This Row],[hwycov_id]],readme!D:G,4,FALSE)</f>
        <v>13471.100586</v>
      </c>
      <c r="J18" s="206">
        <f t="shared" si="2"/>
        <v>8.0107487652341325E-2</v>
      </c>
      <c r="K18" s="190" t="str">
        <f>'[2]SR-78 WB'!P18</f>
        <v>PeMS2016</v>
      </c>
      <c r="L18" s="148">
        <f t="shared" si="3"/>
        <v>998201.98094554432</v>
      </c>
      <c r="M18" s="44"/>
    </row>
    <row r="19" spans="1:16" ht="15" customHeight="1" x14ac:dyDescent="0.25">
      <c r="A19" s="43">
        <f>'[2]SR-78 WB'!C19</f>
        <v>16</v>
      </c>
      <c r="B19" s="43" t="str">
        <f>'[2]SR-78 WB'!H19</f>
        <v>SR-78 WB</v>
      </c>
      <c r="C19" s="126">
        <f>'[2]SR-78 WB'!E19</f>
        <v>27248</v>
      </c>
      <c r="D19" s="188">
        <f>'[2]SR-78 WB'!I19</f>
        <v>36</v>
      </c>
      <c r="E19" s="189">
        <f>'[2]SR-78 WB'!J19</f>
        <v>0</v>
      </c>
      <c r="F19" s="189" t="str">
        <f>'[2]SR-78 WB'!K19</f>
        <v>MELROSE</v>
      </c>
      <c r="G19" s="189" t="str">
        <f>'[2]SR-78 WB'!L19</f>
        <v>MELROSE</v>
      </c>
      <c r="H19" s="197">
        <f>'[2]SR-78 WB'!O19</f>
        <v>12472</v>
      </c>
      <c r="I19" s="198">
        <f>VLOOKUP(c_16[[#This Row],[hwycov_id]],readme!D:G,4,FALSE)</f>
        <v>13471.100586</v>
      </c>
      <c r="J19" s="206">
        <f t="shared" si="2"/>
        <v>8.0107487652341325E-2</v>
      </c>
      <c r="K19" s="190" t="str">
        <f>'[2]SR-78 WB'!P19</f>
        <v>PeMS2016</v>
      </c>
      <c r="L19" s="148">
        <f t="shared" si="3"/>
        <v>998201.98094554432</v>
      </c>
      <c r="M19" s="44"/>
    </row>
    <row r="20" spans="1:16" ht="15" customHeight="1" x14ac:dyDescent="0.25">
      <c r="A20" s="43">
        <f>'[2]SR-78 WB'!C20</f>
        <v>16</v>
      </c>
      <c r="B20" s="43" t="str">
        <f>'[2]SR-78 WB'!H20</f>
        <v>SR-78 WB</v>
      </c>
      <c r="C20" s="126">
        <f>'[2]SR-78 WB'!E20</f>
        <v>28849</v>
      </c>
      <c r="D20" s="188">
        <f>'[2]SR-78 WB'!I20</f>
        <v>37</v>
      </c>
      <c r="E20" s="189">
        <f>'[2]SR-78 WB'!J20</f>
        <v>0</v>
      </c>
      <c r="F20" s="189" t="str">
        <f>'[2]SR-78 WB'!K20</f>
        <v>MELROSE</v>
      </c>
      <c r="G20" s="189" t="str">
        <f>'[2]SR-78 WB'!L20</f>
        <v>MELROSE</v>
      </c>
      <c r="H20" s="197">
        <f>'[2]SR-78 WB'!O20</f>
        <v>14491</v>
      </c>
      <c r="I20" s="198">
        <f>VLOOKUP(c_16[[#This Row],[hwycov_id]],readme!D:G,4,FALSE)</f>
        <v>14762.392578000001</v>
      </c>
      <c r="J20" s="206">
        <f t="shared" si="2"/>
        <v>1.8728354012835569E-2</v>
      </c>
      <c r="K20" s="190" t="str">
        <f>'[2]SR-78 WB'!P20</f>
        <v>PeMS2016</v>
      </c>
      <c r="L20" s="148">
        <f t="shared" si="3"/>
        <v>73653.931393486549</v>
      </c>
      <c r="M20" s="44"/>
    </row>
    <row r="21" spans="1:16" ht="15" customHeight="1" x14ac:dyDescent="0.25">
      <c r="A21" s="43">
        <f>'[2]SR-78 WB'!C21</f>
        <v>16</v>
      </c>
      <c r="B21" s="43" t="str">
        <f>'[2]SR-78 WB'!H21</f>
        <v>SR-78 WB</v>
      </c>
      <c r="C21" s="126">
        <f>'[2]SR-78 WB'!E21</f>
        <v>16564</v>
      </c>
      <c r="D21" s="188">
        <f>'[2]SR-78 WB'!I21</f>
        <v>39</v>
      </c>
      <c r="E21" s="189">
        <f>'[2]SR-78 WB'!J21</f>
        <v>0</v>
      </c>
      <c r="F21" s="189" t="str">
        <f>'[2]SR-78 WB'!K21</f>
        <v>EMERALD</v>
      </c>
      <c r="G21" s="189" t="str">
        <f>'[2]SR-78 WB'!L21</f>
        <v>EMERALD</v>
      </c>
      <c r="H21" s="197">
        <f>'[2]SR-78 WB'!O21</f>
        <v>12863</v>
      </c>
      <c r="I21" s="198">
        <f>VLOOKUP(c_16[[#This Row],[hwycov_id]],readme!D:G,4,FALSE)</f>
        <v>12627.659180000001</v>
      </c>
      <c r="J21" s="206">
        <f t="shared" si="2"/>
        <v>-1.8295951177796699E-2</v>
      </c>
      <c r="K21" s="190" t="str">
        <f>'[2]SR-78 WB'!P21</f>
        <v>PeMS2016</v>
      </c>
      <c r="L21" s="148">
        <f t="shared" si="3"/>
        <v>55385.301558272135</v>
      </c>
      <c r="M21" s="44"/>
    </row>
    <row r="22" spans="1:16" ht="15" customHeight="1" x14ac:dyDescent="0.25">
      <c r="A22" s="43">
        <f>'[2]SR-78 WB'!C22</f>
        <v>16</v>
      </c>
      <c r="B22" s="43" t="str">
        <f>'[2]SR-78 WB'!H22</f>
        <v>SR-78 WB</v>
      </c>
      <c r="C22" s="126">
        <f>'[2]SR-78 WB'!E22</f>
        <v>12578</v>
      </c>
      <c r="D22" s="188">
        <f>'[2]SR-78 WB'!I22</f>
        <v>41</v>
      </c>
      <c r="E22" s="189">
        <f>'[2]SR-78 WB'!J22</f>
        <v>0</v>
      </c>
      <c r="F22" s="189" t="str">
        <f>'[2]SR-78 WB'!K22</f>
        <v>VISTA WY</v>
      </c>
      <c r="G22" s="189" t="str">
        <f>'[2]SR-78 WB'!L22</f>
        <v>VISTA WY</v>
      </c>
      <c r="H22" s="197">
        <f>'[2]SR-78 WB'!O22</f>
        <v>11913</v>
      </c>
      <c r="I22" s="198">
        <f>VLOOKUP(c_16[[#This Row],[hwycov_id]],readme!D:G,4,FALSE)</f>
        <v>11507.895508</v>
      </c>
      <c r="J22" s="206">
        <f t="shared" si="2"/>
        <v>-3.4005245697977027E-2</v>
      </c>
      <c r="K22" s="190" t="str">
        <f>'[2]SR-78 WB'!P22</f>
        <v>PeMS2016</v>
      </c>
      <c r="L22" s="148">
        <f t="shared" si="3"/>
        <v>164109.64943857837</v>
      </c>
      <c r="M22" s="44"/>
    </row>
    <row r="23" spans="1:16" ht="15" customHeight="1" x14ac:dyDescent="0.25">
      <c r="A23" s="43">
        <f>'[2]SR-78 WB'!C23</f>
        <v>16</v>
      </c>
      <c r="B23" s="43" t="str">
        <f>'[2]SR-78 WB'!H23</f>
        <v>SR-78 WB</v>
      </c>
      <c r="C23" s="126">
        <f>'[2]SR-78 WB'!E23</f>
        <v>12579</v>
      </c>
      <c r="D23" s="188">
        <f>'[2]SR-78 WB'!I23</f>
        <v>42</v>
      </c>
      <c r="E23" s="189">
        <f>'[2]SR-78 WB'!J23</f>
        <v>0</v>
      </c>
      <c r="F23" s="189" t="str">
        <f>'[2]SR-78 WB'!K23</f>
        <v>VISTA WY</v>
      </c>
      <c r="G23" s="189" t="str">
        <f>'[2]SR-78 WB'!L23</f>
        <v>COLLEGE</v>
      </c>
      <c r="H23" s="197">
        <f>'[2]SR-78 WB'!O23</f>
        <v>13748</v>
      </c>
      <c r="I23" s="198">
        <f>VLOOKUP(c_16[[#This Row],[hwycov_id]],readme!D:G,4,FALSE)</f>
        <v>12686.825194999999</v>
      </c>
      <c r="J23" s="206">
        <f t="shared" si="2"/>
        <v>-7.7187576738434682E-2</v>
      </c>
      <c r="K23" s="190" t="str">
        <f>'[2]SR-78 WB'!P23</f>
        <v>PeMS2016</v>
      </c>
      <c r="L23" s="148">
        <f t="shared" si="3"/>
        <v>1126091.9667667893</v>
      </c>
      <c r="M23" s="44"/>
    </row>
    <row r="24" spans="1:16" ht="15" customHeight="1" x14ac:dyDescent="0.25">
      <c r="A24" s="43">
        <f>'[2]SR-78 WB'!C24</f>
        <v>16</v>
      </c>
      <c r="B24" s="43" t="str">
        <f>'[2]SR-78 WB'!H24</f>
        <v>SR-78 WB</v>
      </c>
      <c r="C24" s="126">
        <f>'[2]SR-78 WB'!E24</f>
        <v>12571</v>
      </c>
      <c r="D24" s="188">
        <f>'[2]SR-78 WB'!I24</f>
        <v>45</v>
      </c>
      <c r="E24" s="189">
        <f>'[2]SR-78 WB'!J24</f>
        <v>0</v>
      </c>
      <c r="F24" s="189" t="str">
        <f>'[2]SR-78 WB'!K24</f>
        <v>RANCHO DEL ORO</v>
      </c>
      <c r="G24" s="189" t="str">
        <f>'[2]SR-78 WB'!L24</f>
        <v>EL CAMINO REAL</v>
      </c>
      <c r="H24" s="197">
        <f>'[2]SR-78 WB'!O24</f>
        <v>15506</v>
      </c>
      <c r="I24" s="198">
        <f>VLOOKUP(c_16[[#This Row],[hwycov_id]],readme!D:G,4,FALSE)</f>
        <v>14225.608398</v>
      </c>
      <c r="J24" s="206">
        <f t="shared" si="2"/>
        <v>-8.2573945698439344E-2</v>
      </c>
      <c r="K24" s="190" t="str">
        <f>'[2]SR-78 WB'!P24</f>
        <v>Caltran</v>
      </c>
      <c r="L24" s="148">
        <f t="shared" si="3"/>
        <v>1639402.6544721257</v>
      </c>
      <c r="M24" s="44"/>
    </row>
    <row r="25" spans="1:16" ht="15" customHeight="1" x14ac:dyDescent="0.25">
      <c r="A25" s="43">
        <f>'[2]SR-78 WB'!C25</f>
        <v>16</v>
      </c>
      <c r="B25" s="43" t="str">
        <f>'[2]SR-78 WB'!H25</f>
        <v>SR-78 WB</v>
      </c>
      <c r="C25" s="126">
        <f>'[2]SR-78 WB'!E25</f>
        <v>28540</v>
      </c>
      <c r="D25" s="188">
        <f>'[2]SR-78 WB'!I25</f>
        <v>46</v>
      </c>
      <c r="E25" s="189">
        <f>'[2]SR-78 WB'!J25</f>
        <v>0</v>
      </c>
      <c r="F25" s="189" t="str">
        <f>'[2]SR-78 WB'!K25</f>
        <v>EL CAMINO REAL</v>
      </c>
      <c r="G25" s="189" t="str">
        <f>'[2]SR-78 WB'!L25</f>
        <v>EL CAMINO REAL</v>
      </c>
      <c r="H25" s="197">
        <f>'[2]SR-78 WB'!O25</f>
        <v>11514</v>
      </c>
      <c r="I25" s="198">
        <f>VLOOKUP(c_16[[#This Row],[hwycov_id]],readme!D:G,4,FALSE)</f>
        <v>11301.975586</v>
      </c>
      <c r="J25" s="206">
        <f t="shared" si="2"/>
        <v>-1.8414487927740142E-2</v>
      </c>
      <c r="K25" s="190" t="str">
        <f>'[2]SR-78 WB'!P25</f>
        <v>PeMS2016</v>
      </c>
      <c r="L25" s="148">
        <f t="shared" si="3"/>
        <v>44954.352132043197</v>
      </c>
      <c r="M25" s="44"/>
    </row>
    <row r="26" spans="1:16" s="167" customFormat="1" ht="15" hidden="1" customHeight="1" x14ac:dyDescent="0.25">
      <c r="A26" s="43">
        <f>'[2]SR-78 WB'!C26</f>
        <v>16</v>
      </c>
      <c r="B26" s="43" t="str">
        <f>'[2]SR-78 WB'!H26</f>
        <v>SR-78 WB</v>
      </c>
      <c r="C26" s="126">
        <f>'[2]SR-78 WB'!E26</f>
        <v>27543</v>
      </c>
      <c r="D26" s="188">
        <f>'[2]SR-78 WB'!I26</f>
        <v>47</v>
      </c>
      <c r="E26" s="189">
        <f>'[2]SR-78 WB'!J26</f>
        <v>0</v>
      </c>
      <c r="F26" s="189" t="str">
        <f>'[2]SR-78 WB'!K26</f>
        <v>EL CAMINO REAL</v>
      </c>
      <c r="G26" s="189" t="str">
        <f>'[2]SR-78 WB'!L26</f>
        <v>JEFFERSON</v>
      </c>
      <c r="H26" s="197">
        <f>'[2]SR-78 WB'!O26</f>
        <v>13713</v>
      </c>
      <c r="I26" s="198">
        <f>VLOOKUP(c_16[[#This Row],[hwycov_id]],readme!D:G,4,FALSE)</f>
        <v>12539.163086</v>
      </c>
      <c r="J26" s="206">
        <f t="shared" si="2"/>
        <v>-8.5600300007292351E-2</v>
      </c>
      <c r="K26" s="190" t="str">
        <f>'[2]SR-78 WB'!P26</f>
        <v>Caltran</v>
      </c>
      <c r="L26" s="148">
        <f t="shared" si="3"/>
        <v>1377893.1006690422</v>
      </c>
      <c r="M26" s="173"/>
      <c r="N26" s="172"/>
      <c r="O26" s="174"/>
      <c r="P26" s="174"/>
    </row>
    <row r="27" spans="1:16" ht="15" customHeight="1" x14ac:dyDescent="0.25">
      <c r="A27" s="43">
        <f>'[2]SR-78 WB'!C27</f>
        <v>16</v>
      </c>
      <c r="B27" s="43" t="str">
        <f>'[2]SR-78 WB'!H27</f>
        <v>SR-78 WB</v>
      </c>
      <c r="C27" s="126">
        <f>'[2]SR-78 WB'!E27</f>
        <v>28534</v>
      </c>
      <c r="D27" s="188">
        <f>'[2]SR-78 WB'!I27</f>
        <v>48</v>
      </c>
      <c r="E27" s="189">
        <f>'[2]SR-78 WB'!J27</f>
        <v>0</v>
      </c>
      <c r="F27" s="189" t="str">
        <f>'[2]SR-78 WB'!K27</f>
        <v>JEFFERSON</v>
      </c>
      <c r="G27" s="189" t="str">
        <f>'[2]SR-78 WB'!L27</f>
        <v>JEFFERSON</v>
      </c>
      <c r="H27" s="197">
        <f>'[2]SR-78 WB'!O27</f>
        <v>11696</v>
      </c>
      <c r="I27" s="198">
        <f>VLOOKUP(c_16[[#This Row],[hwycov_id]],readme!D:G,4,FALSE)</f>
        <v>11245.690430000001</v>
      </c>
      <c r="J27" s="206">
        <f t="shared" si="2"/>
        <v>-3.8501160225718145E-2</v>
      </c>
      <c r="K27" s="190" t="str">
        <f>'[2]SR-78 WB'!P27</f>
        <v>PeMS2016</v>
      </c>
      <c r="L27" s="148">
        <f t="shared" si="3"/>
        <v>202778.70883358439</v>
      </c>
      <c r="M27" s="44"/>
    </row>
    <row r="28" spans="1:16" ht="15" customHeight="1" x14ac:dyDescent="0.25">
      <c r="A28" s="43">
        <f>'[2]SR-78 WB'!C28</f>
        <v>16</v>
      </c>
      <c r="B28" s="43" t="str">
        <f>'[2]SR-78 WB'!H28</f>
        <v>SR-78 WB</v>
      </c>
      <c r="C28" s="126">
        <f>'[2]SR-78 WB'!E28</f>
        <v>12547</v>
      </c>
      <c r="D28" s="188">
        <f>'[2]SR-78 WB'!I28</f>
        <v>49</v>
      </c>
      <c r="E28" s="189">
        <f>'[2]SR-78 WB'!J28</f>
        <v>0</v>
      </c>
      <c r="F28" s="189" t="str">
        <f>'[2]SR-78 WB'!K28</f>
        <v>JEFFERSON</v>
      </c>
      <c r="G28" s="189" t="str">
        <f>'[2]SR-78 WB'!L28</f>
        <v>I-5 NB</v>
      </c>
      <c r="H28" s="197">
        <f>'[2]SR-78 WB'!O28</f>
        <v>11402</v>
      </c>
      <c r="I28" s="198">
        <f>VLOOKUP(c_16[[#This Row],[hwycov_id]],readme!D:G,4,FALSE)</f>
        <v>12113.695312</v>
      </c>
      <c r="J28" s="206">
        <f t="shared" si="2"/>
        <v>6.2418462725837509E-2</v>
      </c>
      <c r="K28" s="190" t="str">
        <f>'[2]SR-78 WB'!P28</f>
        <v>PeMS2016</v>
      </c>
      <c r="L28" s="148">
        <f t="shared" si="3"/>
        <v>506510.21712277707</v>
      </c>
      <c r="M28" s="44"/>
    </row>
    <row r="29" spans="1:16" ht="15" customHeight="1" x14ac:dyDescent="0.25">
      <c r="A29" s="43"/>
      <c r="B29" s="43"/>
      <c r="C29" s="126"/>
      <c r="D29" s="188"/>
      <c r="E29" s="189"/>
      <c r="F29" s="189"/>
      <c r="G29" s="189"/>
      <c r="H29" s="197"/>
      <c r="I29" s="198"/>
      <c r="J29" s="206"/>
      <c r="K29" s="190"/>
      <c r="L29" s="148"/>
      <c r="M29" s="44"/>
    </row>
    <row r="30" spans="1:16" ht="15" customHeight="1" x14ac:dyDescent="0.25">
      <c r="A30" s="43"/>
      <c r="B30" s="43"/>
      <c r="C30" s="126"/>
      <c r="D30" s="188"/>
      <c r="E30" s="189"/>
      <c r="F30" s="189"/>
      <c r="G30" s="189"/>
      <c r="H30" s="197"/>
      <c r="I30" s="198"/>
      <c r="J30" s="206"/>
      <c r="K30" s="190"/>
      <c r="L30" s="148"/>
      <c r="M30" s="44"/>
    </row>
    <row r="31" spans="1:16" ht="15" customHeight="1" x14ac:dyDescent="0.2">
      <c r="C31" s="123"/>
      <c r="E31" s="124"/>
      <c r="F31" s="123"/>
      <c r="G31" s="123"/>
      <c r="H31" s="125"/>
      <c r="I31" s="121"/>
      <c r="K31" s="27"/>
      <c r="L31" s="44"/>
      <c r="M31" s="44"/>
    </row>
    <row r="32" spans="1:16" ht="15" customHeight="1" x14ac:dyDescent="0.2">
      <c r="C32" s="123"/>
      <c r="E32" s="124"/>
      <c r="F32" s="123"/>
      <c r="G32" s="123"/>
      <c r="H32" s="125"/>
      <c r="I32" s="121"/>
      <c r="K32" s="27"/>
      <c r="L32" s="44"/>
      <c r="M32" s="44"/>
    </row>
    <row r="33" spans="3:13" ht="15" customHeight="1" x14ac:dyDescent="0.2">
      <c r="C33" s="123"/>
      <c r="E33" s="124"/>
      <c r="F33" s="123"/>
      <c r="G33" s="123"/>
      <c r="H33" s="125"/>
      <c r="I33" s="121"/>
      <c r="K33" s="27"/>
      <c r="L33" s="44"/>
      <c r="M33" s="44"/>
    </row>
    <row r="34" spans="3:13" ht="15" customHeight="1" x14ac:dyDescent="0.2">
      <c r="C34" s="123"/>
      <c r="E34" s="124"/>
      <c r="F34" s="123"/>
      <c r="G34" s="123"/>
      <c r="H34" s="125"/>
      <c r="I34" s="121"/>
      <c r="K34" s="27"/>
      <c r="L34" s="44"/>
      <c r="M34" s="44"/>
    </row>
    <row r="35" spans="3:13" ht="15" customHeight="1" x14ac:dyDescent="0.2">
      <c r="C35" s="123"/>
      <c r="E35" s="124"/>
      <c r="F35" s="123"/>
      <c r="G35" s="123"/>
      <c r="H35" s="125"/>
      <c r="I35" s="121"/>
      <c r="K35" s="27"/>
      <c r="L35" s="44"/>
      <c r="M35" s="44"/>
    </row>
    <row r="36" spans="3:13" ht="15" customHeight="1" x14ac:dyDescent="0.2">
      <c r="C36" s="123"/>
      <c r="E36" s="124"/>
      <c r="F36" s="123"/>
      <c r="G36" s="123"/>
      <c r="H36" s="125"/>
      <c r="I36" s="121"/>
      <c r="K36" s="27"/>
      <c r="L36" s="44"/>
      <c r="M36" s="44"/>
    </row>
    <row r="37" spans="3:13" ht="15" customHeight="1" x14ac:dyDescent="0.2">
      <c r="L37" s="44"/>
      <c r="M37" s="44"/>
    </row>
    <row r="38" spans="3:13" ht="15" customHeight="1" x14ac:dyDescent="0.2">
      <c r="L38" s="44"/>
      <c r="M38" s="44"/>
    </row>
    <row r="39" spans="3:13" ht="15" customHeight="1" x14ac:dyDescent="0.2">
      <c r="L39" s="44"/>
      <c r="M39" s="44"/>
    </row>
    <row r="40" spans="3:13" ht="15" customHeight="1" x14ac:dyDescent="0.2">
      <c r="L40" s="44"/>
      <c r="M40" s="44"/>
    </row>
    <row r="41" spans="3:13" ht="15" customHeight="1" x14ac:dyDescent="0.2">
      <c r="L41" s="44"/>
      <c r="M41" s="44"/>
    </row>
    <row r="42" spans="3:13" ht="15" customHeight="1" x14ac:dyDescent="0.2">
      <c r="L42" s="44"/>
      <c r="M42" s="44"/>
    </row>
    <row r="43" spans="3:13" ht="15" customHeight="1" x14ac:dyDescent="0.2">
      <c r="L43" s="44"/>
      <c r="M43" s="44"/>
    </row>
    <row r="44" spans="3:13" ht="15" customHeight="1" x14ac:dyDescent="0.2">
      <c r="L44" s="44"/>
      <c r="M44" s="44"/>
    </row>
    <row r="45" spans="3:13" ht="15" customHeight="1" x14ac:dyDescent="0.2">
      <c r="L45" s="44"/>
      <c r="M45" s="44"/>
    </row>
    <row r="46" spans="3:13" ht="15" customHeight="1" x14ac:dyDescent="0.2">
      <c r="L46" s="44"/>
      <c r="M46" s="44"/>
    </row>
    <row r="47" spans="3:13" ht="15" customHeight="1" x14ac:dyDescent="0.2">
      <c r="L47" s="44"/>
      <c r="M47" s="44"/>
    </row>
    <row r="48" spans="3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  <row r="79" spans="12:13" ht="15" customHeight="1" x14ac:dyDescent="0.2">
      <c r="L79" s="44"/>
      <c r="M79" s="44"/>
    </row>
    <row r="80" spans="12:13" ht="15" customHeight="1" x14ac:dyDescent="0.2">
      <c r="L80" s="44"/>
      <c r="M80" s="44"/>
    </row>
    <row r="81" spans="12:13" ht="15" customHeight="1" x14ac:dyDescent="0.2">
      <c r="L81" s="44"/>
      <c r="M81" s="44"/>
    </row>
    <row r="82" spans="12:13" ht="15" customHeight="1" x14ac:dyDescent="0.2">
      <c r="L82" s="44"/>
    </row>
    <row r="83" spans="12:13" ht="15" customHeight="1" x14ac:dyDescent="0.2">
      <c r="L83" s="44"/>
    </row>
    <row r="84" spans="12:13" ht="15" customHeight="1" x14ac:dyDescent="0.2">
      <c r="L84" s="44"/>
    </row>
  </sheetData>
  <conditionalFormatting sqref="N2:N20 J31:K1048576">
    <cfRule type="cellIs" dxfId="250" priority="9" operator="lessThan">
      <formula>-0.2</formula>
    </cfRule>
    <cfRule type="cellIs" dxfId="249" priority="10" operator="greaterThan">
      <formula>0.2</formula>
    </cfRule>
  </conditionalFormatting>
  <conditionalFormatting sqref="J2:J28">
    <cfRule type="cellIs" dxfId="248" priority="5" operator="lessThan">
      <formula>-0.2</formula>
    </cfRule>
    <cfRule type="cellIs" dxfId="247" priority="6" operator="greaterThan">
      <formula>0.2</formula>
    </cfRule>
  </conditionalFormatting>
  <conditionalFormatting sqref="N1">
    <cfRule type="cellIs" dxfId="246" priority="1" operator="lessThan">
      <formula>-0.2</formula>
    </cfRule>
    <cfRule type="cellIs" dxfId="24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8.85546875" style="25" bestFit="1" customWidth="1"/>
    <col min="7" max="7" width="14.42578125" style="25" bestFit="1" customWidth="1"/>
    <col min="8" max="8" width="8.85546875" style="27" bestFit="1" customWidth="1"/>
    <col min="9" max="9" width="8" style="48" bestFit="1" customWidth="1"/>
    <col min="10" max="10" width="8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SQRT(AVERAGE(c_17[x2]))/AVERAGE(c_17[count])</f>
        <v>0.39875326575387671</v>
      </c>
      <c r="O1" s="69">
        <f>LINEST(c_17[flow],c_17[count],FALSE)</f>
        <v>1.2719362245776427</v>
      </c>
      <c r="P1" s="69">
        <f>RSQ(c_17[flow],c_17[count])</f>
        <v>0.31894687988904469</v>
      </c>
      <c r="Q1" s="19">
        <f>IFERROR(AVERAGEIF(c_17[gap],"&gt;=0",c_17[gap]),0)</f>
        <v>0.37813716816699799</v>
      </c>
      <c r="R1" s="20">
        <f>IFERROR(AVERAGEIF(c_17[gap],"&lt;0",c_17[gap]),0)</f>
        <v>-7.0926118911235347E-2</v>
      </c>
      <c r="S1" s="13">
        <f>AVERAGE(c_17[gap])</f>
        <v>0.32824124738052762</v>
      </c>
      <c r="T1" s="18">
        <f>COUNTIFS(c_17[gap],"&lt;10%",c_17[gap],"&gt;=-10%")/COUNTA(c_17[gap])</f>
        <v>0.27777777777777779</v>
      </c>
      <c r="U1" s="18">
        <f>COUNTIFS(c_17[gap],"&lt;20%",c_17[gap],"&gt;=-20%")/COUNTA(c_17[gap])</f>
        <v>0.44444444444444442</v>
      </c>
      <c r="V1" s="18">
        <f>COUNTIFS(c_17[gap],"&lt;30%",c_17[gap],"&gt;=-30%")/COUNTA(c_17[gap])</f>
        <v>0.61111111111111116</v>
      </c>
      <c r="W1" s="19">
        <f>COUNTIF(c_17[gap],"&gt;=0")/COUNTA(c_17[gap])</f>
        <v>0.88888888888888884</v>
      </c>
      <c r="X1" s="21">
        <f>COUNTIF(c_17[gap],"&lt;0")/COUNTA(c_17[gap])</f>
        <v>0.1111111111111111</v>
      </c>
      <c r="Y1" s="39" t="str">
        <f>"%Link(+)="&amp;TEXT(W1,"0%")</f>
        <v>%Link(+)=89%</v>
      </c>
      <c r="Z1" s="39" t="str">
        <f>"%Link(-)="&amp;TEXT(X1,"0%")</f>
        <v>%Link(-)=11%</v>
      </c>
      <c r="AA1" s="36" t="str">
        <f>"AvgGap(+)="&amp;TEXT(Q1,"0%")</f>
        <v>AvgGap(+)=38%</v>
      </c>
      <c r="AB1" s="25" t="str">
        <f>"AvgGap(-)="&amp;TEXT(R1,"0%")</f>
        <v>AvgGap(-)=-7%</v>
      </c>
      <c r="AC1" s="25" t="str">
        <f>"AvgGap(±)="&amp;TEXT(S1,"0%")</f>
        <v>AvgGap(±)=33%</v>
      </c>
      <c r="AD1" s="25" t="str">
        <f>"GapIn(±10%)="&amp;TEXT(T1,"0%")</f>
        <v>GapIn(±10%)=28%</v>
      </c>
      <c r="AE1" s="25" t="str">
        <f>"GapIn(±20%)="&amp;TEXT(U1,"0%")</f>
        <v>GapIn(±20%)=44%</v>
      </c>
      <c r="AF1" s="25" t="str">
        <f>"GapIn(±30%)="&amp;TEXT(V1,"0%")</f>
        <v>GapIn(±30%)=61%</v>
      </c>
      <c r="AG1" s="25" t="str">
        <f>"Linear Slope="&amp;TEXT(O1,"#.###")</f>
        <v>Linear Slope=1.272</v>
      </c>
      <c r="AH1" s="25" t="str">
        <f>"RMSE="&amp;TEXT(N1,"0%")</f>
        <v>RMSE=40%</v>
      </c>
      <c r="AI1" s="25" t="str">
        <f>CONCATENATE(Y1," ",Z1," ",AA1,"  ",AB1,"  ",AC1,"  ",AD1," ",AE1,"  ",AF1,"  ",AG1," ",AH1)</f>
        <v>%Link(+)=89% %Link(-)=11% AvgGap(+)=38%  AvgGap(-)=-7%  AvgGap(±)=33%  GapIn(±10%)=28% GapIn(±20%)=44%  GapIn(±30%)=61%  Linear Slope=1.272 RMSE=40%</v>
      </c>
    </row>
    <row r="2" spans="1:35" ht="15" customHeight="1" x14ac:dyDescent="0.25">
      <c r="A2" s="43">
        <f>'[2]SR-52 WB'!C2</f>
        <v>17</v>
      </c>
      <c r="B2" s="43" t="str">
        <f>'[2]SR-52 WB'!H2</f>
        <v>SR-52 WB</v>
      </c>
      <c r="C2" s="126">
        <f>'[2]SR-52 WB'!E2</f>
        <v>27223</v>
      </c>
      <c r="D2" s="188">
        <f>'[2]SR-52 WB'!I2</f>
        <v>2</v>
      </c>
      <c r="E2" s="189">
        <f>'[2]SR-52 WB'!J2</f>
        <v>0</v>
      </c>
      <c r="F2" s="189" t="str">
        <f>'[2]SR-52 WB'!K2</f>
        <v>MAGNOLIA</v>
      </c>
      <c r="G2" s="189" t="str">
        <f>'[2]SR-52 WB'!L2</f>
        <v>CUYAMACA</v>
      </c>
      <c r="H2" s="197">
        <f>'[2]SR-52 WB'!O2</f>
        <v>8170</v>
      </c>
      <c r="I2" s="198">
        <f>VLOOKUP(c_17[[#This Row],[hwycov_id]],readme!D:G,4,FALSE)</f>
        <v>8879.09375</v>
      </c>
      <c r="J2" s="206">
        <f t="shared" ref="J2" si="0">I2/H2-1</f>
        <v>8.6792380660954738E-2</v>
      </c>
      <c r="K2" s="190" t="str">
        <f>'[2]SR-52 WB'!P2</f>
        <v>Caltran</v>
      </c>
      <c r="L2" s="148">
        <f t="shared" ref="L2" si="1">POWER((I2-H2),2)</f>
        <v>502813.9462890625</v>
      </c>
      <c r="M2" s="44"/>
    </row>
    <row r="3" spans="1:35" ht="15" customHeight="1" x14ac:dyDescent="0.25">
      <c r="A3" s="43">
        <f>'[2]SR-52 WB'!C3</f>
        <v>17</v>
      </c>
      <c r="B3" s="43" t="str">
        <f>'[2]SR-52 WB'!H3</f>
        <v>SR-52 WB</v>
      </c>
      <c r="C3" s="126">
        <f>'[2]SR-52 WB'!E3</f>
        <v>27241</v>
      </c>
      <c r="D3" s="188">
        <f>'[2]SR-52 WB'!I3</f>
        <v>5</v>
      </c>
      <c r="E3" s="189">
        <f>'[2]SR-52 WB'!J3</f>
        <v>0</v>
      </c>
      <c r="F3" s="189" t="str">
        <f>'[2]SR-52 WB'!K3</f>
        <v>CUYAMACA</v>
      </c>
      <c r="G3" s="189" t="str">
        <f>'[2]SR-52 WB'!L3</f>
        <v>FANITA</v>
      </c>
      <c r="H3" s="197">
        <f>'[2]SR-52 WB'!O3</f>
        <v>8710</v>
      </c>
      <c r="I3" s="198">
        <f>VLOOKUP(c_17[[#This Row],[hwycov_id]],readme!D:G,4,FALSE)</f>
        <v>9422.9111329999996</v>
      </c>
      <c r="J3" s="206">
        <f t="shared" ref="J3:J19" si="2">I3/H3-1</f>
        <v>8.1849728243398312E-2</v>
      </c>
      <c r="K3" s="190" t="str">
        <f>'[2]SR-52 WB'!P3</f>
        <v>Caltran</v>
      </c>
      <c r="L3" s="148">
        <f t="shared" ref="L3:L19" si="3">POWER((I3-H3),2)</f>
        <v>508242.28355534311</v>
      </c>
      <c r="M3" s="44"/>
    </row>
    <row r="4" spans="1:35" ht="15" customHeight="1" x14ac:dyDescent="0.25">
      <c r="A4" s="43">
        <f>'[2]SR-52 WB'!C4</f>
        <v>17</v>
      </c>
      <c r="B4" s="43" t="str">
        <f>'[2]SR-52 WB'!H4</f>
        <v>SR-52 WB</v>
      </c>
      <c r="C4" s="126">
        <f>'[2]SR-52 WB'!E4</f>
        <v>15277</v>
      </c>
      <c r="D4" s="188">
        <f>'[2]SR-52 WB'!I4</f>
        <v>10</v>
      </c>
      <c r="E4" s="189">
        <f>'[2]SR-52 WB'!J4</f>
        <v>0</v>
      </c>
      <c r="F4" s="189" t="str">
        <f>'[2]SR-52 WB'!K4</f>
        <v>NEW MISSION GORGE</v>
      </c>
      <c r="G4" s="189" t="str">
        <f>'[2]SR-52 WB'!L4</f>
        <v>MISSION GORGE</v>
      </c>
      <c r="H4" s="197">
        <f>'[2]SR-52 WB'!O4</f>
        <v>7448</v>
      </c>
      <c r="I4" s="198">
        <f>VLOOKUP(c_17[[#This Row],[hwycov_id]],readme!D:G,4,FALSE)</f>
        <v>11403.620117</v>
      </c>
      <c r="J4" s="206">
        <f t="shared" si="2"/>
        <v>0.5310982971267455</v>
      </c>
      <c r="K4" s="190" t="str">
        <f>'[2]SR-52 WB'!P4</f>
        <v>Caltran</v>
      </c>
      <c r="L4" s="148">
        <f t="shared" si="3"/>
        <v>15646930.510015097</v>
      </c>
      <c r="M4" s="44"/>
    </row>
    <row r="5" spans="1:35" ht="15" customHeight="1" x14ac:dyDescent="0.25">
      <c r="A5" s="43">
        <f>'[2]SR-52 WB'!C5</f>
        <v>17</v>
      </c>
      <c r="B5" s="43" t="str">
        <f>'[2]SR-52 WB'!H5</f>
        <v>SR-52 WB</v>
      </c>
      <c r="C5" s="126">
        <f>'[2]SR-52 WB'!E5</f>
        <v>11123</v>
      </c>
      <c r="D5" s="188">
        <f>'[2]SR-52 WB'!I5</f>
        <v>11</v>
      </c>
      <c r="E5" s="189">
        <f>'[2]SR-52 WB'!J5</f>
        <v>0</v>
      </c>
      <c r="F5" s="189" t="str">
        <f>'[2]SR-52 WB'!K5</f>
        <v>MISSION GORGE</v>
      </c>
      <c r="G5" s="189" t="str">
        <f>'[2]SR-52 WB'!L5</f>
        <v>MAST</v>
      </c>
      <c r="H5" s="197">
        <f>'[2]SR-52 WB'!O5</f>
        <v>7477</v>
      </c>
      <c r="I5" s="198">
        <f>VLOOKUP(c_17[[#This Row],[hwycov_id]],readme!D:G,4,FALSE)</f>
        <v>11403.620117</v>
      </c>
      <c r="J5" s="206">
        <f t="shared" si="2"/>
        <v>0.5251598391065937</v>
      </c>
      <c r="K5" s="190" t="str">
        <f>'[2]SR-52 WB'!P5</f>
        <v>Caltran</v>
      </c>
      <c r="L5" s="148">
        <f t="shared" si="3"/>
        <v>15418345.543229098</v>
      </c>
      <c r="M5" s="44"/>
    </row>
    <row r="6" spans="1:35" ht="15" customHeight="1" x14ac:dyDescent="0.25">
      <c r="A6" s="43">
        <f>'[2]SR-52 WB'!C6</f>
        <v>17</v>
      </c>
      <c r="B6" s="43" t="str">
        <f>'[2]SR-52 WB'!H6</f>
        <v>SR-52 WB</v>
      </c>
      <c r="C6" s="126">
        <f>'[2]SR-52 WB'!E6</f>
        <v>7501</v>
      </c>
      <c r="D6" s="188">
        <f>'[2]SR-52 WB'!I6</f>
        <v>12</v>
      </c>
      <c r="E6" s="189">
        <f>'[2]SR-52 WB'!J6</f>
        <v>0</v>
      </c>
      <c r="F6" s="189" t="str">
        <f>'[2]SR-52 WB'!K6</f>
        <v>MAST</v>
      </c>
      <c r="G6" s="189" t="str">
        <f>'[2]SR-52 WB'!L6</f>
        <v>MAST</v>
      </c>
      <c r="H6" s="197">
        <f>'[2]SR-52 WB'!O6</f>
        <v>6513</v>
      </c>
      <c r="I6" s="198">
        <f>VLOOKUP(c_17[[#This Row],[hwycov_id]],readme!D:G,4,FALSE)</f>
        <v>11044.945312</v>
      </c>
      <c r="J6" s="206">
        <f t="shared" si="2"/>
        <v>0.69583069430370026</v>
      </c>
      <c r="K6" s="190" t="str">
        <f>'[2]SR-52 WB'!P6</f>
        <v>PeMS2016</v>
      </c>
      <c r="L6" s="148">
        <f t="shared" si="3"/>
        <v>20538528.310958777</v>
      </c>
      <c r="M6" s="44"/>
    </row>
    <row r="7" spans="1:35" ht="15" customHeight="1" x14ac:dyDescent="0.25">
      <c r="A7" s="43">
        <f>'[2]SR-52 WB'!C7</f>
        <v>17</v>
      </c>
      <c r="B7" s="43" t="str">
        <f>'[2]SR-52 WB'!H7</f>
        <v>SR-52 WB</v>
      </c>
      <c r="C7" s="126">
        <f>'[2]SR-52 WB'!E7</f>
        <v>15238</v>
      </c>
      <c r="D7" s="188">
        <f>'[2]SR-52 WB'!I7</f>
        <v>13</v>
      </c>
      <c r="E7" s="189">
        <f>'[2]SR-52 WB'!J7</f>
        <v>0</v>
      </c>
      <c r="F7" s="189" t="str">
        <f>'[2]SR-52 WB'!K7</f>
        <v>MAST</v>
      </c>
      <c r="G7" s="189" t="str">
        <f>'[2]SR-52 WB'!L7</f>
        <v>SANTO</v>
      </c>
      <c r="H7" s="197">
        <f>'[2]SR-52 WB'!O7</f>
        <v>7702</v>
      </c>
      <c r="I7" s="198">
        <f>VLOOKUP(c_17[[#This Row],[hwycov_id]],readme!D:G,4,FALSE)</f>
        <v>13229.370117</v>
      </c>
      <c r="J7" s="206">
        <f t="shared" si="2"/>
        <v>0.71765387133212166</v>
      </c>
      <c r="K7" s="190" t="str">
        <f>'[2]SR-52 WB'!P7</f>
        <v>Caltran</v>
      </c>
      <c r="L7" s="148">
        <f t="shared" si="3"/>
        <v>30551820.410304599</v>
      </c>
      <c r="M7" s="44"/>
    </row>
    <row r="8" spans="1:35" ht="15" customHeight="1" x14ac:dyDescent="0.25">
      <c r="A8" s="43">
        <f>'[2]SR-52 WB'!C8</f>
        <v>17</v>
      </c>
      <c r="B8" s="43" t="str">
        <f>'[2]SR-52 WB'!H8</f>
        <v>SR-52 WB</v>
      </c>
      <c r="C8" s="126">
        <f>'[2]SR-52 WB'!E8</f>
        <v>8103</v>
      </c>
      <c r="D8" s="188">
        <f>'[2]SR-52 WB'!I8</f>
        <v>17</v>
      </c>
      <c r="E8" s="189">
        <f>'[2]SR-52 WB'!J8</f>
        <v>1</v>
      </c>
      <c r="F8" s="189" t="str">
        <f>'[2]SR-52 WB'!K8</f>
        <v>MAST</v>
      </c>
      <c r="G8" s="189" t="str">
        <f>'[2]SR-52 WB'!L8</f>
        <v>SANTO</v>
      </c>
      <c r="H8" s="197">
        <f>'[2]SR-52 WB'!O8</f>
        <v>7547</v>
      </c>
      <c r="I8" s="198">
        <f>VLOOKUP(c_17[[#This Row],[hwycov_id]],readme!D:G,4,FALSE)</f>
        <v>13229.370117</v>
      </c>
      <c r="J8" s="206">
        <f t="shared" si="2"/>
        <v>0.75293098144958259</v>
      </c>
      <c r="K8" s="190" t="str">
        <f>'[2]SR-52 WB'!P8</f>
        <v>Caltran</v>
      </c>
      <c r="L8" s="148">
        <f t="shared" si="3"/>
        <v>32289330.146574598</v>
      </c>
      <c r="M8" s="44"/>
    </row>
    <row r="9" spans="1:35" ht="15" customHeight="1" x14ac:dyDescent="0.25">
      <c r="A9" s="43">
        <f>'[2]SR-52 WB'!C9</f>
        <v>17</v>
      </c>
      <c r="B9" s="43" t="str">
        <f>'[2]SR-52 WB'!H9</f>
        <v>SR-52 WB</v>
      </c>
      <c r="C9" s="126">
        <f>'[2]SR-52 WB'!E9</f>
        <v>25938</v>
      </c>
      <c r="D9" s="188">
        <f>'[2]SR-52 WB'!I9</f>
        <v>20</v>
      </c>
      <c r="E9" s="189">
        <f>'[2]SR-52 WB'!J9</f>
        <v>0</v>
      </c>
      <c r="F9" s="189" t="str">
        <f>'[2]SR-52 WB'!K9</f>
        <v>SANTO</v>
      </c>
      <c r="G9" s="189" t="str">
        <f>'[2]SR-52 WB'!L9</f>
        <v>I-15 NB</v>
      </c>
      <c r="H9" s="197">
        <f>'[2]SR-52 WB'!O9</f>
        <v>7928</v>
      </c>
      <c r="I9" s="198">
        <f>VLOOKUP(c_17[[#This Row],[hwycov_id]],readme!D:G,4,FALSE)</f>
        <v>14314.711914</v>
      </c>
      <c r="J9" s="206">
        <f t="shared" si="2"/>
        <v>0.80558929288597381</v>
      </c>
      <c r="K9" s="190" t="str">
        <f>'[2]SR-52 WB'!P9</f>
        <v>Caltran</v>
      </c>
      <c r="L9" s="148">
        <f t="shared" si="3"/>
        <v>40790089.072429538</v>
      </c>
      <c r="M9" s="44"/>
    </row>
    <row r="10" spans="1:35" ht="15" customHeight="1" x14ac:dyDescent="0.25">
      <c r="A10" s="43">
        <f>'[2]SR-52 WB'!C10</f>
        <v>17</v>
      </c>
      <c r="B10" s="43" t="str">
        <f>'[2]SR-52 WB'!H10</f>
        <v>SR-52 WB</v>
      </c>
      <c r="C10" s="126">
        <f>'[2]SR-52 WB'!E10</f>
        <v>9029</v>
      </c>
      <c r="D10" s="188">
        <f>'[2]SR-52 WB'!I10</f>
        <v>21</v>
      </c>
      <c r="E10" s="189">
        <f>'[2]SR-52 WB'!J10</f>
        <v>0</v>
      </c>
      <c r="F10" s="189" t="str">
        <f>'[2]SR-52 WB'!K10</f>
        <v>SANTO</v>
      </c>
      <c r="G10" s="189" t="str">
        <f>'[2]SR-52 WB'!L10</f>
        <v>I-15 NB</v>
      </c>
      <c r="H10" s="197">
        <f>'[2]SR-52 WB'!O10</f>
        <v>8018</v>
      </c>
      <c r="I10" s="198">
        <f>VLOOKUP(c_17[[#This Row],[hwycov_id]],readme!D:G,4,FALSE)</f>
        <v>14314.711914</v>
      </c>
      <c r="J10" s="206">
        <f t="shared" si="2"/>
        <v>0.7853220147168869</v>
      </c>
      <c r="K10" s="190" t="str">
        <f>'[2]SR-52 WB'!P10</f>
        <v>PeMS2016</v>
      </c>
      <c r="L10" s="148">
        <f t="shared" si="3"/>
        <v>39648580.927909538</v>
      </c>
      <c r="M10" s="44"/>
    </row>
    <row r="11" spans="1:35" ht="15" customHeight="1" x14ac:dyDescent="0.25">
      <c r="A11" s="43">
        <f>'[2]SR-52 WB'!C11</f>
        <v>17</v>
      </c>
      <c r="B11" s="43" t="str">
        <f>'[2]SR-52 WB'!H11</f>
        <v>SR-52 WB</v>
      </c>
      <c r="C11" s="126">
        <f>'[2]SR-52 WB'!E11</f>
        <v>23867</v>
      </c>
      <c r="D11" s="188">
        <f>'[2]SR-52 WB'!I11</f>
        <v>23</v>
      </c>
      <c r="E11" s="189">
        <f>'[2]SR-52 WB'!J11</f>
        <v>0</v>
      </c>
      <c r="F11" s="189" t="str">
        <f>'[2]SR-52 WB'!K11</f>
        <v>I-15 NB</v>
      </c>
      <c r="G11" s="189" t="str">
        <f>'[2]SR-52 WB'!L11</f>
        <v>SR-163 SB</v>
      </c>
      <c r="H11" s="197">
        <f>'[2]SR-52 WB'!O11</f>
        <v>6082</v>
      </c>
      <c r="I11" s="198">
        <f>VLOOKUP(c_17[[#This Row],[hwycov_id]],readme!D:G,4,FALSE)</f>
        <v>7529.5283200000003</v>
      </c>
      <c r="J11" s="206">
        <f t="shared" si="2"/>
        <v>0.23800202564945749</v>
      </c>
      <c r="K11" s="190" t="str">
        <f>'[2]SR-52 WB'!P11</f>
        <v>PeMS2016</v>
      </c>
      <c r="L11" s="148">
        <f t="shared" si="3"/>
        <v>2095338.2372020234</v>
      </c>
      <c r="M11" s="44"/>
    </row>
    <row r="12" spans="1:35" ht="15" customHeight="1" x14ac:dyDescent="0.25">
      <c r="A12" s="43">
        <f>'[2]SR-52 WB'!C12</f>
        <v>17</v>
      </c>
      <c r="B12" s="43" t="str">
        <f>'[2]SR-52 WB'!H12</f>
        <v>SR-52 WB</v>
      </c>
      <c r="C12" s="126">
        <f>'[2]SR-52 WB'!E12</f>
        <v>24091</v>
      </c>
      <c r="D12" s="188">
        <f>'[2]SR-52 WB'!I12</f>
        <v>28</v>
      </c>
      <c r="E12" s="189">
        <f>'[2]SR-52 WB'!J12</f>
        <v>0</v>
      </c>
      <c r="F12" s="189" t="str">
        <f>'[2]SR-52 WB'!K12</f>
        <v>CONVOY</v>
      </c>
      <c r="G12" s="189" t="str">
        <f>'[2]SR-52 WB'!L12</f>
        <v>CONVOY</v>
      </c>
      <c r="H12" s="197">
        <f>'[2]SR-52 WB'!O12</f>
        <v>11348</v>
      </c>
      <c r="I12" s="198">
        <f>VLOOKUP(c_17[[#This Row],[hwycov_id]],readme!D:G,4,FALSE)</f>
        <v>13876.410156</v>
      </c>
      <c r="J12" s="206">
        <f t="shared" si="2"/>
        <v>0.2228066757137821</v>
      </c>
      <c r="K12" s="190" t="str">
        <f>'[2]SR-52 WB'!P12</f>
        <v>Caltran</v>
      </c>
      <c r="L12" s="148">
        <f t="shared" si="3"/>
        <v>6392857.9169639442</v>
      </c>
      <c r="M12" s="44"/>
    </row>
    <row r="13" spans="1:35" ht="15" customHeight="1" x14ac:dyDescent="0.25">
      <c r="A13" s="43">
        <f>'[2]SR-52 WB'!C13</f>
        <v>17</v>
      </c>
      <c r="B13" s="43" t="str">
        <f>'[2]SR-52 WB'!H13</f>
        <v>SR-52 WB</v>
      </c>
      <c r="C13" s="126">
        <f>'[2]SR-52 WB'!E13</f>
        <v>11106</v>
      </c>
      <c r="D13" s="188">
        <f>'[2]SR-52 WB'!I13</f>
        <v>29</v>
      </c>
      <c r="E13" s="189">
        <f>'[2]SR-52 WB'!J13</f>
        <v>0</v>
      </c>
      <c r="F13" s="189" t="str">
        <f>'[2]SR-52 WB'!K13</f>
        <v>CONVOY</v>
      </c>
      <c r="G13" s="189" t="str">
        <f>'[2]SR-52 WB'!L13</f>
        <v>CONVOY</v>
      </c>
      <c r="H13" s="197">
        <f>'[2]SR-52 WB'!O13</f>
        <v>11783</v>
      </c>
      <c r="I13" s="198">
        <f>VLOOKUP(c_17[[#This Row],[hwycov_id]],readme!D:G,4,FALSE)</f>
        <v>13876.410156</v>
      </c>
      <c r="J13" s="206">
        <f t="shared" si="2"/>
        <v>0.17766359636764828</v>
      </c>
      <c r="K13" s="190" t="str">
        <f>'[2]SR-52 WB'!P13</f>
        <v>Caltran</v>
      </c>
      <c r="L13" s="148">
        <f t="shared" si="3"/>
        <v>4382366.0812439444</v>
      </c>
      <c r="M13" s="44"/>
    </row>
    <row r="14" spans="1:35" ht="15" customHeight="1" x14ac:dyDescent="0.25">
      <c r="A14" s="43">
        <f>'[2]SR-52 WB'!C14</f>
        <v>17</v>
      </c>
      <c r="B14" s="43" t="str">
        <f>'[2]SR-52 WB'!H14</f>
        <v>SR-52 WB</v>
      </c>
      <c r="C14" s="126">
        <f>'[2]SR-52 WB'!E14</f>
        <v>11102</v>
      </c>
      <c r="D14" s="188">
        <f>'[2]SR-52 WB'!I14</f>
        <v>30</v>
      </c>
      <c r="E14" s="189">
        <f>'[2]SR-52 WB'!J14</f>
        <v>0</v>
      </c>
      <c r="F14" s="189" t="str">
        <f>'[2]SR-52 WB'!K14</f>
        <v>CONVOY</v>
      </c>
      <c r="G14" s="189" t="str">
        <f>'[2]SR-52 WB'!L14</f>
        <v>I-805 NB</v>
      </c>
      <c r="H14" s="197">
        <f>'[2]SR-52 WB'!O14</f>
        <v>14191</v>
      </c>
      <c r="I14" s="198">
        <f>VLOOKUP(c_17[[#This Row],[hwycov_id]],readme!D:G,4,FALSE)</f>
        <v>17090.572265999999</v>
      </c>
      <c r="J14" s="206">
        <f t="shared" si="2"/>
        <v>0.20432473159044462</v>
      </c>
      <c r="K14" s="190" t="str">
        <f>'[2]SR-52 WB'!P14</f>
        <v>PeMS2016</v>
      </c>
      <c r="L14" s="148">
        <f t="shared" si="3"/>
        <v>8407519.325756371</v>
      </c>
      <c r="M14" s="44"/>
    </row>
    <row r="15" spans="1:35" ht="15" customHeight="1" x14ac:dyDescent="0.25">
      <c r="A15" s="43">
        <f>'[2]SR-52 WB'!C15</f>
        <v>17</v>
      </c>
      <c r="B15" s="43" t="str">
        <f>'[2]SR-52 WB'!H15</f>
        <v>SR-52 WB</v>
      </c>
      <c r="C15" s="126">
        <f>'[2]SR-52 WB'!E15</f>
        <v>11100</v>
      </c>
      <c r="D15" s="188">
        <f>'[2]SR-52 WB'!I15</f>
        <v>31</v>
      </c>
      <c r="E15" s="189">
        <f>'[2]SR-52 WB'!J15</f>
        <v>0</v>
      </c>
      <c r="F15" s="189" t="str">
        <f>'[2]SR-52 WB'!K15</f>
        <v>I-805 NB</v>
      </c>
      <c r="G15" s="189" t="str">
        <f>'[2]SR-52 WB'!L15</f>
        <v>I-805 NB</v>
      </c>
      <c r="H15" s="197">
        <f>'[2]SR-52 WB'!O15</f>
        <v>6954</v>
      </c>
      <c r="I15" s="198">
        <f>VLOOKUP(c_17[[#This Row],[hwycov_id]],readme!D:G,4,FALSE)</f>
        <v>7475.0463870000003</v>
      </c>
      <c r="J15" s="206">
        <f t="shared" si="2"/>
        <v>7.4927579378774922E-2</v>
      </c>
      <c r="K15" s="190" t="str">
        <f>'[2]SR-52 WB'!P15</f>
        <v>PeMS2016</v>
      </c>
      <c r="L15" s="148">
        <f t="shared" si="3"/>
        <v>271489.33740575408</v>
      </c>
      <c r="M15" s="44"/>
    </row>
    <row r="16" spans="1:35" ht="15" customHeight="1" x14ac:dyDescent="0.25">
      <c r="A16" s="43">
        <f>'[2]SR-52 WB'!C16</f>
        <v>17</v>
      </c>
      <c r="B16" s="43" t="str">
        <f>'[2]SR-52 WB'!H16</f>
        <v>SR-52 WB</v>
      </c>
      <c r="C16" s="126">
        <f>'[2]SR-52 WB'!E16</f>
        <v>15157</v>
      </c>
      <c r="D16" s="188">
        <f>'[2]SR-52 WB'!I16</f>
        <v>33</v>
      </c>
      <c r="E16" s="189">
        <f>'[2]SR-52 WB'!J16</f>
        <v>0</v>
      </c>
      <c r="F16" s="189" t="str">
        <f>'[2]SR-52 WB'!K16</f>
        <v>I-805 SB</v>
      </c>
      <c r="G16" s="189" t="str">
        <f>'[2]SR-52 WB'!L16</f>
        <v>GENESEE</v>
      </c>
      <c r="H16" s="197">
        <f>'[2]SR-52 WB'!O16</f>
        <v>10718</v>
      </c>
      <c r="I16" s="198">
        <f>VLOOKUP(c_17[[#This Row],[hwycov_id]],readme!D:G,4,FALSE)</f>
        <v>12089.399414</v>
      </c>
      <c r="J16" s="206">
        <f t="shared" si="2"/>
        <v>0.12795292162716931</v>
      </c>
      <c r="K16" s="190" t="str">
        <f>'[2]SR-52 WB'!P16</f>
        <v>PeMS2016</v>
      </c>
      <c r="L16" s="148">
        <f t="shared" si="3"/>
        <v>1880736.3527195421</v>
      </c>
      <c r="M16" s="44"/>
    </row>
    <row r="17" spans="1:16" x14ac:dyDescent="0.25">
      <c r="A17" s="43">
        <f>'[2]SR-52 WB'!C17</f>
        <v>17</v>
      </c>
      <c r="B17" s="43" t="str">
        <f>'[2]SR-52 WB'!H17</f>
        <v>SR-52 WB</v>
      </c>
      <c r="C17" s="126">
        <f>'[2]SR-52 WB'!E17</f>
        <v>28868</v>
      </c>
      <c r="D17" s="188">
        <f>'[2]SR-52 WB'!I17</f>
        <v>34</v>
      </c>
      <c r="E17" s="189">
        <f>'[2]SR-52 WB'!J17</f>
        <v>0</v>
      </c>
      <c r="F17" s="189" t="str">
        <f>'[2]SR-52 WB'!K17</f>
        <v>GENESEE</v>
      </c>
      <c r="G17" s="189" t="str">
        <f>'[2]SR-52 WB'!L17</f>
        <v>GENESEE</v>
      </c>
      <c r="H17" s="197">
        <f>'[2]SR-52 WB'!O17</f>
        <v>9018</v>
      </c>
      <c r="I17" s="198">
        <f>VLOOKUP(c_17[[#This Row],[hwycov_id]],readme!D:G,4,FALSE)</f>
        <v>8092.0366210000002</v>
      </c>
      <c r="J17" s="206">
        <f t="shared" si="2"/>
        <v>-0.10267946096695491</v>
      </c>
      <c r="K17" s="190" t="str">
        <f>'[2]SR-52 WB'!P17</f>
        <v>PeMS2016</v>
      </c>
      <c r="L17" s="148">
        <f t="shared" si="3"/>
        <v>857408.17924909724</v>
      </c>
      <c r="M17" s="44"/>
    </row>
    <row r="18" spans="1:16" s="167" customFormat="1" x14ac:dyDescent="0.25">
      <c r="A18" s="43">
        <f>'[2]SR-52 WB'!C18</f>
        <v>17</v>
      </c>
      <c r="B18" s="43" t="str">
        <f>'[2]SR-52 WB'!H18</f>
        <v>SR-52 WB</v>
      </c>
      <c r="C18" s="126">
        <f>'[2]SR-52 WB'!E18</f>
        <v>28280</v>
      </c>
      <c r="D18" s="188">
        <f>'[2]SR-52 WB'!I18</f>
        <v>35</v>
      </c>
      <c r="E18" s="189">
        <f>'[2]SR-52 WB'!J18</f>
        <v>0</v>
      </c>
      <c r="F18" s="189" t="str">
        <f>'[2]SR-52 WB'!K18</f>
        <v>GENESEE</v>
      </c>
      <c r="G18" s="189" t="str">
        <f>'[2]SR-52 WB'!L18</f>
        <v>REGENTS</v>
      </c>
      <c r="H18" s="197">
        <f>'[2]SR-52 WB'!O18</f>
        <v>10361</v>
      </c>
      <c r="I18" s="198">
        <f>VLOOKUP(c_17[[#This Row],[hwycov_id]],readme!D:G,4,FALSE)</f>
        <v>9955.1308590000008</v>
      </c>
      <c r="J18" s="206">
        <f t="shared" si="2"/>
        <v>-3.917277685551579E-2</v>
      </c>
      <c r="K18" s="190" t="str">
        <f>'[2]SR-52 WB'!P18</f>
        <v>PeMS2016</v>
      </c>
      <c r="L18" s="148">
        <f t="shared" si="3"/>
        <v>164729.75961607724</v>
      </c>
      <c r="M18" s="173"/>
      <c r="N18" s="172"/>
      <c r="O18" s="174"/>
      <c r="P18" s="174"/>
    </row>
    <row r="19" spans="1:16" ht="15" customHeight="1" x14ac:dyDescent="0.25">
      <c r="A19" s="43">
        <f>'[2]SR-52 WB'!C19</f>
        <v>17</v>
      </c>
      <c r="B19" s="43" t="str">
        <f>'[2]SR-52 WB'!H19</f>
        <v>SR-52 WB</v>
      </c>
      <c r="C19" s="126">
        <f>'[2]SR-52 WB'!E19</f>
        <v>28279</v>
      </c>
      <c r="D19" s="188">
        <f>'[2]SR-52 WB'!I19</f>
        <v>36</v>
      </c>
      <c r="E19" s="189">
        <f>'[2]SR-52 WB'!J19</f>
        <v>0</v>
      </c>
      <c r="F19" s="189" t="str">
        <f>'[2]SR-52 WB'!K19</f>
        <v>REGENTS</v>
      </c>
      <c r="G19" s="189" t="str">
        <f>'[2]SR-52 WB'!L19</f>
        <v>REGENTS</v>
      </c>
      <c r="H19" s="197">
        <f>'[2]SR-52 WB'!O19</f>
        <v>7981</v>
      </c>
      <c r="I19" s="198">
        <f>VLOOKUP(c_17[[#This Row],[hwycov_id]],readme!D:G,4,FALSE)</f>
        <v>8158.8969729999999</v>
      </c>
      <c r="J19" s="206">
        <f t="shared" si="2"/>
        <v>2.2290060518731947E-2</v>
      </c>
      <c r="K19" s="190" t="str">
        <f>'[2]SR-52 WB'!P19</f>
        <v>PeMS2016</v>
      </c>
      <c r="L19" s="148">
        <f t="shared" si="3"/>
        <v>31647.333002562689</v>
      </c>
      <c r="M19" s="44"/>
    </row>
    <row r="20" spans="1:16" ht="15" customHeight="1" x14ac:dyDescent="0.2">
      <c r="C20" s="123"/>
      <c r="E20" s="124"/>
      <c r="F20" s="124"/>
      <c r="G20" s="124"/>
      <c r="H20" s="125"/>
      <c r="I20" s="52"/>
      <c r="K20" s="27"/>
      <c r="L20" s="44"/>
      <c r="M20" s="44"/>
    </row>
    <row r="21" spans="1:16" ht="15" customHeight="1" x14ac:dyDescent="0.2">
      <c r="C21" s="123"/>
      <c r="E21" s="124"/>
      <c r="F21" s="123"/>
      <c r="G21" s="123"/>
      <c r="H21" s="125"/>
      <c r="I21" s="121"/>
      <c r="K21" s="27"/>
      <c r="L21" s="44"/>
      <c r="M21" s="44"/>
    </row>
    <row r="22" spans="1:16" ht="15" customHeight="1" x14ac:dyDescent="0.2">
      <c r="C22" s="123"/>
      <c r="E22" s="124"/>
      <c r="F22" s="123"/>
      <c r="G22" s="123"/>
      <c r="H22" s="125"/>
      <c r="I22" s="121"/>
      <c r="K22" s="27"/>
      <c r="L22" s="44"/>
      <c r="M22" s="44"/>
    </row>
    <row r="23" spans="1:16" ht="15" customHeight="1" x14ac:dyDescent="0.2">
      <c r="C23" s="123"/>
      <c r="E23" s="124"/>
      <c r="F23" s="123"/>
      <c r="G23" s="123"/>
      <c r="H23" s="125"/>
      <c r="I23" s="121"/>
      <c r="K23" s="27"/>
      <c r="L23" s="44"/>
      <c r="M23" s="44"/>
    </row>
    <row r="24" spans="1:16" ht="15" customHeight="1" x14ac:dyDescent="0.2">
      <c r="C24" s="123"/>
      <c r="E24" s="124"/>
      <c r="F24" s="123"/>
      <c r="G24" s="123"/>
      <c r="H24" s="125"/>
      <c r="I24" s="121"/>
      <c r="K24" s="27"/>
      <c r="L24" s="44"/>
      <c r="M24" s="44"/>
    </row>
    <row r="25" spans="1:16" ht="15" customHeight="1" x14ac:dyDescent="0.2">
      <c r="C25" s="123"/>
      <c r="E25" s="124"/>
      <c r="F25" s="123"/>
      <c r="G25" s="123"/>
      <c r="H25" s="125"/>
      <c r="I25" s="121"/>
      <c r="K25" s="27"/>
      <c r="L25" s="44"/>
      <c r="M25" s="44"/>
    </row>
    <row r="26" spans="1:16" ht="15" customHeight="1" x14ac:dyDescent="0.2">
      <c r="C26" s="123"/>
      <c r="E26" s="124"/>
      <c r="F26" s="123"/>
      <c r="G26" s="123"/>
      <c r="H26" s="125"/>
      <c r="I26" s="121"/>
      <c r="K26" s="27"/>
      <c r="L26" s="44"/>
      <c r="M26" s="44"/>
    </row>
    <row r="27" spans="1:16" ht="15" customHeight="1" x14ac:dyDescent="0.2">
      <c r="C27" s="123"/>
      <c r="E27" s="124"/>
      <c r="F27" s="123"/>
      <c r="G27" s="123"/>
      <c r="H27" s="125"/>
      <c r="I27" s="121"/>
      <c r="K27" s="27"/>
      <c r="L27" s="44"/>
      <c r="M27" s="44"/>
    </row>
    <row r="28" spans="1:16" ht="15" customHeight="1" x14ac:dyDescent="0.2">
      <c r="C28" s="123"/>
      <c r="E28" s="124"/>
      <c r="F28" s="123"/>
      <c r="G28" s="123"/>
      <c r="H28" s="125"/>
      <c r="I28" s="121"/>
      <c r="K28" s="27"/>
      <c r="L28" s="44"/>
      <c r="M28" s="44"/>
    </row>
    <row r="29" spans="1:16" ht="15" customHeight="1" x14ac:dyDescent="0.2">
      <c r="C29" s="123"/>
      <c r="E29" s="124"/>
      <c r="F29" s="123"/>
      <c r="G29" s="123"/>
      <c r="H29" s="125"/>
      <c r="I29" s="121"/>
      <c r="K29" s="27"/>
      <c r="L29" s="44"/>
      <c r="M29" s="44"/>
    </row>
    <row r="30" spans="1:16" ht="15" customHeight="1" x14ac:dyDescent="0.2">
      <c r="C30" s="123"/>
      <c r="E30" s="124"/>
      <c r="F30" s="123"/>
      <c r="G30" s="123"/>
      <c r="H30" s="125"/>
      <c r="I30" s="121"/>
      <c r="K30" s="27"/>
      <c r="L30" s="44"/>
      <c r="M30" s="44"/>
    </row>
    <row r="31" spans="1:16" ht="15" customHeight="1" x14ac:dyDescent="0.2">
      <c r="C31" s="123"/>
      <c r="E31" s="124"/>
      <c r="F31" s="123"/>
      <c r="G31" s="123"/>
      <c r="H31" s="125"/>
      <c r="I31" s="121"/>
      <c r="K31" s="27"/>
      <c r="L31" s="44"/>
      <c r="M31" s="44"/>
    </row>
    <row r="32" spans="1:16" ht="15" customHeight="1" x14ac:dyDescent="0.2">
      <c r="C32" s="123"/>
      <c r="E32" s="124"/>
      <c r="F32" s="123"/>
      <c r="G32" s="123"/>
      <c r="H32" s="125"/>
      <c r="I32" s="121"/>
      <c r="K32" s="27"/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</sheetData>
  <conditionalFormatting sqref="N2:N8 J21:K1048576">
    <cfRule type="cellIs" dxfId="231" priority="9" operator="lessThan">
      <formula>-0.2</formula>
    </cfRule>
    <cfRule type="cellIs" dxfId="230" priority="10" operator="greaterThan">
      <formula>0.2</formula>
    </cfRule>
  </conditionalFormatting>
  <conditionalFormatting sqref="J2:J19">
    <cfRule type="cellIs" dxfId="229" priority="5" operator="lessThan">
      <formula>-0.2</formula>
    </cfRule>
    <cfRule type="cellIs" dxfId="228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5703125" style="25" bestFit="1" customWidth="1"/>
    <col min="2" max="2" width="9.5703125" style="25" bestFit="1" customWidth="1"/>
    <col min="3" max="3" width="12.7109375" style="25" bestFit="1" customWidth="1"/>
    <col min="4" max="4" width="7.28515625" style="37" bestFit="1" customWidth="1"/>
    <col min="5" max="5" width="9.7109375" style="32" bestFit="1" customWidth="1"/>
    <col min="6" max="6" width="14.5703125" style="25" bestFit="1" customWidth="1"/>
    <col min="7" max="7" width="12.28515625" style="25" bestFit="1" customWidth="1"/>
    <col min="8" max="8" width="8.5703125" style="27" bestFit="1" customWidth="1"/>
    <col min="9" max="9" width="7.42578125" style="48" bestFit="1" customWidth="1"/>
    <col min="10" max="10" width="6.7109375" style="26" bestFit="1" customWidth="1"/>
    <col min="11" max="11" width="10.28515625" style="26" bestFit="1" customWidth="1"/>
    <col min="12" max="12" width="11.14062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SQRT(AVERAGE(c_18[x2]))/AVERAGE(c_18[count])</f>
        <v>0.20811361328781994</v>
      </c>
      <c r="O1" s="69">
        <f>LINEST(c_18[flow],c_18[count],FALSE)</f>
        <v>0.79744441402302702</v>
      </c>
      <c r="P1" s="69">
        <f>RSQ(c_18[flow],c_18[count])</f>
        <v>0.77505586343222743</v>
      </c>
      <c r="Q1" s="19">
        <f>IFERROR(AVERAGEIF(c_18[gap],"&gt;=0",c_18[gap]),0)</f>
        <v>0</v>
      </c>
      <c r="R1" s="20">
        <f>IFERROR(AVERAGEIF(c_18[gap],"&lt;0",c_18[gap]),0)</f>
        <v>-0.19755352265290047</v>
      </c>
      <c r="S1" s="13">
        <f>AVERAGE(c_18[gap])</f>
        <v>-0.19755352265290047</v>
      </c>
      <c r="T1" s="18">
        <f>COUNTIFS(c_18[gap],"&lt;10%",c_18[gap],"&gt;=-10%")/COUNTA(c_18[gap])</f>
        <v>0</v>
      </c>
      <c r="U1" s="18">
        <f>COUNTIFS(c_18[gap],"&lt;20%",c_18[gap],"&gt;=-20%")/COUNTA(c_18[gap])</f>
        <v>0.2857142857142857</v>
      </c>
      <c r="V1" s="18">
        <f>COUNTIFS(c_18[gap],"&lt;30%",c_18[gap],"&gt;=-30%")/COUNTA(c_18[gap])</f>
        <v>1</v>
      </c>
      <c r="W1" s="19">
        <f>COUNTIF(c_18[gap],"&gt;=0")/COUNTA(c_18[gap])</f>
        <v>0</v>
      </c>
      <c r="X1" s="21">
        <f>COUNTIF(c_18[gap],"&lt;0")/COUNTA(c_18[gap])</f>
        <v>1</v>
      </c>
      <c r="Y1" s="39" t="str">
        <f>"%Link(+)="&amp;TEXT(W1,"0%")</f>
        <v>%Link(+)=0%</v>
      </c>
      <c r="Z1" s="39" t="str">
        <f>"%Link(-)="&amp;TEXT(X1,"0%")</f>
        <v>%Link(-)=100%</v>
      </c>
      <c r="AA1" s="36" t="str">
        <f>"AvgGap(+)="&amp;TEXT(Q1,"0%")</f>
        <v>AvgGap(+)=0%</v>
      </c>
      <c r="AB1" s="25" t="str">
        <f>"AvgGap(-)="&amp;TEXT(R1,"0%")</f>
        <v>AvgGap(-)=-20%</v>
      </c>
      <c r="AC1" s="25" t="str">
        <f>"AvgGap(±)="&amp;TEXT(S1,"0%")</f>
        <v>AvgGap(±)=-20%</v>
      </c>
      <c r="AD1" s="25" t="str">
        <f>"GapIn(±10%)="&amp;TEXT(T1,"0%")</f>
        <v>GapIn(±10%)=0%</v>
      </c>
      <c r="AE1" s="25" t="str">
        <f>"GapIn(±20%)="&amp;TEXT(U1,"0%")</f>
        <v>GapIn(±20%)=29%</v>
      </c>
      <c r="AF1" s="25" t="str">
        <f>"GapIn(±30%)="&amp;TEXT(V1,"0%")</f>
        <v>GapIn(±30%)=100%</v>
      </c>
      <c r="AG1" s="25" t="str">
        <f>"Linear Slope="&amp;TEXT(O1,"#.###")</f>
        <v>Linear Slope=.797</v>
      </c>
      <c r="AH1" s="25" t="str">
        <f>"RMSE="&amp;TEXT(N1,"0%")</f>
        <v>RMSE=21%</v>
      </c>
      <c r="AI1" s="25" t="str">
        <f>CONCATENATE(Y1," ",Z1," ",AA1,"  ",AB1,"  ",AC1,"  ",AD1," ",AE1,"  ",AF1,"  ",AG1," ",AH1)</f>
        <v>%Link(+)=0% %Link(-)=100% AvgGap(+)=0%  AvgGap(-)=-20%  AvgGap(±)=-20%  GapIn(±10%)=0% GapIn(±20%)=29%  GapIn(±30%)=100%  Linear Slope=.797 RMSE=21%</v>
      </c>
    </row>
    <row r="2" spans="1:35" ht="15" customHeight="1" x14ac:dyDescent="0.25">
      <c r="A2" s="43">
        <f>'[2]SR-54 WB'!C2</f>
        <v>18</v>
      </c>
      <c r="B2" s="43" t="str">
        <f>'[2]SR-54 WB'!H2</f>
        <v>SR-54 WB</v>
      </c>
      <c r="C2" s="126">
        <f>'[2]SR-54 WB'!E2</f>
        <v>14176</v>
      </c>
      <c r="D2" s="188">
        <f>'[2]SR-54 WB'!I2</f>
        <v>4</v>
      </c>
      <c r="E2" s="189">
        <f>'[2]SR-54 WB'!J2</f>
        <v>0</v>
      </c>
      <c r="F2" s="189" t="str">
        <f>'[2]SR-54 WB'!K2</f>
        <v>SR-125 NB</v>
      </c>
      <c r="G2" s="189" t="str">
        <f>'[2]SR-54 WB'!L2</f>
        <v>BRIARWOOD</v>
      </c>
      <c r="H2" s="197">
        <f>'[2]SR-54 WB'!O2</f>
        <v>13806</v>
      </c>
      <c r="I2" s="198">
        <f>VLOOKUP(c_18[[#This Row],[hwycov_id]],readme!D:G,4,FALSE)</f>
        <v>12125.403319999999</v>
      </c>
      <c r="J2" s="206">
        <f t="shared" ref="J2" si="0">I2/H2-1</f>
        <v>-0.1217294422714762</v>
      </c>
      <c r="K2" s="190" t="str">
        <f>'[2]SR-54 WB'!P2</f>
        <v>Caltran</v>
      </c>
      <c r="L2" s="148">
        <f t="shared" ref="L2" si="1">POWER((I2-H2),2)</f>
        <v>2824405.2008270244</v>
      </c>
      <c r="M2" s="44"/>
    </row>
    <row r="3" spans="1:35" ht="15" customHeight="1" x14ac:dyDescent="0.25">
      <c r="A3" s="43">
        <f>'[2]SR-54 WB'!C3</f>
        <v>18</v>
      </c>
      <c r="B3" s="43" t="str">
        <f>'[2]SR-54 WB'!H3</f>
        <v>SR-54 WB</v>
      </c>
      <c r="C3" s="126">
        <f>'[2]SR-54 WB'!E3</f>
        <v>14155</v>
      </c>
      <c r="D3" s="188">
        <f>'[2]SR-54 WB'!I3</f>
        <v>5</v>
      </c>
      <c r="E3" s="189">
        <f>'[2]SR-54 WB'!J3</f>
        <v>0</v>
      </c>
      <c r="F3" s="189" t="str">
        <f>'[2]SR-54 WB'!K3</f>
        <v>BRIARWOOD</v>
      </c>
      <c r="G3" s="189" t="str">
        <f>'[2]SR-54 WB'!L3</f>
        <v>BRIARWOOD</v>
      </c>
      <c r="H3" s="197">
        <f>'[2]SR-54 WB'!O3</f>
        <v>12547</v>
      </c>
      <c r="I3" s="198">
        <f>VLOOKUP(c_18[[#This Row],[hwycov_id]],readme!D:G,4,FALSE)</f>
        <v>9904.4990230000003</v>
      </c>
      <c r="J3" s="206">
        <f t="shared" ref="J3:J8" si="2">I3/H3-1</f>
        <v>-0.21060819136048459</v>
      </c>
      <c r="K3" s="190" t="str">
        <f>'[2]SR-54 WB'!P3</f>
        <v>PeMS2016</v>
      </c>
      <c r="L3" s="148">
        <f t="shared" ref="L3:L8" si="3">POWER((I3-H3),2)</f>
        <v>6982811.4134459533</v>
      </c>
      <c r="M3" s="44"/>
    </row>
    <row r="4" spans="1:35" ht="15" customHeight="1" x14ac:dyDescent="0.25">
      <c r="A4" s="43">
        <f>'[2]SR-54 WB'!C4</f>
        <v>18</v>
      </c>
      <c r="B4" s="43" t="str">
        <f>'[2]SR-54 WB'!H4</f>
        <v>SR-54 WB</v>
      </c>
      <c r="C4" s="126">
        <f>'[2]SR-54 WB'!E4</f>
        <v>14144</v>
      </c>
      <c r="D4" s="188">
        <f>'[2]SR-54 WB'!I4</f>
        <v>7</v>
      </c>
      <c r="E4" s="189">
        <f>'[2]SR-54 WB'!J4</f>
        <v>0</v>
      </c>
      <c r="F4" s="189" t="str">
        <f>'[2]SR-54 WB'!K4</f>
        <v>WOODMAN</v>
      </c>
      <c r="G4" s="189" t="str">
        <f>'[2]SR-54 WB'!L4</f>
        <v>WOODMAN</v>
      </c>
      <c r="H4" s="197">
        <f>'[2]SR-54 WB'!O4</f>
        <v>13595</v>
      </c>
      <c r="I4" s="198">
        <f>VLOOKUP(c_18[[#This Row],[hwycov_id]],readme!D:G,4,FALSE)</f>
        <v>10434.219727</v>
      </c>
      <c r="J4" s="206">
        <f t="shared" si="2"/>
        <v>-0.23249579058477388</v>
      </c>
      <c r="K4" s="190" t="str">
        <f>'[2]SR-54 WB'!P4</f>
        <v>PeMS2016</v>
      </c>
      <c r="L4" s="148">
        <f t="shared" si="3"/>
        <v>9990531.9341859557</v>
      </c>
      <c r="M4" s="44"/>
    </row>
    <row r="5" spans="1:35" ht="15" customHeight="1" x14ac:dyDescent="0.25">
      <c r="A5" s="43">
        <f>'[2]SR-54 WB'!C5</f>
        <v>18</v>
      </c>
      <c r="B5" s="43" t="str">
        <f>'[2]SR-54 WB'!H5</f>
        <v>SR-54 WB</v>
      </c>
      <c r="C5" s="126">
        <f>'[2]SR-54 WB'!E5</f>
        <v>14142</v>
      </c>
      <c r="D5" s="188">
        <f>'[2]SR-54 WB'!I5</f>
        <v>8</v>
      </c>
      <c r="E5" s="189">
        <f>'[2]SR-54 WB'!J5</f>
        <v>0</v>
      </c>
      <c r="F5" s="189" t="str">
        <f>'[2]SR-54 WB'!K5</f>
        <v>WOODMAN</v>
      </c>
      <c r="G5" s="189" t="str">
        <f>'[2]SR-54 WB'!L5</f>
        <v>VALLEY</v>
      </c>
      <c r="H5" s="197">
        <f>'[2]SR-54 WB'!O5</f>
        <v>15144</v>
      </c>
      <c r="I5" s="198">
        <f>VLOOKUP(c_18[[#This Row],[hwycov_id]],readme!D:G,4,FALSE)</f>
        <v>11792.741211</v>
      </c>
      <c r="J5" s="206">
        <f t="shared" si="2"/>
        <v>-0.2212928413232963</v>
      </c>
      <c r="K5" s="190" t="str">
        <f>'[2]SR-54 WB'!P5</f>
        <v>Caltran</v>
      </c>
      <c r="L5" s="148">
        <f t="shared" si="3"/>
        <v>11230935.470849743</v>
      </c>
      <c r="M5" s="44"/>
    </row>
    <row r="6" spans="1:35" ht="15" customHeight="1" x14ac:dyDescent="0.25">
      <c r="A6" s="43">
        <f>'[2]SR-54 WB'!C6</f>
        <v>18</v>
      </c>
      <c r="B6" s="43" t="str">
        <f>'[2]SR-54 WB'!H6</f>
        <v>SR-54 WB</v>
      </c>
      <c r="C6" s="126">
        <f>'[2]SR-54 WB'!E6</f>
        <v>28675</v>
      </c>
      <c r="D6" s="188">
        <f>'[2]SR-54 WB'!I6</f>
        <v>9</v>
      </c>
      <c r="E6" s="189">
        <f>'[2]SR-54 WB'!J6</f>
        <v>0</v>
      </c>
      <c r="F6" s="189" t="str">
        <f>'[2]SR-54 WB'!K6</f>
        <v>VALLEY</v>
      </c>
      <c r="G6" s="189" t="str">
        <f>'[2]SR-54 WB'!L6</f>
        <v>VALLEY</v>
      </c>
      <c r="H6" s="197">
        <f>'[2]SR-54 WB'!O6</f>
        <v>13756</v>
      </c>
      <c r="I6" s="198">
        <f>VLOOKUP(c_18[[#This Row],[hwycov_id]],readme!D:G,4,FALSE)</f>
        <v>10629.482421999999</v>
      </c>
      <c r="J6" s="206">
        <f t="shared" si="2"/>
        <v>-0.22728391814480964</v>
      </c>
      <c r="K6" s="190" t="str">
        <f>'[2]SR-54 WB'!P6</f>
        <v>PeMS2016</v>
      </c>
      <c r="L6" s="148">
        <f t="shared" si="3"/>
        <v>9775112.1655429918</v>
      </c>
      <c r="M6" s="44"/>
    </row>
    <row r="7" spans="1:35" ht="15" customHeight="1" x14ac:dyDescent="0.25">
      <c r="A7" s="43">
        <f>'[2]SR-54 WB'!C7</f>
        <v>18</v>
      </c>
      <c r="B7" s="43" t="str">
        <f>'[2]SR-54 WB'!H7</f>
        <v>SR-54 WB</v>
      </c>
      <c r="C7" s="126">
        <f>'[2]SR-54 WB'!E7</f>
        <v>28677</v>
      </c>
      <c r="D7" s="188">
        <f>'[2]SR-54 WB'!I7</f>
        <v>11</v>
      </c>
      <c r="E7" s="189">
        <f>'[2]SR-54 WB'!J7</f>
        <v>0</v>
      </c>
      <c r="F7" s="189" t="str">
        <f>'[2]SR-54 WB'!K7</f>
        <v>VALLEY</v>
      </c>
      <c r="G7" s="189" t="str">
        <f>'[2]SR-54 WB'!L7</f>
        <v>I-805 NB</v>
      </c>
      <c r="H7" s="197">
        <f>'[2]SR-54 WB'!O7</f>
        <v>15465</v>
      </c>
      <c r="I7" s="198">
        <f>VLOOKUP(c_18[[#This Row],[hwycov_id]],readme!D:G,4,FALSE)</f>
        <v>11886.195312</v>
      </c>
      <c r="J7" s="206">
        <f t="shared" si="2"/>
        <v>-0.23141317090203684</v>
      </c>
      <c r="K7" s="190" t="str">
        <f>'[2]SR-54 WB'!P7</f>
        <v>Caltran</v>
      </c>
      <c r="L7" s="148">
        <f t="shared" si="3"/>
        <v>12807842.994850779</v>
      </c>
      <c r="M7" s="44"/>
    </row>
    <row r="8" spans="1:35" ht="15" customHeight="1" x14ac:dyDescent="0.25">
      <c r="A8" s="43">
        <f>'[2]SR-54 WB'!C8</f>
        <v>18</v>
      </c>
      <c r="B8" s="43" t="str">
        <f>'[2]SR-54 WB'!H8</f>
        <v>SR-54 WB</v>
      </c>
      <c r="C8" s="126">
        <f>'[2]SR-54 WB'!E8</f>
        <v>27956</v>
      </c>
      <c r="D8" s="188">
        <f>'[2]SR-54 WB'!I8</f>
        <v>17</v>
      </c>
      <c r="E8" s="189">
        <f>'[2]SR-54 WB'!J8</f>
        <v>0</v>
      </c>
      <c r="F8" s="189" t="str">
        <f>'[2]SR-54 WB'!K8</f>
        <v>NATIONAL CITY</v>
      </c>
      <c r="G8" s="189" t="str">
        <f>'[2]SR-54 WB'!L8</f>
        <v>I-5 NB</v>
      </c>
      <c r="H8" s="197">
        <f>'[2]SR-54 WB'!O8</f>
        <v>10619</v>
      </c>
      <c r="I8" s="198">
        <f>VLOOKUP(c_18[[#This Row],[hwycov_id]],readme!D:G,4,FALSE)</f>
        <v>9153.0332030000009</v>
      </c>
      <c r="J8" s="206">
        <f t="shared" si="2"/>
        <v>-0.1380513039834258</v>
      </c>
      <c r="K8" s="190" t="str">
        <f>'[2]SR-54 WB'!P8</f>
        <v>Caltran</v>
      </c>
      <c r="L8" s="148">
        <f t="shared" si="3"/>
        <v>2149058.6499064364</v>
      </c>
      <c r="M8" s="44"/>
    </row>
    <row r="9" spans="1:35" ht="15" customHeight="1" x14ac:dyDescent="0.25">
      <c r="A9" s="43"/>
      <c r="B9" s="43"/>
      <c r="C9" s="126"/>
      <c r="D9" s="188"/>
      <c r="E9" s="189"/>
      <c r="F9" s="189"/>
      <c r="G9" s="189"/>
      <c r="H9" s="197"/>
      <c r="I9" s="198"/>
      <c r="J9" s="206"/>
      <c r="K9" s="190"/>
      <c r="L9" s="148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 J10:K12 J2:J8">
    <cfRule type="cellIs" dxfId="214" priority="9" operator="lessThan">
      <formula>-0.2</formula>
    </cfRule>
    <cfRule type="cellIs" dxfId="213" priority="10" operator="greaterThan">
      <formula>0.2</formula>
    </cfRule>
  </conditionalFormatting>
  <conditionalFormatting sqref="J19:K1048576">
    <cfRule type="cellIs" dxfId="212" priority="7" operator="lessThan">
      <formula>-0.2</formula>
    </cfRule>
    <cfRule type="cellIs" dxfId="211" priority="8" operator="greaterThan">
      <formula>0.2</formula>
    </cfRule>
  </conditionalFormatting>
  <conditionalFormatting sqref="J14:K18">
    <cfRule type="cellIs" dxfId="210" priority="5" operator="lessThan">
      <formula>-0.2</formula>
    </cfRule>
    <cfRule type="cellIs" dxfId="209" priority="6" operator="greaterThan">
      <formula>0.2</formula>
    </cfRule>
  </conditionalFormatting>
  <conditionalFormatting sqref="N1">
    <cfRule type="cellIs" dxfId="208" priority="1" operator="lessThan">
      <formula>-0.2</formula>
    </cfRule>
    <cfRule type="cellIs" dxfId="20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SQRT(AVERAGE(c_19[x2]))/AVERAGE(c_19[count])</f>
        <v>0.23675216967978105</v>
      </c>
      <c r="O1" s="69">
        <f>LINEST(c_19[flow],c_19[count],FALSE)</f>
        <v>1.2019798133106334</v>
      </c>
      <c r="P1" s="69">
        <f>RSQ(c_19[flow],c_19[count])</f>
        <v>0.73313823029338143</v>
      </c>
      <c r="Q1" s="19">
        <f>IFERROR(AVERAGEIF(c_19[gap],"&gt;=0",c_19[gap]),0)</f>
        <v>0.2324820576559139</v>
      </c>
      <c r="R1" s="20">
        <f>IFERROR(AVERAGEIF(c_19[gap],"&lt;0",c_19[gap]),0)</f>
        <v>0</v>
      </c>
      <c r="S1" s="13">
        <f>AVERAGE(c_19[gap])</f>
        <v>0.2324820576559139</v>
      </c>
      <c r="T1" s="18">
        <f>COUNTIFS(c_19[gap],"&lt;10%",c_19[gap],"&gt;=-10%")/COUNTA(c_19[gap])</f>
        <v>0.2</v>
      </c>
      <c r="U1" s="18">
        <f>COUNTIFS(c_19[gap],"&lt;20%",c_19[gap],"&gt;=-20%")/COUNTA(c_19[gap])</f>
        <v>0.4</v>
      </c>
      <c r="V1" s="18">
        <f>COUNTIFS(c_19[gap],"&lt;30%",c_19[gap],"&gt;=-30%")/COUNTA(c_19[gap])</f>
        <v>0.73333333333333328</v>
      </c>
      <c r="W1" s="19">
        <f>COUNTIF(c_19[gap],"&gt;=0")/COUNTA(c_19[gap])</f>
        <v>1</v>
      </c>
      <c r="X1" s="21">
        <f>COUNTIF(c_19[gap],"&lt;0")/COUNTA(c_19[gap])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AvgGap(+)=23%</v>
      </c>
      <c r="AB1" s="25" t="str">
        <f>"AvgGap(-)="&amp;TEXT(R1,"0%")</f>
        <v>AvgGap(-)=0%</v>
      </c>
      <c r="AC1" s="25" t="str">
        <f>"AvgGap(±)="&amp;TEXT(S1,"0%")</f>
        <v>AvgGap(±)=23%</v>
      </c>
      <c r="AD1" s="25" t="str">
        <f>"GapIn(±10%)="&amp;TEXT(T1,"0%")</f>
        <v>GapIn(±10%)=20%</v>
      </c>
      <c r="AE1" s="25" t="str">
        <f>"GapIn(±20%)="&amp;TEXT(U1,"0%")</f>
        <v>GapIn(±20%)=40%</v>
      </c>
      <c r="AF1" s="25" t="str">
        <f>"GapIn(±30%)="&amp;TEXT(V1,"0%")</f>
        <v>GapIn(±30%)=73%</v>
      </c>
      <c r="AG1" s="25" t="str">
        <f>"Linear Slope="&amp;TEXT(O1,"#.###")</f>
        <v>Linear Slope=1.202</v>
      </c>
      <c r="AH1" s="25" t="str">
        <f>"RMSE="&amp;TEXT(N1,"0%")</f>
        <v>RMSE=24%</v>
      </c>
      <c r="AI1" s="25" t="str">
        <f>CONCATENATE(Y1," ",Z1," ",AA1,"  ",AB1,"  ",AC1,"  ",AD1," ",AE1,"  ",AF1,"  ",AG1," ",AH1)</f>
        <v>%Link(+)=100% %Link(-)=0% AvgGap(+)=23%  AvgGap(-)=0%  AvgGap(±)=23%  GapIn(±10%)=20% GapIn(±20%)=40%  GapIn(±30%)=73%  Linear Slope=1.202 RMSE=24%</v>
      </c>
    </row>
    <row r="2" spans="1:35" ht="15" customHeight="1" x14ac:dyDescent="0.25">
      <c r="A2" s="43">
        <f>'[2]SR-56 WB'!C2</f>
        <v>19</v>
      </c>
      <c r="B2" s="43" t="str">
        <f>'[2]SR-56 WB'!H2</f>
        <v>SR-56 WB</v>
      </c>
      <c r="C2" s="126">
        <f>'[2]SR-56 WB'!E2</f>
        <v>7664</v>
      </c>
      <c r="D2" s="188">
        <f>'[2]SR-56 WB'!I2</f>
        <v>3</v>
      </c>
      <c r="E2" s="189">
        <f>'[2]SR-56 WB'!J2</f>
        <v>0</v>
      </c>
      <c r="F2" s="189" t="str">
        <f>'[2]SR-56 WB'!K2</f>
        <v>I-15 SB</v>
      </c>
      <c r="G2" s="189" t="str">
        <f>'[2]SR-56 WB'!L2</f>
        <v>RANCHO PENASQUITOS</v>
      </c>
      <c r="H2" s="197">
        <f>'[2]SR-56 WB'!O2</f>
        <v>8295</v>
      </c>
      <c r="I2" s="198">
        <f>VLOOKUP(c_19[[#This Row],[hwycov_id]],readme!D:G,4,FALSE)</f>
        <v>9277.9501949999994</v>
      </c>
      <c r="J2" s="206">
        <f t="shared" ref="J2" si="0">I2/H2-1</f>
        <v>0.11849911934900526</v>
      </c>
      <c r="K2" s="190" t="str">
        <f>'[2]SR-56 WB'!P2</f>
        <v>PeMS2016</v>
      </c>
      <c r="L2" s="148">
        <f t="shared" ref="L2" si="1">POWER((I2-H2),2)</f>
        <v>966191.08585053694</v>
      </c>
      <c r="M2" s="44"/>
    </row>
    <row r="3" spans="1:35" ht="15" customHeight="1" x14ac:dyDescent="0.25">
      <c r="A3" s="43">
        <f>'[2]SR-56 WB'!C3</f>
        <v>19</v>
      </c>
      <c r="B3" s="43" t="str">
        <f>'[2]SR-56 WB'!H3</f>
        <v>SR-56 WB</v>
      </c>
      <c r="C3" s="126">
        <f>'[2]SR-56 WB'!E3</f>
        <v>7665</v>
      </c>
      <c r="D3" s="188">
        <f>'[2]SR-56 WB'!I3</f>
        <v>4</v>
      </c>
      <c r="E3" s="189">
        <f>'[2]SR-56 WB'!J3</f>
        <v>0</v>
      </c>
      <c r="F3" s="189" t="str">
        <f>'[2]SR-56 WB'!K3</f>
        <v>RANCHO PENASQUITOS</v>
      </c>
      <c r="G3" s="189" t="str">
        <f>'[2]SR-56 WB'!L3</f>
        <v>RANCHO PENASQUITOS</v>
      </c>
      <c r="H3" s="197">
        <f>'[2]SR-56 WB'!O3</f>
        <v>6773</v>
      </c>
      <c r="I3" s="198">
        <f>VLOOKUP(c_19[[#This Row],[hwycov_id]],readme!D:G,4,FALSE)</f>
        <v>7423.748047</v>
      </c>
      <c r="J3" s="206">
        <f t="shared" ref="J3:J16" si="2">I3/H3-1</f>
        <v>9.6079735272405209E-2</v>
      </c>
      <c r="K3" s="190" t="str">
        <f>'[2]SR-56 WB'!P3</f>
        <v>PeMS2016</v>
      </c>
      <c r="L3" s="148">
        <f t="shared" ref="L3:L16" si="3">POWER((I3-H3),2)</f>
        <v>423473.02067431429</v>
      </c>
      <c r="M3" s="44"/>
    </row>
    <row r="4" spans="1:35" ht="15" customHeight="1" x14ac:dyDescent="0.25">
      <c r="A4" s="43">
        <f>'[2]SR-56 WB'!C4</f>
        <v>19</v>
      </c>
      <c r="B4" s="43" t="str">
        <f>'[2]SR-56 WB'!H4</f>
        <v>SR-56 WB</v>
      </c>
      <c r="C4" s="126">
        <f>'[2]SR-56 WB'!E4</f>
        <v>11382</v>
      </c>
      <c r="D4" s="188">
        <f>'[2]SR-56 WB'!I4</f>
        <v>5</v>
      </c>
      <c r="E4" s="189">
        <f>'[2]SR-56 WB'!J4</f>
        <v>0</v>
      </c>
      <c r="F4" s="189" t="str">
        <f>'[2]SR-56 WB'!K4</f>
        <v>RANCHO PENASQUITOS</v>
      </c>
      <c r="G4" s="189" t="str">
        <f>'[2]SR-56 WB'!L4</f>
        <v>BLACK MOUNTAIN</v>
      </c>
      <c r="H4" s="197">
        <f>'[2]SR-56 WB'!O4</f>
        <v>8306</v>
      </c>
      <c r="I4" s="198">
        <f>VLOOKUP(c_19[[#This Row],[hwycov_id]],readme!D:G,4,FALSE)</f>
        <v>8477.9013670000004</v>
      </c>
      <c r="J4" s="206">
        <f t="shared" si="2"/>
        <v>2.06960470744042E-2</v>
      </c>
      <c r="K4" s="190" t="str">
        <f>'[2]SR-56 WB'!P4</f>
        <v>Caltran</v>
      </c>
      <c r="L4" s="148">
        <f t="shared" si="3"/>
        <v>29550.079976468824</v>
      </c>
      <c r="M4" s="44"/>
    </row>
    <row r="5" spans="1:35" ht="15" customHeight="1" x14ac:dyDescent="0.25">
      <c r="A5" s="43">
        <f>'[2]SR-56 WB'!C5</f>
        <v>19</v>
      </c>
      <c r="B5" s="43" t="str">
        <f>'[2]SR-56 WB'!H5</f>
        <v>SR-56 WB</v>
      </c>
      <c r="C5" s="126">
        <f>'[2]SR-56 WB'!E5</f>
        <v>16354</v>
      </c>
      <c r="D5" s="188">
        <f>'[2]SR-56 WB'!I5</f>
        <v>6</v>
      </c>
      <c r="E5" s="189">
        <f>'[2]SR-56 WB'!J5</f>
        <v>0</v>
      </c>
      <c r="F5" s="189" t="str">
        <f>'[2]SR-56 WB'!K5</f>
        <v>BLACK MOUNTAIN</v>
      </c>
      <c r="G5" s="189" t="str">
        <f>'[2]SR-56 WB'!L5</f>
        <v>BLACK MOUNTAIN</v>
      </c>
      <c r="H5" s="197">
        <f>'[2]SR-56 WB'!O5</f>
        <v>5505</v>
      </c>
      <c r="I5" s="198">
        <f>VLOOKUP(c_19[[#This Row],[hwycov_id]],readme!D:G,4,FALSE)</f>
        <v>6504.1083980000003</v>
      </c>
      <c r="J5" s="206">
        <f t="shared" si="2"/>
        <v>0.18149108047229801</v>
      </c>
      <c r="K5" s="190" t="str">
        <f>'[2]SR-56 WB'!P5</f>
        <v>PeMS2016</v>
      </c>
      <c r="L5" s="148">
        <f t="shared" si="3"/>
        <v>998217.59095412702</v>
      </c>
      <c r="M5" s="44"/>
    </row>
    <row r="6" spans="1:35" ht="15" customHeight="1" x14ac:dyDescent="0.25">
      <c r="A6" s="43">
        <f>'[2]SR-56 WB'!C6</f>
        <v>19</v>
      </c>
      <c r="B6" s="43" t="str">
        <f>'[2]SR-56 WB'!H6</f>
        <v>SR-56 WB</v>
      </c>
      <c r="C6" s="126">
        <f>'[2]SR-56 WB'!E6</f>
        <v>16352</v>
      </c>
      <c r="D6" s="188">
        <f>'[2]SR-56 WB'!I6</f>
        <v>7</v>
      </c>
      <c r="E6" s="189">
        <f>'[2]SR-56 WB'!J6</f>
        <v>0</v>
      </c>
      <c r="F6" s="189" t="str">
        <f>'[2]SR-56 WB'!K6</f>
        <v>BLACK MOUNTAIN</v>
      </c>
      <c r="G6" s="189" t="str">
        <f>'[2]SR-56 WB'!L6</f>
        <v>CAMINO RUIZ</v>
      </c>
      <c r="H6" s="197">
        <f>'[2]SR-56 WB'!O6</f>
        <v>7385</v>
      </c>
      <c r="I6" s="198">
        <f>VLOOKUP(c_19[[#This Row],[hwycov_id]],readme!D:G,4,FALSE)</f>
        <v>9097.2070309999999</v>
      </c>
      <c r="J6" s="206">
        <f t="shared" si="2"/>
        <v>0.23184929329722404</v>
      </c>
      <c r="K6" s="190" t="str">
        <f>'[2]SR-56 WB'!P6</f>
        <v>Caltran</v>
      </c>
      <c r="L6" s="148">
        <f t="shared" si="3"/>
        <v>2931652.9170058346</v>
      </c>
      <c r="M6" s="44"/>
    </row>
    <row r="7" spans="1:35" ht="15" customHeight="1" x14ac:dyDescent="0.25">
      <c r="A7" s="43">
        <f>'[2]SR-56 WB'!C7</f>
        <v>19</v>
      </c>
      <c r="B7" s="43" t="str">
        <f>'[2]SR-56 WB'!H7</f>
        <v>SR-56 WB</v>
      </c>
      <c r="C7" s="126">
        <f>'[2]SR-56 WB'!E7</f>
        <v>29171</v>
      </c>
      <c r="D7" s="188">
        <f>'[2]SR-56 WB'!I7</f>
        <v>8</v>
      </c>
      <c r="E7" s="189">
        <f>'[2]SR-56 WB'!J7</f>
        <v>0</v>
      </c>
      <c r="F7" s="189" t="str">
        <f>'[2]SR-56 WB'!K7</f>
        <v>CAMINO RUIZ</v>
      </c>
      <c r="G7" s="189" t="str">
        <f>'[2]SR-56 WB'!L7</f>
        <v>CAMINO RUIZ</v>
      </c>
      <c r="H7" s="197">
        <f>'[2]SR-56 WB'!O7</f>
        <v>4831</v>
      </c>
      <c r="I7" s="198">
        <f>VLOOKUP(c_19[[#This Row],[hwycov_id]],readme!D:G,4,FALSE)</f>
        <v>6530.1904299999997</v>
      </c>
      <c r="J7" s="206">
        <f t="shared" si="2"/>
        <v>0.35172643966052575</v>
      </c>
      <c r="K7" s="190" t="str">
        <f>'[2]SR-56 WB'!P7</f>
        <v>PeMS2016</v>
      </c>
      <c r="L7" s="148">
        <f t="shared" si="3"/>
        <v>2887248.1174035836</v>
      </c>
      <c r="M7" s="44"/>
    </row>
    <row r="8" spans="1:35" ht="15" customHeight="1" x14ac:dyDescent="0.25">
      <c r="A8" s="43">
        <f>'[2]SR-56 WB'!C8</f>
        <v>19</v>
      </c>
      <c r="B8" s="43" t="str">
        <f>'[2]SR-56 WB'!H8</f>
        <v>SR-56 WB</v>
      </c>
      <c r="C8" s="126">
        <f>'[2]SR-56 WB'!E8</f>
        <v>29172</v>
      </c>
      <c r="D8" s="188">
        <f>'[2]SR-56 WB'!I8</f>
        <v>9</v>
      </c>
      <c r="E8" s="189">
        <f>'[2]SR-56 WB'!J8</f>
        <v>0</v>
      </c>
      <c r="F8" s="189" t="str">
        <f>'[2]SR-56 WB'!K8</f>
        <v>CAMINO RUIZ</v>
      </c>
      <c r="G8" s="189" t="str">
        <f>'[2]SR-56 WB'!L8</f>
        <v>CAMINO RUIZ</v>
      </c>
      <c r="H8" s="197">
        <f>'[2]SR-56 WB'!O8</f>
        <v>4856</v>
      </c>
      <c r="I8" s="198">
        <f>VLOOKUP(c_19[[#This Row],[hwycov_id]],readme!D:G,4,FALSE)</f>
        <v>6530.1904299999997</v>
      </c>
      <c r="J8" s="206">
        <f t="shared" si="2"/>
        <v>0.34476738673805585</v>
      </c>
      <c r="K8" s="190" t="str">
        <f>'[2]SR-56 WB'!P8</f>
        <v>PeMS2016</v>
      </c>
      <c r="L8" s="148">
        <f t="shared" si="3"/>
        <v>2802913.5959035838</v>
      </c>
      <c r="M8" s="44"/>
    </row>
    <row r="9" spans="1:35" ht="15" customHeight="1" x14ac:dyDescent="0.25">
      <c r="A9" s="43">
        <f>'[2]SR-56 WB'!C9</f>
        <v>19</v>
      </c>
      <c r="B9" s="43" t="str">
        <f>'[2]SR-56 WB'!H9</f>
        <v>SR-56 WB</v>
      </c>
      <c r="C9" s="126">
        <f>'[2]SR-56 WB'!E9</f>
        <v>16351</v>
      </c>
      <c r="D9" s="188">
        <f>'[2]SR-56 WB'!I9</f>
        <v>11</v>
      </c>
      <c r="E9" s="189">
        <f>'[2]SR-56 WB'!J9</f>
        <v>0</v>
      </c>
      <c r="F9" s="189" t="str">
        <f>'[2]SR-56 WB'!K9</f>
        <v>CAMINO RUIZ</v>
      </c>
      <c r="G9" s="189" t="str">
        <f>'[2]SR-56 WB'!L9</f>
        <v>CAMINO SANTA FE</v>
      </c>
      <c r="H9" s="197">
        <f>'[2]SR-56 WB'!O9</f>
        <v>5806</v>
      </c>
      <c r="I9" s="198">
        <f>VLOOKUP(c_19[[#This Row],[hwycov_id]],readme!D:G,4,FALSE)</f>
        <v>7528.3403319999998</v>
      </c>
      <c r="J9" s="206">
        <f t="shared" si="2"/>
        <v>0.29664835204960371</v>
      </c>
      <c r="K9" s="190" t="str">
        <f>'[2]SR-56 WB'!P9</f>
        <v>PeMS2016</v>
      </c>
      <c r="L9" s="148">
        <f t="shared" si="3"/>
        <v>2966456.2192338696</v>
      </c>
      <c r="M9" s="44"/>
    </row>
    <row r="10" spans="1:35" ht="15" customHeight="1" x14ac:dyDescent="0.25">
      <c r="A10" s="43">
        <f>'[2]SR-56 WB'!C10</f>
        <v>19</v>
      </c>
      <c r="B10" s="43" t="str">
        <f>'[2]SR-56 WB'!H10</f>
        <v>SR-56 WB</v>
      </c>
      <c r="C10" s="126">
        <f>'[2]SR-56 WB'!E10</f>
        <v>16358</v>
      </c>
      <c r="D10" s="188">
        <f>'[2]SR-56 WB'!I10</f>
        <v>12</v>
      </c>
      <c r="E10" s="189">
        <f>'[2]SR-56 WB'!J10</f>
        <v>0</v>
      </c>
      <c r="F10" s="189" t="str">
        <f>'[2]SR-56 WB'!K10</f>
        <v>CAMINO RUIZ</v>
      </c>
      <c r="G10" s="189" t="str">
        <f>'[2]SR-56 WB'!L10</f>
        <v>CAMINO SANTA FE</v>
      </c>
      <c r="H10" s="197">
        <f>'[2]SR-56 WB'!O10</f>
        <v>5188</v>
      </c>
      <c r="I10" s="198">
        <f>VLOOKUP(c_19[[#This Row],[hwycov_id]],readme!D:G,4,FALSE)</f>
        <v>7528.3403319999998</v>
      </c>
      <c r="J10" s="206">
        <f t="shared" si="2"/>
        <v>0.45110646337702387</v>
      </c>
      <c r="K10" s="190" t="str">
        <f>'[2]SR-56 WB'!P10</f>
        <v>Caltran</v>
      </c>
      <c r="L10" s="148">
        <f t="shared" si="3"/>
        <v>5477192.8695858689</v>
      </c>
      <c r="M10" s="44"/>
    </row>
    <row r="11" spans="1:35" ht="15" customHeight="1" x14ac:dyDescent="0.25">
      <c r="A11" s="43">
        <f>'[2]SR-56 WB'!C11</f>
        <v>19</v>
      </c>
      <c r="B11" s="43" t="str">
        <f>'[2]SR-56 WB'!H11</f>
        <v>SR-56 WB</v>
      </c>
      <c r="C11" s="126">
        <f>'[2]SR-56 WB'!E11</f>
        <v>16359</v>
      </c>
      <c r="D11" s="188">
        <f>'[2]SR-56 WB'!I11</f>
        <v>13</v>
      </c>
      <c r="E11" s="189">
        <f>'[2]SR-56 WB'!J11</f>
        <v>0</v>
      </c>
      <c r="F11" s="189" t="str">
        <f>'[2]SR-56 WB'!K11</f>
        <v>CAMINO SANTA FE</v>
      </c>
      <c r="G11" s="189" t="str">
        <f>'[2]SR-56 WB'!L11</f>
        <v>CAMINO SANTA FE</v>
      </c>
      <c r="H11" s="197">
        <f>'[2]SR-56 WB'!O11</f>
        <v>5917</v>
      </c>
      <c r="I11" s="198">
        <f>VLOOKUP(c_19[[#This Row],[hwycov_id]],readme!D:G,4,FALSE)</f>
        <v>6405.9536129999997</v>
      </c>
      <c r="J11" s="206">
        <f t="shared" si="2"/>
        <v>8.2635391752577281E-2</v>
      </c>
      <c r="K11" s="190" t="str">
        <f>'[2]SR-56 WB'!P11</f>
        <v>PeMS2016</v>
      </c>
      <c r="L11" s="148">
        <f t="shared" si="3"/>
        <v>239075.63566575345</v>
      </c>
      <c r="M11" s="44"/>
    </row>
    <row r="12" spans="1:35" ht="15" customHeight="1" x14ac:dyDescent="0.25">
      <c r="A12" s="43">
        <f>'[2]SR-56 WB'!C12</f>
        <v>19</v>
      </c>
      <c r="B12" s="43" t="str">
        <f>'[2]SR-56 WB'!H12</f>
        <v>SR-56 WB</v>
      </c>
      <c r="C12" s="126">
        <f>'[2]SR-56 WB'!E12</f>
        <v>16357</v>
      </c>
      <c r="D12" s="188">
        <f>'[2]SR-56 WB'!I12</f>
        <v>14</v>
      </c>
      <c r="E12" s="189">
        <f>'[2]SR-56 WB'!J12</f>
        <v>0</v>
      </c>
      <c r="F12" s="189" t="str">
        <f>'[2]SR-56 WB'!K12</f>
        <v>CAMINO SANTA FE</v>
      </c>
      <c r="G12" s="189" t="str">
        <f>'[2]SR-56 WB'!L12</f>
        <v>CARMEL COUNTRY</v>
      </c>
      <c r="H12" s="197">
        <f>'[2]SR-56 WB'!O12</f>
        <v>5886</v>
      </c>
      <c r="I12" s="198">
        <f>VLOOKUP(c_19[[#This Row],[hwycov_id]],readme!D:G,4,FALSE)</f>
        <v>8087.0600590000004</v>
      </c>
      <c r="J12" s="206">
        <f t="shared" si="2"/>
        <v>0.37394836204553172</v>
      </c>
      <c r="K12" s="190" t="str">
        <f>'[2]SR-56 WB'!P12</f>
        <v>Caltran</v>
      </c>
      <c r="L12" s="148">
        <f t="shared" si="3"/>
        <v>4844665.383325085</v>
      </c>
      <c r="M12" s="44"/>
    </row>
    <row r="13" spans="1:35" ht="15" customHeight="1" x14ac:dyDescent="0.25">
      <c r="A13" s="43">
        <f>'[2]SR-56 WB'!C13</f>
        <v>19</v>
      </c>
      <c r="B13" s="43" t="str">
        <f>'[2]SR-56 WB'!H13</f>
        <v>SR-56 WB</v>
      </c>
      <c r="C13" s="126">
        <f>'[2]SR-56 WB'!E13</f>
        <v>29167</v>
      </c>
      <c r="D13" s="188">
        <f>'[2]SR-56 WB'!I13</f>
        <v>15</v>
      </c>
      <c r="E13" s="189">
        <f>'[2]SR-56 WB'!J13</f>
        <v>0</v>
      </c>
      <c r="F13" s="189" t="str">
        <f>'[2]SR-56 WB'!K13</f>
        <v>CARMEL COUNTRY</v>
      </c>
      <c r="G13" s="189" t="str">
        <f>'[2]SR-56 WB'!L13</f>
        <v>CARMEL COUNTRY</v>
      </c>
      <c r="H13" s="197">
        <f>'[2]SR-56 WB'!O13</f>
        <v>5024</v>
      </c>
      <c r="I13" s="198">
        <f>VLOOKUP(c_19[[#This Row],[hwycov_id]],readme!D:G,4,FALSE)</f>
        <v>6414.8808589999999</v>
      </c>
      <c r="J13" s="206">
        <f t="shared" si="2"/>
        <v>0.27684730473726105</v>
      </c>
      <c r="K13" s="190" t="str">
        <f>'[2]SR-56 WB'!P13</f>
        <v>PeMS2016</v>
      </c>
      <c r="L13" s="148">
        <f t="shared" si="3"/>
        <v>1934549.5639325776</v>
      </c>
      <c r="M13" s="44"/>
    </row>
    <row r="14" spans="1:35" ht="15" customHeight="1" x14ac:dyDescent="0.25">
      <c r="A14" s="43">
        <f>'[2]SR-56 WB'!C14</f>
        <v>19</v>
      </c>
      <c r="B14" s="43" t="str">
        <f>'[2]SR-56 WB'!H14</f>
        <v>SR-56 WB</v>
      </c>
      <c r="C14" s="126">
        <f>'[2]SR-56 WB'!E14</f>
        <v>8647</v>
      </c>
      <c r="D14" s="188">
        <f>'[2]SR-56 WB'!I14</f>
        <v>16</v>
      </c>
      <c r="E14" s="189">
        <f>'[2]SR-56 WB'!J14</f>
        <v>0</v>
      </c>
      <c r="F14" s="189" t="str">
        <f>'[2]SR-56 WB'!K14</f>
        <v>CARMEL COUNTRY</v>
      </c>
      <c r="G14" s="189" t="str">
        <f>'[2]SR-56 WB'!L14</f>
        <v>CARMEL CREEK</v>
      </c>
      <c r="H14" s="197">
        <f>'[2]SR-56 WB'!O14</f>
        <v>6492</v>
      </c>
      <c r="I14" s="198">
        <f>VLOOKUP(c_19[[#This Row],[hwycov_id]],readme!D:G,4,FALSE)</f>
        <v>7865.9296880000002</v>
      </c>
      <c r="J14" s="206">
        <f t="shared" si="2"/>
        <v>0.21163427110289579</v>
      </c>
      <c r="K14" s="190" t="str">
        <f>'[2]SR-56 WB'!P14</f>
        <v>Caltran</v>
      </c>
      <c r="L14" s="148">
        <f t="shared" si="3"/>
        <v>1887682.7875677778</v>
      </c>
      <c r="M14" s="44"/>
    </row>
    <row r="15" spans="1:35" ht="15" customHeight="1" x14ac:dyDescent="0.25">
      <c r="A15" s="43">
        <f>'[2]SR-56 WB'!C15</f>
        <v>19</v>
      </c>
      <c r="B15" s="43" t="str">
        <f>'[2]SR-56 WB'!H15</f>
        <v>SR-56 WB</v>
      </c>
      <c r="C15" s="126">
        <f>'[2]SR-56 WB'!E15</f>
        <v>457</v>
      </c>
      <c r="D15" s="188">
        <f>'[2]SR-56 WB'!I15</f>
        <v>17</v>
      </c>
      <c r="E15" s="189">
        <f>'[2]SR-56 WB'!J15</f>
        <v>0</v>
      </c>
      <c r="F15" s="189" t="str">
        <f>'[2]SR-56 WB'!K15</f>
        <v>CARMEL CREEK</v>
      </c>
      <c r="G15" s="189" t="str">
        <f>'[2]SR-56 WB'!L15</f>
        <v>CARMEL CREEK</v>
      </c>
      <c r="H15" s="197">
        <f>'[2]SR-56 WB'!O15</f>
        <v>5669</v>
      </c>
      <c r="I15" s="198">
        <f>VLOOKUP(c_19[[#This Row],[hwycov_id]],readme!D:G,4,FALSE)</f>
        <v>7121.3784180000002</v>
      </c>
      <c r="J15" s="206">
        <f t="shared" si="2"/>
        <v>0.25619658105485987</v>
      </c>
      <c r="K15" s="190" t="str">
        <f>'[2]SR-56 WB'!P15</f>
        <v>PeMS2016</v>
      </c>
      <c r="L15" s="148">
        <f t="shared" si="3"/>
        <v>2109403.0690721832</v>
      </c>
      <c r="M15" s="44"/>
    </row>
    <row r="16" spans="1:35" ht="15" customHeight="1" x14ac:dyDescent="0.25">
      <c r="A16" s="43">
        <f>'[2]SR-56 WB'!C16</f>
        <v>19</v>
      </c>
      <c r="B16" s="43" t="str">
        <f>'[2]SR-56 WB'!H16</f>
        <v>SR-56 WB</v>
      </c>
      <c r="C16" s="126">
        <f>'[2]SR-56 WB'!E16</f>
        <v>7666</v>
      </c>
      <c r="D16" s="188">
        <f>'[2]SR-56 WB'!I16</f>
        <v>19</v>
      </c>
      <c r="E16" s="189">
        <f>'[2]SR-56 WB'!J16</f>
        <v>0</v>
      </c>
      <c r="F16" s="189" t="str">
        <f>'[2]SR-56 WB'!K16</f>
        <v>CARMEL CREEK</v>
      </c>
      <c r="G16" s="189" t="str">
        <f>'[2]SR-56 WB'!L16</f>
        <v>EL CAMINO REAL</v>
      </c>
      <c r="H16" s="197">
        <f>'[2]SR-56 WB'!O16</f>
        <v>7326</v>
      </c>
      <c r="I16" s="198">
        <f>VLOOKUP(c_19[[#This Row],[hwycov_id]],readme!D:G,4,FALSE)</f>
        <v>8740.6875</v>
      </c>
      <c r="J16" s="206">
        <f t="shared" si="2"/>
        <v>0.19310503685503688</v>
      </c>
      <c r="K16" s="190" t="str">
        <f>'[2]SR-56 WB'!P16</f>
        <v>Caltran</v>
      </c>
      <c r="L16" s="148">
        <f t="shared" si="3"/>
        <v>2001340.72265625</v>
      </c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">
      <c r="A18" s="223"/>
      <c r="B18" s="223"/>
      <c r="C18" s="224"/>
      <c r="D18" s="229"/>
      <c r="E18" s="226"/>
      <c r="F18" s="224"/>
      <c r="G18" s="224"/>
      <c r="H18" s="227"/>
      <c r="I18" s="217"/>
      <c r="J18" s="228"/>
      <c r="K18" s="225"/>
      <c r="L18" s="219"/>
      <c r="M18" s="44"/>
    </row>
    <row r="19" spans="1:13" ht="15" customHeight="1" x14ac:dyDescent="0.2">
      <c r="A19" s="223"/>
      <c r="B19" s="223"/>
      <c r="C19" s="224"/>
      <c r="D19" s="229"/>
      <c r="E19" s="226"/>
      <c r="F19" s="224"/>
      <c r="G19" s="224"/>
      <c r="H19" s="227"/>
      <c r="I19" s="217"/>
      <c r="J19" s="228"/>
      <c r="K19" s="225"/>
      <c r="L19" s="219"/>
      <c r="M19" s="44"/>
    </row>
    <row r="20" spans="1:13" ht="15" customHeight="1" x14ac:dyDescent="0.2">
      <c r="A20" s="223"/>
      <c r="B20" s="223"/>
      <c r="C20" s="224"/>
      <c r="D20" s="229"/>
      <c r="E20" s="226"/>
      <c r="F20" s="224"/>
      <c r="G20" s="224"/>
      <c r="H20" s="227"/>
      <c r="I20" s="217"/>
      <c r="J20" s="228"/>
      <c r="K20" s="225"/>
      <c r="L20" s="219"/>
      <c r="M20" s="44"/>
    </row>
    <row r="21" spans="1:13" ht="15" customHeight="1" x14ac:dyDescent="0.2">
      <c r="A21" s="223"/>
      <c r="B21" s="223"/>
      <c r="C21" s="224"/>
      <c r="D21" s="229"/>
      <c r="E21" s="226"/>
      <c r="F21" s="224"/>
      <c r="G21" s="224"/>
      <c r="H21" s="227"/>
      <c r="I21" s="217"/>
      <c r="J21" s="228"/>
      <c r="K21" s="225"/>
      <c r="L21" s="219"/>
      <c r="M21" s="44"/>
    </row>
    <row r="22" spans="1:13" ht="15" customHeight="1" x14ac:dyDescent="0.2">
      <c r="A22" s="223"/>
      <c r="B22" s="223"/>
      <c r="C22" s="224"/>
      <c r="D22" s="229"/>
      <c r="E22" s="226"/>
      <c r="F22" s="224"/>
      <c r="G22" s="224"/>
      <c r="H22" s="227"/>
      <c r="I22" s="217"/>
      <c r="J22" s="228"/>
      <c r="K22" s="225"/>
      <c r="L22" s="219"/>
      <c r="M22" s="44"/>
    </row>
    <row r="23" spans="1:13" ht="15" customHeight="1" x14ac:dyDescent="0.2">
      <c r="A23" s="223"/>
      <c r="B23" s="223"/>
      <c r="C23" s="224"/>
      <c r="D23" s="229"/>
      <c r="E23" s="226"/>
      <c r="F23" s="224"/>
      <c r="G23" s="224"/>
      <c r="H23" s="227"/>
      <c r="I23" s="217"/>
      <c r="J23" s="228"/>
      <c r="K23" s="225"/>
      <c r="L23" s="219"/>
      <c r="M23" s="44"/>
    </row>
    <row r="24" spans="1:13" ht="15" customHeight="1" x14ac:dyDescent="0.2">
      <c r="A24" s="223"/>
      <c r="B24" s="223"/>
      <c r="C24" s="224"/>
      <c r="D24" s="229"/>
      <c r="E24" s="226"/>
      <c r="F24" s="224"/>
      <c r="G24" s="224"/>
      <c r="H24" s="227"/>
      <c r="I24" s="217"/>
      <c r="J24" s="228"/>
      <c r="K24" s="225"/>
      <c r="L24" s="219"/>
      <c r="M24" s="44"/>
    </row>
    <row r="25" spans="1:13" ht="15" customHeight="1" x14ac:dyDescent="0.2">
      <c r="A25" s="223"/>
      <c r="B25" s="223"/>
      <c r="C25" s="224"/>
      <c r="D25" s="229"/>
      <c r="E25" s="226"/>
      <c r="F25" s="224"/>
      <c r="G25" s="224"/>
      <c r="H25" s="227"/>
      <c r="I25" s="217"/>
      <c r="J25" s="228"/>
      <c r="K25" s="225"/>
      <c r="L25" s="219"/>
      <c r="M25" s="44"/>
    </row>
    <row r="26" spans="1:13" ht="15" customHeight="1" x14ac:dyDescent="0.2">
      <c r="A26" s="223"/>
      <c r="B26" s="223"/>
      <c r="C26" s="224"/>
      <c r="D26" s="229"/>
      <c r="E26" s="226"/>
      <c r="F26" s="224"/>
      <c r="G26" s="224"/>
      <c r="H26" s="227"/>
      <c r="I26" s="217"/>
      <c r="J26" s="228"/>
      <c r="K26" s="225"/>
      <c r="L26" s="219"/>
      <c r="M26" s="44"/>
    </row>
    <row r="27" spans="1:13" ht="15" customHeight="1" x14ac:dyDescent="0.2">
      <c r="A27" s="223"/>
      <c r="B27" s="223"/>
      <c r="C27" s="224"/>
      <c r="D27" s="229"/>
      <c r="E27" s="226"/>
      <c r="F27" s="224"/>
      <c r="G27" s="224"/>
      <c r="H27" s="227"/>
      <c r="I27" s="217"/>
      <c r="J27" s="228"/>
      <c r="K27" s="225"/>
      <c r="L27" s="219"/>
      <c r="M27" s="44"/>
    </row>
    <row r="28" spans="1:13" ht="15" customHeight="1" x14ac:dyDescent="0.2">
      <c r="A28" s="223"/>
      <c r="B28" s="223"/>
      <c r="C28" s="224"/>
      <c r="D28" s="229"/>
      <c r="E28" s="226"/>
      <c r="F28" s="224"/>
      <c r="G28" s="224"/>
      <c r="H28" s="227"/>
      <c r="I28" s="217"/>
      <c r="J28" s="228"/>
      <c r="K28" s="225"/>
      <c r="L28" s="219"/>
      <c r="M28" s="44"/>
    </row>
    <row r="29" spans="1:13" ht="15" customHeight="1" x14ac:dyDescent="0.2">
      <c r="A29" s="223"/>
      <c r="B29" s="223"/>
      <c r="C29" s="224"/>
      <c r="D29" s="229"/>
      <c r="E29" s="226"/>
      <c r="F29" s="224"/>
      <c r="G29" s="224"/>
      <c r="H29" s="227"/>
      <c r="I29" s="217"/>
      <c r="J29" s="228"/>
      <c r="K29" s="225"/>
      <c r="L29" s="219"/>
      <c r="M29" s="44"/>
    </row>
    <row r="30" spans="1:13" ht="15" customHeight="1" x14ac:dyDescent="0.2">
      <c r="A30" s="223"/>
      <c r="B30" s="223"/>
      <c r="C30" s="224"/>
      <c r="D30" s="229"/>
      <c r="E30" s="226"/>
      <c r="F30" s="224"/>
      <c r="G30" s="224"/>
      <c r="H30" s="227"/>
      <c r="I30" s="217"/>
      <c r="J30" s="228"/>
      <c r="K30" s="225"/>
      <c r="L30" s="219"/>
      <c r="M30" s="44"/>
    </row>
    <row r="31" spans="1:13" ht="15" customHeight="1" x14ac:dyDescent="0.2">
      <c r="A31" s="223"/>
      <c r="B31" s="223"/>
      <c r="C31" s="224"/>
      <c r="D31" s="229"/>
      <c r="E31" s="226"/>
      <c r="F31" s="224"/>
      <c r="G31" s="224"/>
      <c r="H31" s="227"/>
      <c r="I31" s="217"/>
      <c r="J31" s="228"/>
      <c r="K31" s="225"/>
      <c r="L31" s="219"/>
      <c r="M31" s="44"/>
    </row>
    <row r="32" spans="1:13" ht="15" customHeight="1" x14ac:dyDescent="0.2">
      <c r="A32" s="223"/>
      <c r="B32" s="223"/>
      <c r="C32" s="224"/>
      <c r="D32" s="229"/>
      <c r="E32" s="226"/>
      <c r="F32" s="224"/>
      <c r="G32" s="224"/>
      <c r="H32" s="227"/>
      <c r="I32" s="217"/>
      <c r="J32" s="228"/>
      <c r="K32" s="225"/>
      <c r="L32" s="219"/>
      <c r="M32" s="44"/>
    </row>
    <row r="33" spans="1:13" ht="15" customHeight="1" x14ac:dyDescent="0.2">
      <c r="A33" s="223"/>
      <c r="B33" s="223"/>
      <c r="C33" s="224"/>
      <c r="D33" s="229"/>
      <c r="E33" s="226"/>
      <c r="F33" s="224"/>
      <c r="G33" s="224"/>
      <c r="H33" s="227"/>
      <c r="I33" s="217"/>
      <c r="J33" s="228"/>
      <c r="K33" s="225"/>
      <c r="L33" s="219"/>
      <c r="M33" s="44"/>
    </row>
    <row r="34" spans="1:13" ht="15" customHeight="1" x14ac:dyDescent="0.2">
      <c r="A34" s="223"/>
      <c r="B34" s="223"/>
      <c r="C34" s="224"/>
      <c r="D34" s="229"/>
      <c r="E34" s="226"/>
      <c r="F34" s="224"/>
      <c r="G34" s="224"/>
      <c r="H34" s="227"/>
      <c r="I34" s="217"/>
      <c r="J34" s="228"/>
      <c r="K34" s="225"/>
      <c r="L34" s="219"/>
      <c r="M34" s="44"/>
    </row>
    <row r="35" spans="1:13" ht="15" customHeight="1" x14ac:dyDescent="0.2">
      <c r="A35" s="223"/>
      <c r="B35" s="223"/>
      <c r="C35" s="224"/>
      <c r="D35" s="229"/>
      <c r="E35" s="226"/>
      <c r="F35" s="224"/>
      <c r="G35" s="224"/>
      <c r="H35" s="227"/>
      <c r="I35" s="217"/>
      <c r="J35" s="228"/>
      <c r="K35" s="225"/>
      <c r="L35" s="219"/>
      <c r="M35" s="44"/>
    </row>
    <row r="36" spans="1:13" ht="15" customHeight="1" x14ac:dyDescent="0.2">
      <c r="A36" s="223"/>
      <c r="B36" s="223"/>
      <c r="C36" s="224"/>
      <c r="D36" s="229"/>
      <c r="E36" s="226"/>
      <c r="F36" s="224"/>
      <c r="G36" s="224"/>
      <c r="H36" s="227"/>
      <c r="I36" s="217"/>
      <c r="J36" s="228"/>
      <c r="K36" s="225"/>
      <c r="L36" s="219"/>
      <c r="M36" s="44"/>
    </row>
    <row r="37" spans="1:13" ht="15" customHeight="1" x14ac:dyDescent="0.2">
      <c r="A37" s="223"/>
      <c r="B37" s="223"/>
      <c r="C37" s="224"/>
      <c r="D37" s="229"/>
      <c r="E37" s="226"/>
      <c r="F37" s="224"/>
      <c r="G37" s="224"/>
      <c r="H37" s="227"/>
      <c r="I37" s="217"/>
      <c r="J37" s="228"/>
      <c r="K37" s="225"/>
      <c r="L37" s="219"/>
      <c r="M37" s="44"/>
    </row>
    <row r="38" spans="1:13" ht="15" customHeight="1" x14ac:dyDescent="0.2">
      <c r="L38" s="44"/>
      <c r="M38" s="44"/>
    </row>
    <row r="39" spans="1:13" ht="15" customHeight="1" x14ac:dyDescent="0.2">
      <c r="L39" s="44"/>
      <c r="M39" s="44"/>
    </row>
    <row r="40" spans="1:13" ht="15" customHeight="1" x14ac:dyDescent="0.2">
      <c r="L40" s="44"/>
      <c r="M40" s="44"/>
    </row>
    <row r="41" spans="1:13" ht="15" customHeight="1" x14ac:dyDescent="0.2">
      <c r="L41" s="44"/>
      <c r="M41" s="44"/>
    </row>
    <row r="42" spans="1:13" ht="15" customHeight="1" x14ac:dyDescent="0.2">
      <c r="L42" s="44"/>
      <c r="M42" s="44"/>
    </row>
    <row r="43" spans="1:13" ht="15" customHeight="1" x14ac:dyDescent="0.2">
      <c r="L43" s="44"/>
      <c r="M43" s="44"/>
    </row>
    <row r="44" spans="1:13" ht="15" customHeight="1" x14ac:dyDescent="0.2">
      <c r="L44" s="44"/>
      <c r="M44" s="44"/>
    </row>
    <row r="45" spans="1:13" ht="15" customHeight="1" x14ac:dyDescent="0.2">
      <c r="L45" s="44"/>
      <c r="M45" s="44"/>
    </row>
    <row r="46" spans="1:13" ht="15" customHeight="1" x14ac:dyDescent="0.2">
      <c r="L46" s="44"/>
      <c r="M46" s="44"/>
    </row>
    <row r="47" spans="1:13" ht="15" customHeight="1" x14ac:dyDescent="0.2">
      <c r="L47" s="44"/>
      <c r="M47" s="44"/>
    </row>
    <row r="48" spans="1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6 J18:K18 J2:J16">
    <cfRule type="cellIs" dxfId="193" priority="9" operator="lessThan">
      <formula>-0.2</formula>
    </cfRule>
    <cfRule type="cellIs" dxfId="192" priority="10" operator="greaterThan">
      <formula>0.2</formula>
    </cfRule>
  </conditionalFormatting>
  <conditionalFormatting sqref="J19:K1048576">
    <cfRule type="cellIs" dxfId="191" priority="7" operator="lessThan">
      <formula>-0.2</formula>
    </cfRule>
    <cfRule type="cellIs" dxfId="190" priority="8" operator="greaterThan">
      <formula>0.2</formula>
    </cfRule>
  </conditionalFormatting>
  <conditionalFormatting sqref="N1">
    <cfRule type="cellIs" dxfId="189" priority="1" operator="lessThan">
      <formula>-0.2</formula>
    </cfRule>
    <cfRule type="cellIs" dxfId="1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AI73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1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8" style="25" bestFit="1" customWidth="1"/>
    <col min="7" max="7" width="11.57031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9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SQRT(AVERAGE(c_20[x2]))/AVERAGE(c_20[count])</f>
        <v>0.20563746251544662</v>
      </c>
      <c r="O1" s="69">
        <f>LINEST(c_20[flow],c_20[count],FALSE)</f>
        <v>0.88161437810851806</v>
      </c>
      <c r="P1" s="69">
        <f>RSQ(c_20[flow],c_20[count])</f>
        <v>0.84272011953848902</v>
      </c>
      <c r="Q1" s="19">
        <f>IFERROR(AVERAGEIF(c_20[gap],"&gt;=0",c_20[gap]),0)</f>
        <v>6.201903249880758E-2</v>
      </c>
      <c r="R1" s="20">
        <f>IFERROR(AVERAGEIF(c_20[gap],"&lt;0",c_20[gap]),0)</f>
        <v>-0.21139133491197407</v>
      </c>
      <c r="S1" s="13">
        <f>AVERAGE(c_20[gap])</f>
        <v>-0.16932820146416153</v>
      </c>
      <c r="T1" s="18">
        <f>COUNTIFS(c_20[gap],"&lt;10%",c_20[gap],"&gt;=-10%")/COUNTA(c_20[gap])</f>
        <v>0.46153846153846156</v>
      </c>
      <c r="U1" s="18">
        <f>COUNTIFS(c_20[gap],"&lt;20%",c_20[gap],"&gt;=-20%")/COUNTA(c_20[gap])</f>
        <v>0.61538461538461542</v>
      </c>
      <c r="V1" s="18">
        <f>COUNTIFS(c_20[gap],"&lt;30%",c_20[gap],"&gt;=-30%")/COUNTA(c_20[gap])</f>
        <v>0.69230769230769229</v>
      </c>
      <c r="W1" s="19">
        <f>COUNTIF(c_20[gap],"&gt;=0")/COUNTA(c_20[gap])</f>
        <v>0.15384615384615385</v>
      </c>
      <c r="X1" s="21">
        <f>COUNTIF(c_20[gap],"&lt;0")/COUNTA(c_20[gap])</f>
        <v>0.84615384615384615</v>
      </c>
      <c r="Y1" s="39" t="str">
        <f>"%Link(+)="&amp;TEXT(W1,"0%")</f>
        <v>%Link(+)=15%</v>
      </c>
      <c r="Z1" s="39" t="str">
        <f>"%Link(-)="&amp;TEXT(X1,"0%")</f>
        <v>%Link(-)=85%</v>
      </c>
      <c r="AA1" s="36" t="str">
        <f>"AvgGap(+)="&amp;TEXT(Q1,"0%")</f>
        <v>AvgGap(+)=6%</v>
      </c>
      <c r="AB1" s="25" t="str">
        <f>"AvgGap(-)="&amp;TEXT(R1,"0%")</f>
        <v>AvgGap(-)=-21%</v>
      </c>
      <c r="AC1" s="25" t="str">
        <f>"AvgGap(±)="&amp;TEXT(S1,"0%")</f>
        <v>AvgGap(±)=-17%</v>
      </c>
      <c r="AD1" s="25" t="str">
        <f>"GapIn(±10%)="&amp;TEXT(T1,"0%")</f>
        <v>GapIn(±10%)=46%</v>
      </c>
      <c r="AE1" s="25" t="str">
        <f>"GapIn(±20%)="&amp;TEXT(U1,"0%")</f>
        <v>GapIn(±20%)=62%</v>
      </c>
      <c r="AF1" s="25" t="str">
        <f>"GapIn(±30%)="&amp;TEXT(V1,"0%")</f>
        <v>GapIn(±30%)=69%</v>
      </c>
      <c r="AG1" s="25" t="str">
        <f>"Linear Slope="&amp;TEXT(O1,"#.###")</f>
        <v>Linear Slope=.882</v>
      </c>
      <c r="AH1" s="25" t="str">
        <f>"RMSE="&amp;TEXT(N1,"0%")</f>
        <v>RMSE=21%</v>
      </c>
      <c r="AI1" s="25" t="str">
        <f>CONCATENATE(Y1," ",Z1," ",AA1,"  ",AB1,"  ",AC1,"  ",AD1," ",AE1,"  ",AF1,"  ",AG1," ",AH1)</f>
        <v>%Link(+)=15% %Link(-)=85% AvgGap(+)=6%  AvgGap(-)=-21%  AvgGap(±)=-17%  GapIn(±10%)=46% GapIn(±20%)=62%  GapIn(±30%)=69%  Linear Slope=.882 RMSE=21%</v>
      </c>
    </row>
    <row r="2" spans="1:35" ht="15" customHeight="1" x14ac:dyDescent="0.25">
      <c r="A2" s="43">
        <f>'[2]SR-905 WB'!C2</f>
        <v>20</v>
      </c>
      <c r="B2" s="43" t="str">
        <f>'[2]SR-905 WB'!H2</f>
        <v>SR-905 WB</v>
      </c>
      <c r="C2" s="126">
        <f>'[2]SR-905 WB'!E2</f>
        <v>10015</v>
      </c>
      <c r="D2" s="188">
        <f>'[2]SR-905 WB'!I2</f>
        <v>1</v>
      </c>
      <c r="E2" s="189">
        <f>'[2]SR-905 WB'!J2</f>
        <v>0</v>
      </c>
      <c r="F2" s="189" t="str">
        <f>'[2]SR-905 WB'!K2</f>
        <v>MEXICAN BORDER</v>
      </c>
      <c r="G2" s="189" t="str">
        <f>'[2]SR-905 WB'!L2</f>
        <v>LRT-905</v>
      </c>
      <c r="H2" s="197">
        <f>'[2]SR-905 WB'!O2</f>
        <v>3469</v>
      </c>
      <c r="I2" s="198">
        <f>VLOOKUP(c_20[[#This Row],[hwycov_id]],readme!D:G,4,FALSE)</f>
        <v>1967.7967530000001</v>
      </c>
      <c r="J2" s="206">
        <f t="shared" ref="J2" si="0">I2/H2-1</f>
        <v>-0.43274812539636776</v>
      </c>
      <c r="K2" s="190" t="str">
        <f>'[2]SR-905 WB'!P2</f>
        <v>Caltran</v>
      </c>
      <c r="L2" s="148">
        <f t="shared" ref="L2" si="1">POWER((I2-H2),2)</f>
        <v>2253611.1888033426</v>
      </c>
      <c r="M2" s="44"/>
    </row>
    <row r="3" spans="1:35" ht="15" customHeight="1" x14ac:dyDescent="0.25">
      <c r="A3" s="43">
        <f>'[2]SR-905 WB'!C3</f>
        <v>20</v>
      </c>
      <c r="B3" s="43" t="str">
        <f>'[2]SR-905 WB'!H3</f>
        <v>SR-905 WB</v>
      </c>
      <c r="C3" s="126">
        <f>'[2]SR-905 WB'!E3</f>
        <v>8185</v>
      </c>
      <c r="D3" s="188">
        <f>'[2]SR-905 WB'!I3</f>
        <v>2</v>
      </c>
      <c r="E3" s="189">
        <f>'[2]SR-905 WB'!J3</f>
        <v>0</v>
      </c>
      <c r="F3" s="189" t="str">
        <f>'[2]SR-905 WB'!K3</f>
        <v>LRT-905</v>
      </c>
      <c r="G3" s="189" t="str">
        <f>'[2]SR-905 WB'!L3</f>
        <v>LRT-905</v>
      </c>
      <c r="H3" s="197">
        <f>'[2]SR-905 WB'!O3</f>
        <v>3809</v>
      </c>
      <c r="I3" s="198">
        <f>VLOOKUP(c_20[[#This Row],[hwycov_id]],readme!D:G,4,FALSE)</f>
        <v>1783.061279</v>
      </c>
      <c r="J3" s="206">
        <f t="shared" ref="J3:J14" si="2">I3/H3-1</f>
        <v>-0.53188204804410599</v>
      </c>
      <c r="K3" s="190" t="str">
        <f>'[2]SR-905 WB'!P3</f>
        <v>PeMS2016</v>
      </c>
      <c r="L3" s="148">
        <f t="shared" ref="L3:L14" si="3">POWER((I3-H3),2)</f>
        <v>4104427.7012471156</v>
      </c>
      <c r="M3" s="44"/>
    </row>
    <row r="4" spans="1:35" ht="15" customHeight="1" x14ac:dyDescent="0.25">
      <c r="A4" s="43">
        <f>'[2]SR-905 WB'!C4</f>
        <v>20</v>
      </c>
      <c r="B4" s="43" t="str">
        <f>'[2]SR-905 WB'!H4</f>
        <v>SR-905 WB</v>
      </c>
      <c r="C4" s="126">
        <f>'[2]SR-905 WB'!E4</f>
        <v>10002</v>
      </c>
      <c r="D4" s="188">
        <f>'[2]SR-905 WB'!I4</f>
        <v>3</v>
      </c>
      <c r="E4" s="189">
        <f>'[2]SR-905 WB'!J4</f>
        <v>0</v>
      </c>
      <c r="F4" s="189" t="str">
        <f>'[2]SR-905 WB'!K4</f>
        <v>LRT-905</v>
      </c>
      <c r="G4" s="189" t="str">
        <f>'[2]SR-905 WB'!L4</f>
        <v>SR-125 NB</v>
      </c>
      <c r="H4" s="197">
        <f>'[2]SR-905 WB'!O4</f>
        <v>6715</v>
      </c>
      <c r="I4" s="198">
        <f>VLOOKUP(c_20[[#This Row],[hwycov_id]],readme!D:G,4,FALSE)</f>
        <v>3780.9726559999999</v>
      </c>
      <c r="J4" s="206">
        <f t="shared" si="2"/>
        <v>-0.43693631332836935</v>
      </c>
      <c r="K4" s="190" t="str">
        <f>'[2]SR-905 WB'!P4</f>
        <v>PeMS2016</v>
      </c>
      <c r="L4" s="148">
        <f t="shared" si="3"/>
        <v>8608516.4553396944</v>
      </c>
      <c r="M4" s="44"/>
    </row>
    <row r="5" spans="1:35" ht="15" customHeight="1" x14ac:dyDescent="0.25">
      <c r="A5" s="43">
        <f>'[2]SR-905 WB'!C5</f>
        <v>20</v>
      </c>
      <c r="B5" s="43" t="str">
        <f>'[2]SR-905 WB'!H5</f>
        <v>SR-905 WB</v>
      </c>
      <c r="C5" s="126">
        <f>'[2]SR-905 WB'!E5</f>
        <v>29158</v>
      </c>
      <c r="D5" s="188">
        <f>'[2]SR-905 WB'!I5</f>
        <v>5</v>
      </c>
      <c r="E5" s="189">
        <f>'[2]SR-905 WB'!J5</f>
        <v>0</v>
      </c>
      <c r="F5" s="189">
        <f>'[2]SR-905 WB'!K5</f>
        <v>0</v>
      </c>
      <c r="G5" s="189" t="str">
        <f>'[2]SR-905 WB'!L5</f>
        <v>SR-125 SB</v>
      </c>
      <c r="H5" s="197">
        <f>'[2]SR-905 WB'!O5</f>
        <v>5378</v>
      </c>
      <c r="I5" s="198">
        <f>VLOOKUP(c_20[[#This Row],[hwycov_id]],readme!D:G,4,FALSE)</f>
        <v>3744.255615</v>
      </c>
      <c r="J5" s="206">
        <f t="shared" si="2"/>
        <v>-0.30378289047973228</v>
      </c>
      <c r="K5" s="190" t="str">
        <f>'[2]SR-905 WB'!P5</f>
        <v>PeMS2016</v>
      </c>
      <c r="L5" s="148">
        <f t="shared" si="3"/>
        <v>2669120.7155190283</v>
      </c>
      <c r="M5" s="44"/>
    </row>
    <row r="6" spans="1:35" ht="15" customHeight="1" x14ac:dyDescent="0.25">
      <c r="A6" s="43">
        <f>'[2]SR-905 WB'!C6</f>
        <v>20</v>
      </c>
      <c r="B6" s="43" t="str">
        <f>'[2]SR-905 WB'!H6</f>
        <v>SR-905 WB</v>
      </c>
      <c r="C6" s="126">
        <f>'[2]SR-905 WB'!E6</f>
        <v>27724</v>
      </c>
      <c r="D6" s="188">
        <f>'[2]SR-905 WB'!I6</f>
        <v>8</v>
      </c>
      <c r="E6" s="189">
        <f>'[2]SR-905 WB'!J6</f>
        <v>0</v>
      </c>
      <c r="F6" s="189" t="str">
        <f>'[2]SR-905 WB'!K6</f>
        <v>SR-125 SB</v>
      </c>
      <c r="G6" s="189" t="str">
        <f>'[2]SR-905 WB'!L6</f>
        <v>LA MEDIA</v>
      </c>
      <c r="H6" s="197">
        <f>'[2]SR-905 WB'!O6</f>
        <v>6293</v>
      </c>
      <c r="I6" s="198">
        <f>VLOOKUP(c_20[[#This Row],[hwycov_id]],readme!D:G,4,FALSE)</f>
        <v>6076.7934569999998</v>
      </c>
      <c r="J6" s="206">
        <f t="shared" si="2"/>
        <v>-3.4356672969966695E-2</v>
      </c>
      <c r="K6" s="190" t="str">
        <f>'[2]SR-905 WB'!P6</f>
        <v>PeMS2016</v>
      </c>
      <c r="L6" s="148">
        <f t="shared" si="3"/>
        <v>46745.26923601095</v>
      </c>
      <c r="M6" s="44"/>
    </row>
    <row r="7" spans="1:35" ht="15" customHeight="1" x14ac:dyDescent="0.25">
      <c r="A7" s="43">
        <f>'[2]SR-905 WB'!C7</f>
        <v>20</v>
      </c>
      <c r="B7" s="43" t="str">
        <f>'[2]SR-905 WB'!H7</f>
        <v>SR-905 WB</v>
      </c>
      <c r="C7" s="126">
        <f>'[2]SR-905 WB'!E7</f>
        <v>27721</v>
      </c>
      <c r="D7" s="188">
        <f>'[2]SR-905 WB'!I7</f>
        <v>10</v>
      </c>
      <c r="E7" s="189">
        <f>'[2]SR-905 WB'!J7</f>
        <v>0</v>
      </c>
      <c r="F7" s="189" t="str">
        <f>'[2]SR-905 WB'!K7</f>
        <v>LA MEDIA</v>
      </c>
      <c r="G7" s="189" t="str">
        <f>'[2]SR-905 WB'!L7</f>
        <v>BRITANNIA</v>
      </c>
      <c r="H7" s="197">
        <f>'[2]SR-905 WB'!O7</f>
        <v>8477</v>
      </c>
      <c r="I7" s="198">
        <f>VLOOKUP(c_20[[#This Row],[hwycov_id]],readme!D:G,4,FALSE)</f>
        <v>7753.8090819999998</v>
      </c>
      <c r="J7" s="206">
        <f t="shared" si="2"/>
        <v>-8.5312129055090224E-2</v>
      </c>
      <c r="K7" s="190" t="str">
        <f>'[2]SR-905 WB'!P7</f>
        <v>PeMS2016</v>
      </c>
      <c r="L7" s="148">
        <f t="shared" si="3"/>
        <v>523005.10387768305</v>
      </c>
      <c r="M7" s="44"/>
    </row>
    <row r="8" spans="1:35" ht="15" customHeight="1" x14ac:dyDescent="0.25">
      <c r="A8" s="43">
        <f>'[2]SR-905 WB'!C8</f>
        <v>20</v>
      </c>
      <c r="B8" s="43" t="str">
        <f>'[2]SR-905 WB'!H8</f>
        <v>SR-905 WB</v>
      </c>
      <c r="C8" s="126">
        <f>'[2]SR-905 WB'!E8</f>
        <v>27716</v>
      </c>
      <c r="D8" s="188">
        <f>'[2]SR-905 WB'!I8</f>
        <v>11</v>
      </c>
      <c r="E8" s="189">
        <f>'[2]SR-905 WB'!J8</f>
        <v>0</v>
      </c>
      <c r="F8" s="189" t="str">
        <f>'[2]SR-905 WB'!K8</f>
        <v>BRITANNIA</v>
      </c>
      <c r="G8" s="189" t="str">
        <f>'[2]SR-905 WB'!L8</f>
        <v>BRITANNIA</v>
      </c>
      <c r="H8" s="197">
        <f>'[2]SR-905 WB'!O8</f>
        <v>7444</v>
      </c>
      <c r="I8" s="198">
        <f>VLOOKUP(c_20[[#This Row],[hwycov_id]],readme!D:G,4,FALSE)</f>
        <v>7584.6748049999997</v>
      </c>
      <c r="J8" s="206">
        <f t="shared" si="2"/>
        <v>1.8897743820526447E-2</v>
      </c>
      <c r="K8" s="190" t="str">
        <f>'[2]SR-905 WB'!P8</f>
        <v>PeMS2016</v>
      </c>
      <c r="L8" s="148">
        <f t="shared" si="3"/>
        <v>19789.400761787925</v>
      </c>
      <c r="M8" s="44"/>
    </row>
    <row r="9" spans="1:35" ht="15" customHeight="1" x14ac:dyDescent="0.25">
      <c r="A9" s="43">
        <f>'[2]SR-905 WB'!C9</f>
        <v>20</v>
      </c>
      <c r="B9" s="43" t="str">
        <f>'[2]SR-905 WB'!H9</f>
        <v>SR-905 WB</v>
      </c>
      <c r="C9" s="126">
        <f>'[2]SR-905 WB'!E9</f>
        <v>27719</v>
      </c>
      <c r="D9" s="188">
        <f>'[2]SR-905 WB'!I9</f>
        <v>12</v>
      </c>
      <c r="E9" s="189">
        <f>'[2]SR-905 WB'!J9</f>
        <v>0</v>
      </c>
      <c r="F9" s="189" t="str">
        <f>'[2]SR-905 WB'!K9</f>
        <v>BRITANNIA</v>
      </c>
      <c r="G9" s="189" t="str">
        <f>'[2]SR-905 WB'!L9</f>
        <v>HERITAGE</v>
      </c>
      <c r="H9" s="197">
        <f>'[2]SR-905 WB'!O9</f>
        <v>12493</v>
      </c>
      <c r="I9" s="198">
        <f>VLOOKUP(c_20[[#This Row],[hwycov_id]],readme!D:G,4,FALSE)</f>
        <v>9526.1855469999991</v>
      </c>
      <c r="J9" s="206">
        <f t="shared" si="2"/>
        <v>-0.23747814400064038</v>
      </c>
      <c r="K9" s="190" t="str">
        <f>'[2]SR-905 WB'!P9</f>
        <v>PeMS2016</v>
      </c>
      <c r="L9" s="148">
        <f t="shared" si="3"/>
        <v>8801987.998529695</v>
      </c>
      <c r="M9" s="44"/>
    </row>
    <row r="10" spans="1:35" ht="15" customHeight="1" x14ac:dyDescent="0.25">
      <c r="A10" s="43">
        <f>'[2]SR-905 WB'!C10</f>
        <v>20</v>
      </c>
      <c r="B10" s="43" t="str">
        <f>'[2]SR-905 WB'!H10</f>
        <v>SR-905 WB</v>
      </c>
      <c r="C10" s="126">
        <f>'[2]SR-905 WB'!E10</f>
        <v>27741</v>
      </c>
      <c r="D10" s="188">
        <f>'[2]SR-905 WB'!I10</f>
        <v>14</v>
      </c>
      <c r="E10" s="189">
        <f>'[2]SR-905 WB'!J10</f>
        <v>0</v>
      </c>
      <c r="F10" s="189" t="str">
        <f>'[2]SR-905 WB'!K10</f>
        <v>HERITAGE</v>
      </c>
      <c r="G10" s="189" t="str">
        <f>'[2]SR-905 WB'!L10</f>
        <v>CALIENTE</v>
      </c>
      <c r="H10" s="197">
        <f>'[2]SR-905 WB'!O10</f>
        <v>9861</v>
      </c>
      <c r="I10" s="198">
        <f>VLOOKUP(c_20[[#This Row],[hwycov_id]],readme!D:G,4,FALSE)</f>
        <v>9526.1855469999991</v>
      </c>
      <c r="J10" s="206">
        <f t="shared" si="2"/>
        <v>-3.3953397525605999E-2</v>
      </c>
      <c r="K10" s="190" t="str">
        <f>'[2]SR-905 WB'!P10</f>
        <v>PeMS2016</v>
      </c>
      <c r="L10" s="148">
        <f t="shared" si="3"/>
        <v>112100.71793768978</v>
      </c>
      <c r="M10" s="44"/>
    </row>
    <row r="11" spans="1:35" ht="15" customHeight="1" x14ac:dyDescent="0.25">
      <c r="A11" s="43">
        <f>'[2]SR-905 WB'!C11</f>
        <v>20</v>
      </c>
      <c r="B11" s="43" t="str">
        <f>'[2]SR-905 WB'!H11</f>
        <v>SR-905 WB</v>
      </c>
      <c r="C11" s="126">
        <f>'[2]SR-905 WB'!E11</f>
        <v>27742</v>
      </c>
      <c r="D11" s="188">
        <f>'[2]SR-905 WB'!I11</f>
        <v>15</v>
      </c>
      <c r="E11" s="189">
        <f>'[2]SR-905 WB'!J11</f>
        <v>0</v>
      </c>
      <c r="F11" s="189" t="str">
        <f>'[2]SR-905 WB'!K11</f>
        <v>CALIENTE</v>
      </c>
      <c r="G11" s="189" t="str">
        <f>'[2]SR-905 WB'!L11</f>
        <v>CALIENTE</v>
      </c>
      <c r="H11" s="197">
        <f>'[2]SR-905 WB'!O11</f>
        <v>9980</v>
      </c>
      <c r="I11" s="198">
        <f>VLOOKUP(c_20[[#This Row],[hwycov_id]],readme!D:G,4,FALSE)</f>
        <v>9390.5439449999994</v>
      </c>
      <c r="J11" s="206">
        <f t="shared" si="2"/>
        <v>-5.9063732965931925E-2</v>
      </c>
      <c r="K11" s="190" t="str">
        <f>'[2]SR-905 WB'!P11</f>
        <v>PeMS2016</v>
      </c>
      <c r="L11" s="148">
        <f t="shared" si="3"/>
        <v>347458.44077616371</v>
      </c>
      <c r="M11" s="44"/>
    </row>
    <row r="12" spans="1:35" ht="15" customHeight="1" x14ac:dyDescent="0.25">
      <c r="A12" s="43">
        <f>'[2]SR-905 WB'!C12</f>
        <v>20</v>
      </c>
      <c r="B12" s="43" t="str">
        <f>'[2]SR-905 WB'!H12</f>
        <v>SR-905 WB</v>
      </c>
      <c r="C12" s="126">
        <f>'[2]SR-905 WB'!E12</f>
        <v>9904</v>
      </c>
      <c r="D12" s="188">
        <f>'[2]SR-905 WB'!I12</f>
        <v>2</v>
      </c>
      <c r="E12" s="189">
        <f>'[2]SR-905 WB'!J12</f>
        <v>0</v>
      </c>
      <c r="F12" s="189" t="str">
        <f>'[2]SR-905 WB'!K12</f>
        <v>CALIENTE</v>
      </c>
      <c r="G12" s="189" t="str">
        <f>'[2]SR-905 WB'!L12</f>
        <v>I-805 NB</v>
      </c>
      <c r="H12" s="197">
        <f>'[2]SR-905 WB'!O12</f>
        <v>9515</v>
      </c>
      <c r="I12" s="198">
        <f>VLOOKUP(c_20[[#This Row],[hwycov_id]],readme!D:G,4,FALSE)</f>
        <v>10515.410156</v>
      </c>
      <c r="J12" s="206">
        <f t="shared" si="2"/>
        <v>0.10514032117708871</v>
      </c>
      <c r="K12" s="190" t="str">
        <f>'[2]SR-905 WB'!P12</f>
        <v>PeMS2016</v>
      </c>
      <c r="L12" s="148">
        <f t="shared" si="3"/>
        <v>1000820.4802279442</v>
      </c>
      <c r="M12" s="44"/>
    </row>
    <row r="13" spans="1:35" ht="15" customHeight="1" x14ac:dyDescent="0.25">
      <c r="A13" s="43">
        <f>'[2]SR-905 WB'!C13</f>
        <v>20</v>
      </c>
      <c r="B13" s="43" t="str">
        <f>'[2]SR-905 WB'!H13</f>
        <v>SR-905 WB</v>
      </c>
      <c r="C13" s="126">
        <f>'[2]SR-905 WB'!E13</f>
        <v>23435</v>
      </c>
      <c r="D13" s="188">
        <f>'[2]SR-905 WB'!I13</f>
        <v>3</v>
      </c>
      <c r="E13" s="189">
        <f>'[2]SR-905 WB'!J13</f>
        <v>0</v>
      </c>
      <c r="F13" s="189" t="str">
        <f>'[2]SR-905 WB'!K13</f>
        <v>I-805 NB</v>
      </c>
      <c r="G13" s="189" t="str">
        <f>'[2]SR-905 WB'!L13</f>
        <v>I-805 SB</v>
      </c>
      <c r="H13" s="197">
        <f>'[2]SR-905 WB'!O13</f>
        <v>4828</v>
      </c>
      <c r="I13" s="198">
        <f>VLOOKUP(c_20[[#This Row],[hwycov_id]],readme!D:G,4,FALSE)</f>
        <v>4749.0805659999996</v>
      </c>
      <c r="J13" s="206">
        <f t="shared" si="2"/>
        <v>-1.6346195940348029E-2</v>
      </c>
      <c r="K13" s="190" t="str">
        <f>'[2]SR-905 WB'!P13</f>
        <v>PeMS2016</v>
      </c>
      <c r="L13" s="148">
        <f t="shared" si="3"/>
        <v>6228.2770628804137</v>
      </c>
      <c r="M13" s="44"/>
    </row>
    <row r="14" spans="1:35" ht="15" customHeight="1" x14ac:dyDescent="0.25">
      <c r="A14" s="43">
        <f>'[2]SR-905 WB'!C14</f>
        <v>20</v>
      </c>
      <c r="B14" s="43" t="str">
        <f>'[2]SR-905 WB'!H14</f>
        <v>SR-905 WB</v>
      </c>
      <c r="C14" s="126">
        <f>'[2]SR-905 WB'!E14</f>
        <v>27856</v>
      </c>
      <c r="D14" s="188">
        <f>'[2]SR-905 WB'!I14</f>
        <v>10</v>
      </c>
      <c r="E14" s="189">
        <f>'[2]SR-905 WB'!J14</f>
        <v>0</v>
      </c>
      <c r="F14" s="189" t="str">
        <f>'[2]SR-905 WB'!K14</f>
        <v>BEYER</v>
      </c>
      <c r="G14" s="189" t="str">
        <f>'[2]SR-905 WB'!L14</f>
        <v>I-5 NB</v>
      </c>
      <c r="H14" s="197">
        <f>'[2]SR-905 WB'!O14</f>
        <v>7458</v>
      </c>
      <c r="I14" s="198">
        <f>VLOOKUP(c_20[[#This Row],[hwycov_id]],readme!D:G,4,FALSE)</f>
        <v>6313.6069340000004</v>
      </c>
      <c r="J14" s="206">
        <f t="shared" si="2"/>
        <v>-0.15344503432555645</v>
      </c>
      <c r="K14" s="190" t="str">
        <f>'[2]SR-905 WB'!P14</f>
        <v>Caltran</v>
      </c>
      <c r="L14" s="148">
        <f t="shared" si="3"/>
        <v>1309635.4895088796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">
      <c r="L18" s="44"/>
      <c r="M18" s="44"/>
    </row>
    <row r="19" spans="1:13" ht="15" customHeight="1" x14ac:dyDescent="0.2">
      <c r="L19" s="44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</sheetData>
  <conditionalFormatting sqref="N2:N1048576 J2:J14">
    <cfRule type="cellIs" dxfId="174" priority="9" operator="lessThan">
      <formula>-0.2</formula>
    </cfRule>
    <cfRule type="cellIs" dxfId="173" priority="10" operator="greaterThan">
      <formula>0.2</formula>
    </cfRule>
  </conditionalFormatting>
  <conditionalFormatting sqref="J18:K1048576">
    <cfRule type="cellIs" dxfId="172" priority="7" operator="lessThan">
      <formula>-0.2</formula>
    </cfRule>
    <cfRule type="cellIs" dxfId="171" priority="8" operator="greaterThan">
      <formula>0.2</formula>
    </cfRule>
  </conditionalFormatting>
  <conditionalFormatting sqref="N1">
    <cfRule type="cellIs" dxfId="170" priority="1" operator="lessThan">
      <formula>-0.2</formula>
    </cfRule>
    <cfRule type="cellIs" dxfId="16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A1:AI76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5703125" style="25" bestFit="1" customWidth="1"/>
    <col min="2" max="2" width="9.5703125" style="25" bestFit="1" customWidth="1"/>
    <col min="3" max="3" width="12.7109375" style="25" bestFit="1" customWidth="1"/>
    <col min="4" max="4" width="7.28515625" style="27" bestFit="1" customWidth="1"/>
    <col min="5" max="5" width="9.7109375" style="32" bestFit="1" customWidth="1"/>
    <col min="6" max="7" width="16.140625" style="25" bestFit="1" customWidth="1"/>
    <col min="8" max="8" width="8.5703125" style="27" bestFit="1" customWidth="1"/>
    <col min="9" max="9" width="7.42578125" style="48" bestFit="1" customWidth="1"/>
    <col min="10" max="10" width="6.7109375" style="26" bestFit="1" customWidth="1"/>
    <col min="11" max="11" width="10.28515625" style="26" bestFit="1" customWidth="1"/>
    <col min="12" max="12" width="11.14062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SQRT(AVERAGE(c_21[x2]))/AVERAGE(c_21[count])</f>
        <v>0.15073338725427488</v>
      </c>
      <c r="O1" s="69">
        <f>LINEST(c_21[flow],c_21[count],FALSE)</f>
        <v>1.0891963512017198</v>
      </c>
      <c r="P1" s="69">
        <f>RSQ(c_21[flow],c_21[count])</f>
        <v>0.81823291869975212</v>
      </c>
      <c r="Q1" s="19">
        <f>IFERROR(AVERAGEIF(c_21[gap],"&gt;=0",c_21[gap]),0)</f>
        <v>0.1547216580886315</v>
      </c>
      <c r="R1" s="20">
        <f>IFERROR(AVERAGEIF(c_21[gap],"&lt;0",c_21[gap]),0)</f>
        <v>-1.5132112295452416E-2</v>
      </c>
      <c r="S1" s="13">
        <f>AVERAGE(c_21[gap])</f>
        <v>0.12924359253101891</v>
      </c>
      <c r="T1" s="18">
        <f>COUNTIFS(c_21[gap],"&lt;10%",c_21[gap],"&gt;=-10%")/COUNTA(c_21[gap])</f>
        <v>0.65</v>
      </c>
      <c r="U1" s="18">
        <f>COUNTIFS(c_21[gap],"&lt;20%",c_21[gap],"&gt;=-20%")/COUNTA(c_21[gap])</f>
        <v>0.8</v>
      </c>
      <c r="V1" s="18">
        <f>COUNTIFS(c_21[gap],"&lt;30%",c_21[gap],"&gt;=-30%")/COUNTA(c_21[gap])</f>
        <v>0.9</v>
      </c>
      <c r="W1" s="19">
        <f>COUNTIF(c_21[gap],"&gt;=0")/COUNTA(c_21[gap])</f>
        <v>0.85</v>
      </c>
      <c r="X1" s="21">
        <f>COUNTIF(c_21[gap],"&lt;0")/COUNTA(c_21[gap])</f>
        <v>0.15</v>
      </c>
      <c r="Y1" s="39" t="str">
        <f>"%Link(+)="&amp;TEXT(W1,"0%")</f>
        <v>%Link(+)=85%</v>
      </c>
      <c r="Z1" s="39" t="str">
        <f>"%Link(-)="&amp;TEXT(X1,"0%")</f>
        <v>%Link(-)=15%</v>
      </c>
      <c r="AA1" s="36" t="str">
        <f>"AvgGap(+)="&amp;TEXT(Q1,"0%")</f>
        <v>AvgGap(+)=15%</v>
      </c>
      <c r="AB1" s="25" t="str">
        <f>"AvgGap(-)="&amp;TEXT(R1,"0%")</f>
        <v>AvgGap(-)=-2%</v>
      </c>
      <c r="AC1" s="25" t="str">
        <f>"AvgGap(±)="&amp;TEXT(S1,"0%")</f>
        <v>AvgGap(±)=13%</v>
      </c>
      <c r="AD1" s="25" t="str">
        <f>"GapIn(±10%)="&amp;TEXT(T1,"0%")</f>
        <v>GapIn(±10%)=65%</v>
      </c>
      <c r="AE1" s="25" t="str">
        <f>"GapIn(±20%)="&amp;TEXT(U1,"0%")</f>
        <v>GapIn(±20%)=80%</v>
      </c>
      <c r="AF1" s="25" t="str">
        <f>"GapIn(±30%)="&amp;TEXT(V1,"0%")</f>
        <v>GapIn(±30%)=90%</v>
      </c>
      <c r="AG1" s="25" t="str">
        <f>"Linear Slope="&amp;TEXT(O1,"#.###")</f>
        <v>Linear Slope=1.089</v>
      </c>
      <c r="AH1" s="25" t="str">
        <f>"RMSE="&amp;TEXT(N1,"0%")</f>
        <v>RMSE=15%</v>
      </c>
      <c r="AI1" s="25" t="str">
        <f>CONCATENATE(Y1," ",Z1," ",AA1,"  ",AB1,"  ",AC1,"  ",AD1," ",AE1,"  ",AF1,"  ",AG1," ",AH1)</f>
        <v>%Link(+)=85% %Link(-)=15% AvgGap(+)=15%  AvgGap(-)=-2%  AvgGap(±)=13%  GapIn(±10%)=65% GapIn(±20%)=80%  GapIn(±30%)=90%  Linear Slope=1.089 RMSE=15%</v>
      </c>
    </row>
    <row r="2" spans="1:35" ht="15" customHeight="1" x14ac:dyDescent="0.25">
      <c r="A2" s="43">
        <f>'[2]SR-94 WB'!C2</f>
        <v>21</v>
      </c>
      <c r="B2" s="43" t="str">
        <f>'[2]SR-94 WB'!H2</f>
        <v>SR-94 WB</v>
      </c>
      <c r="C2" s="126">
        <f>'[2]SR-94 WB'!E2</f>
        <v>9041</v>
      </c>
      <c r="D2" s="188">
        <f>'[2]SR-94 WB'!I2</f>
        <v>1</v>
      </c>
      <c r="E2" s="189">
        <f>'[2]SR-94 WB'!J2</f>
        <v>0</v>
      </c>
      <c r="F2" s="189" t="str">
        <f>'[2]SR-94 WB'!K2</f>
        <v>SR-125 SB</v>
      </c>
      <c r="G2" s="189" t="str">
        <f>'[2]SR-94 WB'!L2</f>
        <v>SR-125 SB</v>
      </c>
      <c r="H2" s="197">
        <f>'[2]SR-94 WB'!O2</f>
        <v>6056</v>
      </c>
      <c r="I2" s="198">
        <f>VLOOKUP(c_21[[#This Row],[hwycov_id]],readme!D:G,4,FALSE)</f>
        <v>9656.4921880000002</v>
      </c>
      <c r="J2" s="206">
        <f t="shared" ref="J2" si="0">I2/H2-1</f>
        <v>0.59453305614266849</v>
      </c>
      <c r="K2" s="190" t="str">
        <f>'[2]SR-94 WB'!P2</f>
        <v>PeMS2016</v>
      </c>
      <c r="L2" s="148">
        <f>POWER((I2-H2),2)</f>
        <v>12963543.995849028</v>
      </c>
      <c r="M2" s="44"/>
    </row>
    <row r="3" spans="1:35" ht="15" customHeight="1" x14ac:dyDescent="0.25">
      <c r="A3" s="43">
        <f>'[2]SR-94 WB'!C3</f>
        <v>21</v>
      </c>
      <c r="B3" s="43" t="str">
        <f>'[2]SR-94 WB'!H3</f>
        <v>SR-94 WB</v>
      </c>
      <c r="C3" s="126">
        <f>'[2]SR-94 WB'!E3</f>
        <v>28016</v>
      </c>
      <c r="D3" s="188">
        <f>'[2]SR-94 WB'!I3</f>
        <v>2</v>
      </c>
      <c r="E3" s="189">
        <f>'[2]SR-94 WB'!J3</f>
        <v>0</v>
      </c>
      <c r="F3" s="189" t="str">
        <f>'[2]SR-94 WB'!K3</f>
        <v>SR-125 SB</v>
      </c>
      <c r="G3" s="189" t="str">
        <f>'[2]SR-94 WB'!L3</f>
        <v>SR-125 NB</v>
      </c>
      <c r="H3" s="197">
        <f>'[2]SR-94 WB'!O3</f>
        <v>10717</v>
      </c>
      <c r="I3" s="198">
        <f>VLOOKUP(c_21[[#This Row],[hwycov_id]],readme!D:G,4,FALSE)</f>
        <v>13709.029296999999</v>
      </c>
      <c r="J3" s="206">
        <f t="shared" ref="J3:J21" si="1">I3/H3-1</f>
        <v>0.27918534076700552</v>
      </c>
      <c r="K3" s="190" t="str">
        <f>'[2]SR-94 WB'!P3</f>
        <v>PeMS2016</v>
      </c>
      <c r="L3" s="148">
        <f t="shared" ref="L3:L21" si="2">POWER((I3-H3),2)</f>
        <v>8952239.3141063098</v>
      </c>
      <c r="M3" s="44"/>
    </row>
    <row r="4" spans="1:35" ht="15" customHeight="1" x14ac:dyDescent="0.25">
      <c r="A4" s="43">
        <f>'[2]SR-94 WB'!C4</f>
        <v>21</v>
      </c>
      <c r="B4" s="43" t="str">
        <f>'[2]SR-94 WB'!H4</f>
        <v>SR-94 WB</v>
      </c>
      <c r="C4" s="126">
        <f>'[2]SR-94 WB'!E4</f>
        <v>28011</v>
      </c>
      <c r="D4" s="188">
        <f>'[2]SR-94 WB'!I4</f>
        <v>3</v>
      </c>
      <c r="E4" s="189">
        <f>'[2]SR-94 WB'!J4</f>
        <v>0</v>
      </c>
      <c r="F4" s="189" t="str">
        <f>'[2]SR-94 WB'!K4</f>
        <v>GROVE</v>
      </c>
      <c r="G4" s="189" t="str">
        <f>'[2]SR-94 WB'!L4</f>
        <v>GROVE</v>
      </c>
      <c r="H4" s="197">
        <f>'[2]SR-94 WB'!O4</f>
        <v>10717</v>
      </c>
      <c r="I4" s="198">
        <f>VLOOKUP(c_21[[#This Row],[hwycov_id]],readme!D:G,4,FALSE)</f>
        <v>15583.491211</v>
      </c>
      <c r="J4" s="206">
        <f t="shared" si="1"/>
        <v>0.45409081002146134</v>
      </c>
      <c r="K4" s="190" t="str">
        <f>'[2]SR-94 WB'!P4</f>
        <v>PeMS2016</v>
      </c>
      <c r="L4" s="148">
        <f t="shared" si="2"/>
        <v>23682736.706740253</v>
      </c>
      <c r="M4" s="44"/>
    </row>
    <row r="5" spans="1:35" ht="15" customHeight="1" x14ac:dyDescent="0.25">
      <c r="A5" s="43">
        <f>'[2]SR-94 WB'!C5</f>
        <v>21</v>
      </c>
      <c r="B5" s="43" t="str">
        <f>'[2]SR-94 WB'!H5</f>
        <v>SR-94 WB</v>
      </c>
      <c r="C5" s="126">
        <f>'[2]SR-94 WB'!E5</f>
        <v>28007</v>
      </c>
      <c r="D5" s="188">
        <f>'[2]SR-94 WB'!I5</f>
        <v>4</v>
      </c>
      <c r="E5" s="189">
        <f>'[2]SR-94 WB'!J5</f>
        <v>0</v>
      </c>
      <c r="F5" s="189" t="str">
        <f>'[2]SR-94 WB'!K5</f>
        <v>LEMON GROVE</v>
      </c>
      <c r="G5" s="189" t="str">
        <f>'[2]SR-94 WB'!L5</f>
        <v>LEMON GROVE</v>
      </c>
      <c r="H5" s="197">
        <f>'[2]SR-94 WB'!O5</f>
        <v>12928</v>
      </c>
      <c r="I5" s="198">
        <f>VLOOKUP(c_21[[#This Row],[hwycov_id]],readme!D:G,4,FALSE)</f>
        <v>13342.835938</v>
      </c>
      <c r="J5" s="206">
        <f t="shared" si="1"/>
        <v>3.2088175897277305E-2</v>
      </c>
      <c r="K5" s="190" t="str">
        <f>'[2]SR-94 WB'!P5</f>
        <v>PeMS2016</v>
      </c>
      <c r="L5" s="148">
        <f t="shared" si="2"/>
        <v>172088.85545633998</v>
      </c>
      <c r="M5" s="44"/>
    </row>
    <row r="6" spans="1:35" ht="15" customHeight="1" x14ac:dyDescent="0.25">
      <c r="A6" s="43">
        <f>'[2]SR-94 WB'!C6</f>
        <v>21</v>
      </c>
      <c r="B6" s="43" t="str">
        <f>'[2]SR-94 WB'!H6</f>
        <v>SR-94 WB</v>
      </c>
      <c r="C6" s="126">
        <f>'[2]SR-94 WB'!E6</f>
        <v>28000</v>
      </c>
      <c r="D6" s="188">
        <f>'[2]SR-94 WB'!I6</f>
        <v>5</v>
      </c>
      <c r="E6" s="189">
        <f>'[2]SR-94 WB'!J6</f>
        <v>0</v>
      </c>
      <c r="F6" s="189" t="str">
        <f>'[2]SR-94 WB'!K6</f>
        <v>LEMON GROVE</v>
      </c>
      <c r="G6" s="189" t="str">
        <f>'[2]SR-94 WB'!L6</f>
        <v>WAITE</v>
      </c>
      <c r="H6" s="197">
        <f>'[2]SR-94 WB'!O6</f>
        <v>15038</v>
      </c>
      <c r="I6" s="198">
        <f>VLOOKUP(c_21[[#This Row],[hwycov_id]],readme!D:G,4,FALSE)</f>
        <v>14596.053711</v>
      </c>
      <c r="J6" s="206">
        <f t="shared" si="1"/>
        <v>-2.938863472536235E-2</v>
      </c>
      <c r="K6" s="190" t="str">
        <f>'[2]SR-94 WB'!P6</f>
        <v>Caltran</v>
      </c>
      <c r="L6" s="148">
        <f t="shared" si="2"/>
        <v>195316.52236087111</v>
      </c>
      <c r="M6" s="44"/>
    </row>
    <row r="7" spans="1:35" ht="15" customHeight="1" x14ac:dyDescent="0.25">
      <c r="A7" s="43">
        <f>'[2]SR-94 WB'!C7</f>
        <v>21</v>
      </c>
      <c r="B7" s="43" t="str">
        <f>'[2]SR-94 WB'!H7</f>
        <v>SR-94 WB</v>
      </c>
      <c r="C7" s="126">
        <f>'[2]SR-94 WB'!E7</f>
        <v>27988</v>
      </c>
      <c r="D7" s="188">
        <f>'[2]SR-94 WB'!I7</f>
        <v>7</v>
      </c>
      <c r="E7" s="189">
        <f>'[2]SR-94 WB'!J7</f>
        <v>0</v>
      </c>
      <c r="F7" s="189" t="str">
        <f>'[2]SR-94 WB'!K7</f>
        <v>MASSACHUSETTS</v>
      </c>
      <c r="G7" s="189" t="str">
        <f>'[2]SR-94 WB'!L7</f>
        <v>MASSACHUSETTS</v>
      </c>
      <c r="H7" s="197">
        <f>'[2]SR-94 WB'!O7</f>
        <v>14242</v>
      </c>
      <c r="I7" s="198">
        <f>VLOOKUP(c_21[[#This Row],[hwycov_id]],readme!D:G,4,FALSE)</f>
        <v>14042.169921999999</v>
      </c>
      <c r="J7" s="206">
        <f t="shared" si="1"/>
        <v>-1.4031040443757914E-2</v>
      </c>
      <c r="K7" s="190" t="str">
        <f>'[2]SR-94 WB'!P7</f>
        <v>PeMS2016</v>
      </c>
      <c r="L7" s="148">
        <f t="shared" si="2"/>
        <v>39932.060073486427</v>
      </c>
      <c r="M7" s="44"/>
    </row>
    <row r="8" spans="1:35" ht="15" customHeight="1" x14ac:dyDescent="0.25">
      <c r="A8" s="43">
        <f>'[2]SR-94 WB'!C8</f>
        <v>21</v>
      </c>
      <c r="B8" s="43" t="str">
        <f>'[2]SR-94 WB'!H8</f>
        <v>SR-94 WB</v>
      </c>
      <c r="C8" s="126">
        <f>'[2]SR-94 WB'!E8</f>
        <v>27987</v>
      </c>
      <c r="D8" s="188">
        <f>'[2]SR-94 WB'!I8</f>
        <v>8</v>
      </c>
      <c r="E8" s="189">
        <f>'[2]SR-94 WB'!J8</f>
        <v>0</v>
      </c>
      <c r="F8" s="189" t="str">
        <f>'[2]SR-94 WB'!K8</f>
        <v>MASSACHUSETTS</v>
      </c>
      <c r="G8" s="189" t="str">
        <f>'[2]SR-94 WB'!L8</f>
        <v>COLLEGE</v>
      </c>
      <c r="H8" s="197">
        <f>'[2]SR-94 WB'!O8</f>
        <v>13093</v>
      </c>
      <c r="I8" s="198">
        <f>VLOOKUP(c_21[[#This Row],[hwycov_id]],readme!D:G,4,FALSE)</f>
        <v>15519.583008</v>
      </c>
      <c r="J8" s="206">
        <f t="shared" si="1"/>
        <v>0.18533437775910788</v>
      </c>
      <c r="K8" s="190" t="str">
        <f>'[2]SR-94 WB'!P8</f>
        <v>PeMS2016</v>
      </c>
      <c r="L8" s="148">
        <f t="shared" si="2"/>
        <v>5888305.0947143259</v>
      </c>
      <c r="M8" s="44"/>
    </row>
    <row r="9" spans="1:35" ht="15" customHeight="1" x14ac:dyDescent="0.25">
      <c r="A9" s="43">
        <f>'[2]SR-94 WB'!C9</f>
        <v>21</v>
      </c>
      <c r="B9" s="43" t="str">
        <f>'[2]SR-94 WB'!H9</f>
        <v>SR-94 WB</v>
      </c>
      <c r="C9" s="126">
        <f>'[2]SR-94 WB'!E9</f>
        <v>29016</v>
      </c>
      <c r="D9" s="188">
        <f>'[2]SR-94 WB'!I9</f>
        <v>13</v>
      </c>
      <c r="E9" s="189">
        <f>'[2]SR-94 WB'!J9</f>
        <v>1</v>
      </c>
      <c r="F9" s="189" t="str">
        <f>'[2]SR-94 WB'!K9</f>
        <v>COLLEGE GROVE</v>
      </c>
      <c r="G9" s="189" t="str">
        <f>'[2]SR-94 WB'!L9</f>
        <v>FEDERAL</v>
      </c>
      <c r="H9" s="197">
        <f>'[2]SR-94 WB'!O9</f>
        <v>14371</v>
      </c>
      <c r="I9" s="198">
        <f>VLOOKUP(c_21[[#This Row],[hwycov_id]],readme!D:G,4,FALSE)</f>
        <v>15430.521484000001</v>
      </c>
      <c r="J9" s="206">
        <f t="shared" si="1"/>
        <v>7.3726357525572439E-2</v>
      </c>
      <c r="K9" s="190" t="str">
        <f>'[2]SR-94 WB'!P9</f>
        <v>PeMS2016</v>
      </c>
      <c r="L9" s="148">
        <f t="shared" si="2"/>
        <v>1122585.775057564</v>
      </c>
      <c r="M9" s="44"/>
    </row>
    <row r="10" spans="1:35" ht="15" customHeight="1" x14ac:dyDescent="0.25">
      <c r="A10" s="43">
        <f>'[2]SR-94 WB'!C10</f>
        <v>21</v>
      </c>
      <c r="B10" s="43" t="str">
        <f>'[2]SR-94 WB'!H10</f>
        <v>SR-94 WB</v>
      </c>
      <c r="C10" s="126">
        <f>'[2]SR-94 WB'!E10</f>
        <v>29028</v>
      </c>
      <c r="D10" s="188">
        <f>'[2]SR-94 WB'!I10</f>
        <v>16</v>
      </c>
      <c r="E10" s="189">
        <f>'[2]SR-94 WB'!J10</f>
        <v>0</v>
      </c>
      <c r="F10" s="189" t="str">
        <f>'[2]SR-94 WB'!K10</f>
        <v>KELTON</v>
      </c>
      <c r="G10" s="189" t="str">
        <f>'[2]SR-94 WB'!L10</f>
        <v>EUCLID</v>
      </c>
      <c r="H10" s="197">
        <f>'[2]SR-94 WB'!O10</f>
        <v>15747</v>
      </c>
      <c r="I10" s="198">
        <f>VLOOKUP(c_21[[#This Row],[hwycov_id]],readme!D:G,4,FALSE)</f>
        <v>17249.279297000001</v>
      </c>
      <c r="J10" s="206">
        <f t="shared" si="1"/>
        <v>9.5400984123960253E-2</v>
      </c>
      <c r="K10" s="190" t="str">
        <f>'[2]SR-94 WB'!P10</f>
        <v>PeMS2016</v>
      </c>
      <c r="L10" s="148">
        <f t="shared" si="2"/>
        <v>2256843.086194817</v>
      </c>
      <c r="M10" s="44"/>
    </row>
    <row r="11" spans="1:35" ht="15" customHeight="1" x14ac:dyDescent="0.25">
      <c r="A11" s="43">
        <f>'[2]SR-94 WB'!C11</f>
        <v>21</v>
      </c>
      <c r="B11" s="43" t="str">
        <f>'[2]SR-94 WB'!H11</f>
        <v>SR-94 WB</v>
      </c>
      <c r="C11" s="126">
        <f>'[2]SR-94 WB'!E11</f>
        <v>29037</v>
      </c>
      <c r="D11" s="188">
        <f>'[2]SR-94 WB'!I11</f>
        <v>18</v>
      </c>
      <c r="E11" s="189">
        <f>'[2]SR-94 WB'!J11</f>
        <v>0</v>
      </c>
      <c r="F11" s="189" t="str">
        <f>'[2]SR-94 WB'!K11</f>
        <v>EUCLID</v>
      </c>
      <c r="G11" s="189" t="str">
        <f>'[2]SR-94 WB'!L11</f>
        <v>EUCLID</v>
      </c>
      <c r="H11" s="197">
        <f>'[2]SR-94 WB'!O11</f>
        <v>15038</v>
      </c>
      <c r="I11" s="198">
        <f>VLOOKUP(c_21[[#This Row],[hwycov_id]],readme!D:G,4,FALSE)</f>
        <v>16941.630859000001</v>
      </c>
      <c r="J11" s="206">
        <f t="shared" si="1"/>
        <v>0.1265880342465755</v>
      </c>
      <c r="K11" s="190" t="str">
        <f>'[2]SR-94 WB'!P11</f>
        <v>PeMS2016</v>
      </c>
      <c r="L11" s="148">
        <f t="shared" si="2"/>
        <v>3623810.4473370807</v>
      </c>
      <c r="M11" s="44"/>
    </row>
    <row r="12" spans="1:35" ht="15" customHeight="1" x14ac:dyDescent="0.25">
      <c r="A12" s="43">
        <f>'[2]SR-94 WB'!C12</f>
        <v>21</v>
      </c>
      <c r="B12" s="43" t="str">
        <f>'[2]SR-94 WB'!H12</f>
        <v>SR-94 WB</v>
      </c>
      <c r="C12" s="126">
        <f>'[2]SR-94 WB'!E12</f>
        <v>29041</v>
      </c>
      <c r="D12" s="188">
        <f>'[2]SR-94 WB'!I12</f>
        <v>19</v>
      </c>
      <c r="E12" s="189">
        <f>'[2]SR-94 WB'!J12</f>
        <v>0</v>
      </c>
      <c r="F12" s="189" t="str">
        <f>'[2]SR-94 WB'!K12</f>
        <v>EUCLID</v>
      </c>
      <c r="G12" s="189" t="str">
        <f>'[2]SR-94 WB'!L12</f>
        <v>47TH</v>
      </c>
      <c r="H12" s="197">
        <f>'[2]SR-94 WB'!O12</f>
        <v>18588</v>
      </c>
      <c r="I12" s="198">
        <f>VLOOKUP(c_21[[#This Row],[hwycov_id]],readme!D:G,4,FALSE)</f>
        <v>18551.257812</v>
      </c>
      <c r="J12" s="206">
        <f t="shared" si="1"/>
        <v>-1.9766617172369827E-3</v>
      </c>
      <c r="K12" s="190" t="str">
        <f>'[2]SR-94 WB'!P12</f>
        <v>PeMS2016</v>
      </c>
      <c r="L12" s="148">
        <f t="shared" si="2"/>
        <v>1349.9883790273564</v>
      </c>
      <c r="M12" s="44"/>
    </row>
    <row r="13" spans="1:35" ht="15" customHeight="1" x14ac:dyDescent="0.25">
      <c r="A13" s="43">
        <f>'[2]SR-94 WB'!C13</f>
        <v>21</v>
      </c>
      <c r="B13" s="43" t="str">
        <f>'[2]SR-94 WB'!H13</f>
        <v>SR-94 WB</v>
      </c>
      <c r="C13" s="126">
        <f>'[2]SR-94 WB'!E13</f>
        <v>29046</v>
      </c>
      <c r="D13" s="188">
        <f>'[2]SR-94 WB'!I13</f>
        <v>23</v>
      </c>
      <c r="E13" s="189">
        <f>'[2]SR-94 WB'!J13</f>
        <v>0</v>
      </c>
      <c r="F13" s="189" t="str">
        <f>'[2]SR-94 WB'!K13</f>
        <v>I-805 NB</v>
      </c>
      <c r="G13" s="189" t="str">
        <f>'[2]SR-94 WB'!L13</f>
        <v>I-805 NB</v>
      </c>
      <c r="H13" s="197">
        <f>'[2]SR-94 WB'!O13</f>
        <v>9141</v>
      </c>
      <c r="I13" s="198">
        <f>VLOOKUP(c_21[[#This Row],[hwycov_id]],readme!D:G,4,FALSE)</f>
        <v>11687.135742</v>
      </c>
      <c r="J13" s="206">
        <f t="shared" si="1"/>
        <v>0.2785401752543486</v>
      </c>
      <c r="K13" s="190" t="str">
        <f>'[2]SR-94 WB'!P13</f>
        <v>PeMS2016</v>
      </c>
      <c r="L13" s="148">
        <f t="shared" si="2"/>
        <v>6482807.2166898921</v>
      </c>
      <c r="M13" s="44"/>
    </row>
    <row r="14" spans="1:35" ht="15" customHeight="1" x14ac:dyDescent="0.25">
      <c r="A14" s="43">
        <f>'[2]SR-94 WB'!C14</f>
        <v>21</v>
      </c>
      <c r="B14" s="43" t="str">
        <f>'[2]SR-94 WB'!H14</f>
        <v>SR-94 WB</v>
      </c>
      <c r="C14" s="126">
        <f>'[2]SR-94 WB'!E14</f>
        <v>29049</v>
      </c>
      <c r="D14" s="188">
        <f>'[2]SR-94 WB'!I14</f>
        <v>24</v>
      </c>
      <c r="E14" s="189">
        <f>'[2]SR-94 WB'!J14</f>
        <v>0</v>
      </c>
      <c r="F14" s="189" t="str">
        <f>'[2]SR-94 WB'!K14</f>
        <v>I-805 NB</v>
      </c>
      <c r="G14" s="189" t="str">
        <f>'[2]SR-94 WB'!L14</f>
        <v>HOME</v>
      </c>
      <c r="H14" s="197">
        <f>'[2]SR-94 WB'!O14</f>
        <v>12622</v>
      </c>
      <c r="I14" s="198">
        <f>VLOOKUP(c_21[[#This Row],[hwycov_id]],readme!D:G,4,FALSE)</f>
        <v>13892.342773</v>
      </c>
      <c r="J14" s="206">
        <f t="shared" si="1"/>
        <v>0.1006451254159404</v>
      </c>
      <c r="K14" s="190" t="str">
        <f>'[2]SR-94 WB'!P14</f>
        <v>PeMS2016</v>
      </c>
      <c r="L14" s="148">
        <f t="shared" si="2"/>
        <v>1613770.7609133304</v>
      </c>
      <c r="M14" s="44"/>
    </row>
    <row r="15" spans="1:35" ht="15" customHeight="1" x14ac:dyDescent="0.25">
      <c r="A15" s="43">
        <f>'[2]SR-94 WB'!C15</f>
        <v>21</v>
      </c>
      <c r="B15" s="43" t="str">
        <f>'[2]SR-94 WB'!H15</f>
        <v>SR-94 WB</v>
      </c>
      <c r="C15" s="126">
        <f>'[2]SR-94 WB'!E15</f>
        <v>27614</v>
      </c>
      <c r="D15" s="188">
        <f>'[2]SR-94 WB'!I15</f>
        <v>26</v>
      </c>
      <c r="E15" s="189">
        <f>'[2]SR-94 WB'!J15</f>
        <v>0</v>
      </c>
      <c r="F15" s="189" t="str">
        <f>'[2]SR-94 WB'!K15</f>
        <v>HOME</v>
      </c>
      <c r="G15" s="189" t="str">
        <f>'[2]SR-94 WB'!L15</f>
        <v>SR-15 NB</v>
      </c>
      <c r="H15" s="197">
        <f>'[2]SR-94 WB'!O15</f>
        <v>14485</v>
      </c>
      <c r="I15" s="198">
        <f>VLOOKUP(c_21[[#This Row],[hwycov_id]],readme!D:G,4,FALSE)</f>
        <v>15504.049805000001</v>
      </c>
      <c r="J15" s="206">
        <f t="shared" si="1"/>
        <v>7.0352074905074335E-2</v>
      </c>
      <c r="K15" s="190" t="str">
        <f>'[2]SR-94 WB'!P15</f>
        <v>PeMS2016</v>
      </c>
      <c r="L15" s="148">
        <f t="shared" si="2"/>
        <v>1038462.5050705392</v>
      </c>
      <c r="M15" s="44"/>
    </row>
    <row r="16" spans="1:35" ht="15" customHeight="1" x14ac:dyDescent="0.25">
      <c r="A16" s="43">
        <f>'[2]SR-94 WB'!C16</f>
        <v>21</v>
      </c>
      <c r="B16" s="43" t="str">
        <f>'[2]SR-94 WB'!H16</f>
        <v>SR-94 WB</v>
      </c>
      <c r="C16" s="126">
        <f>'[2]SR-94 WB'!E16</f>
        <v>29051</v>
      </c>
      <c r="D16" s="188">
        <f>'[2]SR-94 WB'!I16</f>
        <v>27</v>
      </c>
      <c r="E16" s="189">
        <f>'[2]SR-94 WB'!J16</f>
        <v>0</v>
      </c>
      <c r="F16" s="189" t="str">
        <f>'[2]SR-94 WB'!K16</f>
        <v>SR-15 SB</v>
      </c>
      <c r="G16" s="189" t="str">
        <f>'[2]SR-94 WB'!L16</f>
        <v>SR-15 SB</v>
      </c>
      <c r="H16" s="197">
        <f>'[2]SR-94 WB'!O16</f>
        <v>11868</v>
      </c>
      <c r="I16" s="198">
        <f>VLOOKUP(c_21[[#This Row],[hwycov_id]],readme!D:G,4,FALSE)</f>
        <v>12675.560546999999</v>
      </c>
      <c r="J16" s="206">
        <f t="shared" si="1"/>
        <v>6.8045209555106068E-2</v>
      </c>
      <c r="K16" s="190" t="str">
        <f>'[2]SR-94 WB'!P16</f>
        <v>PeMS2016</v>
      </c>
      <c r="L16" s="148">
        <f t="shared" si="2"/>
        <v>652154.0370709378</v>
      </c>
      <c r="M16" s="44"/>
    </row>
    <row r="17" spans="1:14" ht="15" customHeight="1" x14ac:dyDescent="0.25">
      <c r="A17" s="43">
        <f>'[2]SR-94 WB'!C17</f>
        <v>21</v>
      </c>
      <c r="B17" s="43" t="str">
        <f>'[2]SR-94 WB'!H17</f>
        <v>SR-94 WB</v>
      </c>
      <c r="C17" s="126">
        <f>'[2]SR-94 WB'!E17</f>
        <v>15854</v>
      </c>
      <c r="D17" s="188">
        <f>'[2]SR-94 WB'!I17</f>
        <v>31</v>
      </c>
      <c r="E17" s="189">
        <f>'[2]SR-94 WB'!J17</f>
        <v>0</v>
      </c>
      <c r="F17" s="189" t="str">
        <f>'[2]SR-94 WB'!K17</f>
        <v>32ND</v>
      </c>
      <c r="G17" s="189" t="str">
        <f>'[2]SR-94 WB'!L17</f>
        <v>28TH</v>
      </c>
      <c r="H17" s="197">
        <f>'[2]SR-94 WB'!O17</f>
        <v>13758</v>
      </c>
      <c r="I17" s="198">
        <f>VLOOKUP(c_21[[#This Row],[hwycov_id]],readme!D:G,4,FALSE)</f>
        <v>14145.419921999999</v>
      </c>
      <c r="J17" s="206">
        <f t="shared" si="1"/>
        <v>2.8159610553859515E-2</v>
      </c>
      <c r="K17" s="190" t="str">
        <f>'[2]SR-94 WB'!P17</f>
        <v>PeMS2016</v>
      </c>
      <c r="L17" s="148">
        <f t="shared" si="2"/>
        <v>150094.19596248542</v>
      </c>
      <c r="M17" s="44"/>
    </row>
    <row r="18" spans="1:14" ht="15" customHeight="1" x14ac:dyDescent="0.25">
      <c r="A18" s="43">
        <f>'[2]SR-94 WB'!C18</f>
        <v>21</v>
      </c>
      <c r="B18" s="43" t="str">
        <f>'[2]SR-94 WB'!H18</f>
        <v>SR-94 WB</v>
      </c>
      <c r="C18" s="126">
        <f>'[2]SR-94 WB'!E18</f>
        <v>15856</v>
      </c>
      <c r="D18" s="188">
        <f>'[2]SR-94 WB'!I18</f>
        <v>32</v>
      </c>
      <c r="E18" s="189">
        <f>'[2]SR-94 WB'!J18</f>
        <v>0</v>
      </c>
      <c r="F18" s="189" t="str">
        <f>'[2]SR-94 WB'!K18</f>
        <v>28TH</v>
      </c>
      <c r="G18" s="189" t="str">
        <f>'[2]SR-94 WB'!L18</f>
        <v>28TH</v>
      </c>
      <c r="H18" s="197">
        <f>'[2]SR-94 WB'!O18</f>
        <v>12035</v>
      </c>
      <c r="I18" s="198">
        <f>VLOOKUP(c_21[[#This Row],[hwycov_id]],readme!D:G,4,FALSE)</f>
        <v>12521.715819999999</v>
      </c>
      <c r="J18" s="206">
        <f t="shared" si="1"/>
        <v>4.0441696717905984E-2</v>
      </c>
      <c r="K18" s="190" t="str">
        <f>'[2]SR-94 WB'!P18</f>
        <v>PeMS2016</v>
      </c>
      <c r="L18" s="148">
        <f t="shared" si="2"/>
        <v>236892.28943827187</v>
      </c>
      <c r="M18" s="44"/>
    </row>
    <row r="19" spans="1:14" ht="15" customHeight="1" x14ac:dyDescent="0.25">
      <c r="A19" s="43">
        <f>'[2]SR-94 WB'!C19</f>
        <v>21</v>
      </c>
      <c r="B19" s="43" t="str">
        <f>'[2]SR-94 WB'!H19</f>
        <v>SR-94 WB</v>
      </c>
      <c r="C19" s="126">
        <f>'[2]SR-94 WB'!E19</f>
        <v>15857</v>
      </c>
      <c r="D19" s="188">
        <f>'[2]SR-94 WB'!I19</f>
        <v>33</v>
      </c>
      <c r="E19" s="189">
        <f>'[2]SR-94 WB'!J19</f>
        <v>0</v>
      </c>
      <c r="F19" s="189" t="str">
        <f>'[2]SR-94 WB'!K19</f>
        <v>28TH</v>
      </c>
      <c r="G19" s="189" t="str">
        <f>'[2]SR-94 WB'!L19</f>
        <v>25TH</v>
      </c>
      <c r="H19" s="197">
        <f>'[2]SR-94 WB'!O19</f>
        <v>12035</v>
      </c>
      <c r="I19" s="198">
        <f>VLOOKUP(c_21[[#This Row],[hwycov_id]],readme!D:G,4,FALSE)</f>
        <v>12742.094727</v>
      </c>
      <c r="J19" s="206">
        <f t="shared" si="1"/>
        <v>5.875319709181559E-2</v>
      </c>
      <c r="K19" s="190" t="str">
        <f>'[2]SR-94 WB'!P19</f>
        <v>PeMS2016</v>
      </c>
      <c r="L19" s="148">
        <f t="shared" si="2"/>
        <v>499982.95295120409</v>
      </c>
      <c r="M19" s="44"/>
    </row>
    <row r="20" spans="1:14" ht="15" customHeight="1" x14ac:dyDescent="0.25">
      <c r="A20" s="43">
        <f>'[2]SR-94 WB'!C20</f>
        <v>21</v>
      </c>
      <c r="B20" s="43" t="str">
        <f>'[2]SR-94 WB'!H20</f>
        <v>SR-94 WB</v>
      </c>
      <c r="C20" s="126">
        <f>'[2]SR-94 WB'!E20</f>
        <v>15862</v>
      </c>
      <c r="D20" s="188">
        <f>'[2]SR-94 WB'!I20</f>
        <v>34</v>
      </c>
      <c r="E20" s="189">
        <f>'[2]SR-94 WB'!J20</f>
        <v>0</v>
      </c>
      <c r="F20" s="189" t="str">
        <f>'[2]SR-94 WB'!K20</f>
        <v>25TH</v>
      </c>
      <c r="G20" s="189" t="str">
        <f>'[2]SR-94 WB'!L20</f>
        <v>I-5 NB</v>
      </c>
      <c r="H20" s="197">
        <f>'[2]SR-94 WB'!O20</f>
        <v>11230</v>
      </c>
      <c r="I20" s="198">
        <f>VLOOKUP(c_21[[#This Row],[hwycov_id]],readme!D:G,4,FALSE)</f>
        <v>11834.413086</v>
      </c>
      <c r="J20" s="206">
        <f t="shared" si="1"/>
        <v>5.3821289937667105E-2</v>
      </c>
      <c r="K20" s="190" t="str">
        <f>'[2]SR-94 WB'!P20</f>
        <v>PeMS2016</v>
      </c>
      <c r="L20" s="148">
        <f t="shared" si="2"/>
        <v>365315.17852804397</v>
      </c>
      <c r="M20" s="44"/>
    </row>
    <row r="21" spans="1:14" ht="15" customHeight="1" x14ac:dyDescent="0.25">
      <c r="A21" s="43">
        <f>'[2]SR-94 WB'!C21</f>
        <v>21</v>
      </c>
      <c r="B21" s="43" t="str">
        <f>'[2]SR-94 WB'!H21</f>
        <v>SR-94 WB</v>
      </c>
      <c r="C21" s="126">
        <f>'[2]SR-94 WB'!E21</f>
        <v>15863</v>
      </c>
      <c r="D21" s="188">
        <f>'[2]SR-94 WB'!I21</f>
        <v>36</v>
      </c>
      <c r="E21" s="189">
        <f>'[2]SR-94 WB'!J21</f>
        <v>0</v>
      </c>
      <c r="F21" s="189" t="str">
        <f>'[2]SR-94 WB'!K21</f>
        <v>F</v>
      </c>
      <c r="G21" s="189" t="str">
        <f>'[2]SR-94 WB'!L21</f>
        <v>F</v>
      </c>
      <c r="H21" s="197">
        <f>'[2]SR-94 WB'!O21</f>
        <v>4738</v>
      </c>
      <c r="I21" s="198">
        <f>VLOOKUP(c_21[[#This Row],[hwycov_id]],readme!D:G,4,FALSE)</f>
        <v>5167.0859380000002</v>
      </c>
      <c r="J21" s="206">
        <f t="shared" si="1"/>
        <v>9.0562671591388755E-2</v>
      </c>
      <c r="K21" s="190" t="str">
        <f>'[2]SR-94 WB'!P21</f>
        <v>PeMS2016</v>
      </c>
      <c r="L21" s="148">
        <f t="shared" si="2"/>
        <v>184114.74218934</v>
      </c>
      <c r="M21" s="44"/>
    </row>
    <row r="22" spans="1:14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4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  <c r="N23" s="27"/>
    </row>
    <row r="24" spans="1:14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  <c r="N24" s="27"/>
    </row>
    <row r="25" spans="1:14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  <c r="N25" s="27"/>
    </row>
    <row r="26" spans="1:14" ht="15" customHeight="1" x14ac:dyDescent="0.2">
      <c r="L26" s="44"/>
      <c r="M26" s="44"/>
      <c r="N26" s="27"/>
    </row>
    <row r="27" spans="1:14" ht="15" customHeight="1" x14ac:dyDescent="0.2">
      <c r="H27" s="25"/>
      <c r="I27" s="53"/>
      <c r="L27" s="44"/>
      <c r="M27" s="44"/>
      <c r="N27" s="27"/>
    </row>
    <row r="28" spans="1:14" ht="15" customHeight="1" x14ac:dyDescent="0.2">
      <c r="H28" s="25"/>
      <c r="I28" s="53"/>
      <c r="L28" s="44"/>
      <c r="M28" s="44"/>
      <c r="N28" s="27"/>
    </row>
    <row r="29" spans="1:14" ht="15" customHeight="1" x14ac:dyDescent="0.2">
      <c r="H29" s="25"/>
      <c r="I29" s="53"/>
      <c r="L29" s="44"/>
      <c r="M29" s="44"/>
      <c r="N29" s="27"/>
    </row>
    <row r="30" spans="1:14" ht="15" customHeight="1" x14ac:dyDescent="0.2">
      <c r="H30" s="25"/>
      <c r="I30" s="53"/>
      <c r="L30" s="44"/>
      <c r="M30" s="44"/>
      <c r="N30" s="27"/>
    </row>
    <row r="31" spans="1:14" ht="15" customHeight="1" x14ac:dyDescent="0.2">
      <c r="H31" s="25"/>
      <c r="I31" s="53"/>
      <c r="L31" s="44"/>
      <c r="M31" s="44"/>
      <c r="N31" s="27"/>
    </row>
    <row r="32" spans="1:14" ht="15" customHeight="1" x14ac:dyDescent="0.2">
      <c r="H32" s="25"/>
      <c r="I32" s="53"/>
      <c r="L32" s="44"/>
      <c r="M32" s="44"/>
      <c r="N32" s="27"/>
    </row>
    <row r="33" spans="8:14" ht="15" customHeight="1" x14ac:dyDescent="0.2">
      <c r="H33" s="25"/>
      <c r="L33" s="44"/>
      <c r="M33" s="44"/>
      <c r="N33" s="27"/>
    </row>
    <row r="34" spans="8:14" ht="15" customHeight="1" x14ac:dyDescent="0.2">
      <c r="H34" s="25"/>
      <c r="I34" s="53"/>
      <c r="L34" s="44"/>
      <c r="M34" s="44"/>
      <c r="N34" s="27"/>
    </row>
    <row r="35" spans="8:14" ht="15" customHeight="1" x14ac:dyDescent="0.2">
      <c r="H35" s="25"/>
      <c r="I35" s="53"/>
      <c r="L35" s="44"/>
      <c r="M35" s="44"/>
      <c r="N35" s="27"/>
    </row>
    <row r="36" spans="8:14" ht="15" customHeight="1" x14ac:dyDescent="0.2">
      <c r="H36" s="25"/>
      <c r="I36" s="53"/>
      <c r="L36" s="44"/>
      <c r="M36" s="44"/>
      <c r="N36" s="27"/>
    </row>
    <row r="37" spans="8:14" ht="15" customHeight="1" x14ac:dyDescent="0.2">
      <c r="H37" s="25"/>
      <c r="I37" s="53"/>
      <c r="L37" s="44"/>
      <c r="M37" s="44"/>
      <c r="N37" s="27"/>
    </row>
    <row r="38" spans="8:14" ht="15" customHeight="1" x14ac:dyDescent="0.2">
      <c r="H38" s="25"/>
      <c r="I38" s="53"/>
      <c r="L38" s="44"/>
      <c r="M38" s="44"/>
      <c r="N38" s="27"/>
    </row>
    <row r="39" spans="8:14" ht="15" customHeight="1" x14ac:dyDescent="0.2">
      <c r="H39" s="25"/>
      <c r="I39" s="53"/>
      <c r="L39" s="44"/>
      <c r="M39" s="44"/>
      <c r="N39" s="27"/>
    </row>
    <row r="40" spans="8:14" ht="15" customHeight="1" x14ac:dyDescent="0.2">
      <c r="H40" s="25"/>
      <c r="I40" s="53"/>
      <c r="L40" s="44"/>
      <c r="M40" s="44"/>
      <c r="N40" s="27"/>
    </row>
    <row r="41" spans="8:14" ht="15" customHeight="1" x14ac:dyDescent="0.2">
      <c r="H41" s="25"/>
      <c r="I41" s="53"/>
      <c r="L41" s="44"/>
      <c r="M41" s="44"/>
      <c r="N41" s="27"/>
    </row>
    <row r="42" spans="8:14" ht="15" customHeight="1" x14ac:dyDescent="0.2">
      <c r="H42" s="25"/>
      <c r="I42" s="53"/>
      <c r="L42" s="44"/>
      <c r="M42" s="44"/>
      <c r="N42" s="27"/>
    </row>
    <row r="43" spans="8:14" ht="15" customHeight="1" x14ac:dyDescent="0.2">
      <c r="H43" s="25"/>
      <c r="I43" s="53"/>
      <c r="L43" s="44"/>
      <c r="M43" s="44"/>
      <c r="N43" s="27"/>
    </row>
    <row r="44" spans="8:14" ht="15" customHeight="1" x14ac:dyDescent="0.2">
      <c r="H44" s="25"/>
      <c r="I44" s="53"/>
      <c r="L44" s="44"/>
      <c r="M44" s="44"/>
    </row>
    <row r="45" spans="8:14" ht="15" customHeight="1" x14ac:dyDescent="0.2">
      <c r="H45" s="25"/>
      <c r="I45" s="53"/>
      <c r="L45" s="44"/>
      <c r="M45" s="44"/>
    </row>
    <row r="46" spans="8:14" ht="15" customHeight="1" x14ac:dyDescent="0.2">
      <c r="H46" s="25"/>
      <c r="I46" s="53"/>
      <c r="L46" s="44"/>
      <c r="M46" s="44"/>
    </row>
    <row r="47" spans="8:14" ht="15" customHeight="1" x14ac:dyDescent="0.2">
      <c r="H47" s="25"/>
      <c r="I47" s="53"/>
      <c r="L47" s="44"/>
      <c r="M47" s="44"/>
    </row>
    <row r="48" spans="8:14" ht="15" customHeight="1" x14ac:dyDescent="0.2">
      <c r="H48" s="25"/>
      <c r="I48" s="53"/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</sheetData>
  <conditionalFormatting sqref="N2:N1048576 J26:K1048576">
    <cfRule type="cellIs" dxfId="155" priority="9" operator="lessThan">
      <formula>-0.2</formula>
    </cfRule>
    <cfRule type="cellIs" dxfId="154" priority="10" operator="greaterThan">
      <formula>0.2</formula>
    </cfRule>
  </conditionalFormatting>
  <conditionalFormatting sqref="J2:J21">
    <cfRule type="cellIs" dxfId="153" priority="5" operator="lessThan">
      <formula>-0.2</formula>
    </cfRule>
    <cfRule type="cellIs" dxfId="152" priority="6" operator="greaterThan">
      <formula>0.2</formula>
    </cfRule>
  </conditionalFormatting>
  <conditionalFormatting sqref="N1">
    <cfRule type="cellIs" dxfId="151" priority="1" operator="lessThan">
      <formula>-0.2</formula>
    </cfRule>
    <cfRule type="cellIs" dxfId="15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6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I39" sqref="I39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21.28515625" style="25" bestFit="1" customWidth="1"/>
    <col min="7" max="7" width="21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SQRT(AVERAGE(c_22[x2]))/AVERAGE(c_22[count])</f>
        <v>0.12053946101057282</v>
      </c>
      <c r="O1" s="69">
        <f>LINEST(c_22[flow],c_22[count],FALSE)</f>
        <v>1.0703429425841826</v>
      </c>
      <c r="P1" s="69">
        <f>RSQ(c_22[flow],c_22[count])</f>
        <v>0.96970946280227632</v>
      </c>
      <c r="Q1" s="19">
        <f>IFERROR(AVERAGEIF(c_22[gap],"&gt;=0",c_22[gap]),0)</f>
        <v>0.12252561274512021</v>
      </c>
      <c r="R1" s="20">
        <f>IFERROR(AVERAGEIF(c_22[gap],"&lt;0",c_22[gap]),0)</f>
        <v>-4.4474808235326908E-2</v>
      </c>
      <c r="S1" s="13">
        <f>AVERAGE(c_22[gap])</f>
        <v>7.6600496975497229E-2</v>
      </c>
      <c r="T1" s="18">
        <f>COUNTIFS(c_22[gap],"&lt;10%",c_22[gap],"&gt;=-10%")/COUNTA(c_22[gap])</f>
        <v>0.57499999999999996</v>
      </c>
      <c r="U1" s="18">
        <f>COUNTIFS(c_22[gap],"&lt;20%",c_22[gap],"&gt;=-20%")/COUNTA(c_22[gap])</f>
        <v>0.9</v>
      </c>
      <c r="V1" s="18">
        <f>COUNTIFS(c_22[gap],"&lt;30%",c_22[gap],"&gt;=-30%")/COUNTA(c_22[gap])</f>
        <v>0.95</v>
      </c>
      <c r="W1" s="19">
        <f>COUNTIF(c_22[gap],"&gt;=0")/COUNTA(c_22[gap])</f>
        <v>0.72499999999999998</v>
      </c>
      <c r="X1" s="21">
        <f>COUNTIF(c_22[gap],"&lt;0")/COUNTA(c_22[gap])</f>
        <v>0.27500000000000002</v>
      </c>
      <c r="Y1" s="6" t="str">
        <f>"%Link(+)="&amp;TEXT(W1,"0%")</f>
        <v>%Link(+)=73%</v>
      </c>
      <c r="Z1" s="6" t="str">
        <f>"%Link(-)="&amp;TEXT(X1,"0%")</f>
        <v>%Link(-)=28%</v>
      </c>
      <c r="AA1" s="36" t="str">
        <f>"AvgGap(+)="&amp;TEXT(Q1,"0%")</f>
        <v>AvgGap(+)=12%</v>
      </c>
      <c r="AB1" s="25" t="str">
        <f>"AvgGap(-)="&amp;TEXT(R1,"0%")</f>
        <v>AvgGap(-)=-4%</v>
      </c>
      <c r="AC1" s="25" t="str">
        <f>"AvgGap(±)="&amp;TEXT(S1,"0%")</f>
        <v>AvgGap(±)=8%</v>
      </c>
      <c r="AD1" s="25" t="str">
        <f>"GapIn(±10%)="&amp;TEXT(T1,"0%")</f>
        <v>GapIn(±10%)=58%</v>
      </c>
      <c r="AE1" s="25" t="str">
        <f>"GapIn(±20%)="&amp;TEXT(U1,"0%")</f>
        <v>GapIn(±20%)=90%</v>
      </c>
      <c r="AF1" s="25" t="str">
        <f>"GapIn(±30%)="&amp;TEXT(V1,"0%")</f>
        <v>GapIn(±30%)=95%</v>
      </c>
      <c r="AG1" s="25" t="str">
        <f>"Linear Slope="&amp;TEXT(O1,"#.###")</f>
        <v>Linear Slope=1.07</v>
      </c>
      <c r="AH1" s="25" t="str">
        <f>"RMSE="&amp;TEXT(N1,"0%")</f>
        <v>RMSE=12%</v>
      </c>
      <c r="AI1" s="25" t="str">
        <f>CONCATENATE(Y1," ",Z1," ",AA1,"  ",AB1,"  ",AC1,"  ",AD1," ",AE1,"  ",AF1,"  ",AG1," ",AH1)</f>
        <v>%Link(+)=73% %Link(-)=28% AvgGap(+)=12%  AvgGap(-)=-4%  AvgGap(±)=8%  GapIn(±10%)=58% GapIn(±20%)=90%  GapIn(±30%)=95%  Linear Slope=1.07 RMSE=12%</v>
      </c>
    </row>
    <row r="2" spans="1:35" ht="15" customHeight="1" x14ac:dyDescent="0.25">
      <c r="A2" s="43">
        <f>'[2]I-8 EB'!C2</f>
        <v>22</v>
      </c>
      <c r="B2" s="43" t="str">
        <f>'[2]I-8 EB'!H2</f>
        <v>I-8 EB</v>
      </c>
      <c r="C2" s="126">
        <f>'[2]I-8 EB'!E2</f>
        <v>28455</v>
      </c>
      <c r="D2" s="188">
        <f>'[2]I-8 EB'!I2</f>
        <v>1</v>
      </c>
      <c r="E2" s="189">
        <f>'[2]I-8 EB'!J2</f>
        <v>0</v>
      </c>
      <c r="F2" s="189" t="str">
        <f>'[2]I-8 EB'!K2</f>
        <v>I-8 EB</v>
      </c>
      <c r="G2" s="189" t="str">
        <f>'[2]I-8 EB'!L2</f>
        <v>I-8 EB</v>
      </c>
      <c r="H2" s="197">
        <f>'[2]I-8 EB'!O2</f>
        <v>4715</v>
      </c>
      <c r="I2" s="198">
        <f>VLOOKUP(c_22[[#This Row],[hwycov_id]],readme!D:G,4,FALSE)</f>
        <v>7030.4902339999999</v>
      </c>
      <c r="J2" s="206">
        <f t="shared" ref="J2" si="0">I2/H2-1</f>
        <v>0.49109018748674438</v>
      </c>
      <c r="K2" s="190" t="str">
        <f>'[2]I-8 EB'!P2</f>
        <v>PeMS2016</v>
      </c>
      <c r="L2" s="148">
        <f t="shared" ref="L2" si="1">POWER((I2-H2),2)</f>
        <v>5361495.0237493739</v>
      </c>
      <c r="M2" s="44"/>
    </row>
    <row r="3" spans="1:35" ht="15" customHeight="1" x14ac:dyDescent="0.25">
      <c r="A3" s="43">
        <f>'[2]I-8 EB'!C3</f>
        <v>22</v>
      </c>
      <c r="B3" s="43" t="str">
        <f>'[2]I-8 EB'!H3</f>
        <v>I-8 EB</v>
      </c>
      <c r="C3" s="126">
        <f>'[2]I-8 EB'!E3</f>
        <v>28086</v>
      </c>
      <c r="D3" s="188">
        <f>'[2]I-8 EB'!I3</f>
        <v>3</v>
      </c>
      <c r="E3" s="189">
        <f>'[2]I-8 EB'!J3</f>
        <v>0</v>
      </c>
      <c r="F3" s="189" t="str">
        <f>'[2]I-8 EB'!K3</f>
        <v>MIDWAY</v>
      </c>
      <c r="G3" s="189" t="str">
        <f>'[2]I-8 EB'!L3</f>
        <v>I-5 SB</v>
      </c>
      <c r="H3" s="197">
        <f>'[2]I-8 EB'!O3</f>
        <v>12709</v>
      </c>
      <c r="I3" s="198">
        <f>VLOOKUP(c_22[[#This Row],[hwycov_id]],readme!D:G,4,FALSE)</f>
        <v>12505.868164</v>
      </c>
      <c r="J3" s="206">
        <f t="shared" ref="J3:J41" si="2">I3/H3-1</f>
        <v>-1.5983306003619524E-2</v>
      </c>
      <c r="K3" s="190" t="str">
        <f>'[2]I-8 EB'!P3</f>
        <v>PeMS2016</v>
      </c>
      <c r="L3" s="148">
        <f t="shared" ref="L3:L41" si="3">POWER((I3-H3),2)</f>
        <v>41262.54279673109</v>
      </c>
      <c r="M3" s="44"/>
    </row>
    <row r="4" spans="1:35" ht="15" customHeight="1" x14ac:dyDescent="0.25">
      <c r="A4" s="43">
        <f>'[2]I-8 EB'!C4</f>
        <v>22</v>
      </c>
      <c r="B4" s="43" t="str">
        <f>'[2]I-8 EB'!H4</f>
        <v>I-8 EB</v>
      </c>
      <c r="C4" s="126">
        <f>'[2]I-8 EB'!E4</f>
        <v>27603</v>
      </c>
      <c r="D4" s="188">
        <f>'[2]I-8 EB'!I4</f>
        <v>9</v>
      </c>
      <c r="E4" s="189">
        <f>'[2]I-8 EB'!J4</f>
        <v>0</v>
      </c>
      <c r="F4" s="189" t="str">
        <f>'[2]I-8 EB'!K4</f>
        <v>MORENA</v>
      </c>
      <c r="G4" s="189" t="str">
        <f>'[2]I-8 EB'!L4</f>
        <v>TAYLOR</v>
      </c>
      <c r="H4" s="197">
        <f>'[2]I-8 EB'!O4</f>
        <v>22897</v>
      </c>
      <c r="I4" s="198">
        <f>VLOOKUP(c_22[[#This Row],[hwycov_id]],readme!D:G,4,FALSE)</f>
        <v>25837.550781000002</v>
      </c>
      <c r="J4" s="206">
        <f t="shared" si="2"/>
        <v>0.12842515530418841</v>
      </c>
      <c r="K4" s="190" t="str">
        <f>'[2]I-8 EB'!P4</f>
        <v>PeMS2016</v>
      </c>
      <c r="L4" s="148">
        <f t="shared" si="3"/>
        <v>8646838.8956397194</v>
      </c>
      <c r="M4" s="44"/>
    </row>
    <row r="5" spans="1:35" ht="15" customHeight="1" x14ac:dyDescent="0.25">
      <c r="A5" s="43">
        <f>'[2]I-8 EB'!C5</f>
        <v>22</v>
      </c>
      <c r="B5" s="43" t="str">
        <f>'[2]I-8 EB'!H5</f>
        <v>I-8 EB</v>
      </c>
      <c r="C5" s="126">
        <f>'[2]I-8 EB'!E5</f>
        <v>27551</v>
      </c>
      <c r="D5" s="188">
        <f>'[2]I-8 EB'!I5</f>
        <v>10</v>
      </c>
      <c r="E5" s="189">
        <f>'[2]I-8 EB'!J5</f>
        <v>0</v>
      </c>
      <c r="F5" s="189" t="str">
        <f>'[2]I-8 EB'!K5</f>
        <v>TAYLOR</v>
      </c>
      <c r="G5" s="189" t="str">
        <f>'[2]I-8 EB'!L5</f>
        <v>TAYLOR</v>
      </c>
      <c r="H5" s="197">
        <f>'[2]I-8 EB'!O5</f>
        <v>25270</v>
      </c>
      <c r="I5" s="198">
        <f>VLOOKUP(c_22[[#This Row],[hwycov_id]],readme!D:G,4,FALSE)</f>
        <v>24938.472656000002</v>
      </c>
      <c r="J5" s="206">
        <f t="shared" si="2"/>
        <v>-1.3119404194697148E-2</v>
      </c>
      <c r="K5" s="190" t="str">
        <f>'[2]I-8 EB'!P5</f>
        <v>PeMS2016</v>
      </c>
      <c r="L5" s="148">
        <f t="shared" si="3"/>
        <v>109910.37981969319</v>
      </c>
      <c r="M5" s="44"/>
    </row>
    <row r="6" spans="1:35" ht="15" customHeight="1" x14ac:dyDescent="0.25">
      <c r="A6" s="43">
        <f>'[2]I-8 EB'!C6</f>
        <v>22</v>
      </c>
      <c r="B6" s="43" t="str">
        <f>'[2]I-8 EB'!H6</f>
        <v>I-8 EB</v>
      </c>
      <c r="C6" s="126">
        <f>'[2]I-8 EB'!E6</f>
        <v>27605</v>
      </c>
      <c r="D6" s="188">
        <f>'[2]I-8 EB'!I6</f>
        <v>11</v>
      </c>
      <c r="E6" s="189">
        <f>'[2]I-8 EB'!J6</f>
        <v>0</v>
      </c>
      <c r="F6" s="189" t="str">
        <f>'[2]I-8 EB'!K6</f>
        <v>HOTEL CIRCLE NORTH</v>
      </c>
      <c r="G6" s="189" t="str">
        <f>'[2]I-8 EB'!L6</f>
        <v>HOTEL CIRCLE SOUTH</v>
      </c>
      <c r="H6" s="197">
        <f>'[2]I-8 EB'!O6</f>
        <v>25270</v>
      </c>
      <c r="I6" s="198">
        <f>VLOOKUP(c_22[[#This Row],[hwycov_id]],readme!D:G,4,FALSE)</f>
        <v>28146.46875</v>
      </c>
      <c r="J6" s="206">
        <f t="shared" si="2"/>
        <v>0.11382939256034819</v>
      </c>
      <c r="K6" s="190" t="str">
        <f>'[2]I-8 EB'!P6</f>
        <v>PeMS2016</v>
      </c>
      <c r="L6" s="148">
        <f t="shared" si="3"/>
        <v>8274072.4697265625</v>
      </c>
      <c r="M6" s="44"/>
    </row>
    <row r="7" spans="1:35" ht="15" customHeight="1" x14ac:dyDescent="0.25">
      <c r="A7" s="43">
        <f>'[2]I-8 EB'!C7</f>
        <v>22</v>
      </c>
      <c r="B7" s="43" t="str">
        <f>'[2]I-8 EB'!H7</f>
        <v>I-8 EB</v>
      </c>
      <c r="C7" s="126">
        <f>'[2]I-8 EB'!E7</f>
        <v>27555</v>
      </c>
      <c r="D7" s="188">
        <f>'[2]I-8 EB'!I7</f>
        <v>12</v>
      </c>
      <c r="E7" s="189">
        <f>'[2]I-8 EB'!J7</f>
        <v>0</v>
      </c>
      <c r="F7" s="189" t="str">
        <f>'[2]I-8 EB'!K7</f>
        <v>HOTEL CIRCLE SOUTH</v>
      </c>
      <c r="G7" s="189" t="str">
        <f>'[2]I-8 EB'!L7</f>
        <v>HOTEL CIRCLE SOUTH</v>
      </c>
      <c r="H7" s="197">
        <f>'[2]I-8 EB'!O7</f>
        <v>25476</v>
      </c>
      <c r="I7" s="198">
        <f>VLOOKUP(c_22[[#This Row],[hwycov_id]],readme!D:G,4,FALSE)</f>
        <v>28146.46875</v>
      </c>
      <c r="J7" s="206">
        <f t="shared" si="2"/>
        <v>0.10482292157324546</v>
      </c>
      <c r="K7" s="190" t="str">
        <f>'[2]I-8 EB'!P7</f>
        <v>PeMS2016</v>
      </c>
      <c r="L7" s="148">
        <f t="shared" si="3"/>
        <v>7131403.3447265625</v>
      </c>
      <c r="M7" s="44"/>
    </row>
    <row r="8" spans="1:35" ht="15" customHeight="1" x14ac:dyDescent="0.25">
      <c r="A8" s="43">
        <f>'[2]I-8 EB'!C8</f>
        <v>22</v>
      </c>
      <c r="B8" s="43" t="str">
        <f>'[2]I-8 EB'!H8</f>
        <v>I-8 EB</v>
      </c>
      <c r="C8" s="126">
        <f>'[2]I-8 EB'!E8</f>
        <v>29089</v>
      </c>
      <c r="D8" s="188">
        <f>'[2]I-8 EB'!I8</f>
        <v>14</v>
      </c>
      <c r="E8" s="189">
        <f>'[2]I-8 EB'!J8</f>
        <v>0</v>
      </c>
      <c r="F8" s="189" t="str">
        <f>'[2]I-8 EB'!K8</f>
        <v>HOTEL CIRCLE SOUTH</v>
      </c>
      <c r="G8" s="189" t="str">
        <f>'[2]I-8 EB'!L8</f>
        <v>HOTEL CIRCLE SOUTH</v>
      </c>
      <c r="H8" s="197">
        <f>'[2]I-8 EB'!O8</f>
        <v>25023</v>
      </c>
      <c r="I8" s="198">
        <f>VLOOKUP(c_22[[#This Row],[hwycov_id]],readme!D:G,4,FALSE)</f>
        <v>26247.490234000001</v>
      </c>
      <c r="J8" s="206">
        <f t="shared" si="2"/>
        <v>4.8934589537625417E-2</v>
      </c>
      <c r="K8" s="190" t="str">
        <f>'[2]I-8 EB'!P8</f>
        <v>PeMS2016</v>
      </c>
      <c r="L8" s="148">
        <f t="shared" si="3"/>
        <v>1499376.3331613766</v>
      </c>
      <c r="M8" s="44"/>
    </row>
    <row r="9" spans="1:35" ht="15" customHeight="1" x14ac:dyDescent="0.25">
      <c r="A9" s="43">
        <f>'[2]I-8 EB'!C9</f>
        <v>22</v>
      </c>
      <c r="B9" s="43" t="str">
        <f>'[2]I-8 EB'!H9</f>
        <v>I-8 EB</v>
      </c>
      <c r="C9" s="126">
        <f>'[2]I-8 EB'!E9</f>
        <v>29108</v>
      </c>
      <c r="D9" s="188">
        <f>'[2]I-8 EB'!I9</f>
        <v>19</v>
      </c>
      <c r="E9" s="189">
        <f>'[2]I-8 EB'!J9</f>
        <v>0</v>
      </c>
      <c r="F9" s="189" t="str">
        <f>'[2]I-8 EB'!K9</f>
        <v>MISSION CENTER</v>
      </c>
      <c r="G9" s="189" t="str">
        <f>'[2]I-8 EB'!L9</f>
        <v>TEXAS</v>
      </c>
      <c r="H9" s="197">
        <f>'[2]I-8 EB'!O9</f>
        <v>30291</v>
      </c>
      <c r="I9" s="198">
        <f>VLOOKUP(c_22[[#This Row],[hwycov_id]],readme!D:G,4,FALSE)</f>
        <v>32088.878906000002</v>
      </c>
      <c r="J9" s="206">
        <f t="shared" si="2"/>
        <v>5.9353567264204043E-2</v>
      </c>
      <c r="K9" s="190" t="str">
        <f>'[2]I-8 EB'!P9</f>
        <v>PeMS2016</v>
      </c>
      <c r="L9" s="148">
        <f t="shared" si="3"/>
        <v>3232368.5606397633</v>
      </c>
      <c r="M9" s="44"/>
    </row>
    <row r="10" spans="1:35" ht="15" customHeight="1" x14ac:dyDescent="0.25">
      <c r="A10" s="43">
        <f>'[2]I-8 EB'!C10</f>
        <v>22</v>
      </c>
      <c r="B10" s="43" t="str">
        <f>'[2]I-8 EB'!H10</f>
        <v>I-8 EB</v>
      </c>
      <c r="C10" s="126">
        <f>'[2]I-8 EB'!E10</f>
        <v>27607</v>
      </c>
      <c r="D10" s="188">
        <f>'[2]I-8 EB'!I10</f>
        <v>21</v>
      </c>
      <c r="E10" s="189">
        <f>'[2]I-8 EB'!J10</f>
        <v>0</v>
      </c>
      <c r="F10" s="189" t="str">
        <f>'[2]I-8 EB'!K10</f>
        <v>I-805 SB</v>
      </c>
      <c r="G10" s="189" t="str">
        <f>'[2]I-8 EB'!L10</f>
        <v>TEXAS</v>
      </c>
      <c r="H10" s="197">
        <f>'[2]I-8 EB'!O10</f>
        <v>19235</v>
      </c>
      <c r="I10" s="198">
        <f>VLOOKUP(c_22[[#This Row],[hwycov_id]],readme!D:G,4,FALSE)</f>
        <v>20099.919922000001</v>
      </c>
      <c r="J10" s="206">
        <f t="shared" si="2"/>
        <v>4.4965943436444E-2</v>
      </c>
      <c r="K10" s="190" t="str">
        <f>'[2]I-8 EB'!P10</f>
        <v>PeMS2016</v>
      </c>
      <c r="L10" s="148">
        <f t="shared" si="3"/>
        <v>748086.47147248778</v>
      </c>
      <c r="M10" s="44"/>
    </row>
    <row r="11" spans="1:35" ht="15" customHeight="1" x14ac:dyDescent="0.25">
      <c r="A11" s="43">
        <f>'[2]I-8 EB'!C11</f>
        <v>22</v>
      </c>
      <c r="B11" s="43" t="str">
        <f>'[2]I-8 EB'!H11</f>
        <v>I-8 EB</v>
      </c>
      <c r="C11" s="126">
        <f>'[2]I-8 EB'!E11</f>
        <v>28106</v>
      </c>
      <c r="D11" s="188">
        <f>'[2]I-8 EB'!I11</f>
        <v>23</v>
      </c>
      <c r="E11" s="189">
        <f>'[2]I-8 EB'!J11</f>
        <v>0</v>
      </c>
      <c r="F11" s="189" t="str">
        <f>'[2]I-8 EB'!K11</f>
        <v>TEXAS</v>
      </c>
      <c r="G11" s="189" t="str">
        <f>'[2]I-8 EB'!L11</f>
        <v>I-805 NB</v>
      </c>
      <c r="H11" s="197">
        <f>'[2]I-8 EB'!O11</f>
        <v>23330</v>
      </c>
      <c r="I11" s="198">
        <f>VLOOKUP(c_22[[#This Row],[hwycov_id]],readme!D:G,4,FALSE)</f>
        <v>22810.544922000001</v>
      </c>
      <c r="J11" s="206">
        <f t="shared" si="2"/>
        <v>-2.2265541277325274E-2</v>
      </c>
      <c r="K11" s="190" t="str">
        <f>'[2]I-8 EB'!P11</f>
        <v>PeMS2016</v>
      </c>
      <c r="L11" s="148">
        <f t="shared" si="3"/>
        <v>269833.57805998507</v>
      </c>
      <c r="M11" s="44"/>
    </row>
    <row r="12" spans="1:35" ht="15" customHeight="1" x14ac:dyDescent="0.25">
      <c r="A12" s="43">
        <f>'[2]I-8 EB'!C12</f>
        <v>22</v>
      </c>
      <c r="B12" s="43" t="str">
        <f>'[2]I-8 EB'!H12</f>
        <v>I-8 EB</v>
      </c>
      <c r="C12" s="126">
        <f>'[2]I-8 EB'!E12</f>
        <v>10996</v>
      </c>
      <c r="D12" s="188">
        <f>'[2]I-8 EB'!I12</f>
        <v>24</v>
      </c>
      <c r="E12" s="189">
        <f>'[2]I-8 EB'!J12</f>
        <v>0</v>
      </c>
      <c r="F12" s="189" t="str">
        <f>'[2]I-8 EB'!K12</f>
        <v>I-805 NB</v>
      </c>
      <c r="G12" s="189" t="str">
        <f>'[2]I-8 EB'!L12</f>
        <v>SR-15 SB</v>
      </c>
      <c r="H12" s="197">
        <f>'[2]I-8 EB'!O12</f>
        <v>32396</v>
      </c>
      <c r="I12" s="198">
        <f>VLOOKUP(c_22[[#This Row],[hwycov_id]],readme!D:G,4,FALSE)</f>
        <v>35032.519530999998</v>
      </c>
      <c r="J12" s="206">
        <f t="shared" si="2"/>
        <v>8.1384107019385032E-2</v>
      </c>
      <c r="K12" s="190" t="str">
        <f>'[2]I-8 EB'!P12</f>
        <v>Caltran</v>
      </c>
      <c r="L12" s="148">
        <f t="shared" si="3"/>
        <v>6951235.2373444503</v>
      </c>
      <c r="M12" s="44"/>
    </row>
    <row r="13" spans="1:35" ht="15" customHeight="1" x14ac:dyDescent="0.25">
      <c r="A13" s="43">
        <f>'[2]I-8 EB'!C13</f>
        <v>22</v>
      </c>
      <c r="B13" s="43" t="str">
        <f>'[2]I-8 EB'!H13</f>
        <v>I-8 EB</v>
      </c>
      <c r="C13" s="126">
        <f>'[2]I-8 EB'!E13</f>
        <v>16096</v>
      </c>
      <c r="D13" s="188">
        <f>'[2]I-8 EB'!I13</f>
        <v>25</v>
      </c>
      <c r="E13" s="189">
        <f>'[2]I-8 EB'!J13</f>
        <v>0</v>
      </c>
      <c r="F13" s="189" t="str">
        <f>'[2]I-8 EB'!K13</f>
        <v>SR-15 SB</v>
      </c>
      <c r="G13" s="189" t="str">
        <f>'[2]I-8 EB'!L13</f>
        <v>SR-15 SB</v>
      </c>
      <c r="H13" s="197">
        <f>'[2]I-8 EB'!O13</f>
        <v>22510</v>
      </c>
      <c r="I13" s="198">
        <f>VLOOKUP(c_22[[#This Row],[hwycov_id]],readme!D:G,4,FALSE)</f>
        <v>24158.677734000001</v>
      </c>
      <c r="J13" s="206">
        <f t="shared" si="2"/>
        <v>7.3242013949355922E-2</v>
      </c>
      <c r="K13" s="190" t="str">
        <f>'[2]I-8 EB'!P13</f>
        <v>PeMS2016</v>
      </c>
      <c r="L13" s="148">
        <f t="shared" si="3"/>
        <v>2718138.2705873773</v>
      </c>
      <c r="M13" s="44"/>
    </row>
    <row r="14" spans="1:35" ht="15" customHeight="1" x14ac:dyDescent="0.25">
      <c r="A14" s="43">
        <f>'[2]I-8 EB'!C14</f>
        <v>22</v>
      </c>
      <c r="B14" s="43" t="str">
        <f>'[2]I-8 EB'!H14</f>
        <v>I-8 EB</v>
      </c>
      <c r="C14" s="126">
        <f>'[2]I-8 EB'!E14</f>
        <v>15432</v>
      </c>
      <c r="D14" s="188">
        <f>'[2]I-8 EB'!I14</f>
        <v>28</v>
      </c>
      <c r="E14" s="189">
        <f>'[2]I-8 EB'!J14</f>
        <v>0</v>
      </c>
      <c r="F14" s="189" t="str">
        <f>'[2]I-8 EB'!K14</f>
        <v>FAIRMOUNT</v>
      </c>
      <c r="G14" s="189" t="str">
        <f>'[2]I-8 EB'!L14</f>
        <v>WARING</v>
      </c>
      <c r="H14" s="197">
        <f>'[2]I-8 EB'!O14</f>
        <v>32759</v>
      </c>
      <c r="I14" s="198">
        <f>VLOOKUP(c_22[[#This Row],[hwycov_id]],readme!D:G,4,FALSE)</f>
        <v>39223.183594000002</v>
      </c>
      <c r="J14" s="206">
        <f t="shared" si="2"/>
        <v>0.19732542489086979</v>
      </c>
      <c r="K14" s="190" t="str">
        <f>'[2]I-8 EB'!P14</f>
        <v>PeMS2016</v>
      </c>
      <c r="L14" s="148">
        <f t="shared" si="3"/>
        <v>41785669.536938779</v>
      </c>
      <c r="M14" s="44"/>
    </row>
    <row r="15" spans="1:35" ht="15" customHeight="1" x14ac:dyDescent="0.25">
      <c r="A15" s="43">
        <f>'[2]I-8 EB'!C15</f>
        <v>22</v>
      </c>
      <c r="B15" s="43" t="str">
        <f>'[2]I-8 EB'!H15</f>
        <v>I-8 EB</v>
      </c>
      <c r="C15" s="126">
        <f>'[2]I-8 EB'!E15</f>
        <v>14953</v>
      </c>
      <c r="D15" s="188">
        <f>'[2]I-8 EB'!I15</f>
        <v>30</v>
      </c>
      <c r="E15" s="189">
        <f>'[2]I-8 EB'!J15</f>
        <v>0</v>
      </c>
      <c r="F15" s="189" t="str">
        <f>'[2]I-8 EB'!K15</f>
        <v>WARING</v>
      </c>
      <c r="G15" s="189" t="str">
        <f>'[2]I-8 EB'!L15</f>
        <v>COLLEGE</v>
      </c>
      <c r="H15" s="197">
        <f>'[2]I-8 EB'!O15</f>
        <v>32175</v>
      </c>
      <c r="I15" s="198">
        <f>VLOOKUP(c_22[[#This Row],[hwycov_id]],readme!D:G,4,FALSE)</f>
        <v>36448.117187999997</v>
      </c>
      <c r="J15" s="206">
        <f t="shared" si="2"/>
        <v>0.13280861501165497</v>
      </c>
      <c r="K15" s="190" t="str">
        <f>'[2]I-8 EB'!P15</f>
        <v>PeMS2016</v>
      </c>
      <c r="L15" s="148">
        <f t="shared" si="3"/>
        <v>18259530.502380997</v>
      </c>
      <c r="M15" s="44"/>
    </row>
    <row r="16" spans="1:35" ht="15" customHeight="1" x14ac:dyDescent="0.25">
      <c r="A16" s="43">
        <f>'[2]I-8 EB'!C16</f>
        <v>22</v>
      </c>
      <c r="B16" s="43" t="str">
        <f>'[2]I-8 EB'!H16</f>
        <v>I-8 EB</v>
      </c>
      <c r="C16" s="126">
        <f>'[2]I-8 EB'!E16</f>
        <v>15443</v>
      </c>
      <c r="D16" s="188">
        <f>'[2]I-8 EB'!I16</f>
        <v>31</v>
      </c>
      <c r="E16" s="189">
        <f>'[2]I-8 EB'!J16</f>
        <v>0</v>
      </c>
      <c r="F16" s="189" t="str">
        <f>'[2]I-8 EB'!K16</f>
        <v>WARING</v>
      </c>
      <c r="G16" s="189" t="str">
        <f>'[2]I-8 EB'!L16</f>
        <v>COLLEGE</v>
      </c>
      <c r="H16" s="197">
        <f>'[2]I-8 EB'!O16</f>
        <v>31197</v>
      </c>
      <c r="I16" s="198">
        <f>VLOOKUP(c_22[[#This Row],[hwycov_id]],readme!D:G,4,FALSE)</f>
        <v>37989.25</v>
      </c>
      <c r="J16" s="206">
        <f t="shared" si="2"/>
        <v>0.21772125524890207</v>
      </c>
      <c r="K16" s="190" t="str">
        <f>'[2]I-8 EB'!P16</f>
        <v>PeMS2016</v>
      </c>
      <c r="L16" s="148">
        <f t="shared" si="3"/>
        <v>46134660.0625</v>
      </c>
      <c r="M16" s="44"/>
    </row>
    <row r="17" spans="1:13" ht="15" customHeight="1" x14ac:dyDescent="0.25">
      <c r="A17" s="43">
        <f>'[2]I-8 EB'!C17</f>
        <v>22</v>
      </c>
      <c r="B17" s="43" t="str">
        <f>'[2]I-8 EB'!H17</f>
        <v>I-8 EB</v>
      </c>
      <c r="C17" s="126">
        <f>'[2]I-8 EB'!E17</f>
        <v>15457</v>
      </c>
      <c r="D17" s="188">
        <f>'[2]I-8 EB'!I17</f>
        <v>32</v>
      </c>
      <c r="E17" s="189">
        <f>'[2]I-8 EB'!J17</f>
        <v>0</v>
      </c>
      <c r="F17" s="189" t="str">
        <f>'[2]I-8 EB'!K17</f>
        <v>COLLEGE</v>
      </c>
      <c r="G17" s="189" t="str">
        <f>'[2]I-8 EB'!L17</f>
        <v>COLLEGE</v>
      </c>
      <c r="H17" s="197">
        <f>'[2]I-8 EB'!O17</f>
        <v>29007</v>
      </c>
      <c r="I17" s="198">
        <f>VLOOKUP(c_22[[#This Row],[hwycov_id]],readme!D:G,4,FALSE)</f>
        <v>29659.685547000001</v>
      </c>
      <c r="J17" s="206">
        <f t="shared" si="2"/>
        <v>2.2500966904540398E-2</v>
      </c>
      <c r="K17" s="190" t="str">
        <f>'[2]I-8 EB'!P17</f>
        <v>PeMS2016</v>
      </c>
      <c r="L17" s="148">
        <f t="shared" si="3"/>
        <v>425998.42326269043</v>
      </c>
      <c r="M17" s="44"/>
    </row>
    <row r="18" spans="1:13" ht="15" customHeight="1" x14ac:dyDescent="0.25">
      <c r="A18" s="43">
        <f>'[2]I-8 EB'!C18</f>
        <v>22</v>
      </c>
      <c r="B18" s="43" t="str">
        <f>'[2]I-8 EB'!H18</f>
        <v>I-8 EB</v>
      </c>
      <c r="C18" s="126">
        <f>'[2]I-8 EB'!E18</f>
        <v>15459</v>
      </c>
      <c r="D18" s="188">
        <f>'[2]I-8 EB'!I18</f>
        <v>33</v>
      </c>
      <c r="E18" s="189">
        <f>'[2]I-8 EB'!J18</f>
        <v>0</v>
      </c>
      <c r="F18" s="189" t="str">
        <f>'[2]I-8 EB'!K18</f>
        <v>COLLEGE</v>
      </c>
      <c r="G18" s="189" t="str">
        <f>'[2]I-8 EB'!L18</f>
        <v>LAKE MURRAY</v>
      </c>
      <c r="H18" s="197">
        <f>'[2]I-8 EB'!O18</f>
        <v>28021</v>
      </c>
      <c r="I18" s="198">
        <f>VLOOKUP(c_22[[#This Row],[hwycov_id]],readme!D:G,4,FALSE)</f>
        <v>32558.337890999999</v>
      </c>
      <c r="J18" s="206">
        <f t="shared" si="2"/>
        <v>0.16192633706862702</v>
      </c>
      <c r="K18" s="190" t="str">
        <f>'[2]I-8 EB'!P18</f>
        <v>Caltran</v>
      </c>
      <c r="L18" s="148">
        <f t="shared" si="3"/>
        <v>20587435.137104321</v>
      </c>
      <c r="M18" s="44"/>
    </row>
    <row r="19" spans="1:13" ht="15" customHeight="1" x14ac:dyDescent="0.25">
      <c r="A19" s="43">
        <f>'[2]I-8 EB'!C19</f>
        <v>22</v>
      </c>
      <c r="B19" s="43" t="str">
        <f>'[2]I-8 EB'!H19</f>
        <v>I-8 EB</v>
      </c>
      <c r="C19" s="126">
        <f>'[2]I-8 EB'!E19</f>
        <v>11035</v>
      </c>
      <c r="D19" s="188">
        <f>'[2]I-8 EB'!I19</f>
        <v>35</v>
      </c>
      <c r="E19" s="189">
        <f>'[2]I-8 EB'!J19</f>
        <v>0</v>
      </c>
      <c r="F19" s="189" t="str">
        <f>'[2]I-8 EB'!K19</f>
        <v>LAKE MURRAY</v>
      </c>
      <c r="G19" s="189" t="str">
        <f>'[2]I-8 EB'!L19</f>
        <v>FLETCHER</v>
      </c>
      <c r="H19" s="197">
        <f>'[2]I-8 EB'!O19</f>
        <v>28522</v>
      </c>
      <c r="I19" s="198">
        <f>VLOOKUP(c_22[[#This Row],[hwycov_id]],readme!D:G,4,FALSE)</f>
        <v>32062.892577999999</v>
      </c>
      <c r="J19" s="206">
        <f t="shared" si="2"/>
        <v>0.12414601283219961</v>
      </c>
      <c r="K19" s="190" t="str">
        <f>'[2]I-8 EB'!P19</f>
        <v>PeMS2016</v>
      </c>
      <c r="L19" s="148">
        <f t="shared" si="3"/>
        <v>12537920.24893548</v>
      </c>
      <c r="M19" s="44"/>
    </row>
    <row r="20" spans="1:13" ht="15" customHeight="1" x14ac:dyDescent="0.25">
      <c r="A20" s="43">
        <f>'[2]I-8 EB'!C20</f>
        <v>22</v>
      </c>
      <c r="B20" s="43" t="str">
        <f>'[2]I-8 EB'!H20</f>
        <v>I-8 EB</v>
      </c>
      <c r="C20" s="126">
        <f>'[2]I-8 EB'!E20</f>
        <v>28123</v>
      </c>
      <c r="D20" s="188">
        <f>'[2]I-8 EB'!I20</f>
        <v>36</v>
      </c>
      <c r="E20" s="189">
        <f>'[2]I-8 EB'!J20</f>
        <v>0</v>
      </c>
      <c r="F20" s="189" t="str">
        <f>'[2]I-8 EB'!K20</f>
        <v>FLETCHER</v>
      </c>
      <c r="G20" s="189" t="str">
        <f>'[2]I-8 EB'!L20</f>
        <v>ALVARADO</v>
      </c>
      <c r="H20" s="197">
        <f>'[2]I-8 EB'!O20</f>
        <v>24159</v>
      </c>
      <c r="I20" s="198">
        <f>VLOOKUP(c_22[[#This Row],[hwycov_id]],readme!D:G,4,FALSE)</f>
        <v>25169.216797000001</v>
      </c>
      <c r="J20" s="206">
        <f t="shared" si="2"/>
        <v>4.1815339914731631E-2</v>
      </c>
      <c r="K20" s="190" t="str">
        <f>'[2]I-8 EB'!P20</f>
        <v>PeMS2016</v>
      </c>
      <c r="L20" s="148">
        <f t="shared" si="3"/>
        <v>1020537.9769409412</v>
      </c>
      <c r="M20" s="44"/>
    </row>
    <row r="21" spans="1:13" ht="15" customHeight="1" x14ac:dyDescent="0.25">
      <c r="A21" s="43">
        <f>'[2]I-8 EB'!C21</f>
        <v>22</v>
      </c>
      <c r="B21" s="43" t="str">
        <f>'[2]I-8 EB'!H21</f>
        <v>I-8 EB</v>
      </c>
      <c r="C21" s="126">
        <f>'[2]I-8 EB'!E21</f>
        <v>20719</v>
      </c>
      <c r="D21" s="188">
        <f>'[2]I-8 EB'!I21</f>
        <v>38</v>
      </c>
      <c r="E21" s="189">
        <f>'[2]I-8 EB'!J21</f>
        <v>0</v>
      </c>
      <c r="F21" s="189" t="str">
        <f>'[2]I-8 EB'!K21</f>
        <v>SPRING</v>
      </c>
      <c r="G21" s="189" t="str">
        <f>'[2]I-8 EB'!L21</f>
        <v>EL CAJON</v>
      </c>
      <c r="H21" s="197">
        <f>'[2]I-8 EB'!O21</f>
        <v>23483</v>
      </c>
      <c r="I21" s="198">
        <f>VLOOKUP(c_22[[#This Row],[hwycov_id]],readme!D:G,4,FALSE)</f>
        <v>23689.3125</v>
      </c>
      <c r="J21" s="206">
        <f t="shared" si="2"/>
        <v>8.7856108674360112E-3</v>
      </c>
      <c r="K21" s="190" t="str">
        <f>'[2]I-8 EB'!P21</f>
        <v>PeMS2016</v>
      </c>
      <c r="L21" s="148">
        <f t="shared" si="3"/>
        <v>42564.84765625</v>
      </c>
      <c r="M21" s="44"/>
    </row>
    <row r="22" spans="1:13" ht="15" customHeight="1" x14ac:dyDescent="0.25">
      <c r="A22" s="43">
        <f>'[2]I-8 EB'!C22</f>
        <v>22</v>
      </c>
      <c r="B22" s="43" t="str">
        <f>'[2]I-8 EB'!H22</f>
        <v>I-8 EB</v>
      </c>
      <c r="C22" s="126">
        <f>'[2]I-8 EB'!E22</f>
        <v>28143</v>
      </c>
      <c r="D22" s="188">
        <f>'[2]I-8 EB'!I22</f>
        <v>39</v>
      </c>
      <c r="E22" s="189">
        <f>'[2]I-8 EB'!J22</f>
        <v>0</v>
      </c>
      <c r="F22" s="189" t="str">
        <f>'[2]I-8 EB'!K22</f>
        <v>EL CAJON</v>
      </c>
      <c r="G22" s="189" t="str">
        <f>'[2]I-8 EB'!L22</f>
        <v>GROSSMONT</v>
      </c>
      <c r="H22" s="197">
        <f>'[2]I-8 EB'!O22</f>
        <v>26961</v>
      </c>
      <c r="I22" s="198">
        <f>VLOOKUP(c_22[[#This Row],[hwycov_id]],readme!D:G,4,FALSE)</f>
        <v>25857.818359000001</v>
      </c>
      <c r="J22" s="206">
        <f t="shared" si="2"/>
        <v>-4.0917682615630002E-2</v>
      </c>
      <c r="K22" s="190" t="str">
        <f>'[2]I-8 EB'!P22</f>
        <v>Caltran</v>
      </c>
      <c r="L22" s="148">
        <f t="shared" si="3"/>
        <v>1217009.7330394511</v>
      </c>
      <c r="M22" s="44"/>
    </row>
    <row r="23" spans="1:13" ht="15" customHeight="1" x14ac:dyDescent="0.25">
      <c r="A23" s="43">
        <f>'[2]I-8 EB'!C23</f>
        <v>22</v>
      </c>
      <c r="B23" s="43" t="str">
        <f>'[2]I-8 EB'!H23</f>
        <v>I-8 EB</v>
      </c>
      <c r="C23" s="126">
        <f>'[2]I-8 EB'!E23</f>
        <v>28390</v>
      </c>
      <c r="D23" s="188">
        <f>'[2]I-8 EB'!I23</f>
        <v>40</v>
      </c>
      <c r="E23" s="189">
        <f>'[2]I-8 EB'!J23</f>
        <v>0</v>
      </c>
      <c r="F23" s="189" t="str">
        <f>'[2]I-8 EB'!K23</f>
        <v>GROSSMONT</v>
      </c>
      <c r="G23" s="189" t="str">
        <f>'[2]I-8 EB'!L23</f>
        <v>GROSSMONT</v>
      </c>
      <c r="H23" s="197">
        <f>'[2]I-8 EB'!O23</f>
        <v>21198</v>
      </c>
      <c r="I23" s="198">
        <f>VLOOKUP(c_22[[#This Row],[hwycov_id]],readme!D:G,4,FALSE)</f>
        <v>24746.496093999998</v>
      </c>
      <c r="J23" s="206">
        <f t="shared" si="2"/>
        <v>0.16739768346070383</v>
      </c>
      <c r="K23" s="190" t="str">
        <f>'[2]I-8 EB'!P23</f>
        <v>PeMS2016</v>
      </c>
      <c r="L23" s="148">
        <f t="shared" si="3"/>
        <v>12591824.529133245</v>
      </c>
      <c r="M23" s="44"/>
    </row>
    <row r="24" spans="1:13" ht="15" customHeight="1" x14ac:dyDescent="0.25">
      <c r="A24" s="43">
        <f>'[2]I-8 EB'!C24</f>
        <v>22</v>
      </c>
      <c r="B24" s="43" t="str">
        <f>'[2]I-8 EB'!H24</f>
        <v>I-8 EB</v>
      </c>
      <c r="C24" s="126">
        <f>'[2]I-8 EB'!E24</f>
        <v>11268</v>
      </c>
      <c r="D24" s="188">
        <f>'[2]I-8 EB'!I24</f>
        <v>47</v>
      </c>
      <c r="E24" s="189">
        <f>'[2]I-8 EB'!J24</f>
        <v>0</v>
      </c>
      <c r="F24" s="189" t="str">
        <f>'[2]I-8 EB'!K24</f>
        <v>GROSSMONT</v>
      </c>
      <c r="G24" s="189" t="str">
        <f>'[2]I-8 EB'!L24</f>
        <v>EL CAJON</v>
      </c>
      <c r="H24" s="197">
        <f>'[2]I-8 EB'!O24</f>
        <v>31372</v>
      </c>
      <c r="I24" s="198">
        <f>VLOOKUP(c_22[[#This Row],[hwycov_id]],readme!D:G,4,FALSE)</f>
        <v>32211.630859000001</v>
      </c>
      <c r="J24" s="206">
        <f t="shared" si="2"/>
        <v>2.6763701995409894E-2</v>
      </c>
      <c r="K24" s="190" t="str">
        <f>'[2]I-8 EB'!P24</f>
        <v>PeMS2016</v>
      </c>
      <c r="L24" s="148">
        <f t="shared" si="3"/>
        <v>704979.97938507923</v>
      </c>
      <c r="M24" s="44"/>
    </row>
    <row r="25" spans="1:13" ht="15" customHeight="1" x14ac:dyDescent="0.25">
      <c r="A25" s="43">
        <f>'[2]I-8 EB'!C25</f>
        <v>22</v>
      </c>
      <c r="B25" s="43" t="str">
        <f>'[2]I-8 EB'!H25</f>
        <v>I-8 EB</v>
      </c>
      <c r="C25" s="126">
        <f>'[2]I-8 EB'!E25</f>
        <v>11054</v>
      </c>
      <c r="D25" s="188">
        <f>'[2]I-8 EB'!I25</f>
        <v>48</v>
      </c>
      <c r="E25" s="189">
        <f>'[2]I-8 EB'!J25</f>
        <v>0</v>
      </c>
      <c r="F25" s="189" t="str">
        <f>'[2]I-8 EB'!K25</f>
        <v>EL CAJON</v>
      </c>
      <c r="G25" s="189" t="str">
        <f>'[2]I-8 EB'!L25</f>
        <v>MAIN</v>
      </c>
      <c r="H25" s="197">
        <f>'[2]I-8 EB'!O25</f>
        <v>24705</v>
      </c>
      <c r="I25" s="198">
        <f>VLOOKUP(c_22[[#This Row],[hwycov_id]],readme!D:G,4,FALSE)</f>
        <v>23383.609375</v>
      </c>
      <c r="J25" s="206">
        <f t="shared" si="2"/>
        <v>-5.3486768872697876E-2</v>
      </c>
      <c r="K25" s="190" t="str">
        <f>'[2]I-8 EB'!P25</f>
        <v>PeMS2016</v>
      </c>
      <c r="L25" s="148">
        <f t="shared" si="3"/>
        <v>1746073.1838378906</v>
      </c>
      <c r="M25" s="44"/>
    </row>
    <row r="26" spans="1:13" ht="15" customHeight="1" x14ac:dyDescent="0.25">
      <c r="A26" s="43">
        <f>'[2]I-8 EB'!C26</f>
        <v>22</v>
      </c>
      <c r="B26" s="43" t="str">
        <f>'[2]I-8 EB'!H26</f>
        <v>I-8 EB</v>
      </c>
      <c r="C26" s="126">
        <f>'[2]I-8 EB'!E26</f>
        <v>11055</v>
      </c>
      <c r="D26" s="188">
        <f>'[2]I-8 EB'!I26</f>
        <v>49</v>
      </c>
      <c r="E26" s="189">
        <f>'[2]I-8 EB'!J26</f>
        <v>0</v>
      </c>
      <c r="F26" s="189" t="str">
        <f>'[2]I-8 EB'!K26</f>
        <v>MAIN</v>
      </c>
      <c r="G26" s="189" t="str">
        <f>'[2]I-8 EB'!L26</f>
        <v>MAIN</v>
      </c>
      <c r="H26" s="197">
        <f>'[2]I-8 EB'!O26</f>
        <v>21546</v>
      </c>
      <c r="I26" s="198">
        <f>VLOOKUP(c_22[[#This Row],[hwycov_id]],readme!D:G,4,FALSE)</f>
        <v>21720.689452999999</v>
      </c>
      <c r="J26" s="206">
        <f t="shared" si="2"/>
        <v>8.1077440360159958E-3</v>
      </c>
      <c r="K26" s="190" t="str">
        <f>'[2]I-8 EB'!P26</f>
        <v>PeMS2016</v>
      </c>
      <c r="L26" s="148">
        <f t="shared" si="3"/>
        <v>30516.404989438877</v>
      </c>
      <c r="M26" s="44"/>
    </row>
    <row r="27" spans="1:13" ht="15" customHeight="1" x14ac:dyDescent="0.25">
      <c r="A27" s="43">
        <f>'[2]I-8 EB'!C27</f>
        <v>22</v>
      </c>
      <c r="B27" s="43" t="str">
        <f>'[2]I-8 EB'!H27</f>
        <v>I-8 EB</v>
      </c>
      <c r="C27" s="126">
        <f>'[2]I-8 EB'!E27</f>
        <v>14949</v>
      </c>
      <c r="D27" s="188">
        <f>'[2]I-8 EB'!I27</f>
        <v>51</v>
      </c>
      <c r="E27" s="189">
        <f>'[2]I-8 EB'!J27</f>
        <v>0</v>
      </c>
      <c r="F27" s="189" t="str">
        <f>'[2]I-8 EB'!K27</f>
        <v>JOHNSON</v>
      </c>
      <c r="G27" s="189" t="str">
        <f>'[2]I-8 EB'!L27</f>
        <v>SR-67 NB</v>
      </c>
      <c r="H27" s="197">
        <f>'[2]I-8 EB'!O27</f>
        <v>20885</v>
      </c>
      <c r="I27" s="198">
        <f>VLOOKUP(c_22[[#This Row],[hwycov_id]],readme!D:G,4,FALSE)</f>
        <v>20818.507812</v>
      </c>
      <c r="J27" s="206">
        <f t="shared" si="2"/>
        <v>-3.1837293751496576E-3</v>
      </c>
      <c r="K27" s="190" t="str">
        <f>'[2]I-8 EB'!P27</f>
        <v>PeMS2016</v>
      </c>
      <c r="L27" s="148">
        <f t="shared" si="3"/>
        <v>4421.2110650273662</v>
      </c>
      <c r="M27" s="44"/>
    </row>
    <row r="28" spans="1:13" ht="15" customHeight="1" x14ac:dyDescent="0.25">
      <c r="A28" s="43">
        <f>'[2]I-8 EB'!C28</f>
        <v>22</v>
      </c>
      <c r="B28" s="43" t="str">
        <f>'[2]I-8 EB'!H28</f>
        <v>I-8 EB</v>
      </c>
      <c r="C28" s="126">
        <f>'[2]I-8 EB'!E28</f>
        <v>28179</v>
      </c>
      <c r="D28" s="188">
        <f>'[2]I-8 EB'!I28</f>
        <v>54</v>
      </c>
      <c r="E28" s="189">
        <f>'[2]I-8 EB'!J28</f>
        <v>0</v>
      </c>
      <c r="F28" s="189" t="str">
        <f>'[2]I-8 EB'!K28</f>
        <v>MAGNOLIA</v>
      </c>
      <c r="G28" s="189" t="str">
        <f>'[2]I-8 EB'!L28</f>
        <v>MOLLISON</v>
      </c>
      <c r="H28" s="197">
        <f>'[2]I-8 EB'!O28</f>
        <v>16047</v>
      </c>
      <c r="I28" s="198">
        <f>VLOOKUP(c_22[[#This Row],[hwycov_id]],readme!D:G,4,FALSE)</f>
        <v>17381.960938</v>
      </c>
      <c r="J28" s="206">
        <f t="shared" si="2"/>
        <v>8.319068598491941E-2</v>
      </c>
      <c r="K28" s="190" t="str">
        <f>'[2]I-8 EB'!P28</f>
        <v>PeMS2016</v>
      </c>
      <c r="L28" s="148">
        <f t="shared" si="3"/>
        <v>1782120.7059858404</v>
      </c>
      <c r="M28" s="44"/>
    </row>
    <row r="29" spans="1:13" ht="15" customHeight="1" x14ac:dyDescent="0.25">
      <c r="A29" s="43">
        <f>'[2]I-8 EB'!C29</f>
        <v>22</v>
      </c>
      <c r="B29" s="43" t="str">
        <f>'[2]I-8 EB'!H29</f>
        <v>I-8 EB</v>
      </c>
      <c r="C29" s="126">
        <f>'[2]I-8 EB'!E29</f>
        <v>28184</v>
      </c>
      <c r="D29" s="188">
        <f>'[2]I-8 EB'!I29</f>
        <v>55</v>
      </c>
      <c r="E29" s="189">
        <f>'[2]I-8 EB'!J29</f>
        <v>0</v>
      </c>
      <c r="F29" s="189" t="str">
        <f>'[2]I-8 EB'!K29</f>
        <v>MOLLISON</v>
      </c>
      <c r="G29" s="189" t="str">
        <f>'[2]I-8 EB'!L29</f>
        <v>MOLLISON</v>
      </c>
      <c r="H29" s="197">
        <f>'[2]I-8 EB'!O29</f>
        <v>15932</v>
      </c>
      <c r="I29" s="198">
        <f>VLOOKUP(c_22[[#This Row],[hwycov_id]],readme!D:G,4,FALSE)</f>
        <v>14283.464844</v>
      </c>
      <c r="J29" s="206">
        <f t="shared" si="2"/>
        <v>-0.103473208385639</v>
      </c>
      <c r="K29" s="190" t="str">
        <f>'[2]I-8 EB'!P29</f>
        <v>PeMS2016</v>
      </c>
      <c r="L29" s="148">
        <f t="shared" si="3"/>
        <v>2717668.1605679439</v>
      </c>
      <c r="M29" s="44"/>
    </row>
    <row r="30" spans="1:13" ht="15" customHeight="1" x14ac:dyDescent="0.25">
      <c r="A30" s="43">
        <f>'[2]I-8 EB'!C30</f>
        <v>22</v>
      </c>
      <c r="B30" s="43" t="str">
        <f>'[2]I-8 EB'!H30</f>
        <v>I-8 EB</v>
      </c>
      <c r="C30" s="126">
        <f>'[2]I-8 EB'!E30</f>
        <v>28186</v>
      </c>
      <c r="D30" s="188">
        <f>'[2]I-8 EB'!I30</f>
        <v>56</v>
      </c>
      <c r="E30" s="189">
        <f>'[2]I-8 EB'!J30</f>
        <v>0</v>
      </c>
      <c r="F30" s="189" t="str">
        <f>'[2]I-8 EB'!K30</f>
        <v>MOLLISON</v>
      </c>
      <c r="G30" s="189" t="str">
        <f>'[2]I-8 EB'!L30</f>
        <v>02ND</v>
      </c>
      <c r="H30" s="197">
        <f>'[2]I-8 EB'!O30</f>
        <v>16600</v>
      </c>
      <c r="I30" s="198">
        <f>VLOOKUP(c_22[[#This Row],[hwycov_id]],readme!D:G,4,FALSE)</f>
        <v>15158.868164</v>
      </c>
      <c r="J30" s="206">
        <f t="shared" si="2"/>
        <v>-8.6815170843373535E-2</v>
      </c>
      <c r="K30" s="190" t="str">
        <f>'[2]I-8 EB'!P30</f>
        <v>PeMS2016</v>
      </c>
      <c r="L30" s="148">
        <f t="shared" si="3"/>
        <v>2076860.9687327323</v>
      </c>
      <c r="M30" s="44"/>
    </row>
    <row r="31" spans="1:13" ht="15" customHeight="1" x14ac:dyDescent="0.25">
      <c r="A31" s="43">
        <f>'[2]I-8 EB'!C31</f>
        <v>22</v>
      </c>
      <c r="B31" s="43" t="str">
        <f>'[2]I-8 EB'!H31</f>
        <v>I-8 EB</v>
      </c>
      <c r="C31" s="126">
        <f>'[2]I-8 EB'!E31</f>
        <v>28380</v>
      </c>
      <c r="D31" s="188">
        <f>'[2]I-8 EB'!I31</f>
        <v>58</v>
      </c>
      <c r="E31" s="189">
        <f>'[2]I-8 EB'!J31</f>
        <v>0</v>
      </c>
      <c r="F31" s="189" t="str">
        <f>'[2]I-8 EB'!K31</f>
        <v>SR  54</v>
      </c>
      <c r="G31" s="189" t="str">
        <f>'[2]I-8 EB'!L31</f>
        <v>MAIN</v>
      </c>
      <c r="H31" s="197">
        <f>'[2]I-8 EB'!O31</f>
        <v>11477</v>
      </c>
      <c r="I31" s="198">
        <f>VLOOKUP(c_22[[#This Row],[hwycov_id]],readme!D:G,4,FALSE)</f>
        <v>12497.608398</v>
      </c>
      <c r="J31" s="206">
        <f t="shared" si="2"/>
        <v>8.8926409166158349E-2</v>
      </c>
      <c r="K31" s="190" t="str">
        <f>'[2]I-8 EB'!P31</f>
        <v>PeMS2016</v>
      </c>
      <c r="L31" s="148">
        <f t="shared" si="3"/>
        <v>1041641.502068127</v>
      </c>
      <c r="M31" s="44"/>
    </row>
    <row r="32" spans="1:13" ht="15" customHeight="1" x14ac:dyDescent="0.25">
      <c r="A32" s="43">
        <f>'[2]I-8 EB'!C32</f>
        <v>22</v>
      </c>
      <c r="B32" s="43" t="str">
        <f>'[2]I-8 EB'!H32</f>
        <v>I-8 EB</v>
      </c>
      <c r="C32" s="126">
        <f>'[2]I-8 EB'!E32</f>
        <v>28199</v>
      </c>
      <c r="D32" s="188">
        <f>'[2]I-8 EB'!I32</f>
        <v>60</v>
      </c>
      <c r="E32" s="189">
        <f>'[2]I-8 EB'!J32</f>
        <v>0</v>
      </c>
      <c r="F32" s="189" t="str">
        <f>'[2]I-8 EB'!K32</f>
        <v>SR  54</v>
      </c>
      <c r="G32" s="189" t="str">
        <f>'[2]I-8 EB'!L32</f>
        <v>GREENFIELD</v>
      </c>
      <c r="H32" s="197">
        <f>'[2]I-8 EB'!O32</f>
        <v>13517</v>
      </c>
      <c r="I32" s="198">
        <f>VLOOKUP(c_22[[#This Row],[hwycov_id]],readme!D:G,4,FALSE)</f>
        <v>13287.690430000001</v>
      </c>
      <c r="J32" s="206">
        <f t="shared" si="2"/>
        <v>-1.6964531330916577E-2</v>
      </c>
      <c r="K32" s="190" t="str">
        <f>'[2]I-8 EB'!P32</f>
        <v>PeMS2016</v>
      </c>
      <c r="L32" s="148">
        <f t="shared" si="3"/>
        <v>52582.878893584646</v>
      </c>
      <c r="M32" s="44"/>
    </row>
    <row r="33" spans="1:14" ht="15" customHeight="1" x14ac:dyDescent="0.25">
      <c r="A33" s="43">
        <f>'[2]I-8 EB'!C33</f>
        <v>22</v>
      </c>
      <c r="B33" s="43" t="str">
        <f>'[2]I-8 EB'!H33</f>
        <v>I-8 EB</v>
      </c>
      <c r="C33" s="126">
        <f>'[2]I-8 EB'!E33</f>
        <v>28635</v>
      </c>
      <c r="D33" s="188">
        <f>'[2]I-8 EB'!I33</f>
        <v>62</v>
      </c>
      <c r="E33" s="189">
        <f>'[2]I-8 EB'!J33</f>
        <v>0</v>
      </c>
      <c r="F33" s="189" t="str">
        <f>'[2]I-8 EB'!K33</f>
        <v>GREENFIELD</v>
      </c>
      <c r="G33" s="189" t="str">
        <f>'[2]I-8 EB'!L33</f>
        <v>GREENFIELD</v>
      </c>
      <c r="H33" s="197">
        <f>'[2]I-8 EB'!O33</f>
        <v>10967</v>
      </c>
      <c r="I33" s="198">
        <f>VLOOKUP(c_22[[#This Row],[hwycov_id]],readme!D:G,4,FALSE)</f>
        <v>10658.822265999999</v>
      </c>
      <c r="J33" s="206">
        <f t="shared" si="2"/>
        <v>-2.8100459013403967E-2</v>
      </c>
      <c r="K33" s="190" t="str">
        <f>'[2]I-8 EB'!P33</f>
        <v>PeMS2016</v>
      </c>
      <c r="L33" s="148">
        <f t="shared" si="3"/>
        <v>94973.515733375243</v>
      </c>
      <c r="M33" s="44"/>
    </row>
    <row r="34" spans="1:14" ht="15" customHeight="1" x14ac:dyDescent="0.25">
      <c r="A34" s="43">
        <f>'[2]I-8 EB'!C34</f>
        <v>22</v>
      </c>
      <c r="B34" s="43" t="str">
        <f>'[2]I-8 EB'!H34</f>
        <v>I-8 EB</v>
      </c>
      <c r="C34" s="126">
        <f>'[2]I-8 EB'!E34</f>
        <v>28636</v>
      </c>
      <c r="D34" s="188">
        <f>'[2]I-8 EB'!I34</f>
        <v>63</v>
      </c>
      <c r="E34" s="189">
        <f>'[2]I-8 EB'!J34</f>
        <v>0</v>
      </c>
      <c r="F34" s="189" t="str">
        <f>'[2]I-8 EB'!K34</f>
        <v>GREENFIELD</v>
      </c>
      <c r="G34" s="189" t="str">
        <f>'[2]I-8 EB'!L34</f>
        <v>CAM CANADA</v>
      </c>
      <c r="H34" s="197">
        <f>'[2]I-8 EB'!O34</f>
        <v>8529</v>
      </c>
      <c r="I34" s="198">
        <f>VLOOKUP(c_22[[#This Row],[hwycov_id]],readme!D:G,4,FALSE)</f>
        <v>11264.482421999999</v>
      </c>
      <c r="J34" s="206">
        <f t="shared" si="2"/>
        <v>0.32072721561730555</v>
      </c>
      <c r="K34" s="190" t="str">
        <f>'[2]I-8 EB'!P34</f>
        <v>PeMS2016</v>
      </c>
      <c r="L34" s="148">
        <f t="shared" si="3"/>
        <v>7482864.081070981</v>
      </c>
      <c r="M34" s="44"/>
    </row>
    <row r="35" spans="1:14" ht="15" customHeight="1" x14ac:dyDescent="0.25">
      <c r="A35" s="43">
        <f>'[2]I-8 EB'!C35</f>
        <v>22</v>
      </c>
      <c r="B35" s="43" t="str">
        <f>'[2]I-8 EB'!H35</f>
        <v>I-8 EB</v>
      </c>
      <c r="C35" s="126">
        <f>'[2]I-8 EB'!E35</f>
        <v>28203</v>
      </c>
      <c r="D35" s="188">
        <f>'[2]I-8 EB'!I35</f>
        <v>64</v>
      </c>
      <c r="E35" s="189">
        <f>'[2]I-8 EB'!J35</f>
        <v>0</v>
      </c>
      <c r="F35" s="189" t="str">
        <f>'[2]I-8 EB'!K35</f>
        <v>CAM CANADA</v>
      </c>
      <c r="G35" s="189" t="str">
        <f>'[2]I-8 EB'!L35</f>
        <v>CAM CANADA</v>
      </c>
      <c r="H35" s="197">
        <f>'[2]I-8 EB'!O35</f>
        <v>8493</v>
      </c>
      <c r="I35" s="198">
        <f>VLOOKUP(c_22[[#This Row],[hwycov_id]],readme!D:G,4,FALSE)</f>
        <v>9066.1757809999999</v>
      </c>
      <c r="J35" s="206">
        <f t="shared" si="2"/>
        <v>6.7488023195572788E-2</v>
      </c>
      <c r="K35" s="190" t="str">
        <f>'[2]I-8 EB'!P35</f>
        <v>PeMS2016</v>
      </c>
      <c r="L35" s="148">
        <f t="shared" si="3"/>
        <v>328530.47592495987</v>
      </c>
      <c r="M35" s="44"/>
    </row>
    <row r="36" spans="1:14" ht="15" customHeight="1" x14ac:dyDescent="0.25">
      <c r="A36" s="43">
        <f>'[2]I-8 EB'!C36</f>
        <v>22</v>
      </c>
      <c r="B36" s="43" t="str">
        <f>'[2]I-8 EB'!H36</f>
        <v>I-8 EB</v>
      </c>
      <c r="C36" s="126">
        <f>'[2]I-8 EB'!E36</f>
        <v>28208</v>
      </c>
      <c r="D36" s="188">
        <f>'[2]I-8 EB'!I36</f>
        <v>65</v>
      </c>
      <c r="E36" s="189">
        <f>'[2]I-8 EB'!J36</f>
        <v>1</v>
      </c>
      <c r="F36" s="189" t="str">
        <f>'[2]I-8 EB'!K36</f>
        <v>CAM CANADA</v>
      </c>
      <c r="G36" s="189" t="str">
        <f>'[2]I-8 EB'!L36</f>
        <v>LAKE JENNINGS PARK</v>
      </c>
      <c r="H36" s="197">
        <f>'[2]I-8 EB'!O36</f>
        <v>10341</v>
      </c>
      <c r="I36" s="198">
        <f>VLOOKUP(c_22[[#This Row],[hwycov_id]],readme!D:G,4,FALSE)</f>
        <v>9256.09375</v>
      </c>
      <c r="J36" s="206">
        <f t="shared" si="2"/>
        <v>-0.10491308867614346</v>
      </c>
      <c r="K36" s="190" t="str">
        <f>'[2]I-8 EB'!P36</f>
        <v>PeMS2016</v>
      </c>
      <c r="L36" s="148">
        <f t="shared" si="3"/>
        <v>1177021.5712890625</v>
      </c>
      <c r="M36" s="44"/>
    </row>
    <row r="37" spans="1:14" ht="15" customHeight="1" x14ac:dyDescent="0.25">
      <c r="A37" s="43">
        <f>'[2]I-8 EB'!C37</f>
        <v>22</v>
      </c>
      <c r="B37" s="43" t="str">
        <f>'[2]I-8 EB'!H37</f>
        <v>I-8 EB</v>
      </c>
      <c r="C37" s="126">
        <f>'[2]I-8 EB'!E37</f>
        <v>28214</v>
      </c>
      <c r="D37" s="188">
        <f>'[2]I-8 EB'!I37</f>
        <v>67</v>
      </c>
      <c r="E37" s="189">
        <f>'[2]I-8 EB'!J37</f>
        <v>0</v>
      </c>
      <c r="F37" s="189" t="str">
        <f>'[2]I-8 EB'!K37</f>
        <v>LAKE JENNINGS PARK</v>
      </c>
      <c r="G37" s="189" t="str">
        <f>'[2]I-8 EB'!L37</f>
        <v>LAKE JENNINGS PARK</v>
      </c>
      <c r="H37" s="197">
        <f>'[2]I-8 EB'!O37</f>
        <v>7863</v>
      </c>
      <c r="I37" s="198">
        <f>VLOOKUP(c_22[[#This Row],[hwycov_id]],readme!D:G,4,FALSE)</f>
        <v>8833.3300780000009</v>
      </c>
      <c r="J37" s="206">
        <f t="shared" si="2"/>
        <v>0.12340456288948243</v>
      </c>
      <c r="K37" s="190" t="str">
        <f>'[2]I-8 EB'!P37</f>
        <v>PeMS2016</v>
      </c>
      <c r="L37" s="148">
        <f t="shared" si="3"/>
        <v>941540.46027148771</v>
      </c>
      <c r="M37" s="44"/>
    </row>
    <row r="38" spans="1:14" x14ac:dyDescent="0.25">
      <c r="A38" s="43">
        <f>'[2]I-8 EB'!C38</f>
        <v>22</v>
      </c>
      <c r="B38" s="43" t="str">
        <f>'[2]I-8 EB'!H38</f>
        <v>I-8 EB</v>
      </c>
      <c r="C38" s="126">
        <f>'[2]I-8 EB'!E38</f>
        <v>28216</v>
      </c>
      <c r="D38" s="188">
        <f>'[2]I-8 EB'!I38</f>
        <v>68</v>
      </c>
      <c r="E38" s="189">
        <f>'[2]I-8 EB'!J38</f>
        <v>3</v>
      </c>
      <c r="F38" s="189" t="str">
        <f>'[2]I-8 EB'!K38</f>
        <v>LAKE JENNINGS PARK</v>
      </c>
      <c r="G38" s="189" t="str">
        <f>'[2]I-8 EB'!L38</f>
        <v>DUNBAR</v>
      </c>
      <c r="H38" s="197">
        <f>'[2]I-8 EB'!O38</f>
        <v>8246</v>
      </c>
      <c r="I38" s="198">
        <f>VLOOKUP(c_22[[#This Row],[hwycov_id]],readme!D:G,4,FALSE)</f>
        <v>8869.7636719999991</v>
      </c>
      <c r="J38" s="206">
        <f t="shared" si="2"/>
        <v>7.5644393887945638E-2</v>
      </c>
      <c r="K38" s="190" t="str">
        <f>'[2]I-8 EB'!P38</f>
        <v>Caltran</v>
      </c>
      <c r="L38" s="148">
        <f t="shared" si="3"/>
        <v>389081.1185069225</v>
      </c>
      <c r="M38" s="44"/>
    </row>
    <row r="39" spans="1:14" s="167" customFormat="1" x14ac:dyDescent="0.25">
      <c r="A39" s="43">
        <f>'[2]I-8 EB'!C39</f>
        <v>22</v>
      </c>
      <c r="B39" s="43" t="str">
        <f>'[2]I-8 EB'!H39</f>
        <v>I-8 EB</v>
      </c>
      <c r="C39" s="126">
        <f>'[2]I-8 EB'!E39</f>
        <v>29215</v>
      </c>
      <c r="D39" s="188">
        <f>'[2]I-8 EB'!I39</f>
        <v>80</v>
      </c>
      <c r="E39" s="189">
        <f>'[2]I-8 EB'!J39</f>
        <v>2</v>
      </c>
      <c r="F39" s="189" t="str">
        <f>'[2]I-8 EB'!K39</f>
        <v>JAPATUL VALLEY</v>
      </c>
      <c r="G39" s="189" t="str">
        <f>'[2]I-8 EB'!L39</f>
        <v>PINE VALLEY</v>
      </c>
      <c r="H39" s="197">
        <f>'[2]I-8 EB'!O39</f>
        <v>2708</v>
      </c>
      <c r="I39" s="198">
        <f>VLOOKUP(c_22[[#This Row],[hwycov_id]],readme!D:G,4,FALSE)</f>
        <v>3218.482422</v>
      </c>
      <c r="J39" s="206">
        <f t="shared" si="2"/>
        <v>0.18850901846381096</v>
      </c>
      <c r="K39" s="190" t="str">
        <f>'[2]I-8 EB'!P39</f>
        <v>Caltran</v>
      </c>
      <c r="L39" s="148">
        <f t="shared" si="3"/>
        <v>260592.30317098612</v>
      </c>
      <c r="M39" s="173"/>
      <c r="N39" s="172"/>
    </row>
    <row r="40" spans="1:14" s="167" customFormat="1" x14ac:dyDescent="0.25">
      <c r="A40" s="43">
        <f>'[2]I-8 EB'!C40</f>
        <v>22</v>
      </c>
      <c r="B40" s="43" t="str">
        <f>'[2]I-8 EB'!H40</f>
        <v>I-8 EB</v>
      </c>
      <c r="C40" s="126">
        <f>'[2]I-8 EB'!E40</f>
        <v>28269</v>
      </c>
      <c r="D40" s="188">
        <f>'[2]I-8 EB'!I40</f>
        <v>86</v>
      </c>
      <c r="E40" s="189">
        <f>'[2]I-8 EB'!J40</f>
        <v>2</v>
      </c>
      <c r="F40" s="189" t="str">
        <f>'[2]I-8 EB'!K40</f>
        <v>BUCKMAN SPRINGS</v>
      </c>
      <c r="G40" s="189" t="str">
        <f>'[2]I-8 EB'!L40</f>
        <v>CAMERON TRUCK</v>
      </c>
      <c r="H40" s="197">
        <f>'[2]I-8 EB'!O40</f>
        <v>1915</v>
      </c>
      <c r="I40" s="198">
        <f>VLOOKUP(c_22[[#This Row],[hwycov_id]],readme!D:G,4,FALSE)</f>
        <v>2320.1208499999998</v>
      </c>
      <c r="J40" s="206">
        <f t="shared" si="2"/>
        <v>0.21155135770234978</v>
      </c>
      <c r="K40" s="190" t="str">
        <f>'[2]I-8 EB'!P40</f>
        <v>Caltran</v>
      </c>
      <c r="L40" s="148">
        <f t="shared" si="3"/>
        <v>164122.90310472233</v>
      </c>
      <c r="M40" s="173"/>
      <c r="N40" s="172"/>
    </row>
    <row r="41" spans="1:14" ht="15" customHeight="1" x14ac:dyDescent="0.25">
      <c r="A41" s="43">
        <f>'[2]I-8 EB'!C41</f>
        <v>22</v>
      </c>
      <c r="B41" s="43" t="str">
        <f>'[2]I-8 EB'!H41</f>
        <v>I-8 EB</v>
      </c>
      <c r="C41" s="126">
        <f>'[2]I-8 EB'!E41</f>
        <v>27539</v>
      </c>
      <c r="D41" s="188">
        <f>'[2]I-8 EB'!I41</f>
        <v>92</v>
      </c>
      <c r="E41" s="189">
        <f>'[2]I-8 EB'!J41</f>
        <v>7</v>
      </c>
      <c r="F41" s="189" t="str">
        <f>'[2]I-8 EB'!K41</f>
        <v>SR-94</v>
      </c>
      <c r="G41" s="189" t="str">
        <f>'[2]I-8 EB'!L41</f>
        <v>CORRIZO GORGE</v>
      </c>
      <c r="H41" s="197">
        <f>'[2]I-8 EB'!O41</f>
        <v>1608</v>
      </c>
      <c r="I41" s="198">
        <f>VLOOKUP(c_22[[#This Row],[hwycov_id]],readme!D:G,4,FALSE)</f>
        <v>1830.634888</v>
      </c>
      <c r="J41" s="206">
        <f t="shared" si="2"/>
        <v>0.1384545323383084</v>
      </c>
      <c r="K41" s="190" t="str">
        <f>'[2]I-8 EB'!P41</f>
        <v>Caltran</v>
      </c>
      <c r="L41" s="148">
        <f t="shared" si="3"/>
        <v>49566.293354772562</v>
      </c>
      <c r="M41" s="44"/>
    </row>
    <row r="42" spans="1:14" ht="15" customHeight="1" x14ac:dyDescent="0.25">
      <c r="A42" s="43"/>
      <c r="B42" s="43"/>
      <c r="C42" s="126"/>
      <c r="D42" s="188"/>
      <c r="E42" s="189"/>
      <c r="F42" s="189"/>
      <c r="G42" s="189"/>
      <c r="H42" s="197"/>
      <c r="I42" s="198"/>
      <c r="J42" s="206"/>
      <c r="K42" s="190"/>
      <c r="L42" s="148"/>
      <c r="M42" s="44"/>
    </row>
    <row r="43" spans="1:14" ht="15" customHeight="1" x14ac:dyDescent="0.25">
      <c r="A43" s="43"/>
      <c r="B43" s="43"/>
      <c r="C43" s="126"/>
      <c r="D43" s="188"/>
      <c r="E43" s="189"/>
      <c r="F43" s="189"/>
      <c r="G43" s="189"/>
      <c r="H43" s="197"/>
      <c r="I43" s="198"/>
      <c r="J43" s="206"/>
      <c r="K43" s="190"/>
      <c r="L43" s="148"/>
      <c r="M43" s="44"/>
    </row>
    <row r="44" spans="1:14" ht="15" customHeight="1" x14ac:dyDescent="0.25">
      <c r="A44" s="43"/>
      <c r="B44" s="43"/>
      <c r="C44" s="126"/>
      <c r="D44" s="188"/>
      <c r="E44" s="189"/>
      <c r="F44" s="189"/>
      <c r="G44" s="189"/>
      <c r="H44" s="197"/>
      <c r="I44" s="198"/>
      <c r="J44" s="206"/>
      <c r="K44" s="190"/>
      <c r="L44" s="148"/>
      <c r="M44" s="44"/>
    </row>
    <row r="45" spans="1:14" ht="15" customHeight="1" x14ac:dyDescent="0.25">
      <c r="A45" s="43"/>
      <c r="B45" s="43"/>
      <c r="C45" s="126"/>
      <c r="D45" s="188"/>
      <c r="E45" s="189"/>
      <c r="F45" s="189"/>
      <c r="G45" s="189"/>
      <c r="H45" s="197"/>
      <c r="I45" s="198"/>
      <c r="J45" s="206"/>
      <c r="K45" s="190"/>
      <c r="L45" s="148"/>
      <c r="M45" s="44"/>
    </row>
    <row r="46" spans="1:14" ht="15" customHeight="1" x14ac:dyDescent="0.25">
      <c r="A46" s="43"/>
      <c r="B46" s="43"/>
      <c r="C46" s="126"/>
      <c r="D46" s="188"/>
      <c r="E46" s="189"/>
      <c r="F46" s="189"/>
      <c r="G46" s="189"/>
      <c r="H46" s="197"/>
      <c r="I46" s="198"/>
      <c r="J46" s="206"/>
      <c r="K46" s="190"/>
      <c r="L46" s="148"/>
      <c r="M46" s="44"/>
    </row>
    <row r="47" spans="1:14" ht="15" customHeight="1" x14ac:dyDescent="0.25">
      <c r="A47" s="43"/>
      <c r="B47" s="43"/>
      <c r="C47" s="126"/>
      <c r="D47" s="188"/>
      <c r="E47" s="189"/>
      <c r="F47" s="189"/>
      <c r="G47" s="189"/>
      <c r="H47" s="197"/>
      <c r="I47" s="198"/>
      <c r="J47" s="206"/>
      <c r="K47" s="190"/>
      <c r="L47" s="148"/>
      <c r="M47" s="44"/>
    </row>
    <row r="48" spans="1:14" ht="15" customHeight="1" x14ac:dyDescent="0.25">
      <c r="A48" s="43"/>
      <c r="B48" s="43"/>
      <c r="C48" s="126"/>
      <c r="D48" s="188"/>
      <c r="E48" s="189"/>
      <c r="F48" s="189"/>
      <c r="G48" s="189"/>
      <c r="H48" s="197"/>
      <c r="I48" s="198"/>
      <c r="J48" s="206"/>
      <c r="K48" s="190"/>
      <c r="L48" s="148"/>
      <c r="M48" s="44"/>
    </row>
    <row r="49" spans="1:13" ht="15" customHeight="1" x14ac:dyDescent="0.25">
      <c r="A49" s="43"/>
      <c r="B49" s="43"/>
      <c r="C49" s="126"/>
      <c r="D49" s="188"/>
      <c r="E49" s="189"/>
      <c r="F49" s="189"/>
      <c r="G49" s="189"/>
      <c r="H49" s="197"/>
      <c r="I49" s="198"/>
      <c r="J49" s="206"/>
      <c r="K49" s="190"/>
      <c r="L49" s="148"/>
      <c r="M49" s="44"/>
    </row>
    <row r="50" spans="1:13" ht="15" customHeight="1" x14ac:dyDescent="0.25">
      <c r="A50" s="43"/>
      <c r="B50" s="43"/>
      <c r="C50" s="126"/>
      <c r="D50" s="188"/>
      <c r="E50" s="189"/>
      <c r="F50" s="189"/>
      <c r="G50" s="189"/>
      <c r="H50" s="197"/>
      <c r="I50" s="198"/>
      <c r="J50" s="206"/>
      <c r="K50" s="190"/>
      <c r="L50" s="148"/>
      <c r="M50" s="44"/>
    </row>
    <row r="51" spans="1:13" ht="15" customHeight="1" x14ac:dyDescent="0.2">
      <c r="L51" s="44"/>
      <c r="M51" s="44"/>
    </row>
    <row r="52" spans="1:13" ht="15" customHeight="1" x14ac:dyDescent="0.2">
      <c r="L52" s="44"/>
      <c r="M52" s="44"/>
    </row>
    <row r="53" spans="1:13" ht="15" customHeight="1" x14ac:dyDescent="0.2">
      <c r="L53" s="44"/>
      <c r="M53" s="44"/>
    </row>
    <row r="54" spans="1:13" ht="15" customHeight="1" x14ac:dyDescent="0.2">
      <c r="L54" s="44"/>
      <c r="M54" s="44"/>
    </row>
    <row r="55" spans="1:13" ht="15" customHeight="1" x14ac:dyDescent="0.2">
      <c r="L55" s="44"/>
      <c r="M55" s="44"/>
    </row>
    <row r="56" spans="1:13" ht="15" customHeight="1" x14ac:dyDescent="0.2">
      <c r="L56" s="44"/>
      <c r="M56" s="44"/>
    </row>
    <row r="57" spans="1:13" ht="15" customHeight="1" x14ac:dyDescent="0.2">
      <c r="L57" s="44"/>
      <c r="M57" s="44"/>
    </row>
    <row r="58" spans="1:13" ht="15" customHeight="1" x14ac:dyDescent="0.2">
      <c r="L58" s="44"/>
      <c r="M58" s="44"/>
    </row>
    <row r="59" spans="1:13" ht="15" customHeight="1" x14ac:dyDescent="0.2">
      <c r="L59" s="44"/>
      <c r="M59" s="44"/>
    </row>
    <row r="60" spans="1:13" ht="15" customHeight="1" x14ac:dyDescent="0.2">
      <c r="L60" s="44"/>
      <c r="M60" s="44"/>
    </row>
    <row r="61" spans="1:13" ht="15" customHeight="1" x14ac:dyDescent="0.2">
      <c r="L61" s="44"/>
      <c r="M61" s="44"/>
    </row>
    <row r="62" spans="1:13" ht="15" customHeight="1" x14ac:dyDescent="0.2">
      <c r="L62" s="44"/>
      <c r="M62" s="44"/>
    </row>
    <row r="63" spans="1:13" ht="15" customHeight="1" x14ac:dyDescent="0.2">
      <c r="L63" s="44"/>
      <c r="M63" s="44"/>
    </row>
    <row r="64" spans="1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</sheetData>
  <conditionalFormatting sqref="N2:N1048576 J51:K1048576">
    <cfRule type="cellIs" dxfId="136" priority="7" operator="lessThan">
      <formula>-0.2</formula>
    </cfRule>
    <cfRule type="cellIs" dxfId="135" priority="8" operator="greaterThan">
      <formula>0.2</formula>
    </cfRule>
  </conditionalFormatting>
  <conditionalFormatting sqref="J2:J41">
    <cfRule type="cellIs" dxfId="134" priority="3" operator="lessThan">
      <formula>-0.2</formula>
    </cfRule>
    <cfRule type="cellIs" dxfId="133" priority="4" operator="greaterThan">
      <formula>0.2</formula>
    </cfRule>
  </conditionalFormatting>
  <conditionalFormatting sqref="N1">
    <cfRule type="cellIs" dxfId="132" priority="1" operator="lessThan">
      <formula>-0.2</formula>
    </cfRule>
    <cfRule type="cellIs" dxfId="13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6" tint="0.39997558519241921"/>
  </sheetPr>
  <dimension ref="A1:AI78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SQRT(AVERAGE(c_23[x2]))/AVERAGE(c_23[count])</f>
        <v>0.18037573296629508</v>
      </c>
      <c r="O1" s="69">
        <f>LINEST(c_23[flow],c_23[count],FALSE)</f>
        <v>1.0997012974208893</v>
      </c>
      <c r="P1" s="69">
        <f>RSQ(c_23[flow],c_23[count])</f>
        <v>0.54512427480710435</v>
      </c>
      <c r="Q1" s="19">
        <f>IFERROR(AVERAGEIF(c_23[gap],"&gt;=0",c_23[gap]),0)</f>
        <v>0.17943155244326942</v>
      </c>
      <c r="R1" s="20">
        <f>IFERROR(AVERAGEIF(c_23[gap],"&lt;0",c_23[gap]),0)</f>
        <v>-3.8115356015853995E-2</v>
      </c>
      <c r="S1" s="13">
        <f>AVERAGE(c_23[gap])</f>
        <v>0.12268018501915026</v>
      </c>
      <c r="T1" s="18">
        <f>COUNTIFS(c_23[gap],"&lt;10%",c_23[gap],"&gt;=-10%")/COUNTA(c_23[gap])</f>
        <v>0.56521739130434778</v>
      </c>
      <c r="U1" s="18">
        <f>COUNTIFS(c_23[gap],"&lt;20%",c_23[gap],"&gt;=-20%")/COUNTA(c_23[gap])</f>
        <v>0.65217391304347827</v>
      </c>
      <c r="V1" s="18">
        <f>COUNTIFS(c_23[gap],"&lt;30%",c_23[gap],"&gt;=-30%")/COUNTA(c_23[gap])</f>
        <v>0.86956521739130432</v>
      </c>
      <c r="W1" s="19">
        <f>COUNTIF(c_23[gap],"&gt;=0")/COUNTA(c_23[gap])</f>
        <v>0.73913043478260865</v>
      </c>
      <c r="X1" s="21">
        <f>COUNTIF(c_23[gap],"&lt;0")/COUNTA(c_23[gap])</f>
        <v>0.2608695652173913</v>
      </c>
      <c r="Y1" s="6" t="str">
        <f>"%Link(+)="&amp;TEXT(W1,"0%")</f>
        <v>%Link(+)=74%</v>
      </c>
      <c r="Z1" s="6" t="str">
        <f>"%Link(-)="&amp;TEXT(X1,"0%")</f>
        <v>%Link(-)=26%</v>
      </c>
      <c r="AA1" s="36" t="str">
        <f>"AvgGap(+)="&amp;TEXT(Q1,"0%")</f>
        <v>AvgGap(+)=18%</v>
      </c>
      <c r="AB1" s="25" t="str">
        <f>"AvgGap(-)="&amp;TEXT(R1,"0%")</f>
        <v>AvgGap(-)=-4%</v>
      </c>
      <c r="AC1" s="25" t="str">
        <f>"AvgGap(±)="&amp;TEXT(S1,"0%")</f>
        <v>AvgGap(±)=12%</v>
      </c>
      <c r="AD1" s="25" t="str">
        <f>"GapIn(±10%)="&amp;TEXT(T1,"0%")</f>
        <v>GapIn(±10%)=57%</v>
      </c>
      <c r="AE1" s="25" t="str">
        <f>"GapIn(±20%)="&amp;TEXT(U1,"0%")</f>
        <v>GapIn(±20%)=65%</v>
      </c>
      <c r="AF1" s="25" t="str">
        <f>"GapIn(±30%)="&amp;TEXT(V1,"0%")</f>
        <v>GapIn(±30%)=87%</v>
      </c>
      <c r="AG1" s="25" t="str">
        <f>"Linear Slope="&amp;TEXT(O1,"#.###")</f>
        <v>Linear Slope=1.1</v>
      </c>
      <c r="AH1" s="25" t="str">
        <f>"RMSE="&amp;TEXT(N1,"0%")</f>
        <v>RMSE=18%</v>
      </c>
      <c r="AI1" s="25" t="str">
        <f>CONCATENATE(Y1," ",Z1," ",AA1,"  ",AB1,"  ",AC1,"  ",AD1," ",AE1,"  ",AF1,"  ",AG1," ",AH1)</f>
        <v>%Link(+)=74% %Link(-)=26% AvgGap(+)=18%  AvgGap(-)=-4%  AvgGap(±)=12%  GapIn(±10%)=57% GapIn(±20%)=65%  GapIn(±30%)=87%  Linear Slope=1.1 RMSE=18%</v>
      </c>
    </row>
    <row r="2" spans="1:35" ht="15" customHeight="1" x14ac:dyDescent="0.25">
      <c r="A2" s="43">
        <f>'[2]SR-78 EB'!C2</f>
        <v>23</v>
      </c>
      <c r="B2" s="43" t="str">
        <f>'[2]SR-78 EB'!H2</f>
        <v>SR-78 EB</v>
      </c>
      <c r="C2" s="126">
        <f>'[2]SR-78 EB'!E2</f>
        <v>16489</v>
      </c>
      <c r="D2" s="188">
        <f>'[2]SR-78 EB'!I2</f>
        <v>4</v>
      </c>
      <c r="E2" s="189">
        <f>'[2]SR-78 EB'!J2</f>
        <v>0</v>
      </c>
      <c r="F2" s="189" t="str">
        <f>'[2]SR-78 EB'!K2</f>
        <v>I-5 NB</v>
      </c>
      <c r="G2" s="189" t="str">
        <f>'[2]SR-78 EB'!L2</f>
        <v>JEFFERSON</v>
      </c>
      <c r="H2" s="197">
        <f>'[2]SR-78 EB'!O2</f>
        <v>18307</v>
      </c>
      <c r="I2" s="198">
        <f>VLOOKUP(c_23[[#This Row],[hwycov_id]],readme!D:G,4,FALSE)</f>
        <v>16772.240234000001</v>
      </c>
      <c r="J2" s="206">
        <f>I2/H2-1</f>
        <v>-8.3834586005353096E-2</v>
      </c>
      <c r="K2" s="190" t="str">
        <f>'[2]SR-78 EB'!P2</f>
        <v>PeMS2016</v>
      </c>
      <c r="L2" s="148">
        <f t="shared" ref="L2" si="0">POWER((I2-H2),2)</f>
        <v>2355487.5393323721</v>
      </c>
      <c r="M2" s="44"/>
    </row>
    <row r="3" spans="1:35" ht="15" customHeight="1" x14ac:dyDescent="0.25">
      <c r="A3" s="43">
        <f>'[2]SR-78 EB'!C3</f>
        <v>23</v>
      </c>
      <c r="B3" s="43" t="str">
        <f>'[2]SR-78 EB'!H3</f>
        <v>SR-78 EB</v>
      </c>
      <c r="C3" s="126">
        <f>'[2]SR-78 EB'!E3</f>
        <v>28535</v>
      </c>
      <c r="D3" s="188">
        <f>'[2]SR-78 EB'!I3</f>
        <v>5</v>
      </c>
      <c r="E3" s="189">
        <f>'[2]SR-78 EB'!J3</f>
        <v>0</v>
      </c>
      <c r="F3" s="189" t="str">
        <f>'[2]SR-78 EB'!K3</f>
        <v>JEFFERSON</v>
      </c>
      <c r="G3" s="189" t="str">
        <f>'[2]SR-78 EB'!L3</f>
        <v>JEFFERSON</v>
      </c>
      <c r="H3" s="197">
        <f>'[2]SR-78 EB'!O3</f>
        <v>15065</v>
      </c>
      <c r="I3" s="198">
        <f>VLOOKUP(c_23[[#This Row],[hwycov_id]],readme!D:G,4,FALSE)</f>
        <v>14981.489258</v>
      </c>
      <c r="J3" s="206">
        <f t="shared" ref="J3:J22" si="1">I3/H3-1</f>
        <v>-5.543361566545002E-3</v>
      </c>
      <c r="K3" s="190" t="str">
        <f>'[2]SR-78 EB'!P3</f>
        <v>PeMS2016</v>
      </c>
      <c r="L3" s="148">
        <f t="shared" ref="L3:L23" si="2">POWER((I3-H3),2)</f>
        <v>6974.0440293906295</v>
      </c>
      <c r="M3" s="44"/>
    </row>
    <row r="4" spans="1:35" ht="15" customHeight="1" x14ac:dyDescent="0.25">
      <c r="A4" s="43">
        <f>'[2]SR-78 EB'!C4</f>
        <v>23</v>
      </c>
      <c r="B4" s="43" t="str">
        <f>'[2]SR-78 EB'!H4</f>
        <v>SR-78 EB</v>
      </c>
      <c r="C4" s="126">
        <f>'[2]SR-78 EB'!E4</f>
        <v>27544</v>
      </c>
      <c r="D4" s="188">
        <f>'[2]SR-78 EB'!I4</f>
        <v>6</v>
      </c>
      <c r="E4" s="189">
        <f>'[2]SR-78 EB'!J4</f>
        <v>0</v>
      </c>
      <c r="F4" s="189" t="str">
        <f>'[2]SR-78 EB'!K4</f>
        <v>JEFFERSON</v>
      </c>
      <c r="G4" s="189" t="str">
        <f>'[2]SR-78 EB'!L4</f>
        <v>EL CAMINO REAL</v>
      </c>
      <c r="H4" s="197">
        <f>'[2]SR-78 EB'!O4</f>
        <v>16132</v>
      </c>
      <c r="I4" s="198">
        <f>VLOOKUP(c_23[[#This Row],[hwycov_id]],readme!D:G,4,FALSE)</f>
        <v>16100.902344</v>
      </c>
      <c r="J4" s="206">
        <f t="shared" si="1"/>
        <v>-1.9276999752045887E-3</v>
      </c>
      <c r="K4" s="190" t="str">
        <f>'[2]SR-78 EB'!P4</f>
        <v>Caltran</v>
      </c>
      <c r="L4" s="148">
        <f t="shared" si="2"/>
        <v>967.06420869433077</v>
      </c>
      <c r="M4" s="44"/>
    </row>
    <row r="5" spans="1:35" ht="15" customHeight="1" x14ac:dyDescent="0.25">
      <c r="A5" s="43">
        <f>'[2]SR-78 EB'!C5</f>
        <v>23</v>
      </c>
      <c r="B5" s="43" t="str">
        <f>'[2]SR-78 EB'!H5</f>
        <v>SR-78 EB</v>
      </c>
      <c r="C5" s="126">
        <f>'[2]SR-78 EB'!E5</f>
        <v>27245</v>
      </c>
      <c r="D5" s="188">
        <f>'[2]SR-78 EB'!I5</f>
        <v>7</v>
      </c>
      <c r="E5" s="189">
        <f>'[2]SR-78 EB'!J5</f>
        <v>0</v>
      </c>
      <c r="F5" s="189" t="str">
        <f>'[2]SR-78 EB'!K5</f>
        <v>EL CAMINO REAL</v>
      </c>
      <c r="G5" s="189" t="str">
        <f>'[2]SR-78 EB'!L5</f>
        <v>EL CAMINO REAL</v>
      </c>
      <c r="H5" s="197">
        <f>'[2]SR-78 EB'!O5</f>
        <v>13752</v>
      </c>
      <c r="I5" s="198">
        <f>VLOOKUP(c_23[[#This Row],[hwycov_id]],readme!D:G,4,FALSE)</f>
        <v>14316.778319999999</v>
      </c>
      <c r="J5" s="206">
        <f t="shared" si="1"/>
        <v>4.1068813263525294E-2</v>
      </c>
      <c r="K5" s="190" t="str">
        <f>'[2]SR-78 EB'!P5</f>
        <v>PeMS2016</v>
      </c>
      <c r="L5" s="148">
        <f t="shared" si="2"/>
        <v>318974.55074202176</v>
      </c>
      <c r="M5" s="44"/>
    </row>
    <row r="6" spans="1:35" ht="15" customHeight="1" x14ac:dyDescent="0.25">
      <c r="A6" s="43">
        <f>'[2]SR-78 EB'!C6</f>
        <v>23</v>
      </c>
      <c r="B6" s="43" t="str">
        <f>'[2]SR-78 EB'!H6</f>
        <v>SR-78 EB</v>
      </c>
      <c r="C6" s="126">
        <f>'[2]SR-78 EB'!E6</f>
        <v>8829</v>
      </c>
      <c r="D6" s="188">
        <f>'[2]SR-78 EB'!I6</f>
        <v>8</v>
      </c>
      <c r="E6" s="189">
        <f>'[2]SR-78 EB'!J6</f>
        <v>0</v>
      </c>
      <c r="F6" s="189" t="str">
        <f>'[2]SR-78 EB'!K6</f>
        <v>EL CAMINO REAL</v>
      </c>
      <c r="G6" s="189" t="str">
        <f>'[2]SR-78 EB'!L6</f>
        <v>RANCHO DEL ORO</v>
      </c>
      <c r="H6" s="197">
        <f>'[2]SR-78 EB'!O6</f>
        <v>18241</v>
      </c>
      <c r="I6" s="198">
        <f>VLOOKUP(c_23[[#This Row],[hwycov_id]],readme!D:G,4,FALSE)</f>
        <v>16805.021484000001</v>
      </c>
      <c r="J6" s="206">
        <f t="shared" si="1"/>
        <v>-7.8722576393838062E-2</v>
      </c>
      <c r="K6" s="190" t="str">
        <f>'[2]SR-78 EB'!P6</f>
        <v>Caltran</v>
      </c>
      <c r="L6" s="148">
        <f t="shared" si="2"/>
        <v>2062034.29841356</v>
      </c>
      <c r="M6" s="44"/>
    </row>
    <row r="7" spans="1:35" ht="15" customHeight="1" x14ac:dyDescent="0.25">
      <c r="A7" s="43">
        <f>'[2]SR-78 EB'!C7</f>
        <v>23</v>
      </c>
      <c r="B7" s="43" t="str">
        <f>'[2]SR-78 EB'!H7</f>
        <v>SR-78 EB</v>
      </c>
      <c r="C7" s="126">
        <f>'[2]SR-78 EB'!E7</f>
        <v>8831</v>
      </c>
      <c r="D7" s="188">
        <f>'[2]SR-78 EB'!I7</f>
        <v>11</v>
      </c>
      <c r="E7" s="189">
        <f>'[2]SR-78 EB'!J7</f>
        <v>0</v>
      </c>
      <c r="F7" s="189" t="str">
        <f>'[2]SR-78 EB'!K7</f>
        <v>COLLEGE</v>
      </c>
      <c r="G7" s="189" t="str">
        <f>'[2]SR-78 EB'!L7</f>
        <v>PLAZA</v>
      </c>
      <c r="H7" s="197">
        <f>'[2]SR-78 EB'!O7</f>
        <v>13844</v>
      </c>
      <c r="I7" s="198">
        <f>VLOOKUP(c_23[[#This Row],[hwycov_id]],readme!D:G,4,FALSE)</f>
        <v>15029.502930000001</v>
      </c>
      <c r="J7" s="206">
        <f t="shared" si="1"/>
        <v>8.5632976740826372E-2</v>
      </c>
      <c r="K7" s="190" t="str">
        <f>'[2]SR-78 EB'!P7</f>
        <v>PeMS2016</v>
      </c>
      <c r="L7" s="148">
        <f t="shared" si="2"/>
        <v>1405417.1970385863</v>
      </c>
      <c r="M7" s="44"/>
    </row>
    <row r="8" spans="1:35" ht="15" customHeight="1" x14ac:dyDescent="0.25">
      <c r="A8" s="43">
        <f>'[2]SR-78 EB'!C8</f>
        <v>23</v>
      </c>
      <c r="B8" s="43" t="str">
        <f>'[2]SR-78 EB'!H8</f>
        <v>SR-78 EB</v>
      </c>
      <c r="C8" s="126">
        <f>'[2]SR-78 EB'!E8</f>
        <v>8830</v>
      </c>
      <c r="D8" s="188">
        <f>'[2]SR-78 EB'!I8</f>
        <v>12</v>
      </c>
      <c r="E8" s="189">
        <f>'[2]SR-78 EB'!J8</f>
        <v>0</v>
      </c>
      <c r="F8" s="189" t="str">
        <f>'[2]SR-78 EB'!K8</f>
        <v>PLAZA</v>
      </c>
      <c r="G8" s="189" t="str">
        <f>'[2]SR-78 EB'!L8</f>
        <v>PLAZA</v>
      </c>
      <c r="H8" s="197">
        <f>'[2]SR-78 EB'!O8</f>
        <v>13469</v>
      </c>
      <c r="I8" s="198">
        <f>VLOOKUP(c_23[[#This Row],[hwycov_id]],readme!D:G,4,FALSE)</f>
        <v>13243.988281</v>
      </c>
      <c r="J8" s="206">
        <f t="shared" si="1"/>
        <v>-1.6705896428836575E-2</v>
      </c>
      <c r="K8" s="190" t="str">
        <f>'[2]SR-78 EB'!P8</f>
        <v>PeMS2016</v>
      </c>
      <c r="L8" s="148">
        <f t="shared" si="2"/>
        <v>50630.273687335</v>
      </c>
      <c r="M8" s="44"/>
    </row>
    <row r="9" spans="1:35" ht="15" customHeight="1" x14ac:dyDescent="0.25">
      <c r="A9" s="43">
        <f>'[2]SR-78 EB'!C9</f>
        <v>23</v>
      </c>
      <c r="B9" s="43" t="str">
        <f>'[2]SR-78 EB'!H9</f>
        <v>SR-78 EB</v>
      </c>
      <c r="C9" s="126">
        <f>'[2]SR-78 EB'!E9</f>
        <v>16566</v>
      </c>
      <c r="D9" s="188">
        <f>'[2]SR-78 EB'!I9</f>
        <v>14</v>
      </c>
      <c r="E9" s="189">
        <f>'[2]SR-78 EB'!J9</f>
        <v>0</v>
      </c>
      <c r="F9" s="189" t="str">
        <f>'[2]SR-78 EB'!K9</f>
        <v>EMERALD</v>
      </c>
      <c r="G9" s="189" t="str">
        <f>'[2]SR-78 EB'!L9</f>
        <v>EMERALD</v>
      </c>
      <c r="H9" s="197">
        <f>'[2]SR-78 EB'!O9</f>
        <v>13311</v>
      </c>
      <c r="I9" s="198">
        <f>VLOOKUP(c_23[[#This Row],[hwycov_id]],readme!D:G,4,FALSE)</f>
        <v>13378.260742</v>
      </c>
      <c r="J9" s="206">
        <f t="shared" si="1"/>
        <v>5.0530194575915122E-3</v>
      </c>
      <c r="K9" s="190" t="str">
        <f>'[2]SR-78 EB'!P9</f>
        <v>PeMS2016</v>
      </c>
      <c r="L9" s="148">
        <f t="shared" si="2"/>
        <v>4524.0074143906168</v>
      </c>
      <c r="M9" s="44"/>
    </row>
    <row r="10" spans="1:35" ht="15" customHeight="1" x14ac:dyDescent="0.25">
      <c r="A10" s="43">
        <f>'[2]SR-78 EB'!C10</f>
        <v>23</v>
      </c>
      <c r="B10" s="43" t="str">
        <f>'[2]SR-78 EB'!H10</f>
        <v>SR-78 EB</v>
      </c>
      <c r="C10" s="126">
        <f>'[2]SR-78 EB'!E10</f>
        <v>16565</v>
      </c>
      <c r="D10" s="188">
        <f>'[2]SR-78 EB'!I10</f>
        <v>15</v>
      </c>
      <c r="E10" s="189">
        <f>'[2]SR-78 EB'!J10</f>
        <v>1</v>
      </c>
      <c r="F10" s="189" t="str">
        <f>'[2]SR-78 EB'!K10</f>
        <v>EMERALD</v>
      </c>
      <c r="G10" s="189" t="str">
        <f>'[2]SR-78 EB'!L10</f>
        <v>MELROSE</v>
      </c>
      <c r="H10" s="197">
        <f>'[2]SR-78 EB'!O10</f>
        <v>16661</v>
      </c>
      <c r="I10" s="198">
        <f>VLOOKUP(c_23[[#This Row],[hwycov_id]],readme!D:G,4,FALSE)</f>
        <v>15961.9375</v>
      </c>
      <c r="J10" s="206">
        <f t="shared" si="1"/>
        <v>-4.1958015725346631E-2</v>
      </c>
      <c r="K10" s="190" t="str">
        <f>'[2]SR-78 EB'!P10</f>
        <v>Caltran</v>
      </c>
      <c r="L10" s="148">
        <f t="shared" si="2"/>
        <v>488688.37890625</v>
      </c>
      <c r="M10" s="44"/>
    </row>
    <row r="11" spans="1:35" ht="15" customHeight="1" x14ac:dyDescent="0.25">
      <c r="A11" s="43">
        <f>'[2]SR-78 EB'!C11</f>
        <v>23</v>
      </c>
      <c r="B11" s="43" t="str">
        <f>'[2]SR-78 EB'!H11</f>
        <v>SR-78 EB</v>
      </c>
      <c r="C11" s="126">
        <f>'[2]SR-78 EB'!E11</f>
        <v>7872</v>
      </c>
      <c r="D11" s="188">
        <f>'[2]SR-78 EB'!I11</f>
        <v>18</v>
      </c>
      <c r="E11" s="189">
        <f>'[2]SR-78 EB'!J11</f>
        <v>0</v>
      </c>
      <c r="F11" s="189" t="str">
        <f>'[2]SR-78 EB'!K11</f>
        <v>MELROSE</v>
      </c>
      <c r="G11" s="189" t="str">
        <f>'[2]SR-78 EB'!L11</f>
        <v>MELROSE</v>
      </c>
      <c r="H11" s="197">
        <f>'[2]SR-78 EB'!O11</f>
        <v>11425</v>
      </c>
      <c r="I11" s="198">
        <f>VLOOKUP(c_23[[#This Row],[hwycov_id]],readme!D:G,4,FALSE)</f>
        <v>12476.134765999999</v>
      </c>
      <c r="J11" s="206">
        <f t="shared" si="1"/>
        <v>9.2003042975929983E-2</v>
      </c>
      <c r="K11" s="190" t="str">
        <f>'[2]SR-78 EB'!P11</f>
        <v>PeMS2016</v>
      </c>
      <c r="L11" s="148">
        <f t="shared" si="2"/>
        <v>1104884.2962938731</v>
      </c>
      <c r="M11" s="44"/>
    </row>
    <row r="12" spans="1:35" ht="15" customHeight="1" x14ac:dyDescent="0.25">
      <c r="A12" s="43">
        <f>'[2]SR-78 EB'!C12</f>
        <v>23</v>
      </c>
      <c r="B12" s="43" t="str">
        <f>'[2]SR-78 EB'!H12</f>
        <v>SR-78 EB</v>
      </c>
      <c r="C12" s="126">
        <f>'[2]SR-78 EB'!E12</f>
        <v>27247</v>
      </c>
      <c r="D12" s="188">
        <f>'[2]SR-78 EB'!I12</f>
        <v>20</v>
      </c>
      <c r="E12" s="189">
        <f>'[2]SR-78 EB'!J12</f>
        <v>0</v>
      </c>
      <c r="F12" s="189" t="str">
        <f>'[2]SR-78 EB'!K12</f>
        <v>SUNSET</v>
      </c>
      <c r="G12" s="189" t="str">
        <f>'[2]SR-78 EB'!L12</f>
        <v>SUNSET</v>
      </c>
      <c r="H12" s="197">
        <f>'[2]SR-78 EB'!O12</f>
        <v>11810</v>
      </c>
      <c r="I12" s="198">
        <f>VLOOKUP(c_23[[#This Row],[hwycov_id]],readme!D:G,4,FALSE)</f>
        <v>13279.395508</v>
      </c>
      <c r="J12" s="206">
        <f t="shared" si="1"/>
        <v>0.12441960270956809</v>
      </c>
      <c r="K12" s="190" t="str">
        <f>'[2]SR-78 EB'!P12</f>
        <v>PeMS2016</v>
      </c>
      <c r="L12" s="148">
        <f t="shared" si="2"/>
        <v>2159123.1589305769</v>
      </c>
      <c r="M12" s="44"/>
    </row>
    <row r="13" spans="1:35" ht="15" customHeight="1" x14ac:dyDescent="0.25">
      <c r="A13" s="43">
        <f>'[2]SR-78 EB'!C13</f>
        <v>23</v>
      </c>
      <c r="B13" s="43" t="str">
        <f>'[2]SR-78 EB'!H13</f>
        <v>SR-78 EB</v>
      </c>
      <c r="C13" s="126">
        <f>'[2]SR-78 EB'!E13</f>
        <v>7873</v>
      </c>
      <c r="D13" s="188">
        <f>'[2]SR-78 EB'!I13</f>
        <v>22</v>
      </c>
      <c r="E13" s="189">
        <f>'[2]SR-78 EB'!J13</f>
        <v>0</v>
      </c>
      <c r="F13" s="189" t="str">
        <f>'[2]SR-78 EB'!K13</f>
        <v>MAR VISTA</v>
      </c>
      <c r="G13" s="189" t="str">
        <f>'[2]SR-78 EB'!L13</f>
        <v>MAR VISTA</v>
      </c>
      <c r="H13" s="197">
        <f>'[2]SR-78 EB'!O13</f>
        <v>13522</v>
      </c>
      <c r="I13" s="198">
        <f>VLOOKUP(c_23[[#This Row],[hwycov_id]],readme!D:G,4,FALSE)</f>
        <v>14044.342773</v>
      </c>
      <c r="J13" s="206">
        <f t="shared" si="1"/>
        <v>3.8629106123354573E-2</v>
      </c>
      <c r="K13" s="190" t="str">
        <f>'[2]SR-78 EB'!P13</f>
        <v>PeMS2016</v>
      </c>
      <c r="L13" s="148">
        <f t="shared" si="2"/>
        <v>272841.97250532988</v>
      </c>
      <c r="M13" s="44"/>
      <c r="O13" s="26"/>
    </row>
    <row r="14" spans="1:35" ht="15" customHeight="1" x14ac:dyDescent="0.25">
      <c r="A14" s="43">
        <f>'[2]SR-78 EB'!C14</f>
        <v>23</v>
      </c>
      <c r="B14" s="43" t="str">
        <f>'[2]SR-78 EB'!H14</f>
        <v>SR-78 EB</v>
      </c>
      <c r="C14" s="126">
        <f>'[2]SR-78 EB'!E14</f>
        <v>8840</v>
      </c>
      <c r="D14" s="188">
        <f>'[2]SR-78 EB'!I14</f>
        <v>24</v>
      </c>
      <c r="E14" s="189">
        <f>'[2]SR-78 EB'!J14</f>
        <v>0</v>
      </c>
      <c r="F14" s="189" t="str">
        <f>'[2]SR-78 EB'!K14</f>
        <v>SYCAMORE</v>
      </c>
      <c r="G14" s="189" t="str">
        <f>'[2]SR-78 EB'!L14</f>
        <v>SYCAMORE</v>
      </c>
      <c r="H14" s="197">
        <f>'[2]SR-78 EB'!O14</f>
        <v>11323</v>
      </c>
      <c r="I14" s="198">
        <f>VLOOKUP(c_23[[#This Row],[hwycov_id]],readme!D:G,4,FALSE)</f>
        <v>13894.675781</v>
      </c>
      <c r="J14" s="206">
        <f t="shared" si="1"/>
        <v>0.22711964859136269</v>
      </c>
      <c r="K14" s="190" t="str">
        <f>'[2]SR-78 EB'!P14</f>
        <v>PeMS2016</v>
      </c>
      <c r="L14" s="148">
        <f t="shared" si="2"/>
        <v>6613516.3225819599</v>
      </c>
      <c r="M14" s="44"/>
    </row>
    <row r="15" spans="1:35" ht="15" customHeight="1" x14ac:dyDescent="0.25">
      <c r="A15" s="43">
        <f>'[2]SR-78 EB'!C15</f>
        <v>23</v>
      </c>
      <c r="B15" s="43" t="str">
        <f>'[2]SR-78 EB'!H15</f>
        <v>SR-78 EB</v>
      </c>
      <c r="C15" s="126">
        <f>'[2]SR-78 EB'!E15</f>
        <v>8841</v>
      </c>
      <c r="D15" s="188">
        <f>'[2]SR-78 EB'!I15</f>
        <v>27</v>
      </c>
      <c r="E15" s="189">
        <f>'[2]SR-78 EB'!J15</f>
        <v>0</v>
      </c>
      <c r="F15" s="189" t="str">
        <f>'[2]SR-78 EB'!K15</f>
        <v>SYCAMORE</v>
      </c>
      <c r="G15" s="189" t="str">
        <f>'[2]SR-78 EB'!L15</f>
        <v>RANCHO SANTA FE</v>
      </c>
      <c r="H15" s="197">
        <f>'[2]SR-78 EB'!O15</f>
        <v>13576</v>
      </c>
      <c r="I15" s="198">
        <f>VLOOKUP(c_23[[#This Row],[hwycov_id]],readme!D:G,4,FALSE)</f>
        <v>17164.515625</v>
      </c>
      <c r="J15" s="206">
        <f t="shared" si="1"/>
        <v>0.26432790402180317</v>
      </c>
      <c r="K15" s="190" t="str">
        <f>'[2]SR-78 EB'!P15</f>
        <v>Caltran</v>
      </c>
      <c r="L15" s="148">
        <f t="shared" si="2"/>
        <v>12877444.390869141</v>
      </c>
      <c r="M15" s="44"/>
    </row>
    <row r="16" spans="1:35" ht="15" customHeight="1" x14ac:dyDescent="0.25">
      <c r="A16" s="43">
        <f>'[2]SR-78 EB'!C16</f>
        <v>23</v>
      </c>
      <c r="B16" s="43" t="str">
        <f>'[2]SR-78 EB'!H16</f>
        <v>SR-78 EB</v>
      </c>
      <c r="C16" s="126">
        <f>'[2]SR-78 EB'!E16</f>
        <v>29182</v>
      </c>
      <c r="D16" s="188">
        <f>'[2]SR-78 EB'!I16</f>
        <v>28</v>
      </c>
      <c r="E16" s="189">
        <f>'[2]SR-78 EB'!J16</f>
        <v>0</v>
      </c>
      <c r="F16" s="189" t="str">
        <f>'[2]SR-78 EB'!K16</f>
        <v>RANCHO SANTA FE</v>
      </c>
      <c r="G16" s="189" t="str">
        <f>'[2]SR-78 EB'!L16</f>
        <v>RANCHO SANTA FE</v>
      </c>
      <c r="H16" s="197">
        <f>'[2]SR-78 EB'!O16</f>
        <v>12174</v>
      </c>
      <c r="I16" s="198">
        <f>VLOOKUP(c_23[[#This Row],[hwycov_id]],readme!D:G,4,FALSE)</f>
        <v>15430.165039</v>
      </c>
      <c r="J16" s="206">
        <f t="shared" si="1"/>
        <v>0.26746878914079186</v>
      </c>
      <c r="K16" s="190" t="str">
        <f>'[2]SR-78 EB'!P16</f>
        <v>PeMS2016</v>
      </c>
      <c r="L16" s="148">
        <f t="shared" si="2"/>
        <v>10602610.761205869</v>
      </c>
      <c r="M16" s="44"/>
    </row>
    <row r="17" spans="1:13" ht="15" customHeight="1" x14ac:dyDescent="0.25">
      <c r="A17" s="43">
        <f>'[2]SR-78 EB'!C17</f>
        <v>23</v>
      </c>
      <c r="B17" s="43" t="str">
        <f>'[2]SR-78 EB'!H17</f>
        <v>SR-78 EB</v>
      </c>
      <c r="C17" s="126">
        <f>'[2]SR-78 EB'!E17</f>
        <v>16428</v>
      </c>
      <c r="D17" s="188">
        <f>'[2]SR-78 EB'!I17</f>
        <v>29</v>
      </c>
      <c r="E17" s="189">
        <f>'[2]SR-78 EB'!J17</f>
        <v>0</v>
      </c>
      <c r="F17" s="189" t="str">
        <f>'[2]SR-78 EB'!K17</f>
        <v>RANCHO SANTA FE</v>
      </c>
      <c r="G17" s="189" t="str">
        <f>'[2]SR-78 EB'!L17</f>
        <v>LAS POSAS</v>
      </c>
      <c r="H17" s="197">
        <f>'[2]SR-78 EB'!O17</f>
        <v>14152</v>
      </c>
      <c r="I17" s="198">
        <f>VLOOKUP(c_23[[#This Row],[hwycov_id]],readme!D:G,4,FALSE)</f>
        <v>18340.689452999999</v>
      </c>
      <c r="J17" s="206">
        <f t="shared" si="1"/>
        <v>0.29597862160825317</v>
      </c>
      <c r="K17" s="190" t="str">
        <f>'[2]SR-78 EB'!P17</f>
        <v>Caltran</v>
      </c>
      <c r="L17" s="148">
        <f t="shared" si="2"/>
        <v>17545119.333673432</v>
      </c>
      <c r="M17" s="44"/>
    </row>
    <row r="18" spans="1:13" ht="15" customHeight="1" x14ac:dyDescent="0.25">
      <c r="A18" s="43">
        <f>'[2]SR-78 EB'!C18</f>
        <v>23</v>
      </c>
      <c r="B18" s="43" t="str">
        <f>'[2]SR-78 EB'!H18</f>
        <v>SR-78 EB</v>
      </c>
      <c r="C18" s="126">
        <f>'[2]SR-78 EB'!E18</f>
        <v>19571</v>
      </c>
      <c r="D18" s="188">
        <f>'[2]SR-78 EB'!I18</f>
        <v>33</v>
      </c>
      <c r="E18" s="189">
        <f>'[2]SR-78 EB'!J18</f>
        <v>0</v>
      </c>
      <c r="F18" s="189" t="str">
        <f>'[2]SR-78 EB'!K18</f>
        <v>LAS POSAS</v>
      </c>
      <c r="G18" s="189" t="str">
        <f>'[2]SR-78 EB'!L18</f>
        <v>SAN MARCOS</v>
      </c>
      <c r="H18" s="197">
        <f>'[2]SR-78 EB'!O18</f>
        <v>11206</v>
      </c>
      <c r="I18" s="198">
        <f>VLOOKUP(c_23[[#This Row],[hwycov_id]],readme!D:G,4,FALSE)</f>
        <v>16209.459961</v>
      </c>
      <c r="J18" s="206">
        <f t="shared" si="1"/>
        <v>0.44649830099946453</v>
      </c>
      <c r="K18" s="190" t="str">
        <f>'[2]SR-78 EB'!P18</f>
        <v>PeMS2016</v>
      </c>
      <c r="L18" s="148">
        <f t="shared" si="2"/>
        <v>25034611.581330128</v>
      </c>
      <c r="M18" s="44"/>
    </row>
    <row r="19" spans="1:13" ht="15" customHeight="1" x14ac:dyDescent="0.25">
      <c r="A19" s="43">
        <f>'[2]SR-78 EB'!C19</f>
        <v>23</v>
      </c>
      <c r="B19" s="43" t="str">
        <f>'[2]SR-78 EB'!H19</f>
        <v>SR-78 EB</v>
      </c>
      <c r="C19" s="126">
        <f>'[2]SR-78 EB'!E19</f>
        <v>30792</v>
      </c>
      <c r="D19" s="188">
        <f>'[2]SR-78 EB'!I19</f>
        <v>35</v>
      </c>
      <c r="E19" s="189">
        <f>'[2]SR-78 EB'!J19</f>
        <v>0</v>
      </c>
      <c r="F19" s="189" t="str">
        <f>'[2]SR-78 EB'!K19</f>
        <v>SAN MARCOS</v>
      </c>
      <c r="G19" s="189" t="str">
        <f>'[2]SR-78 EB'!L19</f>
        <v>SAN MARCOS</v>
      </c>
      <c r="H19" s="197">
        <f>'[2]SR-78 EB'!O19</f>
        <v>12855</v>
      </c>
      <c r="I19" s="198">
        <f>VLOOKUP(c_23[[#This Row],[hwycov_id]],readme!D:G,4,FALSE)</f>
        <v>17839.464843999998</v>
      </c>
      <c r="J19" s="206">
        <f t="shared" si="1"/>
        <v>0.38774522318164117</v>
      </c>
      <c r="K19" s="190" t="str">
        <f>'[2]SR-78 EB'!P19</f>
        <v>PeMS2016</v>
      </c>
      <c r="L19" s="148">
        <f t="shared" si="2"/>
        <v>24844889.781071927</v>
      </c>
      <c r="M19" s="44"/>
    </row>
    <row r="20" spans="1:13" ht="15" customHeight="1" x14ac:dyDescent="0.25">
      <c r="A20" s="43">
        <f>'[2]SR-78 EB'!C20</f>
        <v>23</v>
      </c>
      <c r="B20" s="43" t="str">
        <f>'[2]SR-78 EB'!H20</f>
        <v>SR-78 EB</v>
      </c>
      <c r="C20" s="126">
        <f>'[2]SR-78 EB'!E20</f>
        <v>16446</v>
      </c>
      <c r="D20" s="188">
        <f>'[2]SR-78 EB'!I20</f>
        <v>37</v>
      </c>
      <c r="E20" s="189">
        <f>'[2]SR-78 EB'!J20</f>
        <v>0</v>
      </c>
      <c r="F20" s="189" t="str">
        <f>'[2]SR-78 EB'!K20</f>
        <v>TWIN OAKS VALLEY</v>
      </c>
      <c r="G20" s="189" t="str">
        <f>'[2]SR-78 EB'!L20</f>
        <v>TWIN OAKS VALLEY</v>
      </c>
      <c r="H20" s="197">
        <f>'[2]SR-78 EB'!O20</f>
        <v>15361</v>
      </c>
      <c r="I20" s="198">
        <f>VLOOKUP(c_23[[#This Row],[hwycov_id]],readme!D:G,4,FALSE)</f>
        <v>19198.648438</v>
      </c>
      <c r="J20" s="206">
        <f t="shared" si="1"/>
        <v>0.24983063850009768</v>
      </c>
      <c r="K20" s="190" t="str">
        <f>'[2]SR-78 EB'!P20</f>
        <v>PeMS2016</v>
      </c>
      <c r="L20" s="148">
        <f t="shared" si="2"/>
        <v>14727545.533683842</v>
      </c>
      <c r="M20" s="44"/>
    </row>
    <row r="21" spans="1:13" ht="15" customHeight="1" x14ac:dyDescent="0.25">
      <c r="A21" s="43">
        <f>'[2]SR-78 EB'!C21</f>
        <v>23</v>
      </c>
      <c r="B21" s="43" t="str">
        <f>'[2]SR-78 EB'!H21</f>
        <v>SR-78 EB</v>
      </c>
      <c r="C21" s="126">
        <f>'[2]SR-78 EB'!E21</f>
        <v>8846</v>
      </c>
      <c r="D21" s="188">
        <f>'[2]SR-78 EB'!I21</f>
        <v>42</v>
      </c>
      <c r="E21" s="189">
        <f>'[2]SR-78 EB'!J21</f>
        <v>0</v>
      </c>
      <c r="F21" s="189" t="str">
        <f>'[2]SR-78 EB'!K21</f>
        <v>WOODLAND</v>
      </c>
      <c r="G21" s="189" t="str">
        <f>'[2]SR-78 EB'!L21</f>
        <v>BARHAM</v>
      </c>
      <c r="H21" s="197">
        <f>'[2]SR-78 EB'!O21</f>
        <v>15772</v>
      </c>
      <c r="I21" s="198">
        <f>VLOOKUP(c_23[[#This Row],[hwycov_id]],readme!D:G,4,FALSE)</f>
        <v>20939.974609000001</v>
      </c>
      <c r="J21" s="206">
        <f t="shared" si="1"/>
        <v>0.32766767746639625</v>
      </c>
      <c r="K21" s="190" t="str">
        <f>'[2]SR-78 EB'!P21</f>
        <v>PeMS2016</v>
      </c>
      <c r="L21" s="148">
        <f t="shared" si="2"/>
        <v>26707961.559268709</v>
      </c>
      <c r="M21" s="44"/>
    </row>
    <row r="22" spans="1:13" ht="15" customHeight="1" x14ac:dyDescent="0.25">
      <c r="A22" s="43">
        <f>'[2]SR-78 EB'!C22</f>
        <v>23</v>
      </c>
      <c r="B22" s="43" t="str">
        <f>'[2]SR-78 EB'!H22</f>
        <v>SR-78 EB</v>
      </c>
      <c r="C22" s="126">
        <f>'[2]SR-78 EB'!E22</f>
        <v>8042</v>
      </c>
      <c r="D22" s="188">
        <f>'[2]SR-78 EB'!I22</f>
        <v>44</v>
      </c>
      <c r="E22" s="189">
        <f>'[2]SR-78 EB'!J22</f>
        <v>0</v>
      </c>
      <c r="F22" s="189" t="str">
        <f>'[2]SR-78 EB'!K22</f>
        <v>NORDAHL</v>
      </c>
      <c r="G22" s="189" t="str">
        <f>'[2]SR-78 EB'!L22</f>
        <v>NORDAHL</v>
      </c>
      <c r="H22" s="197">
        <f>'[2]SR-78 EB'!O22</f>
        <v>18047</v>
      </c>
      <c r="I22" s="198">
        <f>VLOOKUP(c_23[[#This Row],[hwycov_id]],readme!D:G,4,FALSE)</f>
        <v>20493.337890999999</v>
      </c>
      <c r="J22" s="206">
        <f t="shared" si="1"/>
        <v>0.1355537148002437</v>
      </c>
      <c r="K22" s="190" t="str">
        <f>'[2]SR-78 EB'!P22</f>
        <v>PeMS2016</v>
      </c>
      <c r="L22" s="148">
        <f t="shared" si="2"/>
        <v>5984569.0769423237</v>
      </c>
      <c r="M22" s="44"/>
    </row>
    <row r="23" spans="1:13" ht="15" customHeight="1" x14ac:dyDescent="0.25">
      <c r="A23" s="43">
        <f>'[2]SR-78 EB'!C23</f>
        <v>23</v>
      </c>
      <c r="B23" s="43" t="str">
        <f>'[2]SR-78 EB'!H23</f>
        <v>SR-78 EB</v>
      </c>
      <c r="C23" s="126">
        <f>'[2]SR-78 EB'!E23</f>
        <v>12838</v>
      </c>
      <c r="D23" s="188">
        <f>'[2]SR-78 EB'!I23</f>
        <v>45</v>
      </c>
      <c r="E23" s="189">
        <f>'[2]SR-78 EB'!J23</f>
        <v>0</v>
      </c>
      <c r="F23" s="189" t="str">
        <f>'[2]SR-78 EB'!K23</f>
        <v>NORDAHL</v>
      </c>
      <c r="G23" s="189" t="str">
        <f>'[2]SR-78 EB'!L23</f>
        <v>I-15 SB</v>
      </c>
      <c r="H23" s="197">
        <f>'[2]SR-78 EB'!O23</f>
        <v>21956</v>
      </c>
      <c r="I23" s="198">
        <f>VLOOKUP(c_23[[#This Row],[hwycov_id]],readme!D:G,4,FALSE)</f>
        <v>22969.519531000002</v>
      </c>
      <c r="J23" s="206">
        <f>I23/H23-1</f>
        <v>4.6161392375660526E-2</v>
      </c>
      <c r="K23" s="190" t="str">
        <f>'[2]SR-78 EB'!P23</f>
        <v>PeMS2016</v>
      </c>
      <c r="L23" s="148">
        <f t="shared" si="2"/>
        <v>1027221.8397184635</v>
      </c>
      <c r="M23" s="44"/>
    </row>
    <row r="24" spans="1:13" ht="15" customHeight="1" x14ac:dyDescent="0.25">
      <c r="A24" s="43">
        <f>'[2]SR-78 EB'!C24</f>
        <v>23</v>
      </c>
      <c r="B24" s="43" t="str">
        <f>'[2]SR-78 EB'!H24</f>
        <v>SR-78 EB</v>
      </c>
      <c r="C24" s="126">
        <f>'[2]SR-78 EB'!E24</f>
        <v>12841</v>
      </c>
      <c r="D24" s="188">
        <f>'[2]SR-78 EB'!I24</f>
        <v>46</v>
      </c>
      <c r="E24" s="189">
        <f>'[2]SR-78 EB'!J24</f>
        <v>0</v>
      </c>
      <c r="F24" s="189" t="str">
        <f>'[2]SR-78 EB'!K24</f>
        <v>I-15 SB</v>
      </c>
      <c r="G24" s="189" t="str">
        <f>'[2]SR-78 EB'!L24</f>
        <v>I-15 NB</v>
      </c>
      <c r="H24" s="197">
        <f>'[2]SR-78 EB'!O24</f>
        <v>10358</v>
      </c>
      <c r="I24" s="198">
        <f>VLOOKUP(c_23[[#This Row],[hwycov_id]],readme!D:G,4,FALSE)</f>
        <v>10515.212890999999</v>
      </c>
      <c r="J24" s="206">
        <f t="shared" ref="J24" si="3">I24/H24-1</f>
        <v>1.5177919579069332E-2</v>
      </c>
      <c r="K24" s="190" t="str">
        <f>'[2]SR-78 EB'!P24</f>
        <v>PeMS2016</v>
      </c>
      <c r="L24" s="148">
        <f t="shared" ref="L24" si="4">POWER((I24-H24),2)</f>
        <v>24715.893096577634</v>
      </c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</sheetData>
  <conditionalFormatting sqref="N2:N15 J27:K1048576">
    <cfRule type="cellIs" dxfId="117" priority="7" operator="lessThan">
      <formula>-0.2</formula>
    </cfRule>
    <cfRule type="cellIs" dxfId="116" priority="8" operator="greaterThan">
      <formula>0.2</formula>
    </cfRule>
  </conditionalFormatting>
  <conditionalFormatting sqref="J2:J24">
    <cfRule type="cellIs" dxfId="115" priority="3" operator="lessThan">
      <formula>-0.2</formula>
    </cfRule>
    <cfRule type="cellIs" dxfId="114" priority="4" operator="greaterThan">
      <formula>0.2</formula>
    </cfRule>
  </conditionalFormatting>
  <conditionalFormatting sqref="N1">
    <cfRule type="cellIs" dxfId="113" priority="1" operator="lessThan">
      <formula>-0.2</formula>
    </cfRule>
    <cfRule type="cellIs" dxfId="1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6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6.7109375" style="25" bestFit="1" customWidth="1"/>
    <col min="7" max="7" width="22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SQRT(AVERAGE(c_24[x2]))/AVERAGE(c_24[count])</f>
        <v>0.23912902400494074</v>
      </c>
      <c r="O1" s="69">
        <f>LINEST(c_24[flow],c_24[count],FALSE)</f>
        <v>1.1831760769777189</v>
      </c>
      <c r="P1" s="69">
        <f>RSQ(c_24[flow],c_24[count])</f>
        <v>0.70284462896600752</v>
      </c>
      <c r="Q1" s="19">
        <f>IFERROR(AVERAGEIF(c_24[gap],"&gt;=0",c_24[gap]),0)</f>
        <v>0.25424841021293776</v>
      </c>
      <c r="R1" s="20">
        <f>IFERROR(AVERAGEIF(c_24[gap],"&lt;0",c_24[gap]),0)</f>
        <v>-9.4230692944947847E-2</v>
      </c>
      <c r="S1" s="13">
        <f>AVERAGE(c_24[gap])</f>
        <v>0.21068852231820206</v>
      </c>
      <c r="T1" s="18">
        <f>COUNTIFS(c_24[gap],"&lt;10%",c_24[gap],"&gt;=-10%")/COUNTA(c_24[gap])</f>
        <v>0.1875</v>
      </c>
      <c r="U1" s="18">
        <f>COUNTIFS(c_24[gap],"&lt;20%",c_24[gap],"&gt;=-20%")/COUNTA(c_24[gap])</f>
        <v>0.625</v>
      </c>
      <c r="V1" s="18">
        <f>COUNTIFS(c_24[gap],"&lt;30%",c_24[gap],"&gt;=-30%")/COUNTA(c_24[gap])</f>
        <v>0.875</v>
      </c>
      <c r="W1" s="19">
        <f>COUNTIF(c_24[gap],"&gt;=0")/COUNTA(c_24[gap])</f>
        <v>0.875</v>
      </c>
      <c r="X1" s="21">
        <f>COUNTIF(c_24[gap],"&lt;0")/COUNTA(c_24[gap])</f>
        <v>0.125</v>
      </c>
      <c r="Y1" s="6" t="str">
        <f>"%Link(+)="&amp;TEXT(W1,"0%")</f>
        <v>%Link(+)=88%</v>
      </c>
      <c r="Z1" s="6" t="str">
        <f>"%Link(-)="&amp;TEXT(X1,"0%")</f>
        <v>%Link(-)=13%</v>
      </c>
      <c r="AA1" s="36" t="str">
        <f>"AvgGap(+)="&amp;TEXT(Q1,"0%")</f>
        <v>AvgGap(+)=25%</v>
      </c>
      <c r="AB1" s="25" t="str">
        <f>"AvgGap(-)="&amp;TEXT(R1,"0%")</f>
        <v>AvgGap(-)=-9%</v>
      </c>
      <c r="AC1" s="25" t="str">
        <f>"AvgGap(±)="&amp;TEXT(S1,"0%")</f>
        <v>AvgGap(±)=21%</v>
      </c>
      <c r="AD1" s="25" t="str">
        <f>"GapIn(±10%)="&amp;TEXT(T1,"0%")</f>
        <v>GapIn(±10%)=19%</v>
      </c>
      <c r="AE1" s="25" t="str">
        <f>"GapIn(±20%)="&amp;TEXT(U1,"0%")</f>
        <v>GapIn(±20%)=63%</v>
      </c>
      <c r="AF1" s="25" t="str">
        <f>"GapIn(±30%)="&amp;TEXT(V1,"0%")</f>
        <v>GapIn(±30%)=88%</v>
      </c>
      <c r="AG1" s="25" t="str">
        <f>"Linear Slope="&amp;TEXT(O1,"#.###")</f>
        <v>Linear Slope=1.183</v>
      </c>
      <c r="AH1" s="25" t="str">
        <f>"RMSE="&amp;TEXT(N1,"0%")</f>
        <v>RMSE=24%</v>
      </c>
      <c r="AI1" s="25" t="str">
        <f>CONCATENATE(Y1," ",Z1," ",AA1,"  ",AB1,"  ",AC1,"  ",AD1," ",AE1,"  ",AF1,"  ",AG1," ",AH1)</f>
        <v>%Link(+)=88% %Link(-)=13% AvgGap(+)=25%  AvgGap(-)=-9%  AvgGap(±)=21%  GapIn(±10%)=19% GapIn(±20%)=63%  GapIn(±30%)=88%  Linear Slope=1.183 RMSE=24%</v>
      </c>
    </row>
    <row r="2" spans="1:35" ht="15" customHeight="1" x14ac:dyDescent="0.25">
      <c r="A2" s="43">
        <f>'[2]SR-52 EB'!C2</f>
        <v>24</v>
      </c>
      <c r="B2" s="43" t="str">
        <f>'[2]SR-52 EB'!H2</f>
        <v>SR-52 EB</v>
      </c>
      <c r="C2" s="126">
        <f>'[2]SR-52 EB'!E2</f>
        <v>28466</v>
      </c>
      <c r="D2" s="188">
        <f>'[2]SR-52 EB'!I2</f>
        <v>1</v>
      </c>
      <c r="E2" s="189">
        <f>'[2]SR-52 EB'!J2</f>
        <v>0</v>
      </c>
      <c r="F2" s="189" t="str">
        <f>'[2]SR-52 EB'!K2</f>
        <v>RAMP SR-52 EB</v>
      </c>
      <c r="G2" s="189" t="str">
        <f>'[2]SR-52 EB'!L2</f>
        <v>I-5 SB</v>
      </c>
      <c r="H2" s="197">
        <f>'[2]SR-52 EB'!O2</f>
        <v>12559</v>
      </c>
      <c r="I2" s="198">
        <f>VLOOKUP(c_24[[#This Row],[hwycov_id]],readme!D:G,4,FALSE)</f>
        <v>10440.34375</v>
      </c>
      <c r="J2" s="206">
        <f>I2/H2-1</f>
        <v>-0.16869625368261809</v>
      </c>
      <c r="K2" s="190" t="str">
        <f>'[2]SR-52 EB'!P2</f>
        <v>PeMS2016</v>
      </c>
      <c r="L2" s="148">
        <f t="shared" ref="L2" si="0">POWER((I2-H2),2)</f>
        <v>4488704.3056640625</v>
      </c>
      <c r="M2" s="44"/>
    </row>
    <row r="3" spans="1:35" ht="15" customHeight="1" x14ac:dyDescent="0.25">
      <c r="A3" s="43">
        <f>'[2]SR-52 EB'!C3</f>
        <v>24</v>
      </c>
      <c r="B3" s="43" t="str">
        <f>'[2]SR-52 EB'!H3</f>
        <v>SR-52 EB</v>
      </c>
      <c r="C3" s="126">
        <f>'[2]SR-52 EB'!E3</f>
        <v>28276</v>
      </c>
      <c r="D3" s="188">
        <f>'[2]SR-52 EB'!I3</f>
        <v>3</v>
      </c>
      <c r="E3" s="189">
        <f>'[2]SR-52 EB'!J3</f>
        <v>0</v>
      </c>
      <c r="F3" s="189" t="str">
        <f>'[2]SR-52 EB'!K3</f>
        <v>REGENTS</v>
      </c>
      <c r="G3" s="189" t="str">
        <f>'[2]SR-52 EB'!L3</f>
        <v>REGENTS</v>
      </c>
      <c r="H3" s="197">
        <f>'[2]SR-52 EB'!O3</f>
        <v>9591</v>
      </c>
      <c r="I3" s="198">
        <f>VLOOKUP(c_24[[#This Row],[hwycov_id]],readme!D:G,4,FALSE)</f>
        <v>9401.4326170000004</v>
      </c>
      <c r="J3" s="206">
        <f t="shared" ref="J3:J4" si="1">I3/H3-1</f>
        <v>-1.9765132207277603E-2</v>
      </c>
      <c r="K3" s="190" t="str">
        <f>'[2]SR-52 EB'!P3</f>
        <v>PeMS2016</v>
      </c>
      <c r="L3" s="148">
        <f t="shared" ref="L3:L4" si="2">POWER((I3-H3),2)</f>
        <v>35935.79269746854</v>
      </c>
      <c r="M3" s="44"/>
    </row>
    <row r="4" spans="1:35" ht="15" customHeight="1" x14ac:dyDescent="0.25">
      <c r="A4" s="43">
        <f>'[2]SR-52 EB'!C4</f>
        <v>24</v>
      </c>
      <c r="B4" s="43" t="str">
        <f>'[2]SR-52 EB'!H4</f>
        <v>SR-52 EB</v>
      </c>
      <c r="C4" s="126">
        <f>'[2]SR-52 EB'!E4</f>
        <v>28281</v>
      </c>
      <c r="D4" s="188">
        <f>'[2]SR-52 EB'!I4</f>
        <v>4</v>
      </c>
      <c r="E4" s="189">
        <f>'[2]SR-52 EB'!J4</f>
        <v>0</v>
      </c>
      <c r="F4" s="189" t="str">
        <f>'[2]SR-52 EB'!K4</f>
        <v>REGENTS</v>
      </c>
      <c r="G4" s="189" t="str">
        <f>'[2]SR-52 EB'!L4</f>
        <v>GENESEE</v>
      </c>
      <c r="H4" s="197">
        <f>'[2]SR-52 EB'!O4</f>
        <v>10970</v>
      </c>
      <c r="I4" s="198">
        <f>VLOOKUP(c_24[[#This Row],[hwycov_id]],readme!D:G,4,FALSE)</f>
        <v>11307.59375</v>
      </c>
      <c r="J4" s="206">
        <f t="shared" si="1"/>
        <v>3.0774270738377352E-2</v>
      </c>
      <c r="K4" s="190" t="str">
        <f>'[2]SR-52 EB'!P4</f>
        <v>PeMS2016</v>
      </c>
      <c r="L4" s="148">
        <f t="shared" si="2"/>
        <v>113969.5400390625</v>
      </c>
      <c r="M4" s="44"/>
    </row>
    <row r="5" spans="1:35" ht="15" customHeight="1" x14ac:dyDescent="0.25">
      <c r="A5" s="43">
        <f>'[2]SR-52 EB'!C5</f>
        <v>24</v>
      </c>
      <c r="B5" s="43" t="str">
        <f>'[2]SR-52 EB'!H5</f>
        <v>SR-52 EB</v>
      </c>
      <c r="C5" s="126">
        <f>'[2]SR-52 EB'!E5</f>
        <v>11095</v>
      </c>
      <c r="D5" s="188">
        <f>'[2]SR-52 EB'!I5</f>
        <v>6</v>
      </c>
      <c r="E5" s="189">
        <f>'[2]SR-52 EB'!J5</f>
        <v>0</v>
      </c>
      <c r="F5" s="189" t="str">
        <f>'[2]SR-52 EB'!K5</f>
        <v>GENESEE</v>
      </c>
      <c r="G5" s="189" t="str">
        <f>'[2]SR-52 EB'!L5</f>
        <v>I-805 SB</v>
      </c>
      <c r="H5" s="197">
        <f>'[2]SR-52 EB'!O5</f>
        <v>11876</v>
      </c>
      <c r="I5" s="198">
        <f>VLOOKUP(c_24[[#This Row],[hwycov_id]],readme!D:G,4,FALSE)</f>
        <v>14191.337890999999</v>
      </c>
      <c r="J5" s="206">
        <f t="shared" ref="J5:J17" si="3">I5/H5-1</f>
        <v>0.19495940476591445</v>
      </c>
      <c r="K5" s="190" t="str">
        <f>'[2]SR-52 EB'!P5</f>
        <v>Caltran</v>
      </c>
      <c r="L5" s="148">
        <f t="shared" ref="L5:L17" si="4">POWER((I5-H5),2)</f>
        <v>5360789.5495003238</v>
      </c>
      <c r="M5" s="44"/>
    </row>
    <row r="6" spans="1:35" ht="15" customHeight="1" x14ac:dyDescent="0.25">
      <c r="A6" s="43">
        <f>'[2]SR-52 EB'!C6</f>
        <v>24</v>
      </c>
      <c r="B6" s="43" t="str">
        <f>'[2]SR-52 EB'!H6</f>
        <v>SR-52 EB</v>
      </c>
      <c r="C6" s="126">
        <f>'[2]SR-52 EB'!E6</f>
        <v>11103</v>
      </c>
      <c r="D6" s="188">
        <f>'[2]SR-52 EB'!I6</f>
        <v>10</v>
      </c>
      <c r="E6" s="189">
        <f>'[2]SR-52 EB'!J6</f>
        <v>0</v>
      </c>
      <c r="F6" s="189" t="str">
        <f>'[2]SR-52 EB'!K6</f>
        <v>I-805 NB</v>
      </c>
      <c r="G6" s="189" t="str">
        <f>'[2]SR-52 EB'!L6</f>
        <v>CONVOY</v>
      </c>
      <c r="H6" s="197">
        <f>'[2]SR-52 EB'!O6</f>
        <v>15241</v>
      </c>
      <c r="I6" s="198">
        <f>VLOOKUP(c_24[[#This Row],[hwycov_id]],readme!D:G,4,FALSE)</f>
        <v>19357.279297000001</v>
      </c>
      <c r="J6" s="206">
        <f t="shared" si="3"/>
        <v>0.27007934499048636</v>
      </c>
      <c r="K6" s="190" t="str">
        <f>'[2]SR-52 EB'!P6</f>
        <v>PeMS2016</v>
      </c>
      <c r="L6" s="148">
        <f t="shared" si="4"/>
        <v>16943755.250910822</v>
      </c>
      <c r="M6" s="44"/>
    </row>
    <row r="7" spans="1:35" ht="15" customHeight="1" x14ac:dyDescent="0.25">
      <c r="A7" s="43">
        <f>'[2]SR-52 EB'!C7</f>
        <v>24</v>
      </c>
      <c r="B7" s="43" t="str">
        <f>'[2]SR-52 EB'!H7</f>
        <v>SR-52 EB</v>
      </c>
      <c r="C7" s="126">
        <f>'[2]SR-52 EB'!E7</f>
        <v>7430</v>
      </c>
      <c r="D7" s="188">
        <f>'[2]SR-52 EB'!I7</f>
        <v>11</v>
      </c>
      <c r="E7" s="189">
        <f>'[2]SR-52 EB'!J7</f>
        <v>0</v>
      </c>
      <c r="F7" s="189" t="str">
        <f>'[2]SR-52 EB'!K7</f>
        <v>CONVOY</v>
      </c>
      <c r="G7" s="189" t="str">
        <f>'[2]SR-52 EB'!L7</f>
        <v>CONVOY</v>
      </c>
      <c r="H7" s="197">
        <f>'[2]SR-52 EB'!O7</f>
        <v>15528</v>
      </c>
      <c r="I7" s="198">
        <f>VLOOKUP(c_24[[#This Row],[hwycov_id]],readme!D:G,4,FALSE)</f>
        <v>17831.539062</v>
      </c>
      <c r="J7" s="206">
        <f t="shared" si="3"/>
        <v>0.14834744088098928</v>
      </c>
      <c r="K7" s="190" t="str">
        <f>'[2]SR-52 EB'!P7</f>
        <v>Caltran</v>
      </c>
      <c r="L7" s="148">
        <f t="shared" si="4"/>
        <v>5306292.2101598391</v>
      </c>
      <c r="M7" s="44"/>
    </row>
    <row r="8" spans="1:35" ht="15" customHeight="1" x14ac:dyDescent="0.25">
      <c r="A8" s="43">
        <f>'[2]SR-52 EB'!C8</f>
        <v>24</v>
      </c>
      <c r="B8" s="43" t="str">
        <f>'[2]SR-52 EB'!H8</f>
        <v>SR-52 EB</v>
      </c>
      <c r="C8" s="126">
        <f>'[2]SR-52 EB'!E8</f>
        <v>7497</v>
      </c>
      <c r="D8" s="188">
        <f>'[2]SR-52 EB'!I8</f>
        <v>12</v>
      </c>
      <c r="E8" s="189">
        <f>'[2]SR-52 EB'!J8</f>
        <v>0</v>
      </c>
      <c r="F8" s="189" t="str">
        <f>'[2]SR-52 EB'!K8</f>
        <v>CONVOY</v>
      </c>
      <c r="G8" s="189" t="str">
        <f>'[2]SR-52 EB'!L8</f>
        <v>CONVOY</v>
      </c>
      <c r="H8" s="197">
        <f>'[2]SR-52 EB'!O8</f>
        <v>16404</v>
      </c>
      <c r="I8" s="198">
        <f>VLOOKUP(c_24[[#This Row],[hwycov_id]],readme!D:G,4,FALSE)</f>
        <v>17831.539062</v>
      </c>
      <c r="J8" s="206">
        <f t="shared" si="3"/>
        <v>8.702383942940739E-2</v>
      </c>
      <c r="K8" s="190" t="str">
        <f>'[2]SR-52 EB'!P8</f>
        <v>Caltran</v>
      </c>
      <c r="L8" s="148">
        <f t="shared" si="4"/>
        <v>2037867.7735358393</v>
      </c>
      <c r="M8" s="44"/>
    </row>
    <row r="9" spans="1:35" ht="15" customHeight="1" x14ac:dyDescent="0.25">
      <c r="A9" s="43">
        <f>'[2]SR-52 EB'!C9</f>
        <v>24</v>
      </c>
      <c r="B9" s="43" t="str">
        <f>'[2]SR-52 EB'!H9</f>
        <v>SR-52 EB</v>
      </c>
      <c r="C9" s="126">
        <f>'[2]SR-52 EB'!E9</f>
        <v>28904</v>
      </c>
      <c r="D9" s="188">
        <f>'[2]SR-52 EB'!I9</f>
        <v>17</v>
      </c>
      <c r="E9" s="189">
        <f>'[2]SR-52 EB'!J9</f>
        <v>0</v>
      </c>
      <c r="F9" s="189" t="str">
        <f>'[2]SR-52 EB'!K9</f>
        <v>SR-163 NB</v>
      </c>
      <c r="G9" s="189" t="str">
        <f>'[2]SR-52 EB'!L9</f>
        <v>KEARNY VILLA</v>
      </c>
      <c r="H9" s="197">
        <f>'[2]SR-52 EB'!O9</f>
        <v>6136</v>
      </c>
      <c r="I9" s="198">
        <f>VLOOKUP(c_24[[#This Row],[hwycov_id]],readme!D:G,4,FALSE)</f>
        <v>12705.788086</v>
      </c>
      <c r="J9" s="206">
        <f t="shared" si="3"/>
        <v>1.0706955811603653</v>
      </c>
      <c r="K9" s="190" t="str">
        <f>'[2]SR-52 EB'!P9</f>
        <v>PeMS2016</v>
      </c>
      <c r="L9" s="148">
        <f t="shared" si="4"/>
        <v>43162115.494947553</v>
      </c>
      <c r="M9" s="44"/>
    </row>
    <row r="10" spans="1:35" ht="15" customHeight="1" x14ac:dyDescent="0.25">
      <c r="A10" s="43">
        <f>'[2]SR-52 EB'!C10</f>
        <v>24</v>
      </c>
      <c r="B10" s="43" t="str">
        <f>'[2]SR-52 EB'!H10</f>
        <v>SR-52 EB</v>
      </c>
      <c r="C10" s="126">
        <f>'[2]SR-52 EB'!E10</f>
        <v>9028</v>
      </c>
      <c r="D10" s="188">
        <f>'[2]SR-52 EB'!I10</f>
        <v>21</v>
      </c>
      <c r="E10" s="189">
        <f>'[2]SR-52 EB'!J10</f>
        <v>0</v>
      </c>
      <c r="F10" s="189" t="str">
        <f>'[2]SR-52 EB'!K10</f>
        <v>I-15 NB</v>
      </c>
      <c r="G10" s="189" t="str">
        <f>'[2]SR-52 EB'!L10</f>
        <v>SANTO</v>
      </c>
      <c r="H10" s="197">
        <f>'[2]SR-52 EB'!O10</f>
        <v>16332</v>
      </c>
      <c r="I10" s="198">
        <f>VLOOKUP(c_24[[#This Row],[hwycov_id]],readme!D:G,4,FALSE)</f>
        <v>21258.558593999998</v>
      </c>
      <c r="J10" s="206">
        <f t="shared" si="3"/>
        <v>0.30165066091109471</v>
      </c>
      <c r="K10" s="190" t="str">
        <f>'[2]SR-52 EB'!P10</f>
        <v>Caltran</v>
      </c>
      <c r="L10" s="148">
        <f t="shared" si="4"/>
        <v>24270979.58011524</v>
      </c>
      <c r="M10" s="44"/>
    </row>
    <row r="11" spans="1:35" ht="15" customHeight="1" x14ac:dyDescent="0.25">
      <c r="A11" s="43">
        <f>'[2]SR-52 EB'!C11</f>
        <v>24</v>
      </c>
      <c r="B11" s="43" t="str">
        <f>'[2]SR-52 EB'!H11</f>
        <v>SR-52 EB</v>
      </c>
      <c r="C11" s="126">
        <f>'[2]SR-52 EB'!E11</f>
        <v>7772</v>
      </c>
      <c r="D11" s="188">
        <f>'[2]SR-52 EB'!I11</f>
        <v>25</v>
      </c>
      <c r="E11" s="189">
        <f>'[2]SR-52 EB'!J11</f>
        <v>2</v>
      </c>
      <c r="F11" s="189" t="str">
        <f>'[2]SR-52 EB'!K11</f>
        <v>SANTO</v>
      </c>
      <c r="G11" s="189" t="str">
        <f>'[2]SR-52 EB'!L11</f>
        <v>MAST</v>
      </c>
      <c r="H11" s="197">
        <f>'[2]SR-52 EB'!O11</f>
        <v>17040</v>
      </c>
      <c r="I11" s="198">
        <f>VLOOKUP(c_24[[#This Row],[hwycov_id]],readme!D:G,4,FALSE)</f>
        <v>20860.212890999999</v>
      </c>
      <c r="J11" s="206">
        <f t="shared" si="3"/>
        <v>0.22419089735915487</v>
      </c>
      <c r="K11" s="190" t="str">
        <f>'[2]SR-52 EB'!P11</f>
        <v>Caltran</v>
      </c>
      <c r="L11" s="148">
        <f t="shared" si="4"/>
        <v>14594026.532562573</v>
      </c>
      <c r="M11" s="44"/>
    </row>
    <row r="12" spans="1:35" ht="15" customHeight="1" x14ac:dyDescent="0.25">
      <c r="A12" s="43">
        <f>'[2]SR-52 EB'!C12</f>
        <v>24</v>
      </c>
      <c r="B12" s="43" t="str">
        <f>'[2]SR-52 EB'!H12</f>
        <v>SR-52 EB</v>
      </c>
      <c r="C12" s="126">
        <f>'[2]SR-52 EB'!E12</f>
        <v>7375</v>
      </c>
      <c r="D12" s="188">
        <f>'[2]SR-52 EB'!I12</f>
        <v>28</v>
      </c>
      <c r="E12" s="189">
        <f>'[2]SR-52 EB'!J12</f>
        <v>0</v>
      </c>
      <c r="F12" s="189" t="str">
        <f>'[2]SR-52 EB'!K12</f>
        <v>SANTO</v>
      </c>
      <c r="G12" s="189" t="str">
        <f>'[2]SR-52 EB'!L12</f>
        <v>MAST</v>
      </c>
      <c r="H12" s="197">
        <f>'[2]SR-52 EB'!O12</f>
        <v>17410</v>
      </c>
      <c r="I12" s="198">
        <f>VLOOKUP(c_24[[#This Row],[hwycov_id]],readme!D:G,4,FALSE)</f>
        <v>20860.212890999999</v>
      </c>
      <c r="J12" s="206">
        <f t="shared" si="3"/>
        <v>0.19817420396323948</v>
      </c>
      <c r="K12" s="190" t="str">
        <f>'[2]SR-52 EB'!P12</f>
        <v>Caltran</v>
      </c>
      <c r="L12" s="148">
        <f t="shared" si="4"/>
        <v>11903968.993222572</v>
      </c>
      <c r="M12" s="44"/>
    </row>
    <row r="13" spans="1:35" ht="15" customHeight="1" x14ac:dyDescent="0.25">
      <c r="A13" s="43">
        <f>'[2]SR-52 EB'!C13</f>
        <v>24</v>
      </c>
      <c r="B13" s="43" t="str">
        <f>'[2]SR-52 EB'!H13</f>
        <v>SR-52 EB</v>
      </c>
      <c r="C13" s="126">
        <f>'[2]SR-52 EB'!E13</f>
        <v>15239</v>
      </c>
      <c r="D13" s="188">
        <f>'[2]SR-52 EB'!I13</f>
        <v>29</v>
      </c>
      <c r="E13" s="189">
        <f>'[2]SR-52 EB'!J13</f>
        <v>0</v>
      </c>
      <c r="F13" s="189" t="str">
        <f>'[2]SR-52 EB'!K13</f>
        <v>MAST</v>
      </c>
      <c r="G13" s="189" t="str">
        <f>'[2]SR-52 EB'!L13</f>
        <v>MAST</v>
      </c>
      <c r="H13" s="197">
        <f>'[2]SR-52 EB'!O13</f>
        <v>14034</v>
      </c>
      <c r="I13" s="198">
        <f>VLOOKUP(c_24[[#This Row],[hwycov_id]],readme!D:G,4,FALSE)</f>
        <v>17307.417968999998</v>
      </c>
      <c r="J13" s="206">
        <f t="shared" si="3"/>
        <v>0.23324910709704993</v>
      </c>
      <c r="K13" s="190" t="str">
        <f>'[2]SR-52 EB'!P13</f>
        <v>PeMS2016</v>
      </c>
      <c r="L13" s="148">
        <f t="shared" si="4"/>
        <v>10715265.199772073</v>
      </c>
      <c r="M13" s="44"/>
    </row>
    <row r="14" spans="1:35" ht="15" customHeight="1" x14ac:dyDescent="0.25">
      <c r="A14" s="43">
        <f>'[2]SR-52 EB'!C14</f>
        <v>24</v>
      </c>
      <c r="B14" s="43" t="str">
        <f>'[2]SR-52 EB'!H14</f>
        <v>SR-52 EB</v>
      </c>
      <c r="C14" s="126">
        <f>'[2]SR-52 EB'!E14</f>
        <v>11124</v>
      </c>
      <c r="D14" s="188">
        <f>'[2]SR-52 EB'!I14</f>
        <v>30</v>
      </c>
      <c r="E14" s="189">
        <f>'[2]SR-52 EB'!J14</f>
        <v>0</v>
      </c>
      <c r="F14" s="189" t="str">
        <f>'[2]SR-52 EB'!K14</f>
        <v>MAST</v>
      </c>
      <c r="G14" s="189" t="str">
        <f>'[2]SR-52 EB'!L14</f>
        <v>MISSION GORGE</v>
      </c>
      <c r="H14" s="197">
        <f>'[2]SR-52 EB'!O14</f>
        <v>14494</v>
      </c>
      <c r="I14" s="198">
        <f>VLOOKUP(c_24[[#This Row],[hwycov_id]],readme!D:G,4,FALSE)</f>
        <v>17693.544922000001</v>
      </c>
      <c r="J14" s="206">
        <f t="shared" si="3"/>
        <v>0.22074961515109703</v>
      </c>
      <c r="K14" s="190" t="str">
        <f>'[2]SR-52 EB'!P14</f>
        <v>Caltran</v>
      </c>
      <c r="L14" s="148">
        <f t="shared" si="4"/>
        <v>10237087.707895992</v>
      </c>
      <c r="M14" s="44"/>
    </row>
    <row r="15" spans="1:35" ht="15" customHeight="1" x14ac:dyDescent="0.25">
      <c r="A15" s="43">
        <f>'[2]SR-52 EB'!C15</f>
        <v>24</v>
      </c>
      <c r="B15" s="43" t="str">
        <f>'[2]SR-52 EB'!H15</f>
        <v>SR-52 EB</v>
      </c>
      <c r="C15" s="126">
        <f>'[2]SR-52 EB'!E15</f>
        <v>19481</v>
      </c>
      <c r="D15" s="188">
        <f>'[2]SR-52 EB'!I15</f>
        <v>31</v>
      </c>
      <c r="E15" s="189">
        <f>'[2]SR-52 EB'!J15</f>
        <v>0</v>
      </c>
      <c r="F15" s="189" t="str">
        <f>'[2]SR-52 EB'!K15</f>
        <v>MISSION GORGE</v>
      </c>
      <c r="G15" s="189" t="str">
        <f>'[2]SR-52 EB'!L15</f>
        <v>NEW MISSION GORGE</v>
      </c>
      <c r="H15" s="197">
        <f>'[2]SR-52 EB'!O15</f>
        <v>14757</v>
      </c>
      <c r="I15" s="198">
        <f>VLOOKUP(c_24[[#This Row],[hwycov_id]],readme!D:G,4,FALSE)</f>
        <v>17693.544922000001</v>
      </c>
      <c r="J15" s="206">
        <f t="shared" si="3"/>
        <v>0.1989933537981976</v>
      </c>
      <c r="K15" s="190" t="str">
        <f>'[2]SR-52 EB'!P15</f>
        <v>PeMS2016</v>
      </c>
      <c r="L15" s="148">
        <f t="shared" si="4"/>
        <v>8623296.0789239909</v>
      </c>
      <c r="M15" s="44"/>
    </row>
    <row r="16" spans="1:35" ht="15" customHeight="1" x14ac:dyDescent="0.25">
      <c r="A16" s="43">
        <f>'[2]SR-52 EB'!C16</f>
        <v>24</v>
      </c>
      <c r="B16" s="43" t="str">
        <f>'[2]SR-52 EB'!H16</f>
        <v>SR-52 EB</v>
      </c>
      <c r="C16" s="126">
        <f>'[2]SR-52 EB'!E16</f>
        <v>7377</v>
      </c>
      <c r="D16" s="188">
        <f>'[2]SR-52 EB'!I16</f>
        <v>36</v>
      </c>
      <c r="E16" s="189">
        <f>'[2]SR-52 EB'!J16</f>
        <v>0</v>
      </c>
      <c r="F16" s="189" t="str">
        <f>'[2]SR-52 EB'!K16</f>
        <v>FANITA</v>
      </c>
      <c r="G16" s="189" t="str">
        <f>'[2]SR-52 EB'!L16</f>
        <v>CUYAMACA</v>
      </c>
      <c r="H16" s="197">
        <f>'[2]SR-52 EB'!O16</f>
        <v>12887</v>
      </c>
      <c r="I16" s="198">
        <f>VLOOKUP(c_24[[#This Row],[hwycov_id]],readme!D:G,4,FALSE)</f>
        <v>15300.839844</v>
      </c>
      <c r="J16" s="206">
        <f t="shared" si="3"/>
        <v>0.18730812788081019</v>
      </c>
      <c r="K16" s="190" t="str">
        <f>'[2]SR-52 EB'!P16</f>
        <v>Caltran</v>
      </c>
      <c r="L16" s="148">
        <f t="shared" si="4"/>
        <v>5826622.7924819449</v>
      </c>
      <c r="M16" s="44"/>
    </row>
    <row r="17" spans="1:13" ht="15" customHeight="1" x14ac:dyDescent="0.25">
      <c r="A17" s="43">
        <f>'[2]SR-52 EB'!C17</f>
        <v>24</v>
      </c>
      <c r="B17" s="43" t="str">
        <f>'[2]SR-52 EB'!H17</f>
        <v>SR-52 EB</v>
      </c>
      <c r="C17" s="126">
        <f>'[2]SR-52 EB'!E17</f>
        <v>27229</v>
      </c>
      <c r="D17" s="188">
        <f>'[2]SR-52 EB'!I17</f>
        <v>38</v>
      </c>
      <c r="E17" s="189">
        <f>'[2]SR-52 EB'!J17</f>
        <v>0</v>
      </c>
      <c r="F17" s="189" t="str">
        <f>'[2]SR-52 EB'!K17</f>
        <v>CUYAMACA</v>
      </c>
      <c r="G17" s="189" t="str">
        <f>'[2]SR-52 EB'!L17</f>
        <v>MAGNOLIA</v>
      </c>
      <c r="H17" s="197">
        <f>'[2]SR-52 EB'!O17</f>
        <v>12478</v>
      </c>
      <c r="I17" s="198">
        <f>VLOOKUP(c_24[[#This Row],[hwycov_id]],readme!D:G,4,FALSE)</f>
        <v>14889.771484000001</v>
      </c>
      <c r="J17" s="206">
        <f t="shared" si="3"/>
        <v>0.19328189485494485</v>
      </c>
      <c r="K17" s="190" t="str">
        <f>'[2]SR-52 EB'!P17</f>
        <v>Caltran</v>
      </c>
      <c r="L17" s="148">
        <f t="shared" si="4"/>
        <v>5816641.6910355659</v>
      </c>
      <c r="M17" s="44"/>
    </row>
    <row r="18" spans="1:13" ht="15" customHeight="1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ht="15" customHeight="1" x14ac:dyDescent="0.2">
      <c r="L19" s="44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</sheetData>
  <conditionalFormatting sqref="N2:N4">
    <cfRule type="cellIs" dxfId="98" priority="7" operator="lessThan">
      <formula>-0.2</formula>
    </cfRule>
    <cfRule type="cellIs" dxfId="97" priority="8" operator="greaterThan">
      <formula>0.2</formula>
    </cfRule>
  </conditionalFormatting>
  <conditionalFormatting sqref="J19:K1048576">
    <cfRule type="cellIs" dxfId="96" priority="5" operator="lessThan">
      <formula>-0.2</formula>
    </cfRule>
    <cfRule type="cellIs" dxfId="95" priority="6" operator="greaterThan">
      <formula>0.2</formula>
    </cfRule>
  </conditionalFormatting>
  <conditionalFormatting sqref="J2:J17">
    <cfRule type="cellIs" dxfId="94" priority="3" operator="lessThan">
      <formula>-0.2</formula>
    </cfRule>
    <cfRule type="cellIs" dxfId="9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6" tint="0.39997558519241921"/>
  </sheetPr>
  <dimension ref="A1:AI79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5.28515625" style="25" bestFit="1" customWidth="1"/>
    <col min="7" max="7" width="1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SQRT(AVERAGE(c_25[x2]))/AVERAGE(c_25[count])</f>
        <v>3.2305393502189375E-2</v>
      </c>
      <c r="O1" s="69">
        <f>LINEST(c_25[flow],c_25[count],FALSE)</f>
        <v>1.0159557565580328</v>
      </c>
      <c r="P1" s="69">
        <f>RSQ(c_25[flow],c_25[count])</f>
        <v>0.95245509680907192</v>
      </c>
      <c r="Q1" s="19">
        <f>IFERROR(AVERAGEIF(c_25[gap],"&gt;=0",c_25[gap]),0)</f>
        <v>2.5020837844768305E-2</v>
      </c>
      <c r="R1" s="20">
        <f>IFERROR(AVERAGEIF(c_25[gap],"&lt;0",c_25[gap]),0)</f>
        <v>-2.0208094847097069E-2</v>
      </c>
      <c r="S1" s="13">
        <f>AVERAGE(c_25[gap])</f>
        <v>1.9367221258285133E-2</v>
      </c>
      <c r="T1" s="18">
        <f>COUNTIFS(c_25[gap],"&lt;10%",c_25[gap],"&gt;=-10%")/COUNTA(c_25[gap])</f>
        <v>1</v>
      </c>
      <c r="U1" s="18">
        <f>COUNTIFS(c_25[gap],"&lt;20%",c_25[gap],"&gt;=-20%")/COUNTA(c_25[gap])</f>
        <v>1</v>
      </c>
      <c r="V1" s="18">
        <f>COUNTIFS(c_25[gap],"&lt;30%",c_25[gap],"&gt;=-30%")/COUNTA(c_25[gap])</f>
        <v>1</v>
      </c>
      <c r="W1" s="19">
        <f>COUNTIF(c_25[gap],"&gt;=0")/COUNTA(c_25[gap])</f>
        <v>0.875</v>
      </c>
      <c r="X1" s="21">
        <f>COUNTIF(c_25[gap],"&lt;0")/COUNTA(c_25[gap])</f>
        <v>0.125</v>
      </c>
      <c r="Y1" s="6" t="str">
        <f>"%Link(+)="&amp;TEXT(W1,"0%")</f>
        <v>%Link(+)=88%</v>
      </c>
      <c r="Z1" s="6" t="str">
        <f>"%Link(-)="&amp;TEXT(X1,"0%")</f>
        <v>%Link(-)=13%</v>
      </c>
      <c r="AA1" s="36" t="str">
        <f>"AvgGap(+)="&amp;TEXT(Q1,"0%")</f>
        <v>AvgGap(+)=3%</v>
      </c>
      <c r="AB1" s="25" t="str">
        <f>"AvgGap(-)="&amp;TEXT(R1,"0%")</f>
        <v>AvgGap(-)=-2%</v>
      </c>
      <c r="AC1" s="25" t="str">
        <f>"AvgGap(±)="&amp;TEXT(S1,"0%")</f>
        <v>AvgGap(±)=2%</v>
      </c>
      <c r="AD1" s="25" t="str">
        <f>"GapIn(±10%)="&amp;TEXT(T1,"0%")</f>
        <v>GapIn(±10%)=100%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Slope=1.016</v>
      </c>
      <c r="AH1" s="25" t="str">
        <f>"RMSE="&amp;TEXT(N1,"0%")</f>
        <v>RMSE=3%</v>
      </c>
      <c r="AI1" s="25" t="str">
        <f>CONCATENATE(Y1," ",Z1," ",AA1,"  ",AB1,"  ",AC1,"  ",AD1," ",AE1,"  ",AF1,"  ",AG1," ",AH1)</f>
        <v>%Link(+)=88% %Link(-)=13% AvgGap(+)=3%  AvgGap(-)=-2%  AvgGap(±)=2%  GapIn(±10%)=100% GapIn(±20%)=100%  GapIn(±30%)=100%  Linear Slope=1.016 RMSE=3%</v>
      </c>
    </row>
    <row r="2" spans="1:35" ht="15" customHeight="1" x14ac:dyDescent="0.25">
      <c r="A2" s="43">
        <f>'[2]SR-54 EB'!C2</f>
        <v>25</v>
      </c>
      <c r="B2" s="43" t="str">
        <f>'[2]SR-54 EB'!H2</f>
        <v>SR-54 EB</v>
      </c>
      <c r="C2" s="126">
        <f>'[2]SR-54 EB'!E2</f>
        <v>27959</v>
      </c>
      <c r="D2" s="188">
        <f>'[2]SR-54 EB'!I2</f>
        <v>1</v>
      </c>
      <c r="E2" s="189">
        <f>'[2]SR-54 WB'!J2</f>
        <v>0</v>
      </c>
      <c r="F2" s="189" t="str">
        <f>'[2]SR-54 EB'!K2</f>
        <v>NATIONAL CITY</v>
      </c>
      <c r="G2" s="189" t="str">
        <f>'[2]SR-54 EB'!L2</f>
        <v>HIGHLAND</v>
      </c>
      <c r="H2" s="197">
        <f>'[2]SR-54 EB'!O2</f>
        <v>15496</v>
      </c>
      <c r="I2" s="198">
        <f>VLOOKUP(c_25[[#This Row],[hwycov_id]],readme!D:G,4,FALSE)</f>
        <v>16487.349609000001</v>
      </c>
      <c r="J2" s="206">
        <f t="shared" ref="J2" si="0">I2/H2-1</f>
        <v>6.3974548851316593E-2</v>
      </c>
      <c r="K2" s="190" t="str">
        <f>'[2]SR-54 EB'!P2</f>
        <v>Caltran</v>
      </c>
      <c r="L2" s="148">
        <f t="shared" ref="L2" si="1">POWER((I2-H2),2)</f>
        <v>982774.04726445442</v>
      </c>
      <c r="M2" s="44"/>
    </row>
    <row r="3" spans="1:35" ht="15" customHeight="1" x14ac:dyDescent="0.25">
      <c r="A3" s="43">
        <f>'[2]SR-54 EB'!C3</f>
        <v>25</v>
      </c>
      <c r="B3" s="43" t="str">
        <f>'[2]SR-54 EB'!H3</f>
        <v>SR-54 EB</v>
      </c>
      <c r="C3" s="126">
        <f>'[2]SR-54 EB'!E3</f>
        <v>28676</v>
      </c>
      <c r="D3" s="188">
        <f>'[2]SR-54 EB'!I3</f>
        <v>6</v>
      </c>
      <c r="E3" s="189">
        <f>'[2]SR-54 WB'!J3</f>
        <v>0</v>
      </c>
      <c r="F3" s="189" t="str">
        <f>'[2]SR-54 EB'!K3</f>
        <v>I-805 NB</v>
      </c>
      <c r="G3" s="189" t="str">
        <f>'[2]SR-54 EB'!L3</f>
        <v>VALLEY</v>
      </c>
      <c r="H3" s="197">
        <f>'[2]SR-54 EB'!O3</f>
        <v>18999</v>
      </c>
      <c r="I3" s="198">
        <f>VLOOKUP(c_25[[#This Row],[hwycov_id]],readme!D:G,4,FALSE)</f>
        <v>18615.066406000002</v>
      </c>
      <c r="J3" s="206">
        <f t="shared" ref="J3:J9" si="2">I3/H3-1</f>
        <v>-2.0208094847097069E-2</v>
      </c>
      <c r="K3" s="190" t="str">
        <f>'[2]SR-54 EB'!P3</f>
        <v>Caltran</v>
      </c>
      <c r="L3" s="148">
        <f t="shared" ref="L3:L9" si="3">POWER((I3-H3),2)</f>
        <v>147405.0046017555</v>
      </c>
      <c r="M3" s="44"/>
    </row>
    <row r="4" spans="1:35" ht="15" customHeight="1" x14ac:dyDescent="0.25">
      <c r="A4" s="43">
        <f>'[2]SR-54 EB'!C4</f>
        <v>25</v>
      </c>
      <c r="B4" s="43" t="str">
        <f>'[2]SR-54 EB'!H4</f>
        <v>SR-54 EB</v>
      </c>
      <c r="C4" s="126">
        <f>'[2]SR-54 EB'!E4</f>
        <v>28678</v>
      </c>
      <c r="D4" s="188">
        <f>'[2]SR-54 EB'!I4</f>
        <v>7</v>
      </c>
      <c r="E4" s="189">
        <f>'[2]SR-54 WB'!J4</f>
        <v>0</v>
      </c>
      <c r="F4" s="189" t="str">
        <f>'[2]SR-54 EB'!K4</f>
        <v>VALLEY</v>
      </c>
      <c r="G4" s="189" t="str">
        <f>'[2]SR-54 EB'!L4</f>
        <v>VALLEY</v>
      </c>
      <c r="H4" s="197">
        <f>'[2]SR-54 EB'!O4</f>
        <v>16037</v>
      </c>
      <c r="I4" s="198">
        <f>VLOOKUP(c_25[[#This Row],[hwycov_id]],readme!D:G,4,FALSE)</f>
        <v>16295.623046999999</v>
      </c>
      <c r="J4" s="206">
        <f t="shared" si="2"/>
        <v>1.6126647565005925E-2</v>
      </c>
      <c r="K4" s="190" t="str">
        <f>'[2]SR-54 EB'!P4</f>
        <v>PeMS2016</v>
      </c>
      <c r="L4" s="148">
        <f t="shared" si="3"/>
        <v>66885.880439563756</v>
      </c>
      <c r="M4" s="44"/>
    </row>
    <row r="5" spans="1:35" ht="15" customHeight="1" x14ac:dyDescent="0.25">
      <c r="A5" s="43">
        <f>'[2]SR-54 EB'!C5</f>
        <v>25</v>
      </c>
      <c r="B5" s="43" t="str">
        <f>'[2]SR-54 EB'!H5</f>
        <v>SR-54 EB</v>
      </c>
      <c r="C5" s="126">
        <f>'[2]SR-54 EB'!E5</f>
        <v>14143</v>
      </c>
      <c r="D5" s="188">
        <f>'[2]SR-54 EB'!I5</f>
        <v>8</v>
      </c>
      <c r="E5" s="189">
        <f>'[2]SR-54 WB'!J5</f>
        <v>0</v>
      </c>
      <c r="F5" s="189" t="str">
        <f>'[2]SR-54 EB'!K5</f>
        <v>VALLEY</v>
      </c>
      <c r="G5" s="189" t="str">
        <f>'[2]SR-54 EB'!L5</f>
        <v>WOODMAN</v>
      </c>
      <c r="H5" s="197">
        <f>'[2]SR-54 EB'!O5</f>
        <v>17321</v>
      </c>
      <c r="I5" s="198">
        <f>VLOOKUP(c_25[[#This Row],[hwycov_id]],readme!D:G,4,FALSE)</f>
        <v>17350.5</v>
      </c>
      <c r="J5" s="206">
        <f t="shared" si="2"/>
        <v>1.7031349229259529E-3</v>
      </c>
      <c r="K5" s="190" t="str">
        <f>'[2]SR-54 EB'!P5</f>
        <v>Caltran</v>
      </c>
      <c r="L5" s="148">
        <f t="shared" si="3"/>
        <v>870.25</v>
      </c>
      <c r="M5" s="44"/>
    </row>
    <row r="6" spans="1:35" ht="15" customHeight="1" x14ac:dyDescent="0.25">
      <c r="A6" s="43">
        <f>'[2]SR-54 EB'!C6</f>
        <v>25</v>
      </c>
      <c r="B6" s="43" t="str">
        <f>'[2]SR-54 EB'!H6</f>
        <v>SR-54 EB</v>
      </c>
      <c r="C6" s="126">
        <f>'[2]SR-54 EB'!E6</f>
        <v>14151</v>
      </c>
      <c r="D6" s="188">
        <f>'[2]SR-54 EB'!I6</f>
        <v>9</v>
      </c>
      <c r="E6" s="189">
        <f>'[2]SR-54 WB'!J6</f>
        <v>0</v>
      </c>
      <c r="F6" s="189" t="str">
        <f>'[2]SR-54 EB'!K6</f>
        <v>WOODMAN</v>
      </c>
      <c r="G6" s="189" t="str">
        <f>'[2]SR-54 EB'!L6</f>
        <v>WOODMAN</v>
      </c>
      <c r="H6" s="197">
        <f>'[2]SR-54 EB'!O6</f>
        <v>15033</v>
      </c>
      <c r="I6" s="198">
        <f>VLOOKUP(c_25[[#This Row],[hwycov_id]],readme!D:G,4,FALSE)</f>
        <v>15216.630859000001</v>
      </c>
      <c r="J6" s="206">
        <f t="shared" si="2"/>
        <v>1.221518386217002E-2</v>
      </c>
      <c r="K6" s="190" t="str">
        <f>'[2]SR-54 EB'!P6</f>
        <v>PeMS2016</v>
      </c>
      <c r="L6" s="148">
        <f t="shared" si="3"/>
        <v>33720.292377078171</v>
      </c>
      <c r="M6" s="44"/>
    </row>
    <row r="7" spans="1:35" ht="15" customHeight="1" x14ac:dyDescent="0.25">
      <c r="A7" s="43">
        <f>'[2]SR-54 EB'!C7</f>
        <v>25</v>
      </c>
      <c r="B7" s="43" t="str">
        <f>'[2]SR-54 EB'!H7</f>
        <v>SR-54 EB</v>
      </c>
      <c r="C7" s="126">
        <f>'[2]SR-54 EB'!E7</f>
        <v>14153</v>
      </c>
      <c r="D7" s="188">
        <f>'[2]SR-54 EB'!I7</f>
        <v>10</v>
      </c>
      <c r="E7" s="189">
        <f>'[2]SR-54 WB'!J7</f>
        <v>0</v>
      </c>
      <c r="F7" s="189" t="str">
        <f>'[2]SR-54 EB'!K7</f>
        <v>WOODMAN</v>
      </c>
      <c r="G7" s="189" t="str">
        <f>'[2]SR-54 EB'!L7</f>
        <v>BRIARWOOD</v>
      </c>
      <c r="H7" s="197">
        <f>'[2]SR-54 EB'!O7</f>
        <v>15541</v>
      </c>
      <c r="I7" s="198">
        <f>VLOOKUP(c_25[[#This Row],[hwycov_id]],readme!D:G,4,FALSE)</f>
        <v>15781.353515999999</v>
      </c>
      <c r="J7" s="206">
        <f t="shared" si="2"/>
        <v>1.54657689981339E-2</v>
      </c>
      <c r="K7" s="190" t="str">
        <f>'[2]SR-54 EB'!P7</f>
        <v>Caltran</v>
      </c>
      <c r="L7" s="148">
        <f t="shared" si="3"/>
        <v>57769.812653561879</v>
      </c>
      <c r="M7" s="44"/>
    </row>
    <row r="8" spans="1:35" ht="15" customHeight="1" x14ac:dyDescent="0.25">
      <c r="A8" s="43">
        <f>'[2]SR-54 EB'!C8</f>
        <v>25</v>
      </c>
      <c r="B8" s="43" t="str">
        <f>'[2]SR-54 EB'!H8</f>
        <v>SR-54 EB</v>
      </c>
      <c r="C8" s="126">
        <f>'[2]SR-54 EB'!E8</f>
        <v>7514</v>
      </c>
      <c r="D8" s="188">
        <f>'[2]SR-54 EB'!I8</f>
        <v>11</v>
      </c>
      <c r="E8" s="189">
        <f>'[2]SR-54 WB'!J8</f>
        <v>0</v>
      </c>
      <c r="F8" s="189" t="str">
        <f>'[2]SR-54 EB'!K8</f>
        <v>BRIARWOOD</v>
      </c>
      <c r="G8" s="189" t="str">
        <f>'[2]SR-54 EB'!L8</f>
        <v>BRIARWOOD</v>
      </c>
      <c r="H8" s="197">
        <f>'[2]SR-54 EB'!O8</f>
        <v>12664</v>
      </c>
      <c r="I8" s="198">
        <f>VLOOKUP(c_25[[#This Row],[hwycov_id]],readme!D:G,4,FALSE)</f>
        <v>12700.825194999999</v>
      </c>
      <c r="J8" s="206">
        <f t="shared" si="2"/>
        <v>2.9078644188249569E-3</v>
      </c>
      <c r="K8" s="190" t="str">
        <f>'[2]SR-54 EB'!P8</f>
        <v>PeMS2016</v>
      </c>
      <c r="L8" s="148">
        <f t="shared" si="3"/>
        <v>1356.0949867879838</v>
      </c>
      <c r="M8" s="44"/>
    </row>
    <row r="9" spans="1:35" ht="15" customHeight="1" x14ac:dyDescent="0.25">
      <c r="A9" s="43">
        <f>'[2]SR-54 EB'!C9</f>
        <v>25</v>
      </c>
      <c r="B9" s="43" t="str">
        <f>'[2]SR-54 EB'!H9</f>
        <v>SR-54 EB</v>
      </c>
      <c r="C9" s="126">
        <f>'[2]SR-54 EB'!E9</f>
        <v>7525</v>
      </c>
      <c r="D9" s="188">
        <f>'[2]SR-54 EB'!I9</f>
        <v>12</v>
      </c>
      <c r="E9" s="189">
        <f>'[2]SR-54 WB'!J9</f>
        <v>0</v>
      </c>
      <c r="F9" s="189" t="str">
        <f>'[2]SR-54 EB'!K9</f>
        <v>BRIARWOOD</v>
      </c>
      <c r="G9" s="189" t="str">
        <f>'[2]SR-54 EB'!L9</f>
        <v>SR-125 SB</v>
      </c>
      <c r="H9" s="197">
        <f>'[2]SR-54 EB'!O9</f>
        <v>13722</v>
      </c>
      <c r="I9" s="198">
        <f>VLOOKUP(c_25[[#This Row],[hwycov_id]],readme!D:G,4,FALSE)</f>
        <v>14583.092773</v>
      </c>
      <c r="J9" s="206">
        <f t="shared" si="2"/>
        <v>6.2752716295000788E-2</v>
      </c>
      <c r="K9" s="190" t="str">
        <f>'[2]SR-54 EB'!P9</f>
        <v>Caltran</v>
      </c>
      <c r="L9" s="148">
        <f t="shared" si="3"/>
        <v>741480.76371283003</v>
      </c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</sheetData>
  <conditionalFormatting sqref="N2:N1048576 J10:K14 J2:J9">
    <cfRule type="cellIs" dxfId="79" priority="7" operator="lessThan">
      <formula>-0.2</formula>
    </cfRule>
    <cfRule type="cellIs" dxfId="78" priority="8" operator="greaterThan">
      <formula>0.2</formula>
    </cfRule>
  </conditionalFormatting>
  <conditionalFormatting sqref="J21:K1048576">
    <cfRule type="cellIs" dxfId="77" priority="5" operator="lessThan">
      <formula>-0.2</formula>
    </cfRule>
    <cfRule type="cellIs" dxfId="76" priority="6" operator="greaterThan">
      <formula>0.2</formula>
    </cfRule>
  </conditionalFormatting>
  <conditionalFormatting sqref="J16:K20">
    <cfRule type="cellIs" dxfId="75" priority="3" operator="lessThan">
      <formula>-0.2</formula>
    </cfRule>
    <cfRule type="cellIs" dxfId="74" priority="4" operator="greaterThan">
      <formula>0.2</formula>
    </cfRule>
  </conditionalFormatting>
  <conditionalFormatting sqref="N1">
    <cfRule type="cellIs" dxfId="73" priority="1" operator="lessThan">
      <formula>-0.2</formula>
    </cfRule>
    <cfRule type="cellIs" dxfId="7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SQRT(AVERAGE(c_26[x2]))/AVERAGE(c_26[count])</f>
        <v>9.5950394349686788E-2</v>
      </c>
      <c r="O1" s="69">
        <f>LINEST(c_26[flow],c_26[count],FALSE)</f>
        <v>1.0160404778397254</v>
      </c>
      <c r="P1" s="69">
        <f>RSQ(c_26[flow],c_26[count])</f>
        <v>0.68467420008883539</v>
      </c>
      <c r="Q1" s="19">
        <f>IFERROR(AVERAGEIF(c_26[gap],"&gt;=0",c_26[gap]),0)</f>
        <v>9.4223478663259419E-2</v>
      </c>
      <c r="R1" s="20">
        <f>IFERROR(AVERAGEIF(c_26[gap],"&lt;0",c_26[gap]),0)</f>
        <v>-6.1627634070969446E-2</v>
      </c>
      <c r="S1" s="13">
        <f>AVERAGE(c_26[gap])</f>
        <v>1.0303648729443875E-2</v>
      </c>
      <c r="T1" s="18">
        <f>COUNTIFS(c_26[gap],"&lt;10%",c_26[gap],"&gt;=-10%")/COUNTA(c_26[gap])</f>
        <v>0.69230769230769229</v>
      </c>
      <c r="U1" s="18">
        <f>COUNTIFS(c_26[gap],"&lt;20%",c_26[gap],"&gt;=-20%")/COUNTA(c_26[gap])</f>
        <v>0.92307692307692313</v>
      </c>
      <c r="V1" s="18">
        <f>COUNTIFS(c_26[gap],"&lt;30%",c_26[gap],"&gt;=-30%")/COUNTA(c_26[gap])</f>
        <v>1</v>
      </c>
      <c r="W1" s="19">
        <f>COUNTIF(c_26[gap],"&gt;=0")/COUNTA(c_26[gap])</f>
        <v>0.46153846153846156</v>
      </c>
      <c r="X1" s="21">
        <f>COUNTIF(c_26[gap],"&lt;0")/COUNTA(c_26[gap])</f>
        <v>0.53846153846153844</v>
      </c>
      <c r="Y1" s="6" t="str">
        <f>"%Link(+)="&amp;TEXT(W1,"0%")</f>
        <v>%Link(+)=46%</v>
      </c>
      <c r="Z1" s="6" t="str">
        <f>"%Link(-)="&amp;TEXT(X1,"0%")</f>
        <v>%Link(-)=54%</v>
      </c>
      <c r="AA1" s="36" t="str">
        <f>"AvgGap(+)="&amp;TEXT(Q1,"0%")</f>
        <v>AvgGap(+)=9%</v>
      </c>
      <c r="AB1" s="25" t="str">
        <f>"AvgGap(-)="&amp;TEXT(R1,"0%")</f>
        <v>AvgGap(-)=-6%</v>
      </c>
      <c r="AC1" s="25" t="str">
        <f>"AvgGap(±)="&amp;TEXT(S1,"0%")</f>
        <v>AvgGap(±)=1%</v>
      </c>
      <c r="AD1" s="25" t="str">
        <f>"GapIn(±10%)="&amp;TEXT(T1,"0%")</f>
        <v>GapIn(±10%)=69%</v>
      </c>
      <c r="AE1" s="25" t="str">
        <f>"GapIn(±20%)="&amp;TEXT(U1,"0%")</f>
        <v>GapIn(±20%)=92%</v>
      </c>
      <c r="AF1" s="25" t="str">
        <f>"GapIn(±30%)="&amp;TEXT(V1,"0%")</f>
        <v>GapIn(±30%)=100%</v>
      </c>
      <c r="AG1" s="25" t="str">
        <f>"Linear Slope="&amp;TEXT(O1,"#.###")</f>
        <v>Linear Slope=1.016</v>
      </c>
      <c r="AH1" s="25" t="str">
        <f>"RMSE="&amp;TEXT(N1,"0%")</f>
        <v>RMSE=10%</v>
      </c>
      <c r="AI1" s="25" t="str">
        <f>CONCATENATE(Y1," ",Z1," ",AA1,"  ",AB1,"  ",AC1,"  ",AD1," ",AE1,"  ",AF1,"  ",AG1," ",AH1)</f>
        <v>%Link(+)=46% %Link(-)=54% AvgGap(+)=9%  AvgGap(-)=-6%  AvgGap(±)=1%  GapIn(±10%)=69% GapIn(±20%)=92%  GapIn(±30%)=100%  Linear Slope=1.016 RMSE=10%</v>
      </c>
    </row>
    <row r="2" spans="1:35" ht="15" customHeight="1" x14ac:dyDescent="0.25">
      <c r="A2" s="43">
        <f>'[2]SR-56 EB'!C2</f>
        <v>26</v>
      </c>
      <c r="B2" s="43" t="str">
        <f>'[2]SR-56 EB'!H2</f>
        <v>SR-56 EB</v>
      </c>
      <c r="C2" s="126">
        <f>'[2]SR-56 EB'!E2</f>
        <v>7636</v>
      </c>
      <c r="D2" s="188">
        <f>'[2]SR-56 EB'!I2</f>
        <v>1</v>
      </c>
      <c r="E2" s="189">
        <f>'[2]SR-56 EB'!J2</f>
        <v>0</v>
      </c>
      <c r="F2" s="189" t="str">
        <f>'[2]SR-56 EB'!K2</f>
        <v>EL CAMINO REAL</v>
      </c>
      <c r="G2" s="189" t="str">
        <f>'[2]SR-56 EB'!L2</f>
        <v>CARMEL CREEK</v>
      </c>
      <c r="H2" s="197">
        <f>'[2]SR-56 EB'!O2</f>
        <v>11173</v>
      </c>
      <c r="I2" s="198">
        <f>VLOOKUP(c_26[[#This Row],[hwycov_id]],readme!D:G,4,FALSE)</f>
        <v>9782.2451170000004</v>
      </c>
      <c r="J2" s="206">
        <f t="shared" ref="J2" si="0">I2/H2-1</f>
        <v>-0.12447461585966169</v>
      </c>
      <c r="K2" s="190" t="str">
        <f>'[2]SR-56 EB'!P2</f>
        <v>PeMS2016</v>
      </c>
      <c r="L2" s="148">
        <f t="shared" ref="L2" si="1">POWER((I2-H2),2)</f>
        <v>1934199.1445883426</v>
      </c>
      <c r="M2" s="44"/>
    </row>
    <row r="3" spans="1:35" ht="15" customHeight="1" x14ac:dyDescent="0.25">
      <c r="A3" s="43">
        <f>'[2]SR-56 EB'!C3</f>
        <v>26</v>
      </c>
      <c r="B3" s="43" t="str">
        <f>'[2]SR-56 EB'!H3</f>
        <v>SR-56 EB</v>
      </c>
      <c r="C3" s="126">
        <f>'[2]SR-56 EB'!E3</f>
        <v>27505</v>
      </c>
      <c r="D3" s="188">
        <f>'[2]SR-56 EB'!I3</f>
        <v>3</v>
      </c>
      <c r="E3" s="189">
        <f>'[2]SR-56 EB'!J3</f>
        <v>0</v>
      </c>
      <c r="F3" s="189" t="str">
        <f>'[2]SR-56 EB'!K3</f>
        <v>CARMEL CREEK</v>
      </c>
      <c r="G3" s="189" t="str">
        <f>'[2]SR-56 EB'!L3</f>
        <v>CARMEL CREEK</v>
      </c>
      <c r="H3" s="197">
        <f>'[2]SR-56 EB'!O3</f>
        <v>11784</v>
      </c>
      <c r="I3" s="198">
        <f>VLOOKUP(c_26[[#This Row],[hwycov_id]],readme!D:G,4,FALSE)</f>
        <v>14180.369140999999</v>
      </c>
      <c r="J3" s="206">
        <f t="shared" ref="J3:J14" si="2">I3/H3-1</f>
        <v>0.20335787007807182</v>
      </c>
      <c r="K3" s="190" t="str">
        <f>'[2]SR-56 EB'!P3</f>
        <v>PeMS2016</v>
      </c>
      <c r="L3" s="148">
        <f t="shared" ref="L3:L14" si="3">POWER((I3-H3),2)</f>
        <v>5742585.0599370738</v>
      </c>
      <c r="M3" s="44"/>
    </row>
    <row r="4" spans="1:35" ht="15" customHeight="1" x14ac:dyDescent="0.25">
      <c r="A4" s="43">
        <f>'[2]SR-56 EB'!C4</f>
        <v>26</v>
      </c>
      <c r="B4" s="43" t="str">
        <f>'[2]SR-56 EB'!H4</f>
        <v>SR-56 EB</v>
      </c>
      <c r="C4" s="126">
        <f>'[2]SR-56 EB'!E4</f>
        <v>27507</v>
      </c>
      <c r="D4" s="188">
        <f>'[2]SR-56 EB'!I4</f>
        <v>4</v>
      </c>
      <c r="E4" s="189">
        <f>'[2]SR-56 EB'!J4</f>
        <v>0</v>
      </c>
      <c r="F4" s="189" t="str">
        <f>'[2]SR-56 EB'!K4</f>
        <v>CARMEL CREEK</v>
      </c>
      <c r="G4" s="189" t="str">
        <f>'[2]SR-56 EB'!L4</f>
        <v>CARMEL COUNTRY</v>
      </c>
      <c r="H4" s="197">
        <f>'[2]SR-56 EB'!O4</f>
        <v>13771</v>
      </c>
      <c r="I4" s="198">
        <f>VLOOKUP(c_26[[#This Row],[hwycov_id]],readme!D:G,4,FALSE)</f>
        <v>14967.219727</v>
      </c>
      <c r="J4" s="206">
        <f t="shared" si="2"/>
        <v>8.6865131580858401E-2</v>
      </c>
      <c r="K4" s="190" t="str">
        <f>'[2]SR-56 EB'!P4</f>
        <v>Caltran</v>
      </c>
      <c r="L4" s="148">
        <f t="shared" si="3"/>
        <v>1430941.6352639538</v>
      </c>
      <c r="M4" s="44"/>
    </row>
    <row r="5" spans="1:35" ht="15" customHeight="1" x14ac:dyDescent="0.25">
      <c r="A5" s="43">
        <f>'[2]SR-56 EB'!C5</f>
        <v>26</v>
      </c>
      <c r="B5" s="43" t="str">
        <f>'[2]SR-56 EB'!H5</f>
        <v>SR-56 EB</v>
      </c>
      <c r="C5" s="126">
        <f>'[2]SR-56 EB'!E5</f>
        <v>29168</v>
      </c>
      <c r="D5" s="188">
        <f>'[2]SR-56 EB'!I5</f>
        <v>5</v>
      </c>
      <c r="E5" s="189">
        <f>'[2]SR-56 EB'!J5</f>
        <v>0</v>
      </c>
      <c r="F5" s="189" t="str">
        <f>'[2]SR-56 EB'!K5</f>
        <v>CARMEL COUNTRY</v>
      </c>
      <c r="G5" s="189" t="str">
        <f>'[2]SR-56 EB'!L5</f>
        <v>CARMEL COUNTRY</v>
      </c>
      <c r="H5" s="197">
        <f>'[2]SR-56 EB'!O5</f>
        <v>10644</v>
      </c>
      <c r="I5" s="198">
        <f>VLOOKUP(c_26[[#This Row],[hwycov_id]],readme!D:G,4,FALSE)</f>
        <v>12655.594727</v>
      </c>
      <c r="J5" s="206">
        <f t="shared" si="2"/>
        <v>0.18898860644494553</v>
      </c>
      <c r="K5" s="190" t="str">
        <f>'[2]SR-56 EB'!P5</f>
        <v>PeMS2016</v>
      </c>
      <c r="L5" s="148">
        <f t="shared" si="3"/>
        <v>4046513.3456942034</v>
      </c>
      <c r="M5" s="44"/>
    </row>
    <row r="6" spans="1:35" ht="15" customHeight="1" x14ac:dyDescent="0.25">
      <c r="A6" s="43">
        <f>'[2]SR-56 EB'!C6</f>
        <v>26</v>
      </c>
      <c r="B6" s="43" t="str">
        <f>'[2]SR-56 EB'!H6</f>
        <v>SR-56 EB</v>
      </c>
      <c r="C6" s="126">
        <f>'[2]SR-56 EB'!E6</f>
        <v>16356</v>
      </c>
      <c r="D6" s="188">
        <f>'[2]SR-56 EB'!I6</f>
        <v>6</v>
      </c>
      <c r="E6" s="189">
        <f>'[2]SR-56 EB'!J6</f>
        <v>0</v>
      </c>
      <c r="F6" s="189" t="str">
        <f>'[2]SR-56 EB'!K6</f>
        <v>CARMEL COUNTRY</v>
      </c>
      <c r="G6" s="189" t="str">
        <f>'[2]SR-56 EB'!L6</f>
        <v>CAMINO SANTA FE</v>
      </c>
      <c r="H6" s="197">
        <f>'[2]SR-56 EB'!O6</f>
        <v>13298</v>
      </c>
      <c r="I6" s="198">
        <f>VLOOKUP(c_26[[#This Row],[hwycov_id]],readme!D:G,4,FALSE)</f>
        <v>14247.068359000001</v>
      </c>
      <c r="J6" s="206">
        <f t="shared" si="2"/>
        <v>7.1369255451947611E-2</v>
      </c>
      <c r="K6" s="190" t="str">
        <f>'[2]SR-56 EB'!P6</f>
        <v>Caltran</v>
      </c>
      <c r="L6" s="148">
        <f t="shared" si="3"/>
        <v>900730.75005495432</v>
      </c>
      <c r="M6" s="44"/>
    </row>
    <row r="7" spans="1:35" ht="15" customHeight="1" x14ac:dyDescent="0.25">
      <c r="A7" s="43">
        <f>'[2]SR-56 EB'!C7</f>
        <v>26</v>
      </c>
      <c r="B7" s="43" t="str">
        <f>'[2]SR-56 EB'!H7</f>
        <v>SR-56 EB</v>
      </c>
      <c r="C7" s="126">
        <f>'[2]SR-56 EB'!E7</f>
        <v>29169</v>
      </c>
      <c r="D7" s="188">
        <f>'[2]SR-56 EB'!I7</f>
        <v>7</v>
      </c>
      <c r="E7" s="189">
        <f>'[2]SR-56 EB'!J7</f>
        <v>0</v>
      </c>
      <c r="F7" s="189" t="str">
        <f>'[2]SR-56 EB'!K7</f>
        <v>CAMINO SANTA FE</v>
      </c>
      <c r="G7" s="189" t="str">
        <f>'[2]SR-56 EB'!L7</f>
        <v>CAMINO SANTA FE</v>
      </c>
      <c r="H7" s="197">
        <f>'[2]SR-56 EB'!O7</f>
        <v>11369</v>
      </c>
      <c r="I7" s="198">
        <f>VLOOKUP(c_26[[#This Row],[hwycov_id]],readme!D:G,4,FALSE)</f>
        <v>11474.403319999999</v>
      </c>
      <c r="J7" s="206">
        <f t="shared" si="2"/>
        <v>9.271116193156681E-3</v>
      </c>
      <c r="K7" s="190" t="str">
        <f>'[2]SR-56 EB'!P7</f>
        <v>PeMS2016</v>
      </c>
      <c r="L7" s="148">
        <f t="shared" si="3"/>
        <v>11109.859867022282</v>
      </c>
      <c r="M7" s="44"/>
    </row>
    <row r="8" spans="1:35" ht="15" customHeight="1" x14ac:dyDescent="0.25">
      <c r="A8" s="43">
        <f>'[2]SR-56 EB'!C8</f>
        <v>26</v>
      </c>
      <c r="B8" s="43" t="str">
        <f>'[2]SR-56 EB'!H8</f>
        <v>SR-56 EB</v>
      </c>
      <c r="C8" s="126">
        <f>'[2]SR-56 EB'!E8</f>
        <v>16360</v>
      </c>
      <c r="D8" s="188">
        <f>'[2]SR-56 EB'!I8</f>
        <v>8</v>
      </c>
      <c r="E8" s="189">
        <f>'[2]SR-56 EB'!J8</f>
        <v>1</v>
      </c>
      <c r="F8" s="189" t="str">
        <f>'[2]SR-56 EB'!K8</f>
        <v>CAMINO SANTA FE</v>
      </c>
      <c r="G8" s="189" t="str">
        <f>'[2]SR-56 EB'!L8</f>
        <v>CAMINO RUIZ</v>
      </c>
      <c r="H8" s="197">
        <f>'[2]SR-56 EB'!O8</f>
        <v>12653</v>
      </c>
      <c r="I8" s="198">
        <f>VLOOKUP(c_26[[#This Row],[hwycov_id]],readme!D:G,4,FALSE)</f>
        <v>12247.650390999999</v>
      </c>
      <c r="J8" s="206">
        <f t="shared" si="2"/>
        <v>-3.2035849917015802E-2</v>
      </c>
      <c r="K8" s="190" t="str">
        <f>'[2]SR-56 EB'!P8</f>
        <v>Caltran</v>
      </c>
      <c r="L8" s="148">
        <f t="shared" si="3"/>
        <v>164308.30551645352</v>
      </c>
      <c r="M8" s="44"/>
    </row>
    <row r="9" spans="1:35" ht="15" customHeight="1" x14ac:dyDescent="0.25">
      <c r="A9" s="43">
        <f>'[2]SR-56 EB'!C9</f>
        <v>26</v>
      </c>
      <c r="B9" s="43" t="str">
        <f>'[2]SR-56 EB'!H9</f>
        <v>SR-56 EB</v>
      </c>
      <c r="C9" s="126">
        <f>'[2]SR-56 EB'!E9</f>
        <v>16350</v>
      </c>
      <c r="D9" s="188">
        <f>'[2]SR-56 EB'!I9</f>
        <v>9</v>
      </c>
      <c r="E9" s="189">
        <f>'[2]SR-56 EB'!J9</f>
        <v>0</v>
      </c>
      <c r="F9" s="189" t="str">
        <f>'[2]SR-56 EB'!K9</f>
        <v>CAMINO SANTA FE</v>
      </c>
      <c r="G9" s="189" t="str">
        <f>'[2]SR-56 EB'!L9</f>
        <v>CAMINO RUIZ</v>
      </c>
      <c r="H9" s="197">
        <f>'[2]SR-56 EB'!O9</f>
        <v>12710</v>
      </c>
      <c r="I9" s="198">
        <f>VLOOKUP(c_26[[#This Row],[hwycov_id]],readme!D:G,4,FALSE)</f>
        <v>12247.650390999999</v>
      </c>
      <c r="J9" s="206">
        <f t="shared" si="2"/>
        <v>-3.6376837844217191E-2</v>
      </c>
      <c r="K9" s="190" t="str">
        <f>'[2]SR-56 EB'!P9</f>
        <v>PeMS2016</v>
      </c>
      <c r="L9" s="148">
        <f t="shared" si="3"/>
        <v>213767.1609424536</v>
      </c>
      <c r="M9" s="44"/>
    </row>
    <row r="10" spans="1:35" s="167" customFormat="1" ht="15" hidden="1" customHeight="1" x14ac:dyDescent="0.25">
      <c r="A10" s="43">
        <f>'[2]SR-56 EB'!C10</f>
        <v>26</v>
      </c>
      <c r="B10" s="43" t="str">
        <f>'[2]SR-56 EB'!H10</f>
        <v>SR-56 EB</v>
      </c>
      <c r="C10" s="126">
        <f>'[2]SR-56 EB'!E10</f>
        <v>29173</v>
      </c>
      <c r="D10" s="188">
        <f>'[2]SR-56 EB'!I10</f>
        <v>11</v>
      </c>
      <c r="E10" s="189">
        <f>'[2]SR-56 EB'!J10</f>
        <v>0</v>
      </c>
      <c r="F10" s="189" t="str">
        <f>'[2]SR-56 EB'!K10</f>
        <v>CAMINO RUIZ</v>
      </c>
      <c r="G10" s="189" t="str">
        <f>'[2]SR-56 EB'!L10</f>
        <v>CAMINO RUIZ</v>
      </c>
      <c r="H10" s="197">
        <f>'[2]SR-56 EB'!O10</f>
        <v>10972</v>
      </c>
      <c r="I10" s="198">
        <f>VLOOKUP(c_26[[#This Row],[hwycov_id]],readme!D:G,4,FALSE)</f>
        <v>10239.106444999999</v>
      </c>
      <c r="J10" s="206">
        <f t="shared" si="2"/>
        <v>-6.6796714819540748E-2</v>
      </c>
      <c r="K10" s="190" t="str">
        <f>'[2]SR-56 EB'!P10</f>
        <v>PeMS2016</v>
      </c>
      <c r="L10" s="148">
        <f t="shared" si="3"/>
        <v>537132.9629605388</v>
      </c>
      <c r="M10" s="173"/>
      <c r="N10" s="172"/>
    </row>
    <row r="11" spans="1:35" ht="15" customHeight="1" x14ac:dyDescent="0.25">
      <c r="A11" s="43">
        <f>'[2]SR-56 EB'!C11</f>
        <v>26</v>
      </c>
      <c r="B11" s="43" t="str">
        <f>'[2]SR-56 EB'!H11</f>
        <v>SR-56 EB</v>
      </c>
      <c r="C11" s="126">
        <f>'[2]SR-56 EB'!E11</f>
        <v>16353</v>
      </c>
      <c r="D11" s="188">
        <f>'[2]SR-56 EB'!I11</f>
        <v>13</v>
      </c>
      <c r="E11" s="189">
        <f>'[2]SR-56 EB'!J11</f>
        <v>0</v>
      </c>
      <c r="F11" s="189" t="str">
        <f>'[2]SR-56 EB'!K11</f>
        <v>CAMINO RUIZ</v>
      </c>
      <c r="G11" s="189" t="str">
        <f>'[2]SR-56 EB'!L11</f>
        <v>BLACK MOUNTAIN</v>
      </c>
      <c r="H11" s="197">
        <f>'[2]SR-56 EB'!O11</f>
        <v>12737</v>
      </c>
      <c r="I11" s="198">
        <f>VLOOKUP(c_26[[#This Row],[hwycov_id]],readme!D:G,4,FALSE)</f>
        <v>12556.775390999999</v>
      </c>
      <c r="J11" s="206">
        <f t="shared" si="2"/>
        <v>-1.4149690586480412E-2</v>
      </c>
      <c r="K11" s="190" t="str">
        <f>'[2]SR-56 EB'!P11</f>
        <v>Caltran</v>
      </c>
      <c r="L11" s="148">
        <f t="shared" si="3"/>
        <v>32480.909689203163</v>
      </c>
      <c r="M11" s="44"/>
    </row>
    <row r="12" spans="1:35" ht="15" customHeight="1" x14ac:dyDescent="0.25">
      <c r="A12" s="43">
        <f>'[2]SR-56 EB'!C12</f>
        <v>26</v>
      </c>
      <c r="B12" s="43" t="str">
        <f>'[2]SR-56 EB'!H12</f>
        <v>SR-56 EB</v>
      </c>
      <c r="C12" s="126">
        <f>'[2]SR-56 EB'!E12</f>
        <v>16144</v>
      </c>
      <c r="D12" s="188">
        <f>'[2]SR-56 EB'!I12</f>
        <v>15</v>
      </c>
      <c r="E12" s="189">
        <f>'[2]SR-56 EB'!J12</f>
        <v>0</v>
      </c>
      <c r="F12" s="189" t="str">
        <f>'[2]SR-56 EB'!K12</f>
        <v>BLACK MOUNTAIN</v>
      </c>
      <c r="G12" s="189" t="str">
        <f>'[2]SR-56 EB'!L12</f>
        <v>RANCHO PENASQUITOS</v>
      </c>
      <c r="H12" s="197">
        <f>'[2]SR-56 EB'!O12</f>
        <v>10773</v>
      </c>
      <c r="I12" s="198">
        <f>VLOOKUP(c_26[[#This Row],[hwycov_id]],readme!D:G,4,FALSE)</f>
        <v>10832.131836</v>
      </c>
      <c r="J12" s="206">
        <f t="shared" si="2"/>
        <v>5.4888922305764698E-3</v>
      </c>
      <c r="K12" s="190" t="str">
        <f>'[2]SR-56 EB'!P12</f>
        <v>PeMS2016</v>
      </c>
      <c r="L12" s="148">
        <f t="shared" si="3"/>
        <v>3496.5740287309523</v>
      </c>
      <c r="M12" s="44"/>
    </row>
    <row r="13" spans="1:35" ht="15" customHeight="1" x14ac:dyDescent="0.25">
      <c r="A13" s="43">
        <f>'[2]SR-56 EB'!C13</f>
        <v>26</v>
      </c>
      <c r="B13" s="43" t="str">
        <f>'[2]SR-56 EB'!H13</f>
        <v>SR-56 EB</v>
      </c>
      <c r="C13" s="126">
        <f>'[2]SR-56 EB'!E13</f>
        <v>11379</v>
      </c>
      <c r="D13" s="188">
        <f>'[2]SR-56 EB'!I13</f>
        <v>16</v>
      </c>
      <c r="E13" s="189">
        <f>'[2]SR-56 EB'!J13</f>
        <v>0</v>
      </c>
      <c r="F13" s="189" t="str">
        <f>'[2]SR-56 EB'!K13</f>
        <v>RANCHO PENASQUITOS</v>
      </c>
      <c r="G13" s="189" t="str">
        <f>'[2]SR-56 EB'!L13</f>
        <v>RANCHO PENASQUITOS</v>
      </c>
      <c r="H13" s="197">
        <f>'[2]SR-56 EB'!O13</f>
        <v>9505</v>
      </c>
      <c r="I13" s="198">
        <f>VLOOKUP(c_26[[#This Row],[hwycov_id]],readme!D:G,4,FALSE)</f>
        <v>8538.0449219999991</v>
      </c>
      <c r="J13" s="206">
        <f t="shared" si="2"/>
        <v>-0.10173120231457133</v>
      </c>
      <c r="K13" s="190" t="str">
        <f>'[2]SR-56 EB'!P13</f>
        <v>PeMS2016</v>
      </c>
      <c r="L13" s="148">
        <f t="shared" si="3"/>
        <v>935002.12286998774</v>
      </c>
      <c r="M13" s="44"/>
    </row>
    <row r="14" spans="1:35" ht="15" customHeight="1" x14ac:dyDescent="0.25">
      <c r="A14" s="43">
        <f>'[2]SR-56 EB'!C14</f>
        <v>26</v>
      </c>
      <c r="B14" s="43" t="str">
        <f>'[2]SR-56 EB'!H14</f>
        <v>SR-56 EB</v>
      </c>
      <c r="C14" s="126">
        <f>'[2]SR-56 EB'!E14</f>
        <v>16523</v>
      </c>
      <c r="D14" s="188">
        <f>'[2]SR-56 EB'!I14</f>
        <v>17</v>
      </c>
      <c r="E14" s="189">
        <f>'[2]SR-56 EB'!J14</f>
        <v>0</v>
      </c>
      <c r="F14" s="189" t="str">
        <f>'[2]SR-56 EB'!K14</f>
        <v>RANCHO PENASQUITOS</v>
      </c>
      <c r="G14" s="189" t="str">
        <f>'[2]SR-56 EB'!L14</f>
        <v>I-15 SB</v>
      </c>
      <c r="H14" s="197">
        <f>'[2]SR-56 EB'!O14</f>
        <v>10219</v>
      </c>
      <c r="I14" s="198">
        <f>VLOOKUP(c_26[[#This Row],[hwycov_id]],readme!D:G,4,FALSE)</f>
        <v>9648.4882809999999</v>
      </c>
      <c r="J14" s="206">
        <f t="shared" si="2"/>
        <v>-5.5828527155298957E-2</v>
      </c>
      <c r="K14" s="190" t="str">
        <f>'[2]SR-56 EB'!P14</f>
        <v>PeMS2016</v>
      </c>
      <c r="L14" s="148">
        <f t="shared" si="3"/>
        <v>325483.62151633506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3 J2:J14">
    <cfRule type="cellIs" dxfId="58" priority="7" operator="lessThan">
      <formula>-0.2</formula>
    </cfRule>
    <cfRule type="cellIs" dxfId="57" priority="8" operator="greaterThan">
      <formula>0.2</formula>
    </cfRule>
  </conditionalFormatting>
  <conditionalFormatting sqref="J19:K1048576">
    <cfRule type="cellIs" dxfId="56" priority="5" operator="lessThan">
      <formula>-0.2</formula>
    </cfRule>
    <cfRule type="cellIs" dxfId="55" priority="6" operator="greaterThan">
      <formula>0.2</formula>
    </cfRule>
  </conditionalFormatting>
  <conditionalFormatting sqref="J17:K18">
    <cfRule type="cellIs" dxfId="54" priority="3" operator="lessThan">
      <formula>-0.2</formula>
    </cfRule>
    <cfRule type="cellIs" dxfId="53" priority="4" operator="greaterThan">
      <formula>0.2</formula>
    </cfRule>
  </conditionalFormatting>
  <conditionalFormatting sqref="N1">
    <cfRule type="cellIs" dxfId="52" priority="1" operator="lessThan">
      <formula>-0.2</formula>
    </cfRule>
    <cfRule type="cellIs" dxfId="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6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4.42578125" style="25" bestFit="1" customWidth="1"/>
    <col min="7" max="7" width="18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SQRT(AVERAGE(c_27[x2]))/AVERAGE(c_27[count])</f>
        <v>0.33685690054767548</v>
      </c>
      <c r="O1" s="69">
        <f>LINEST(c_27[flow],c_27[count],FALSE)</f>
        <v>1.2467226977109334</v>
      </c>
      <c r="P1" s="69">
        <f>RSQ(c_27[flow],c_27[count])</f>
        <v>0.59125031530408978</v>
      </c>
      <c r="Q1" s="19">
        <f>IFERROR(AVERAGEIF(c_27[gap],"&gt;=0",c_27[gap]),0)</f>
        <v>0.33378121137849459</v>
      </c>
      <c r="R1" s="20">
        <f>IFERROR(AVERAGEIF(c_27[gap],"&lt;0",c_27[gap]),0)</f>
        <v>-0.12880922675143358</v>
      </c>
      <c r="S1" s="13">
        <f>AVERAGE(c_27[gap])</f>
        <v>0.25668280502350654</v>
      </c>
      <c r="T1" s="18">
        <f>COUNTIFS(c_27[gap],"&lt;10%",c_27[gap],"&gt;=-10%")/COUNTA(c_27[gap])</f>
        <v>0</v>
      </c>
      <c r="U1" s="18">
        <f>COUNTIFS(c_27[gap],"&lt;20%",c_27[gap],"&gt;=-20%")/COUNTA(c_27[gap])</f>
        <v>0.33333333333333331</v>
      </c>
      <c r="V1" s="18">
        <f>COUNTIFS(c_27[gap],"&lt;30%",c_27[gap],"&gt;=-30%")/COUNTA(c_27[gap])</f>
        <v>0.33333333333333331</v>
      </c>
      <c r="W1" s="19">
        <f>COUNTIF(c_27[gap],"&gt;=0")/COUNTA(c_27[gap])</f>
        <v>0.83333333333333337</v>
      </c>
      <c r="X1" s="21">
        <f>COUNTIF(c_27[gap],"&lt;0")/COUNTA(c_27[gap])</f>
        <v>0.16666666666666666</v>
      </c>
      <c r="Y1" s="6" t="str">
        <f>"%Link(+)="&amp;TEXT(W1,"0%")</f>
        <v>%Link(+)=83%</v>
      </c>
      <c r="Z1" s="6" t="str">
        <f>"%Link(-)="&amp;TEXT(X1,"0%")</f>
        <v>%Link(-)=17%</v>
      </c>
      <c r="AA1" s="36" t="str">
        <f>"AvgGap(+)="&amp;TEXT(Q1,"0%")</f>
        <v>AvgGap(+)=33%</v>
      </c>
      <c r="AB1" s="25" t="str">
        <f>"AvgGap(-)="&amp;TEXT(R1,"0%")</f>
        <v>AvgGap(-)=-13%</v>
      </c>
      <c r="AC1" s="25" t="str">
        <f>"AvgGap(±)="&amp;TEXT(S1,"0%")</f>
        <v>AvgGap(±)=26%</v>
      </c>
      <c r="AD1" s="25" t="str">
        <f>"GapIn(±10%)="&amp;TEXT(T1,"0%")</f>
        <v>GapIn(±10%)=0%</v>
      </c>
      <c r="AE1" s="25" t="str">
        <f>"GapIn(±20%)="&amp;TEXT(U1,"0%")</f>
        <v>GapIn(±20%)=33%</v>
      </c>
      <c r="AF1" s="25" t="str">
        <f>"GapIn(±30%)="&amp;TEXT(V1,"0%")</f>
        <v>GapIn(±30%)=33%</v>
      </c>
      <c r="AG1" s="25" t="str">
        <f>"Linear Slope="&amp;TEXT(O1,"#.###")</f>
        <v>Linear Slope=1.247</v>
      </c>
      <c r="AH1" s="25" t="str">
        <f>"RMSE="&amp;TEXT(N1,"0%")</f>
        <v>RMSE=34%</v>
      </c>
      <c r="AI1" s="25" t="str">
        <f>CONCATENATE(Y1," ",Z1," ",AA1,"  ",AB1,"  ",AC1,"  ",AD1," ",AE1,"  ",AF1,"  ",AG1," ",AH1)</f>
        <v>%Link(+)=83% %Link(-)=17% AvgGap(+)=33%  AvgGap(-)=-13%  AvgGap(±)=26%  GapIn(±10%)=0% GapIn(±20%)=33%  GapIn(±30%)=33%  Linear Slope=1.247 RMSE=34%</v>
      </c>
    </row>
    <row r="2" spans="1:35" ht="15" customHeight="1" x14ac:dyDescent="0.25">
      <c r="A2" s="43">
        <f>'[2]SR-905 EB'!C2</f>
        <v>27</v>
      </c>
      <c r="B2" s="43" t="str">
        <f>'[2]SR-905 EB'!H2</f>
        <v>SR-905 EB</v>
      </c>
      <c r="C2" s="126">
        <f>'[2]SR-905 EB'!E2</f>
        <v>27855</v>
      </c>
      <c r="D2" s="188">
        <f>'[2]SR-905 EB'!I2</f>
        <v>5</v>
      </c>
      <c r="E2" s="189">
        <f>'[2]SR-905 EB'!J2</f>
        <v>0</v>
      </c>
      <c r="F2" s="189" t="str">
        <f>'[2]SR-905 EB'!K2</f>
        <v>I-5 SB</v>
      </c>
      <c r="G2" s="189" t="str">
        <f>'[2]SR-905 EB'!L2</f>
        <v>BEYER</v>
      </c>
      <c r="H2" s="197">
        <f>'[2]SR-905 EB'!O2</f>
        <v>8022</v>
      </c>
      <c r="I2" s="198">
        <f>VLOOKUP(c_27[[#This Row],[hwycov_id]],readme!D:G,4,FALSE)</f>
        <v>6988.6923829999996</v>
      </c>
      <c r="J2" s="206">
        <f t="shared" ref="J2" si="0">I2/H2-1</f>
        <v>-0.12880922675143358</v>
      </c>
      <c r="K2" s="190" t="str">
        <f>'[2]SR-905 EB'!P2</f>
        <v>Caltran</v>
      </c>
      <c r="L2" s="148">
        <f>POWER((I2-H2),2)</f>
        <v>1067724.6313502195</v>
      </c>
      <c r="M2" s="44"/>
    </row>
    <row r="3" spans="1:35" ht="15" customHeight="1" x14ac:dyDescent="0.25">
      <c r="A3" s="43">
        <f>'[2]SR-905 EB'!C3</f>
        <v>27</v>
      </c>
      <c r="B3" s="43" t="str">
        <f>'[2]SR-905 EB'!H3</f>
        <v>SR-905 EB</v>
      </c>
      <c r="C3" s="126">
        <f>'[2]SR-905 EB'!E3</f>
        <v>9914</v>
      </c>
      <c r="D3" s="188">
        <f>'[2]SR-905 EB'!I3</f>
        <v>12</v>
      </c>
      <c r="E3" s="189">
        <f>'[2]SR-905 EB'!J3</f>
        <v>0</v>
      </c>
      <c r="F3" s="189" t="str">
        <f>'[2]SR-905 EB'!K3</f>
        <v>I-805 SB</v>
      </c>
      <c r="G3" s="189" t="str">
        <f>'[2]SR-905 EB'!L3</f>
        <v>I-805 NB</v>
      </c>
      <c r="H3" s="197">
        <f>'[2]SR-905 EB'!O3</f>
        <v>3466</v>
      </c>
      <c r="I3" s="198">
        <f>VLOOKUP(c_27[[#This Row],[hwycov_id]],readme!D:G,4,FALSE)</f>
        <v>4057.8901369999999</v>
      </c>
      <c r="J3" s="206">
        <f t="shared" ref="J3:J7" si="1">I3/H3-1</f>
        <v>0.17077037997691868</v>
      </c>
      <c r="K3" s="190" t="str">
        <f>'[2]SR-905 EB'!P3</f>
        <v>PeMS2016</v>
      </c>
      <c r="L3" s="148">
        <f t="shared" ref="L3:L7" si="2">POWER((I3-H3),2)</f>
        <v>350333.93427787861</v>
      </c>
      <c r="M3" s="44"/>
    </row>
    <row r="4" spans="1:35" ht="15" customHeight="1" x14ac:dyDescent="0.25">
      <c r="A4" s="43">
        <f>'[2]SR-905 EB'!C4</f>
        <v>27</v>
      </c>
      <c r="B4" s="43" t="str">
        <f>'[2]SR-905 EB'!H4</f>
        <v>SR-905 EB</v>
      </c>
      <c r="C4" s="126">
        <f>'[2]SR-905 EB'!E4</f>
        <v>9903</v>
      </c>
      <c r="D4" s="188">
        <f>'[2]SR-905 EB'!I4</f>
        <v>13</v>
      </c>
      <c r="E4" s="189">
        <f>'[2]SR-905 EB'!J4</f>
        <v>0</v>
      </c>
      <c r="F4" s="189" t="str">
        <f>'[2]SR-905 EB'!K4</f>
        <v>I-805 NB</v>
      </c>
      <c r="G4" s="189" t="str">
        <f>'[2]SR-905 EB'!L4</f>
        <v>CALIENTE</v>
      </c>
      <c r="H4" s="197">
        <f>'[2]SR-905 EB'!O4</f>
        <v>7641</v>
      </c>
      <c r="I4" s="198">
        <f>VLOOKUP(c_27[[#This Row],[hwycov_id]],readme!D:G,4,FALSE)</f>
        <v>11025.977539</v>
      </c>
      <c r="J4" s="206">
        <f t="shared" si="1"/>
        <v>0.44300190276141871</v>
      </c>
      <c r="K4" s="190" t="str">
        <f>'[2]SR-905 EB'!P4</f>
        <v>Caltran</v>
      </c>
      <c r="L4" s="148">
        <f t="shared" si="2"/>
        <v>11458072.939534493</v>
      </c>
      <c r="M4" s="44"/>
    </row>
    <row r="5" spans="1:35" ht="15" customHeight="1" x14ac:dyDescent="0.25">
      <c r="A5" s="43">
        <f>'[2]SR-905 EB'!C5</f>
        <v>27</v>
      </c>
      <c r="B5" s="43" t="str">
        <f>'[2]SR-905 EB'!H5</f>
        <v>SR-905 EB</v>
      </c>
      <c r="C5" s="126">
        <f>'[2]SR-905 EB'!E5</f>
        <v>27737</v>
      </c>
      <c r="D5" s="188">
        <f>'[2]SR-905 EB'!I5</f>
        <v>3</v>
      </c>
      <c r="E5" s="189">
        <f>'[2]SR-905 EB'!J5</f>
        <v>0</v>
      </c>
      <c r="F5" s="189" t="str">
        <f>'[2]SR-905 EB'!K5</f>
        <v>CALIENTE</v>
      </c>
      <c r="G5" s="189" t="str">
        <f>'[2]SR-905 EB'!L5</f>
        <v>HERITAGE</v>
      </c>
      <c r="H5" s="197">
        <f>'[2]SR-905 EB'!O5</f>
        <v>7486</v>
      </c>
      <c r="I5" s="198">
        <f>VLOOKUP(c_27[[#This Row],[hwycov_id]],readme!D:G,4,FALSE)</f>
        <v>9806.2080079999996</v>
      </c>
      <c r="J5" s="206">
        <f t="shared" si="1"/>
        <v>0.30993962169382838</v>
      </c>
      <c r="K5" s="190" t="str">
        <f>'[2]SR-905 EB'!P5</f>
        <v>PeMS2016</v>
      </c>
      <c r="L5" s="148">
        <f t="shared" si="2"/>
        <v>5383365.2003873261</v>
      </c>
      <c r="M5" s="44"/>
    </row>
    <row r="6" spans="1:35" ht="15" customHeight="1" x14ac:dyDescent="0.25">
      <c r="A6" s="43">
        <f>'[2]SR-905 EB'!C6</f>
        <v>27</v>
      </c>
      <c r="B6" s="43" t="str">
        <f>'[2]SR-905 EB'!H6</f>
        <v>SR-905 EB</v>
      </c>
      <c r="C6" s="126">
        <f>'[2]SR-905 EB'!E6</f>
        <v>27720</v>
      </c>
      <c r="D6" s="188">
        <f>'[2]SR-905 EB'!I6</f>
        <v>8</v>
      </c>
      <c r="E6" s="189">
        <f>'[2]SR-905 EB'!J6</f>
        <v>0</v>
      </c>
      <c r="F6" s="189" t="str">
        <f>'[2]SR-905 EB'!K6</f>
        <v>BRITANNIA</v>
      </c>
      <c r="G6" s="189" t="str">
        <f>'[2]SR-905 EB'!L6</f>
        <v>LA MEDIA</v>
      </c>
      <c r="H6" s="197">
        <f>'[2]SR-905 EB'!O6</f>
        <v>7398</v>
      </c>
      <c r="I6" s="198">
        <f>VLOOKUP(c_27[[#This Row],[hwycov_id]],readme!D:G,4,FALSE)</f>
        <v>9694.3769530000009</v>
      </c>
      <c r="J6" s="206">
        <f t="shared" si="1"/>
        <v>0.31040510313598291</v>
      </c>
      <c r="K6" s="190" t="str">
        <f>'[2]SR-905 EB'!P6</f>
        <v>PeMS2016</v>
      </c>
      <c r="L6" s="148">
        <f t="shared" si="2"/>
        <v>5273347.1102695679</v>
      </c>
      <c r="M6" s="44"/>
    </row>
    <row r="7" spans="1:35" ht="15" customHeight="1" x14ac:dyDescent="0.25">
      <c r="A7" s="43">
        <f>'[2]SR-905 EB'!C7</f>
        <v>27</v>
      </c>
      <c r="B7" s="43" t="str">
        <f>'[2]SR-905 EB'!H7</f>
        <v>SR-905 EB</v>
      </c>
      <c r="C7" s="126">
        <f>'[2]SR-905 EB'!E7</f>
        <v>9953</v>
      </c>
      <c r="D7" s="188">
        <f>'[2]SR-905 EB'!I7</f>
        <v>10</v>
      </c>
      <c r="E7" s="189">
        <f>'[2]SR-905 EB'!J7</f>
        <v>0</v>
      </c>
      <c r="F7" s="189" t="str">
        <f>'[2]SR-905 EB'!K7</f>
        <v>LA MEDIA</v>
      </c>
      <c r="G7" s="189" t="str">
        <f>'[2]SR-905 EB'!L7</f>
        <v>SR-125 NB</v>
      </c>
      <c r="H7" s="197">
        <f>'[2]SR-905 EB'!O7</f>
        <v>5920</v>
      </c>
      <c r="I7" s="198">
        <f>VLOOKUP(c_27[[#This Row],[hwycov_id]],readme!D:G,4,FALSE)</f>
        <v>8493.9511719999991</v>
      </c>
      <c r="J7" s="206">
        <f t="shared" si="1"/>
        <v>0.43478904932432427</v>
      </c>
      <c r="K7" s="190" t="str">
        <f>'[2]SR-905 EB'!P7</f>
        <v>PeMS2016</v>
      </c>
      <c r="L7" s="148">
        <f t="shared" si="2"/>
        <v>6625224.6358401692</v>
      </c>
      <c r="M7" s="44"/>
    </row>
    <row r="8" spans="1:35" ht="15" customHeight="1" x14ac:dyDescent="0.25">
      <c r="A8" s="43"/>
      <c r="B8" s="43"/>
      <c r="C8" s="126"/>
      <c r="D8" s="188"/>
      <c r="E8" s="189"/>
      <c r="F8" s="189"/>
      <c r="G8" s="189"/>
      <c r="H8" s="197"/>
      <c r="I8" s="198"/>
      <c r="J8" s="206"/>
      <c r="K8" s="190"/>
      <c r="L8" s="148"/>
      <c r="M8" s="44"/>
    </row>
    <row r="9" spans="1:35" ht="15" customHeight="1" x14ac:dyDescent="0.25">
      <c r="A9" s="43"/>
      <c r="B9" s="43"/>
      <c r="C9" s="126"/>
      <c r="D9" s="188"/>
      <c r="E9" s="189"/>
      <c r="F9" s="189"/>
      <c r="G9" s="189"/>
      <c r="H9" s="197"/>
      <c r="I9" s="198"/>
      <c r="J9" s="206"/>
      <c r="K9" s="190"/>
      <c r="L9" s="148"/>
      <c r="M9" s="44"/>
    </row>
    <row r="10" spans="1:35" ht="15" customHeight="1" x14ac:dyDescent="0.25">
      <c r="A10" s="43"/>
      <c r="B10" s="43"/>
      <c r="C10" s="126"/>
      <c r="D10" s="188"/>
      <c r="E10" s="189"/>
      <c r="F10" s="189"/>
      <c r="G10" s="189"/>
      <c r="H10" s="197"/>
      <c r="I10" s="198"/>
      <c r="J10" s="206"/>
      <c r="K10" s="190"/>
      <c r="L10" s="148"/>
      <c r="M10" s="44"/>
    </row>
    <row r="11" spans="1:35" ht="15" customHeight="1" x14ac:dyDescent="0.25">
      <c r="A11" s="43"/>
      <c r="B11" s="43"/>
      <c r="C11" s="126"/>
      <c r="D11" s="188"/>
      <c r="E11" s="189"/>
      <c r="F11" s="189"/>
      <c r="G11" s="189"/>
      <c r="H11" s="197"/>
      <c r="I11" s="198"/>
      <c r="J11" s="206"/>
      <c r="K11" s="190"/>
      <c r="L11" s="148"/>
      <c r="M11" s="44"/>
    </row>
    <row r="12" spans="1:35" ht="15" customHeight="1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206"/>
      <c r="K12" s="190"/>
      <c r="L12" s="148"/>
      <c r="M12" s="44"/>
    </row>
    <row r="13" spans="1:35" ht="15" customHeight="1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206"/>
      <c r="K13" s="190"/>
      <c r="L13" s="148"/>
      <c r="M13" s="44"/>
    </row>
    <row r="14" spans="1:35" ht="15" customHeight="1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206"/>
      <c r="K14" s="190"/>
      <c r="L14" s="148"/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</sheetData>
  <phoneticPr fontId="62" type="noConversion"/>
  <conditionalFormatting sqref="N2:N1048576 J17:K22 J2:J7">
    <cfRule type="cellIs" dxfId="37" priority="7" operator="lessThan">
      <formula>-0.2</formula>
    </cfRule>
    <cfRule type="cellIs" dxfId="36" priority="8" operator="greaterThan">
      <formula>0.2</formula>
    </cfRule>
  </conditionalFormatting>
  <conditionalFormatting sqref="J29:K1048576">
    <cfRule type="cellIs" dxfId="35" priority="5" operator="lessThan">
      <formula>-0.2</formula>
    </cfRule>
    <cfRule type="cellIs" dxfId="34" priority="6" operator="greaterThan">
      <formula>0.2</formula>
    </cfRule>
  </conditionalFormatting>
  <conditionalFormatting sqref="J24:K28">
    <cfRule type="cellIs" dxfId="33" priority="3" operator="lessThan">
      <formula>-0.2</formula>
    </cfRule>
    <cfRule type="cellIs" dxfId="3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K28" sqref="K28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5703125" style="26" customWidth="1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SQRT(AVERAGE(c_28[x2]))/AVERAGE(c_28[count])</f>
        <v>8.2551470554620851E-2</v>
      </c>
      <c r="O1" s="69">
        <f>LINEST(c_28[flow],c_28[count],FALSE)</f>
        <v>1.0607285355109553</v>
      </c>
      <c r="P1" s="69">
        <f>RSQ(c_28[flow],c_28[count])</f>
        <v>0.96633548239210987</v>
      </c>
      <c r="Q1" s="19">
        <f>IFERROR(AVERAGEIF(c_28[gap],"&gt;=0",c_28[gap]),0)</f>
        <v>7.8086047058055608E-2</v>
      </c>
      <c r="R1" s="20">
        <f>IFERROR(AVERAGEIF(c_28[gap],"&lt;0",c_28[gap]),0)</f>
        <v>-6.403607547394452E-2</v>
      </c>
      <c r="S1" s="13">
        <f>AVERAGE(c_28[gap])</f>
        <v>6.1365797348408538E-2</v>
      </c>
      <c r="T1" s="18">
        <f>COUNTIFS(c_28[gap],"&lt;10%",c_28[gap],"&gt;=-10%")/COUNTA(c_28[gap])</f>
        <v>0.70588235294117652</v>
      </c>
      <c r="U1" s="18">
        <f>COUNTIFS(c_28[gap],"&lt;20%",c_28[gap],"&gt;=-20%")/COUNTA(c_28[gap])</f>
        <v>0.94117647058823528</v>
      </c>
      <c r="V1" s="18">
        <f>COUNTIFS(c_28[gap],"&lt;30%",c_28[gap],"&gt;=-30%")/COUNTA(c_28[gap])</f>
        <v>1</v>
      </c>
      <c r="W1" s="19">
        <f>COUNTIF(c_28[gap],"&gt;=0")/COUNTA(c_28[gap])</f>
        <v>0.88235294117647056</v>
      </c>
      <c r="X1" s="21">
        <f>COUNTIF(c_28[gap],"&lt;0")/COUNTA(c_28[gap])</f>
        <v>0.11764705882352941</v>
      </c>
      <c r="Y1" s="6" t="str">
        <f>"%Link(+)="&amp;TEXT(W1,"0%")</f>
        <v>%Link(+)=88%</v>
      </c>
      <c r="Z1" s="6" t="str">
        <f>"%Link(-)="&amp;TEXT(X1,"0%")</f>
        <v>%Link(-)=12%</v>
      </c>
      <c r="AA1" s="36" t="str">
        <f>"AvgGap(+)="&amp;TEXT(Q1,"0%")</f>
        <v>AvgGap(+)=8%</v>
      </c>
      <c r="AB1" s="25" t="str">
        <f>"AvgGap(-)="&amp;TEXT(R1,"0%")</f>
        <v>AvgGap(-)=-6%</v>
      </c>
      <c r="AC1" s="25" t="str">
        <f>"AvgGap(±)="&amp;TEXT(S1,"0%")</f>
        <v>AvgGap(±)=6%</v>
      </c>
      <c r="AD1" s="25" t="str">
        <f>"GapIn(±10%)="&amp;TEXT(T1,"0%")</f>
        <v>GapIn(±10%)=71%</v>
      </c>
      <c r="AE1" s="25" t="str">
        <f>"GapIn(±20%)="&amp;TEXT(U1,"0%")</f>
        <v>GapIn(±20%)=94%</v>
      </c>
      <c r="AF1" s="25" t="str">
        <f>"GapIn(±30%)="&amp;TEXT(V1,"0%")</f>
        <v>GapIn(±30%)=100%</v>
      </c>
      <c r="AG1" s="25" t="str">
        <f>"Linear Slope="&amp;TEXT(O1,"#.###")</f>
        <v>Linear Slope=1.061</v>
      </c>
      <c r="AH1" s="25" t="str">
        <f>"RMSE="&amp;TEXT(N1,"0%")</f>
        <v>RMSE=8%</v>
      </c>
      <c r="AI1" s="25" t="str">
        <f>CONCATENATE(Y1," ",Z1," ",AA1,"  ",AB1,"  ",AC1,"  ",AD1," ",AE1,"  ",AF1,"  ",AG1," ",AH1)</f>
        <v>%Link(+)=88% %Link(-)=12% AvgGap(+)=8%  AvgGap(-)=-6%  AvgGap(±)=6%  GapIn(±10%)=71% GapIn(±20%)=94%  GapIn(±30%)=100%  Linear Slope=1.061 RMSE=8%</v>
      </c>
    </row>
    <row r="2" spans="1:35" ht="15" customHeight="1" x14ac:dyDescent="0.25">
      <c r="A2" s="43">
        <f>'[2]SR-94 EB'!C2</f>
        <v>28</v>
      </c>
      <c r="B2" s="43" t="str">
        <f>'[2]SR-94 EB'!H2</f>
        <v>SR-94 EB</v>
      </c>
      <c r="C2" s="126">
        <f>'[2]SR-94 EB'!E2</f>
        <v>15859</v>
      </c>
      <c r="D2" s="188">
        <f>'[2]SR-94 EB'!I2</f>
        <v>4</v>
      </c>
      <c r="E2" s="189">
        <f>'[2]SR-94 EB'!J2</f>
        <v>0</v>
      </c>
      <c r="F2" s="189" t="str">
        <f>'[2]SR-94 EB'!K2</f>
        <v>I-5 SB</v>
      </c>
      <c r="G2" s="189" t="str">
        <f>'[2]SR-94 EB'!L2</f>
        <v>25TH</v>
      </c>
      <c r="H2" s="197">
        <f>'[2]SR-94 EB'!O2</f>
        <v>21430</v>
      </c>
      <c r="I2" s="198">
        <f>VLOOKUP(c_28[[#This Row],[hwycov_id]],readme!D:G,4,FALSE)</f>
        <v>24066.369140999999</v>
      </c>
      <c r="J2" s="206">
        <f>I2/H2-1</f>
        <v>0.12302235842277187</v>
      </c>
      <c r="K2" s="190" t="str">
        <f>'[2]SR-94 EB'!P2</f>
        <v>PeMS2016</v>
      </c>
      <c r="L2" s="148">
        <f t="shared" ref="L2" si="0">POWER((I2-H2),2)</f>
        <v>6950442.2476170734</v>
      </c>
      <c r="M2" s="44"/>
    </row>
    <row r="3" spans="1:35" ht="15" customHeight="1" x14ac:dyDescent="0.25">
      <c r="A3" s="43">
        <f>'[2]SR-94 EB'!C3</f>
        <v>28</v>
      </c>
      <c r="B3" s="43" t="str">
        <f>'[2]SR-94 EB'!H3</f>
        <v>SR-94 EB</v>
      </c>
      <c r="C3" s="126">
        <f>'[2]SR-94 EB'!E3</f>
        <v>15855</v>
      </c>
      <c r="D3" s="188">
        <f>'[2]SR-94 EB'!I3</f>
        <v>6</v>
      </c>
      <c r="E3" s="189">
        <f>'[2]SR-94 EB'!J3</f>
        <v>0</v>
      </c>
      <c r="F3" s="189" t="str">
        <f>'[2]SR-94 EB'!K3</f>
        <v>28TH</v>
      </c>
      <c r="G3" s="189" t="str">
        <f>'[2]SR-94 EB'!L3</f>
        <v>28TH</v>
      </c>
      <c r="H3" s="197">
        <f>'[2]SR-94 EB'!O3</f>
        <v>23078</v>
      </c>
      <c r="I3" s="198">
        <f>VLOOKUP(c_28[[#This Row],[hwycov_id]],readme!D:G,4,FALSE)</f>
        <v>25083.037109000001</v>
      </c>
      <c r="J3" s="206">
        <f t="shared" ref="J3:J18" si="1">I3/H3-1</f>
        <v>8.6880886948609071E-2</v>
      </c>
      <c r="K3" s="190" t="str">
        <f>'[2]SR-94 EB'!P3</f>
        <v>PeMS2016</v>
      </c>
      <c r="L3" s="148">
        <f t="shared" ref="L3:L18" si="2">POWER((I3-H3),2)</f>
        <v>4020173.8084670808</v>
      </c>
      <c r="M3" s="44"/>
    </row>
    <row r="4" spans="1:35" ht="15" customHeight="1" x14ac:dyDescent="0.25">
      <c r="A4" s="43">
        <f>'[2]SR-94 EB'!C4</f>
        <v>28</v>
      </c>
      <c r="B4" s="43" t="str">
        <f>'[2]SR-94 EB'!H4</f>
        <v>SR-94 EB</v>
      </c>
      <c r="C4" s="126">
        <f>'[2]SR-94 EB'!E4</f>
        <v>31212</v>
      </c>
      <c r="D4" s="188">
        <f>'[2]SR-94 EB'!I4</f>
        <v>7</v>
      </c>
      <c r="E4" s="189">
        <f>'[2]SR-94 EB'!J4</f>
        <v>0</v>
      </c>
      <c r="F4" s="189" t="str">
        <f>'[2]SR-94 EB'!K4</f>
        <v>28TH</v>
      </c>
      <c r="G4" s="189" t="str">
        <f>'[2]SR-94 EB'!L4</f>
        <v>32ND</v>
      </c>
      <c r="H4" s="197">
        <f>'[2]SR-94 EB'!O4</f>
        <v>25356</v>
      </c>
      <c r="I4" s="198">
        <f>VLOOKUP(c_28[[#This Row],[hwycov_id]],readme!D:G,4,FALSE)</f>
        <v>26780.556640999999</v>
      </c>
      <c r="J4" s="206">
        <f t="shared" si="1"/>
        <v>5.6182230675185352E-2</v>
      </c>
      <c r="K4" s="190" t="str">
        <f>'[2]SR-94 EB'!P4</f>
        <v>PeMS2016</v>
      </c>
      <c r="L4" s="148">
        <f t="shared" si="2"/>
        <v>2029361.6234172008</v>
      </c>
      <c r="M4" s="44"/>
    </row>
    <row r="5" spans="1:35" ht="15" customHeight="1" x14ac:dyDescent="0.25">
      <c r="A5" s="43">
        <f>'[2]SR-94 EB'!C5</f>
        <v>28</v>
      </c>
      <c r="B5" s="43" t="str">
        <f>'[2]SR-94 EB'!H5</f>
        <v>SR-94 EB</v>
      </c>
      <c r="C5" s="126">
        <f>'[2]SR-94 EB'!E5</f>
        <v>15853</v>
      </c>
      <c r="D5" s="188">
        <f>'[2]SR-94 EB'!I5</f>
        <v>8</v>
      </c>
      <c r="E5" s="189">
        <f>'[2]SR-94 EB'!J5</f>
        <v>0</v>
      </c>
      <c r="F5" s="189" t="str">
        <f>'[2]SR-94 EB'!K5</f>
        <v>28TH</v>
      </c>
      <c r="G5" s="189" t="str">
        <f>'[2]SR-94 EB'!L5</f>
        <v>32ND</v>
      </c>
      <c r="H5" s="197">
        <f>'[2]SR-94 EB'!O5</f>
        <v>25413</v>
      </c>
      <c r="I5" s="198">
        <f>VLOOKUP(c_28[[#This Row],[hwycov_id]],readme!D:G,4,FALSE)</f>
        <v>26780.556640999999</v>
      </c>
      <c r="J5" s="206">
        <f t="shared" si="1"/>
        <v>5.3813270412780723E-2</v>
      </c>
      <c r="K5" s="190" t="str">
        <f>'[2]SR-94 EB'!P5</f>
        <v>PeMS2016</v>
      </c>
      <c r="L5" s="148">
        <f t="shared" si="2"/>
        <v>1870211.1663432007</v>
      </c>
      <c r="M5" s="44"/>
    </row>
    <row r="6" spans="1:35" ht="15" customHeight="1" x14ac:dyDescent="0.25">
      <c r="A6" s="43">
        <f>'[2]SR-94 EB'!C6</f>
        <v>28</v>
      </c>
      <c r="B6" s="43" t="str">
        <f>'[2]SR-94 EB'!H6</f>
        <v>SR-94 EB</v>
      </c>
      <c r="C6" s="126">
        <f>'[2]SR-94 EB'!E6</f>
        <v>29052</v>
      </c>
      <c r="D6" s="188">
        <f>'[2]SR-94 EB'!I6</f>
        <v>12</v>
      </c>
      <c r="E6" s="189">
        <f>'[2]SR-94 EB'!J6</f>
        <v>0</v>
      </c>
      <c r="F6" s="189" t="str">
        <f>'[2]SR-94 EB'!K6</f>
        <v>SR-15 NB</v>
      </c>
      <c r="G6" s="189" t="str">
        <f>'[2]SR-94 EB'!L6</f>
        <v>SR-15 SB</v>
      </c>
      <c r="H6" s="197">
        <f>'[2]SR-94 EB'!O6</f>
        <v>20068</v>
      </c>
      <c r="I6" s="198">
        <f>VLOOKUP(c_28[[#This Row],[hwycov_id]],readme!D:G,4,FALSE)</f>
        <v>20736.330077999999</v>
      </c>
      <c r="J6" s="206">
        <f t="shared" si="1"/>
        <v>3.3303272772573278E-2</v>
      </c>
      <c r="K6" s="190" t="str">
        <f>'[2]SR-94 EB'!P6</f>
        <v>PeMS2016</v>
      </c>
      <c r="L6" s="148">
        <f t="shared" si="2"/>
        <v>446665.09315948479</v>
      </c>
      <c r="M6" s="44"/>
    </row>
    <row r="7" spans="1:35" ht="15" customHeight="1" x14ac:dyDescent="0.25">
      <c r="A7" s="43">
        <f>'[2]SR-94 EB'!C7</f>
        <v>28</v>
      </c>
      <c r="B7" s="43" t="str">
        <f>'[2]SR-94 EB'!H7</f>
        <v>SR-94 EB</v>
      </c>
      <c r="C7" s="126">
        <f>'[2]SR-94 EB'!E7</f>
        <v>29047</v>
      </c>
      <c r="D7" s="188">
        <f>'[2]SR-94 EB'!I7</f>
        <v>14</v>
      </c>
      <c r="E7" s="189">
        <f>'[2]SR-94 EB'!J7</f>
        <v>0</v>
      </c>
      <c r="F7" s="189" t="str">
        <f>'[2]SR-94 EB'!K7</f>
        <v>I-805 SB</v>
      </c>
      <c r="G7" s="189" t="str">
        <f>'[2]SR-94 EB'!L7</f>
        <v>I-805 NB</v>
      </c>
      <c r="H7" s="197">
        <f>'[2]SR-94 EB'!O7</f>
        <v>17407</v>
      </c>
      <c r="I7" s="198">
        <f>VLOOKUP(c_28[[#This Row],[hwycov_id]],readme!D:G,4,FALSE)</f>
        <v>19735.253906000002</v>
      </c>
      <c r="J7" s="206">
        <f t="shared" si="1"/>
        <v>0.13375388671224231</v>
      </c>
      <c r="K7" s="190" t="str">
        <f>'[2]SR-94 EB'!P7</f>
        <v>PeMS2016</v>
      </c>
      <c r="L7" s="148">
        <f t="shared" si="2"/>
        <v>5420766.250804265</v>
      </c>
      <c r="M7" s="44"/>
    </row>
    <row r="8" spans="1:35" ht="15" customHeight="1" x14ac:dyDescent="0.25">
      <c r="A8" s="43">
        <f>'[2]SR-94 EB'!C8</f>
        <v>28</v>
      </c>
      <c r="B8" s="43" t="str">
        <f>'[2]SR-94 EB'!H8</f>
        <v>SR-94 EB</v>
      </c>
      <c r="C8" s="126">
        <f>'[2]SR-94 EB'!E8</f>
        <v>29039</v>
      </c>
      <c r="D8" s="188">
        <f>'[2]SR-94 EB'!I8</f>
        <v>16</v>
      </c>
      <c r="E8" s="189">
        <f>'[2]SR-94 EB'!J8</f>
        <v>0</v>
      </c>
      <c r="F8" s="189" t="str">
        <f>'[2]SR-94 EB'!K8</f>
        <v>47TH</v>
      </c>
      <c r="G8" s="189" t="str">
        <f>'[2]SR-94 EB'!L8</f>
        <v>EUCLID</v>
      </c>
      <c r="H8" s="197">
        <f>'[2]SR-94 EB'!O8</f>
        <v>29831</v>
      </c>
      <c r="I8" s="198">
        <f>VLOOKUP(c_28[[#This Row],[hwycov_id]],readme!D:G,4,FALSE)</f>
        <v>32788.738280999998</v>
      </c>
      <c r="J8" s="206">
        <f t="shared" si="1"/>
        <v>9.9149820019442725E-2</v>
      </c>
      <c r="K8" s="190" t="str">
        <f>'[2]SR-94 EB'!P8</f>
        <v>PeMS2016</v>
      </c>
      <c r="L8" s="148">
        <f t="shared" si="2"/>
        <v>8748215.7388928235</v>
      </c>
      <c r="M8" s="44"/>
    </row>
    <row r="9" spans="1:35" ht="15" customHeight="1" x14ac:dyDescent="0.25">
      <c r="A9" s="43">
        <f>'[2]SR-94 EB'!C9</f>
        <v>28</v>
      </c>
      <c r="B9" s="43" t="str">
        <f>'[2]SR-94 EB'!H9</f>
        <v>SR-94 EB</v>
      </c>
      <c r="C9" s="126">
        <f>'[2]SR-94 EB'!E9</f>
        <v>29035</v>
      </c>
      <c r="D9" s="188">
        <f>'[2]SR-94 EB'!I9</f>
        <v>17</v>
      </c>
      <c r="E9" s="189">
        <f>'[2]SR-94 EB'!J9</f>
        <v>0</v>
      </c>
      <c r="F9" s="189" t="str">
        <f>'[2]SR-94 EB'!K9</f>
        <v>EUCLID</v>
      </c>
      <c r="G9" s="189" t="str">
        <f>'[2]SR-94 EB'!L9</f>
        <v>EUCLID</v>
      </c>
      <c r="H9" s="197">
        <f>'[2]SR-94 EB'!O9</f>
        <v>26851</v>
      </c>
      <c r="I9" s="198">
        <f>VLOOKUP(c_28[[#This Row],[hwycov_id]],readme!D:G,4,FALSE)</f>
        <v>28426.685547000001</v>
      </c>
      <c r="J9" s="206">
        <f t="shared" si="1"/>
        <v>5.8682564783434588E-2</v>
      </c>
      <c r="K9" s="190" t="str">
        <f>'[2]SR-94 EB'!P9</f>
        <v>PeMS2016</v>
      </c>
      <c r="L9" s="148">
        <f t="shared" si="2"/>
        <v>2482784.9430246921</v>
      </c>
      <c r="M9" s="44"/>
    </row>
    <row r="10" spans="1:35" ht="15" customHeight="1" x14ac:dyDescent="0.25">
      <c r="A10" s="43">
        <f>'[2]SR-94 EB'!C10</f>
        <v>28</v>
      </c>
      <c r="B10" s="43" t="str">
        <f>'[2]SR-94 EB'!H10</f>
        <v>SR-94 EB</v>
      </c>
      <c r="C10" s="126">
        <f>'[2]SR-94 EB'!E10</f>
        <v>29027</v>
      </c>
      <c r="D10" s="188">
        <f>'[2]SR-94 EB'!I10</f>
        <v>18</v>
      </c>
      <c r="E10" s="189">
        <f>'[2]SR-94 EB'!J10</f>
        <v>0</v>
      </c>
      <c r="F10" s="189" t="str">
        <f>'[2]SR-94 EB'!K10</f>
        <v>EUCLID</v>
      </c>
      <c r="G10" s="189" t="str">
        <f>'[2]SR-94 EB'!L10</f>
        <v>KELTON</v>
      </c>
      <c r="H10" s="197">
        <f>'[2]SR-94 EB'!O10</f>
        <v>27704</v>
      </c>
      <c r="I10" s="198">
        <f>VLOOKUP(c_28[[#This Row],[hwycov_id]],readme!D:G,4,FALSE)</f>
        <v>29407.886718999998</v>
      </c>
      <c r="J10" s="206">
        <f t="shared" si="1"/>
        <v>6.1503274581287792E-2</v>
      </c>
      <c r="K10" s="190" t="str">
        <f>'[2]SR-94 EB'!P10</f>
        <v>Caltran</v>
      </c>
      <c r="L10" s="148">
        <f t="shared" si="2"/>
        <v>2903229.9511845792</v>
      </c>
      <c r="M10" s="44"/>
    </row>
    <row r="11" spans="1:35" ht="15" customHeight="1" x14ac:dyDescent="0.25">
      <c r="A11" s="43">
        <f>'[2]SR-94 EB'!C11</f>
        <v>28</v>
      </c>
      <c r="B11" s="43" t="str">
        <f>'[2]SR-94 EB'!H11</f>
        <v>SR-94 EB</v>
      </c>
      <c r="C11" s="126">
        <f>'[2]SR-94 EB'!E11</f>
        <v>29023</v>
      </c>
      <c r="D11" s="188">
        <f>'[2]SR-94 EB'!I11</f>
        <v>19</v>
      </c>
      <c r="E11" s="189">
        <f>'[2]SR-94 EB'!J11</f>
        <v>0</v>
      </c>
      <c r="F11" s="189" t="str">
        <f>'[2]SR-94 EB'!K11</f>
        <v>KELTON</v>
      </c>
      <c r="G11" s="189" t="str">
        <f>'[2]SR-94 EB'!L11</f>
        <v>KELTON</v>
      </c>
      <c r="H11" s="197">
        <f>'[2]SR-94 EB'!O11</f>
        <v>27341</v>
      </c>
      <c r="I11" s="198">
        <f>VLOOKUP(c_28[[#This Row],[hwycov_id]],readme!D:G,4,FALSE)</f>
        <v>27589.865234000001</v>
      </c>
      <c r="J11" s="206">
        <f t="shared" si="1"/>
        <v>9.1022725576972441E-3</v>
      </c>
      <c r="K11" s="190" t="str">
        <f>'[2]SR-94 EB'!P11</f>
        <v>PeMS2016</v>
      </c>
      <c r="L11" s="148">
        <f t="shared" si="2"/>
        <v>61933.904693875149</v>
      </c>
      <c r="M11" s="44"/>
    </row>
    <row r="12" spans="1:35" ht="15" customHeight="1" x14ac:dyDescent="0.25">
      <c r="A12" s="43">
        <f>'[2]SR-94 EB'!C12</f>
        <v>28</v>
      </c>
      <c r="B12" s="43" t="str">
        <f>'[2]SR-94 EB'!H12</f>
        <v>SR-94 EB</v>
      </c>
      <c r="C12" s="126">
        <f>'[2]SR-94 EB'!E12</f>
        <v>29025</v>
      </c>
      <c r="D12" s="188">
        <f>'[2]SR-94 EB'!I12</f>
        <v>21</v>
      </c>
      <c r="E12" s="189">
        <f>'[2]SR-94 EB'!J12</f>
        <v>1</v>
      </c>
      <c r="F12" s="189" t="str">
        <f>'[2]SR-94 EB'!K12</f>
        <v>FEDERAL</v>
      </c>
      <c r="G12" s="189" t="str">
        <f>'[2]SR-94 EB'!L12</f>
        <v>COLLEGE GROVE</v>
      </c>
      <c r="H12" s="197">
        <f>'[2]SR-94 EB'!O12</f>
        <v>21170</v>
      </c>
      <c r="I12" s="198">
        <f>VLOOKUP(c_28[[#This Row],[hwycov_id]],readme!D:G,4,FALSE)</f>
        <v>24804.322265999999</v>
      </c>
      <c r="J12" s="206">
        <f t="shared" si="1"/>
        <v>0.17167322938119978</v>
      </c>
      <c r="K12" s="190" t="str">
        <f>'[2]SR-94 EB'!P12</f>
        <v>PeMS2016</v>
      </c>
      <c r="L12" s="148">
        <f t="shared" si="2"/>
        <v>13208298.333143368</v>
      </c>
      <c r="M12" s="44"/>
    </row>
    <row r="13" spans="1:35" ht="15" customHeight="1" x14ac:dyDescent="0.25">
      <c r="A13" s="43">
        <f>'[2]SR-94 EB'!C13</f>
        <v>28</v>
      </c>
      <c r="B13" s="43" t="str">
        <f>'[2]SR-94 EB'!H13</f>
        <v>SR-94 EB</v>
      </c>
      <c r="C13" s="126">
        <f>'[2]SR-94 EB'!E13</f>
        <v>27993</v>
      </c>
      <c r="D13" s="188">
        <f>'[2]SR-94 EB'!I13</f>
        <v>23</v>
      </c>
      <c r="E13" s="189">
        <f>'[2]SR-94 EB'!J13</f>
        <v>0</v>
      </c>
      <c r="F13" s="189" t="str">
        <f>'[2]SR-94 EB'!K13</f>
        <v>MASSACHUSETTS</v>
      </c>
      <c r="G13" s="189" t="str">
        <f>'[2]SR-94 EB'!L13</f>
        <v>MASSACHUSETTS</v>
      </c>
      <c r="H13" s="197">
        <f>'[2]SR-94 EB'!O13</f>
        <v>18924</v>
      </c>
      <c r="I13" s="198">
        <f>VLOOKUP(c_28[[#This Row],[hwycov_id]],readme!D:G,4,FALSE)</f>
        <v>19294.236327999999</v>
      </c>
      <c r="J13" s="206">
        <f t="shared" si="1"/>
        <v>1.9564380046501739E-2</v>
      </c>
      <c r="K13" s="190" t="str">
        <f>'[2]SR-94 EB'!P13</f>
        <v>PeMS2016</v>
      </c>
      <c r="L13" s="148">
        <f t="shared" si="2"/>
        <v>137074.93857092288</v>
      </c>
      <c r="M13" s="44"/>
    </row>
    <row r="14" spans="1:35" ht="15" customHeight="1" x14ac:dyDescent="0.25">
      <c r="A14" s="43">
        <f>'[2]SR-94 EB'!C14</f>
        <v>28</v>
      </c>
      <c r="B14" s="43" t="str">
        <f>'[2]SR-94 EB'!H14</f>
        <v>SR-94 EB</v>
      </c>
      <c r="C14" s="126">
        <f>'[2]SR-94 EB'!E14</f>
        <v>28002</v>
      </c>
      <c r="D14" s="188">
        <f>'[2]SR-94 EB'!I14</f>
        <v>24</v>
      </c>
      <c r="E14" s="189">
        <f>'[2]SR-94 EB'!J14</f>
        <v>0</v>
      </c>
      <c r="F14" s="189" t="str">
        <f>'[2]SR-94 EB'!K14</f>
        <v>WAITE</v>
      </c>
      <c r="G14" s="189" t="str">
        <f>'[2]SR-94 EB'!L14</f>
        <v>LEMON GROVE</v>
      </c>
      <c r="H14" s="197">
        <f>'[2]SR-94 EB'!O14</f>
        <v>21485</v>
      </c>
      <c r="I14" s="198">
        <f>VLOOKUP(c_28[[#This Row],[hwycov_id]],readme!D:G,4,FALSE)</f>
        <v>22162.855468999998</v>
      </c>
      <c r="J14" s="206">
        <f t="shared" si="1"/>
        <v>3.1550173097509848E-2</v>
      </c>
      <c r="K14" s="190" t="str">
        <f>'[2]SR-94 EB'!P14</f>
        <v>Caltran</v>
      </c>
      <c r="L14" s="148">
        <f t="shared" si="2"/>
        <v>459488.03685320762</v>
      </c>
      <c r="M14" s="44"/>
    </row>
    <row r="15" spans="1:35" ht="15" customHeight="1" x14ac:dyDescent="0.25">
      <c r="A15" s="43">
        <f>'[2]SR-94 EB'!C15</f>
        <v>28</v>
      </c>
      <c r="B15" s="43" t="str">
        <f>'[2]SR-94 EB'!H15</f>
        <v>SR-94 EB</v>
      </c>
      <c r="C15" s="126">
        <f>'[2]SR-94 EB'!E15</f>
        <v>10252</v>
      </c>
      <c r="D15" s="188">
        <f>'[2]SR-94 EB'!I15</f>
        <v>25</v>
      </c>
      <c r="E15" s="189">
        <f>'[2]SR-94 EB'!J15</f>
        <v>0</v>
      </c>
      <c r="F15" s="189" t="str">
        <f>'[2]SR-94 EB'!K15</f>
        <v>LEMON GROVE</v>
      </c>
      <c r="G15" s="189" t="str">
        <f>'[2]SR-94 EB'!L15</f>
        <v>LEMON GROVE</v>
      </c>
      <c r="H15" s="197">
        <f>'[2]SR-94 EB'!O15</f>
        <v>20208</v>
      </c>
      <c r="I15" s="198">
        <f>VLOOKUP(c_28[[#This Row],[hwycov_id]],readme!D:G,4,FALSE)</f>
        <v>19733.259765999999</v>
      </c>
      <c r="J15" s="206">
        <f t="shared" si="1"/>
        <v>-2.3492687747426855E-2</v>
      </c>
      <c r="K15" s="190" t="str">
        <f>'[2]SR-94 EB'!P15</f>
        <v>PeMS2016</v>
      </c>
      <c r="L15" s="148">
        <f t="shared" si="2"/>
        <v>225378.2897783755</v>
      </c>
      <c r="M15" s="44"/>
    </row>
    <row r="16" spans="1:35" ht="15" customHeight="1" x14ac:dyDescent="0.25">
      <c r="A16" s="43">
        <f>'[2]SR-94 EB'!C16</f>
        <v>28</v>
      </c>
      <c r="B16" s="43" t="str">
        <f>'[2]SR-94 EB'!H16</f>
        <v>SR-94 EB</v>
      </c>
      <c r="C16" s="126">
        <f>'[2]SR-94 EB'!E16</f>
        <v>28012</v>
      </c>
      <c r="D16" s="188">
        <f>'[2]SR-94 EB'!I16</f>
        <v>26</v>
      </c>
      <c r="E16" s="189">
        <f>'[2]SR-94 EB'!J16</f>
        <v>0</v>
      </c>
      <c r="F16" s="189" t="str">
        <f>'[2]SR-94 EB'!K16</f>
        <v>LEMON GROVE</v>
      </c>
      <c r="G16" s="189" t="str">
        <f>'[2]SR-94 EB'!L16</f>
        <v>GROVE</v>
      </c>
      <c r="H16" s="197">
        <f>'[2]SR-94 EB'!O16</f>
        <v>21715</v>
      </c>
      <c r="I16" s="198">
        <f>VLOOKUP(c_28[[#This Row],[hwycov_id]],readme!D:G,4,FALSE)</f>
        <v>21784.257812</v>
      </c>
      <c r="J16" s="206">
        <f t="shared" si="1"/>
        <v>3.189399585539876E-3</v>
      </c>
      <c r="K16" s="190" t="str">
        <f>'[2]SR-94 EB'!P16</f>
        <v>Caltran</v>
      </c>
      <c r="L16" s="148">
        <f t="shared" si="2"/>
        <v>4796.6445230273202</v>
      </c>
      <c r="M16" s="44"/>
    </row>
    <row r="17" spans="1:15" ht="15" customHeight="1" x14ac:dyDescent="0.25">
      <c r="A17" s="43">
        <f>'[2]SR-94 EB'!C17</f>
        <v>28</v>
      </c>
      <c r="B17" s="43" t="str">
        <f>'[2]SR-94 EB'!H17</f>
        <v>SR-94 EB</v>
      </c>
      <c r="C17" s="126">
        <f>'[2]SR-94 EB'!E17</f>
        <v>10159</v>
      </c>
      <c r="D17" s="188">
        <f>'[2]SR-94 EB'!I17</f>
        <v>29</v>
      </c>
      <c r="E17" s="189">
        <f>'[2]SR-94 EB'!J17</f>
        <v>0</v>
      </c>
      <c r="F17" s="189" t="str">
        <f>'[2]SR-94 EB'!K17</f>
        <v>SR-125 NB</v>
      </c>
      <c r="G17" s="189" t="str">
        <f>'[2]SR-94 EB'!L17</f>
        <v>SPRING</v>
      </c>
      <c r="H17" s="197">
        <f>'[2]SR-94 EB'!O17</f>
        <v>8226</v>
      </c>
      <c r="I17" s="198">
        <f>VLOOKUP(c_28[[#This Row],[hwycov_id]],readme!D:G,4,FALSE)</f>
        <v>10117.319336</v>
      </c>
      <c r="J17" s="206">
        <f t="shared" si="1"/>
        <v>0.22991968587405798</v>
      </c>
      <c r="K17" s="190" t="str">
        <f>'[2]SR-94 EB'!P17</f>
        <v>PeMS2016</v>
      </c>
      <c r="L17" s="148">
        <f t="shared" si="2"/>
        <v>3577088.8307274827</v>
      </c>
      <c r="M17" s="44"/>
      <c r="N17" s="27"/>
      <c r="O17" s="27"/>
    </row>
    <row r="18" spans="1:15" ht="15" customHeight="1" x14ac:dyDescent="0.25">
      <c r="A18" s="43">
        <f>'[2]SR-94 EB'!C18</f>
        <v>28</v>
      </c>
      <c r="B18" s="43" t="str">
        <f>'[2]SR-94 EB'!H18</f>
        <v>SR-94 EB</v>
      </c>
      <c r="C18" s="126">
        <f>'[2]SR-94 EB'!E18</f>
        <v>28623</v>
      </c>
      <c r="D18" s="188">
        <f>'[2]SR-94 EB'!I18</f>
        <v>9</v>
      </c>
      <c r="E18" s="189">
        <f>'[2]SR-94 EB'!J18</f>
        <v>0</v>
      </c>
      <c r="F18" s="189" t="str">
        <f>'[2]SR-94 EB'!K18</f>
        <v>AVOCADO</v>
      </c>
      <c r="G18" s="189" t="str">
        <f>'[2]SR-94 EB'!L18</f>
        <v>CAMPO</v>
      </c>
      <c r="H18" s="197">
        <f>'[2]SR-94 EB'!O18</f>
        <v>8655</v>
      </c>
      <c r="I18" s="198">
        <f>VLOOKUP(c_28[[#This Row],[hwycov_id]],readme!D:G,4,FALSE)</f>
        <v>7749.8647460000002</v>
      </c>
      <c r="J18" s="206">
        <f t="shared" si="1"/>
        <v>-0.10457946320046219</v>
      </c>
      <c r="K18" s="190" t="str">
        <f>'[2]SR-94 EB'!P18</f>
        <v>Caltran</v>
      </c>
      <c r="L18" s="148">
        <f t="shared" si="2"/>
        <v>819269.82803364412</v>
      </c>
      <c r="M18" s="44"/>
      <c r="N18" s="27"/>
      <c r="O18" s="27"/>
    </row>
    <row r="19" spans="1:15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  <c r="N19" s="27"/>
      <c r="O19" s="27"/>
    </row>
    <row r="20" spans="1:15" ht="15" customHeight="1" x14ac:dyDescent="0.2">
      <c r="L20" s="44"/>
      <c r="M20" s="44"/>
      <c r="N20" s="27"/>
      <c r="O20" s="27"/>
    </row>
    <row r="21" spans="1:15" ht="15" customHeight="1" x14ac:dyDescent="0.2">
      <c r="D21" s="25"/>
      <c r="H21" s="25"/>
      <c r="I21" s="53"/>
      <c r="L21" s="44"/>
      <c r="M21" s="44"/>
      <c r="N21" s="27"/>
      <c r="O21" s="27"/>
    </row>
    <row r="22" spans="1:15" ht="15" customHeight="1" x14ac:dyDescent="0.2">
      <c r="D22" s="25"/>
      <c r="H22" s="25"/>
      <c r="I22" s="53"/>
      <c r="L22" s="44"/>
      <c r="M22" s="44"/>
      <c r="N22" s="27"/>
      <c r="O22" s="27"/>
    </row>
    <row r="23" spans="1:15" ht="15" customHeight="1" x14ac:dyDescent="0.2">
      <c r="D23" s="25"/>
      <c r="H23" s="25"/>
      <c r="I23" s="53"/>
      <c r="L23" s="44"/>
      <c r="M23" s="44"/>
      <c r="N23" s="27"/>
      <c r="O23" s="27"/>
    </row>
    <row r="24" spans="1:15" ht="15" customHeight="1" x14ac:dyDescent="0.2">
      <c r="D24" s="25"/>
      <c r="H24" s="25"/>
      <c r="I24" s="53"/>
      <c r="L24" s="44"/>
      <c r="M24" s="44"/>
      <c r="N24" s="27"/>
      <c r="O24" s="27"/>
    </row>
    <row r="25" spans="1:15" ht="15" customHeight="1" x14ac:dyDescent="0.2">
      <c r="D25" s="25"/>
      <c r="H25" s="25"/>
      <c r="I25" s="53"/>
      <c r="L25" s="44"/>
      <c r="M25" s="44"/>
      <c r="N25" s="27"/>
      <c r="O25" s="27"/>
    </row>
    <row r="26" spans="1:15" ht="15" customHeight="1" x14ac:dyDescent="0.2">
      <c r="D26" s="25"/>
      <c r="H26" s="25"/>
      <c r="I26" s="53"/>
      <c r="L26" s="44"/>
      <c r="M26" s="44"/>
      <c r="N26" s="27"/>
      <c r="O26" s="27"/>
    </row>
    <row r="27" spans="1:15" ht="15" customHeight="1" x14ac:dyDescent="0.2">
      <c r="D27" s="25"/>
      <c r="H27" s="25"/>
      <c r="I27" s="53"/>
      <c r="L27" s="44"/>
      <c r="M27" s="44"/>
      <c r="N27" s="27"/>
      <c r="O27" s="27"/>
    </row>
    <row r="28" spans="1:15" ht="15" customHeight="1" x14ac:dyDescent="0.2">
      <c r="D28" s="25"/>
      <c r="H28" s="25"/>
      <c r="I28" s="53"/>
      <c r="L28" s="44"/>
      <c r="M28" s="44"/>
      <c r="N28" s="27"/>
      <c r="O28" s="27"/>
    </row>
    <row r="29" spans="1:15" ht="15" customHeight="1" x14ac:dyDescent="0.2">
      <c r="D29" s="25"/>
      <c r="H29" s="25"/>
      <c r="I29" s="53"/>
      <c r="L29" s="44"/>
      <c r="M29" s="44"/>
      <c r="N29" s="27"/>
      <c r="O29" s="27"/>
    </row>
    <row r="30" spans="1:15" ht="15" customHeight="1" x14ac:dyDescent="0.2">
      <c r="D30" s="25"/>
      <c r="H30" s="25"/>
      <c r="I30" s="53"/>
      <c r="L30" s="44"/>
      <c r="M30" s="44"/>
      <c r="N30" s="27"/>
      <c r="O30" s="27"/>
    </row>
    <row r="31" spans="1:15" ht="15" customHeight="1" x14ac:dyDescent="0.2">
      <c r="D31" s="25"/>
      <c r="H31" s="25"/>
      <c r="I31" s="53"/>
      <c r="L31" s="44"/>
      <c r="M31" s="44"/>
      <c r="N31" s="27"/>
      <c r="O31" s="27"/>
    </row>
    <row r="32" spans="1:15" ht="15" customHeight="1" x14ac:dyDescent="0.2">
      <c r="D32" s="25"/>
      <c r="H32" s="25"/>
      <c r="I32" s="53"/>
      <c r="L32" s="44"/>
      <c r="M32" s="44"/>
    </row>
    <row r="33" spans="4:13" ht="15" customHeight="1" x14ac:dyDescent="0.2">
      <c r="D33" s="25"/>
      <c r="H33" s="25"/>
      <c r="I33" s="53"/>
      <c r="L33" s="44"/>
      <c r="M33" s="44"/>
    </row>
    <row r="34" spans="4:13" ht="15" customHeight="1" x14ac:dyDescent="0.2">
      <c r="D34" s="25"/>
      <c r="H34" s="25"/>
      <c r="I34" s="53"/>
      <c r="L34" s="44"/>
      <c r="M34" s="44"/>
    </row>
    <row r="35" spans="4:13" ht="15" customHeight="1" x14ac:dyDescent="0.2">
      <c r="D35" s="25"/>
      <c r="H35" s="25"/>
      <c r="I35" s="53"/>
      <c r="L35" s="44"/>
      <c r="M35" s="44"/>
    </row>
    <row r="36" spans="4:13" ht="15" customHeight="1" x14ac:dyDescent="0.2">
      <c r="L36" s="44"/>
      <c r="M36" s="44"/>
    </row>
    <row r="37" spans="4:13" ht="15" customHeight="1" x14ac:dyDescent="0.2">
      <c r="L37" s="44"/>
      <c r="M37" s="44"/>
    </row>
    <row r="38" spans="4:13" ht="15" customHeight="1" x14ac:dyDescent="0.2">
      <c r="L38" s="44"/>
      <c r="M38" s="44"/>
    </row>
    <row r="39" spans="4:13" ht="15" customHeight="1" x14ac:dyDescent="0.2">
      <c r="L39" s="44"/>
      <c r="M39" s="44"/>
    </row>
    <row r="40" spans="4:13" ht="15" customHeight="1" x14ac:dyDescent="0.2">
      <c r="L40" s="44"/>
      <c r="M40" s="44"/>
    </row>
    <row r="41" spans="4:13" ht="15" customHeight="1" x14ac:dyDescent="0.2">
      <c r="L41" s="44"/>
      <c r="M41" s="44"/>
    </row>
    <row r="42" spans="4:13" ht="15" customHeight="1" x14ac:dyDescent="0.2">
      <c r="L42" s="44"/>
      <c r="M42" s="44"/>
    </row>
    <row r="43" spans="4:13" ht="15" customHeight="1" x14ac:dyDescent="0.2">
      <c r="L43" s="44"/>
      <c r="M43" s="44"/>
    </row>
    <row r="44" spans="4:13" ht="15" customHeight="1" x14ac:dyDescent="0.2">
      <c r="L44" s="44"/>
      <c r="M44" s="44"/>
    </row>
    <row r="45" spans="4:13" ht="15" customHeight="1" x14ac:dyDescent="0.2">
      <c r="L45" s="44"/>
      <c r="M45" s="44"/>
    </row>
    <row r="46" spans="4:13" ht="15" customHeight="1" x14ac:dyDescent="0.2">
      <c r="L46" s="44"/>
      <c r="M46" s="44"/>
    </row>
    <row r="47" spans="4:13" ht="15" customHeight="1" x14ac:dyDescent="0.2">
      <c r="L47" s="44"/>
      <c r="M47" s="44"/>
    </row>
    <row r="48" spans="4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M77" s="44"/>
    </row>
  </sheetData>
  <conditionalFormatting sqref="N2:N1048576 J2:J18">
    <cfRule type="cellIs" dxfId="18" priority="7" operator="lessThan">
      <formula>-0.2</formula>
    </cfRule>
    <cfRule type="cellIs" dxfId="17" priority="8" operator="greaterThan">
      <formula>0.2</formula>
    </cfRule>
  </conditionalFormatting>
  <conditionalFormatting sqref="J20:K1048576">
    <cfRule type="cellIs" dxfId="16" priority="5" operator="lessThan">
      <formula>-0.2</formula>
    </cfRule>
    <cfRule type="cellIs" dxfId="15" priority="6" operator="greaterThan">
      <formula>0.2</formula>
    </cfRule>
  </conditionalFormatting>
  <conditionalFormatting sqref="N1">
    <cfRule type="cellIs" dxfId="14" priority="1" operator="lessThan">
      <formula>-0.2</formula>
    </cfRule>
    <cfRule type="cellIs" dxfId="1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175" t="s">
        <v>246</v>
      </c>
      <c r="B1" s="175" t="s">
        <v>247</v>
      </c>
      <c r="C1" s="175" t="s">
        <v>248</v>
      </c>
      <c r="D1" s="175" t="s">
        <v>260</v>
      </c>
      <c r="E1" s="175" t="s">
        <v>261</v>
      </c>
      <c r="I1" t="s">
        <v>249</v>
      </c>
      <c r="J1" t="s">
        <v>250</v>
      </c>
      <c r="L1" t="s">
        <v>258</v>
      </c>
      <c r="M1" t="s">
        <v>259</v>
      </c>
    </row>
    <row r="2" spans="1:13" x14ac:dyDescent="0.25">
      <c r="A2" s="176">
        <v>9483</v>
      </c>
      <c r="B2" s="176">
        <v>9010</v>
      </c>
      <c r="C2" s="176">
        <v>9006</v>
      </c>
      <c r="D2" s="176" t="str">
        <f>VLOOKUP($B2,$I$2:$J$13,2,FALSE)</f>
        <v>Otay Mainline Toll Plaza</v>
      </c>
      <c r="E2" s="176" t="str">
        <f>VLOOKUP(C2,$L$2:$M$13,2,FALSE)</f>
        <v>Birch Road</v>
      </c>
      <c r="I2">
        <v>9002</v>
      </c>
      <c r="J2" t="s">
        <v>251</v>
      </c>
      <c r="L2">
        <v>9001</v>
      </c>
      <c r="M2" t="s">
        <v>257</v>
      </c>
    </row>
    <row r="3" spans="1:13" x14ac:dyDescent="0.25">
      <c r="A3" s="176">
        <v>9509</v>
      </c>
      <c r="B3" s="176">
        <v>9006</v>
      </c>
      <c r="C3" s="176">
        <v>9005</v>
      </c>
      <c r="D3" s="176" t="str">
        <f t="shared" ref="D3:D13" si="0">VLOOKUP($B3,$I$2:$J$13,2,FALSE)</f>
        <v>Birch Road</v>
      </c>
      <c r="E3" s="176" t="str">
        <f t="shared" ref="E3:E13" si="1">VLOOKUP(C3,$L$2:$M$13,2,FALSE)</f>
        <v>Olympic Parkway</v>
      </c>
      <c r="I3">
        <v>9003</v>
      </c>
      <c r="J3" t="s">
        <v>252</v>
      </c>
      <c r="L3">
        <v>9002</v>
      </c>
      <c r="M3" t="s">
        <v>251</v>
      </c>
    </row>
    <row r="4" spans="1:13" x14ac:dyDescent="0.25">
      <c r="A4" s="176">
        <v>9519</v>
      </c>
      <c r="B4" s="176">
        <v>9005</v>
      </c>
      <c r="C4" s="176">
        <v>9004</v>
      </c>
      <c r="D4" s="176" t="str">
        <f t="shared" si="0"/>
        <v>Olympic Parkway</v>
      </c>
      <c r="E4" s="176" t="str">
        <f t="shared" si="1"/>
        <v>Otay Lakes Road</v>
      </c>
      <c r="I4">
        <v>9004</v>
      </c>
      <c r="J4" t="s">
        <v>253</v>
      </c>
      <c r="L4">
        <v>9003</v>
      </c>
      <c r="M4" t="s">
        <v>252</v>
      </c>
    </row>
    <row r="5" spans="1:13" x14ac:dyDescent="0.25">
      <c r="A5" s="176">
        <v>9143</v>
      </c>
      <c r="B5" s="176">
        <v>9004</v>
      </c>
      <c r="C5" s="176">
        <v>9003</v>
      </c>
      <c r="D5" s="176" t="str">
        <f t="shared" si="0"/>
        <v>Otay Lakes Road</v>
      </c>
      <c r="E5" s="176" t="str">
        <f t="shared" si="1"/>
        <v>East H Street</v>
      </c>
      <c r="I5">
        <v>9005</v>
      </c>
      <c r="J5" t="s">
        <v>254</v>
      </c>
      <c r="L5">
        <v>9004</v>
      </c>
      <c r="M5" t="s">
        <v>253</v>
      </c>
    </row>
    <row r="6" spans="1:13" x14ac:dyDescent="0.25">
      <c r="A6" s="176">
        <v>10255</v>
      </c>
      <c r="B6" s="176">
        <v>9003</v>
      </c>
      <c r="C6" s="176">
        <v>9002</v>
      </c>
      <c r="D6" s="176" t="str">
        <f t="shared" si="0"/>
        <v>East H Street</v>
      </c>
      <c r="E6" s="176" t="str">
        <f t="shared" si="1"/>
        <v>San Miguel Ranch Road</v>
      </c>
      <c r="I6">
        <v>9006</v>
      </c>
      <c r="J6" t="s">
        <v>255</v>
      </c>
      <c r="L6">
        <v>9005</v>
      </c>
      <c r="M6" t="s">
        <v>254</v>
      </c>
    </row>
    <row r="7" spans="1:13" x14ac:dyDescent="0.25">
      <c r="A7" s="176">
        <v>10257</v>
      </c>
      <c r="B7" s="176">
        <v>9002</v>
      </c>
      <c r="C7" s="176">
        <v>9001</v>
      </c>
      <c r="D7" s="176" t="str">
        <f t="shared" si="0"/>
        <v>San Miguel Ranch Road</v>
      </c>
      <c r="E7" s="176" t="str">
        <f t="shared" si="1"/>
        <v>SR54</v>
      </c>
      <c r="I7">
        <v>9010</v>
      </c>
      <c r="J7" t="s">
        <v>256</v>
      </c>
      <c r="L7">
        <v>9006</v>
      </c>
      <c r="M7" t="s">
        <v>255</v>
      </c>
    </row>
    <row r="8" spans="1:13" x14ac:dyDescent="0.25">
      <c r="A8" s="177">
        <v>9012</v>
      </c>
      <c r="B8" s="177">
        <v>9011</v>
      </c>
      <c r="C8" s="177">
        <v>9012</v>
      </c>
      <c r="D8" s="177" t="str">
        <f t="shared" si="0"/>
        <v>SR54</v>
      </c>
      <c r="E8" s="177" t="str">
        <f t="shared" si="1"/>
        <v>San Miguel Ranch Road</v>
      </c>
      <c r="I8">
        <v>9011</v>
      </c>
      <c r="J8" t="s">
        <v>257</v>
      </c>
      <c r="L8">
        <v>9012</v>
      </c>
      <c r="M8" t="s">
        <v>251</v>
      </c>
    </row>
    <row r="9" spans="1:13" x14ac:dyDescent="0.25">
      <c r="A9" s="177">
        <v>30782</v>
      </c>
      <c r="B9" s="177">
        <v>9012</v>
      </c>
      <c r="C9" s="177">
        <v>9013</v>
      </c>
      <c r="D9" s="177" t="str">
        <f t="shared" si="0"/>
        <v>San Miguel Ranch Road</v>
      </c>
      <c r="E9" s="177" t="str">
        <f t="shared" si="1"/>
        <v>East H Street</v>
      </c>
      <c r="I9">
        <v>9012</v>
      </c>
      <c r="J9" t="s">
        <v>251</v>
      </c>
      <c r="L9">
        <v>9013</v>
      </c>
      <c r="M9" t="s">
        <v>252</v>
      </c>
    </row>
    <row r="10" spans="1:13" x14ac:dyDescent="0.25">
      <c r="A10" s="177">
        <v>9142</v>
      </c>
      <c r="B10" s="177">
        <v>9013</v>
      </c>
      <c r="C10" s="177">
        <v>9014</v>
      </c>
      <c r="D10" s="177" t="str">
        <f t="shared" si="0"/>
        <v>East H Street</v>
      </c>
      <c r="E10" s="177" t="str">
        <f t="shared" si="1"/>
        <v>Otay Lakes Road</v>
      </c>
      <c r="I10">
        <v>9013</v>
      </c>
      <c r="J10" t="s">
        <v>252</v>
      </c>
      <c r="L10">
        <v>9014</v>
      </c>
      <c r="M10" t="s">
        <v>253</v>
      </c>
    </row>
    <row r="11" spans="1:13" x14ac:dyDescent="0.25">
      <c r="A11" s="177">
        <v>9516</v>
      </c>
      <c r="B11" s="177">
        <v>9014</v>
      </c>
      <c r="C11" s="177">
        <v>9015</v>
      </c>
      <c r="D11" s="177" t="str">
        <f t="shared" si="0"/>
        <v>Otay Lakes Road</v>
      </c>
      <c r="E11" s="177" t="str">
        <f t="shared" si="1"/>
        <v>Olympic Parkway</v>
      </c>
      <c r="I11">
        <v>9014</v>
      </c>
      <c r="J11" t="s">
        <v>253</v>
      </c>
      <c r="L11">
        <v>9015</v>
      </c>
      <c r="M11" t="s">
        <v>254</v>
      </c>
    </row>
    <row r="12" spans="1:13" x14ac:dyDescent="0.25">
      <c r="A12" s="177">
        <v>9510</v>
      </c>
      <c r="B12" s="177">
        <v>9015</v>
      </c>
      <c r="C12" s="177">
        <v>9016</v>
      </c>
      <c r="D12" s="177" t="str">
        <f t="shared" si="0"/>
        <v>Olympic Parkway</v>
      </c>
      <c r="E12" s="177" t="str">
        <f t="shared" si="1"/>
        <v>Birch Road</v>
      </c>
      <c r="I12">
        <v>9015</v>
      </c>
      <c r="J12" t="s">
        <v>254</v>
      </c>
      <c r="L12">
        <v>9016</v>
      </c>
      <c r="M12" t="s">
        <v>255</v>
      </c>
    </row>
    <row r="13" spans="1:13" x14ac:dyDescent="0.25">
      <c r="A13" s="177">
        <v>9488</v>
      </c>
      <c r="B13" s="177">
        <v>9016</v>
      </c>
      <c r="C13" s="177">
        <v>9020</v>
      </c>
      <c r="D13" s="177" t="str">
        <f t="shared" si="0"/>
        <v>Birch Road</v>
      </c>
      <c r="E13" s="177" t="str">
        <f t="shared" si="1"/>
        <v>Otay Mainline Toll Plaza</v>
      </c>
      <c r="I13">
        <v>9016</v>
      </c>
      <c r="J13" t="s">
        <v>255</v>
      </c>
      <c r="L13">
        <v>9020</v>
      </c>
      <c r="M13" t="s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ROUND(MAX(worksheet!$K$2:$K$758),-4)</f>
        <v>40000</v>
      </c>
      <c r="B2">
        <f>A2</f>
        <v>40000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118">
        <v>1</v>
      </c>
      <c r="B1" s="118">
        <f>COUNTIF(ws[corridor],$A1)</f>
        <v>94</v>
      </c>
      <c r="C1" s="118">
        <v>1</v>
      </c>
      <c r="D1" s="118">
        <f>C1+B1-1</f>
        <v>94</v>
      </c>
    </row>
    <row r="2" spans="1:4" x14ac:dyDescent="0.25">
      <c r="A2" s="118">
        <v>2</v>
      </c>
      <c r="B2" s="118">
        <f>COUNTIF(ws[corridor],$A2)</f>
        <v>62</v>
      </c>
      <c r="C2" s="118">
        <f>D1+1</f>
        <v>95</v>
      </c>
      <c r="D2" s="118">
        <f t="shared" ref="D2:D32" si="0">C2+B2-1</f>
        <v>156</v>
      </c>
    </row>
    <row r="3" spans="1:4" x14ac:dyDescent="0.25">
      <c r="A3" s="118">
        <v>3</v>
      </c>
      <c r="B3" s="118">
        <f>COUNTIF(ws[corridor],$A3)</f>
        <v>42</v>
      </c>
      <c r="C3" s="118">
        <f t="shared" ref="C3:C32" si="1">D2+1</f>
        <v>157</v>
      </c>
      <c r="D3" s="118">
        <f t="shared" si="0"/>
        <v>198</v>
      </c>
    </row>
    <row r="4" spans="1:4" x14ac:dyDescent="0.25">
      <c r="A4" s="118">
        <v>4</v>
      </c>
      <c r="B4" s="118">
        <f>COUNTIF(ws[corridor],$A4)</f>
        <v>10</v>
      </c>
      <c r="C4" s="118">
        <f t="shared" si="1"/>
        <v>199</v>
      </c>
      <c r="D4" s="118">
        <f t="shared" si="0"/>
        <v>208</v>
      </c>
    </row>
    <row r="5" spans="1:4" x14ac:dyDescent="0.25">
      <c r="A5" s="118">
        <v>5</v>
      </c>
      <c r="B5" s="118">
        <f>COUNTIF(ws[corridor],$A5)</f>
        <v>20</v>
      </c>
      <c r="C5" s="118">
        <f t="shared" si="1"/>
        <v>209</v>
      </c>
      <c r="D5" s="118">
        <f t="shared" si="0"/>
        <v>228</v>
      </c>
    </row>
    <row r="6" spans="1:4" x14ac:dyDescent="0.25">
      <c r="A6" s="118">
        <v>6</v>
      </c>
      <c r="B6" s="118">
        <f>COUNTIF(ws[corridor],$A6)</f>
        <v>3</v>
      </c>
      <c r="C6" s="118">
        <f t="shared" si="1"/>
        <v>229</v>
      </c>
      <c r="D6" s="118">
        <f t="shared" si="0"/>
        <v>231</v>
      </c>
    </row>
    <row r="7" spans="1:4" x14ac:dyDescent="0.25">
      <c r="A7" s="118">
        <v>7</v>
      </c>
      <c r="B7" s="118">
        <f>COUNTIF(ws[corridor],$A7)</f>
        <v>1</v>
      </c>
      <c r="C7" s="118">
        <f t="shared" si="1"/>
        <v>232</v>
      </c>
      <c r="D7" s="118">
        <f t="shared" si="0"/>
        <v>232</v>
      </c>
    </row>
    <row r="8" spans="1:4" x14ac:dyDescent="0.25">
      <c r="A8" s="118">
        <v>29</v>
      </c>
      <c r="B8" s="118">
        <f>COUNTIF(ws[corridor],$A8)</f>
        <v>15</v>
      </c>
      <c r="C8" s="118">
        <f t="shared" si="1"/>
        <v>233</v>
      </c>
      <c r="D8" s="118">
        <f t="shared" si="0"/>
        <v>247</v>
      </c>
    </row>
    <row r="9" spans="1:4" x14ac:dyDescent="0.25">
      <c r="A9" s="118">
        <v>31</v>
      </c>
      <c r="B9" s="118">
        <f>COUNTIF(ws[corridor],$A9)</f>
        <v>5</v>
      </c>
      <c r="C9" s="118">
        <f t="shared" si="1"/>
        <v>248</v>
      </c>
      <c r="D9" s="118">
        <f t="shared" si="0"/>
        <v>252</v>
      </c>
    </row>
    <row r="10" spans="1:4" x14ac:dyDescent="0.25">
      <c r="A10" s="119">
        <v>8</v>
      </c>
      <c r="B10" s="119">
        <f>COUNTIF(ws[corridor],$A10)</f>
        <v>74</v>
      </c>
      <c r="C10" s="119">
        <f t="shared" si="1"/>
        <v>253</v>
      </c>
      <c r="D10" s="119">
        <f t="shared" si="0"/>
        <v>326</v>
      </c>
    </row>
    <row r="11" spans="1:4" x14ac:dyDescent="0.25">
      <c r="A11" s="119">
        <v>9</v>
      </c>
      <c r="B11" s="119">
        <f>COUNTIF(ws[corridor],$A11)</f>
        <v>63</v>
      </c>
      <c r="C11" s="119">
        <f t="shared" si="1"/>
        <v>327</v>
      </c>
      <c r="D11" s="119">
        <f t="shared" si="0"/>
        <v>389</v>
      </c>
    </row>
    <row r="12" spans="1:4" x14ac:dyDescent="0.25">
      <c r="A12" s="119">
        <v>10</v>
      </c>
      <c r="B12" s="119">
        <f>COUNTIF(ws[corridor],$A12)</f>
        <v>43</v>
      </c>
      <c r="C12" s="119">
        <f t="shared" si="1"/>
        <v>390</v>
      </c>
      <c r="D12" s="119">
        <f t="shared" si="0"/>
        <v>432</v>
      </c>
    </row>
    <row r="13" spans="1:4" x14ac:dyDescent="0.25">
      <c r="A13" s="119">
        <v>11</v>
      </c>
      <c r="B13" s="119">
        <f>COUNTIF(ws[corridor],$A13)</f>
        <v>13</v>
      </c>
      <c r="C13" s="119">
        <f t="shared" si="1"/>
        <v>433</v>
      </c>
      <c r="D13" s="119">
        <f t="shared" si="0"/>
        <v>445</v>
      </c>
    </row>
    <row r="14" spans="1:4" x14ac:dyDescent="0.25">
      <c r="A14" s="119">
        <v>12</v>
      </c>
      <c r="B14" s="119">
        <f>COUNTIF(ws[corridor],$A14)</f>
        <v>17</v>
      </c>
      <c r="C14" s="119">
        <f t="shared" si="1"/>
        <v>446</v>
      </c>
      <c r="D14" s="119">
        <f t="shared" si="0"/>
        <v>462</v>
      </c>
    </row>
    <row r="15" spans="1:4" x14ac:dyDescent="0.25">
      <c r="A15" s="119">
        <v>13</v>
      </c>
      <c r="B15" s="119">
        <f>COUNTIF(ws[corridor],$A15)</f>
        <v>2</v>
      </c>
      <c r="C15" s="119">
        <f t="shared" si="1"/>
        <v>463</v>
      </c>
      <c r="D15" s="119">
        <f t="shared" si="0"/>
        <v>464</v>
      </c>
    </row>
    <row r="16" spans="1:4" x14ac:dyDescent="0.25">
      <c r="A16" s="119">
        <v>14</v>
      </c>
      <c r="B16" s="119">
        <f>COUNTIF(ws[corridor],$A16)</f>
        <v>1</v>
      </c>
      <c r="C16" s="119">
        <f t="shared" si="1"/>
        <v>465</v>
      </c>
      <c r="D16" s="119">
        <f t="shared" si="0"/>
        <v>465</v>
      </c>
    </row>
    <row r="17" spans="1:4" x14ac:dyDescent="0.25">
      <c r="A17" s="119">
        <v>30</v>
      </c>
      <c r="B17" s="119">
        <f>COUNTIF(ws[corridor],$A17)</f>
        <v>8</v>
      </c>
      <c r="C17" s="119">
        <f t="shared" si="1"/>
        <v>466</v>
      </c>
      <c r="D17" s="119">
        <f t="shared" si="0"/>
        <v>473</v>
      </c>
    </row>
    <row r="18" spans="1:4" x14ac:dyDescent="0.25">
      <c r="A18" s="119">
        <v>32</v>
      </c>
      <c r="B18" s="119">
        <f>COUNTIF(ws[corridor],$A18)</f>
        <v>4</v>
      </c>
      <c r="C18" s="119">
        <f t="shared" si="1"/>
        <v>474</v>
      </c>
      <c r="D18" s="119">
        <f t="shared" si="0"/>
        <v>477</v>
      </c>
    </row>
    <row r="19" spans="1:4" x14ac:dyDescent="0.25">
      <c r="A19">
        <v>15</v>
      </c>
      <c r="B19">
        <f>COUNTIF(ws[corridor],$A19)</f>
        <v>51</v>
      </c>
      <c r="C19">
        <f t="shared" si="1"/>
        <v>478</v>
      </c>
      <c r="D19">
        <f t="shared" si="0"/>
        <v>528</v>
      </c>
    </row>
    <row r="20" spans="1:4" x14ac:dyDescent="0.25">
      <c r="A20">
        <v>16</v>
      </c>
      <c r="B20">
        <f>COUNTIF(ws[corridor],$A20)</f>
        <v>27</v>
      </c>
      <c r="C20">
        <f t="shared" si="1"/>
        <v>529</v>
      </c>
      <c r="D20">
        <f t="shared" si="0"/>
        <v>555</v>
      </c>
    </row>
    <row r="21" spans="1:4" x14ac:dyDescent="0.25">
      <c r="A21">
        <v>17</v>
      </c>
      <c r="B21">
        <f>COUNTIF(ws[corridor],$A21)</f>
        <v>18</v>
      </c>
      <c r="C21">
        <f t="shared" si="1"/>
        <v>556</v>
      </c>
      <c r="D21">
        <f t="shared" si="0"/>
        <v>573</v>
      </c>
    </row>
    <row r="22" spans="1:4" x14ac:dyDescent="0.25">
      <c r="A22">
        <v>18</v>
      </c>
      <c r="B22">
        <f>COUNTIF(ws[corridor],$A22)</f>
        <v>7</v>
      </c>
      <c r="C22">
        <f t="shared" si="1"/>
        <v>574</v>
      </c>
      <c r="D22">
        <f t="shared" si="0"/>
        <v>580</v>
      </c>
    </row>
    <row r="23" spans="1:4" x14ac:dyDescent="0.25">
      <c r="A23">
        <v>19</v>
      </c>
      <c r="B23">
        <f>COUNTIF(ws[corridor],$A23)</f>
        <v>15</v>
      </c>
      <c r="C23">
        <f t="shared" si="1"/>
        <v>581</v>
      </c>
      <c r="D23">
        <f t="shared" si="0"/>
        <v>595</v>
      </c>
    </row>
    <row r="24" spans="1:4" x14ac:dyDescent="0.25">
      <c r="A24">
        <v>20</v>
      </c>
      <c r="B24">
        <f>COUNTIF(ws[corridor],$A24)</f>
        <v>13</v>
      </c>
      <c r="C24">
        <f t="shared" si="1"/>
        <v>596</v>
      </c>
      <c r="D24">
        <f t="shared" si="0"/>
        <v>608</v>
      </c>
    </row>
    <row r="25" spans="1:4" x14ac:dyDescent="0.25">
      <c r="A25">
        <v>21</v>
      </c>
      <c r="B25">
        <f>COUNTIF(ws[corridor],$A25)</f>
        <v>20</v>
      </c>
      <c r="C25">
        <f t="shared" si="1"/>
        <v>609</v>
      </c>
      <c r="D25">
        <f t="shared" si="0"/>
        <v>628</v>
      </c>
    </row>
    <row r="26" spans="1:4" x14ac:dyDescent="0.25">
      <c r="A26">
        <v>22</v>
      </c>
      <c r="B26">
        <f>COUNTIF(ws[corridor],$A26)</f>
        <v>40</v>
      </c>
      <c r="C26">
        <f t="shared" si="1"/>
        <v>629</v>
      </c>
      <c r="D26">
        <f t="shared" si="0"/>
        <v>668</v>
      </c>
    </row>
    <row r="27" spans="1:4" x14ac:dyDescent="0.25">
      <c r="A27">
        <v>23</v>
      </c>
      <c r="B27">
        <f>COUNTIF(ws[corridor],$A27)</f>
        <v>23</v>
      </c>
      <c r="C27">
        <f t="shared" si="1"/>
        <v>669</v>
      </c>
      <c r="D27">
        <f t="shared" si="0"/>
        <v>691</v>
      </c>
    </row>
    <row r="28" spans="1:4" x14ac:dyDescent="0.25">
      <c r="A28">
        <v>24</v>
      </c>
      <c r="B28">
        <f>COUNTIF(ws[corridor],$A28)</f>
        <v>16</v>
      </c>
      <c r="C28">
        <f t="shared" si="1"/>
        <v>692</v>
      </c>
      <c r="D28">
        <f t="shared" si="0"/>
        <v>707</v>
      </c>
    </row>
    <row r="29" spans="1:4" x14ac:dyDescent="0.25">
      <c r="A29">
        <v>25</v>
      </c>
      <c r="B29">
        <f>COUNTIF(ws[corridor],$A29)</f>
        <v>8</v>
      </c>
      <c r="C29">
        <f t="shared" si="1"/>
        <v>708</v>
      </c>
      <c r="D29">
        <f t="shared" si="0"/>
        <v>715</v>
      </c>
    </row>
    <row r="30" spans="1:4" x14ac:dyDescent="0.25">
      <c r="A30">
        <v>26</v>
      </c>
      <c r="B30">
        <f>COUNTIF(ws[corridor],$A30)</f>
        <v>13</v>
      </c>
      <c r="C30">
        <f t="shared" si="1"/>
        <v>716</v>
      </c>
      <c r="D30">
        <f t="shared" si="0"/>
        <v>728</v>
      </c>
    </row>
    <row r="31" spans="1:4" x14ac:dyDescent="0.25">
      <c r="A31">
        <v>27</v>
      </c>
      <c r="B31">
        <f>COUNTIF(ws[corridor],$A31)</f>
        <v>6</v>
      </c>
      <c r="C31">
        <f t="shared" si="1"/>
        <v>729</v>
      </c>
      <c r="D31">
        <f t="shared" si="0"/>
        <v>734</v>
      </c>
    </row>
    <row r="32" spans="1:4" x14ac:dyDescent="0.25">
      <c r="A32">
        <v>28</v>
      </c>
      <c r="B32">
        <f>COUNTIF(ws[corridor],$A32)</f>
        <v>17</v>
      </c>
      <c r="C32">
        <f t="shared" si="1"/>
        <v>735</v>
      </c>
      <c r="D32">
        <f t="shared" si="0"/>
        <v>751</v>
      </c>
    </row>
    <row r="33" spans="2:2" x14ac:dyDescent="0.25">
      <c r="B33">
        <f>SUM(B1:B32)</f>
        <v>751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48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5" baseType="lpstr">
      <vt:lpstr>readme</vt:lpstr>
      <vt:lpstr>worksheet</vt:lpstr>
      <vt:lpstr>keylocation</vt:lpstr>
      <vt:lpstr>check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I-5_NB_AUX_LOCAL_ACC</vt:lpstr>
      <vt:lpstr>I_805HOV_NB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I_805HOV_SB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2018-07-02T20:45:03Z</cp:lastPrinted>
  <dcterms:created xsi:type="dcterms:W3CDTF">2016-02-07T16:24:01Z</dcterms:created>
  <dcterms:modified xsi:type="dcterms:W3CDTF">2020-12-24T20:27:02Z</dcterms:modified>
</cp:coreProperties>
</file>